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0" yWindow="0" windowWidth="20490" windowHeight="904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B221" i="16" s="1"/>
  <c r="E220" i="16"/>
  <c r="D220" i="16"/>
  <c r="H220" i="16" s="1"/>
  <c r="I220" i="16" s="1"/>
  <c r="A220" i="16"/>
  <c r="E219" i="16"/>
  <c r="D219" i="16"/>
  <c r="A219" i="16"/>
  <c r="B219" i="16" s="1"/>
  <c r="E218" i="16"/>
  <c r="D218" i="16"/>
  <c r="A218" i="16"/>
  <c r="E217" i="16"/>
  <c r="D217" i="16"/>
  <c r="H217" i="16" s="1"/>
  <c r="I217" i="16" s="1"/>
  <c r="A217" i="16"/>
  <c r="B217" i="16" s="1"/>
  <c r="E216" i="16"/>
  <c r="D216" i="16"/>
  <c r="A216" i="16"/>
  <c r="E215" i="16"/>
  <c r="D215" i="16"/>
  <c r="H215" i="16" s="1"/>
  <c r="I215" i="16" s="1"/>
  <c r="A215" i="16"/>
  <c r="B215" i="16" s="1"/>
  <c r="E214" i="16"/>
  <c r="D214" i="16"/>
  <c r="A214" i="16"/>
  <c r="E213" i="16"/>
  <c r="D213" i="16"/>
  <c r="A213" i="16"/>
  <c r="B213" i="16" s="1"/>
  <c r="E212" i="16"/>
  <c r="D212" i="16"/>
  <c r="H212" i="16" s="1"/>
  <c r="A212" i="16"/>
  <c r="E211" i="16"/>
  <c r="D211" i="16"/>
  <c r="A211" i="16"/>
  <c r="B211" i="16" s="1"/>
  <c r="E210" i="16"/>
  <c r="D210" i="16"/>
  <c r="A210" i="16"/>
  <c r="E209" i="16"/>
  <c r="D209" i="16"/>
  <c r="A209" i="16"/>
  <c r="B209" i="16" s="1"/>
  <c r="E208" i="16"/>
  <c r="D208" i="16"/>
  <c r="A208" i="16"/>
  <c r="E207" i="16"/>
  <c r="D207" i="16"/>
  <c r="A207" i="16"/>
  <c r="B207" i="16" s="1"/>
  <c r="E206" i="16"/>
  <c r="D206" i="16"/>
  <c r="A206" i="16"/>
  <c r="E205" i="16"/>
  <c r="D205" i="16"/>
  <c r="A205" i="16"/>
  <c r="B205" i="16" s="1"/>
  <c r="E204" i="16"/>
  <c r="D204" i="16"/>
  <c r="A204" i="16"/>
  <c r="E203" i="16"/>
  <c r="D203" i="16"/>
  <c r="A203" i="16"/>
  <c r="B203" i="16" s="1"/>
  <c r="E202" i="16"/>
  <c r="D202" i="16"/>
  <c r="H202" i="16" s="1"/>
  <c r="I202" i="16" s="1"/>
  <c r="A202" i="16"/>
  <c r="E201" i="16"/>
  <c r="D201" i="16"/>
  <c r="H201" i="16" s="1"/>
  <c r="A201" i="16"/>
  <c r="B201" i="16" s="1"/>
  <c r="E200" i="16"/>
  <c r="D200" i="16"/>
  <c r="A200" i="16"/>
  <c r="E199" i="16"/>
  <c r="D199" i="16"/>
  <c r="H199" i="16" s="1"/>
  <c r="A199" i="16"/>
  <c r="B199" i="16" s="1"/>
  <c r="E198" i="16"/>
  <c r="D198" i="16"/>
  <c r="A198" i="16"/>
  <c r="E197" i="16"/>
  <c r="D197" i="16"/>
  <c r="A197" i="16"/>
  <c r="B197" i="16" s="1"/>
  <c r="E196" i="16"/>
  <c r="D196" i="16"/>
  <c r="A196" i="16"/>
  <c r="E195" i="16"/>
  <c r="D195" i="16"/>
  <c r="A195" i="16"/>
  <c r="B195" i="16" s="1"/>
  <c r="E194" i="16"/>
  <c r="D194" i="16"/>
  <c r="A194" i="16"/>
  <c r="E193" i="16"/>
  <c r="D193" i="16"/>
  <c r="A193" i="16"/>
  <c r="B193" i="16" s="1"/>
  <c r="E192" i="16"/>
  <c r="D192" i="16"/>
  <c r="A192" i="16"/>
  <c r="E191" i="16"/>
  <c r="D191" i="16"/>
  <c r="A191" i="16"/>
  <c r="B191" i="16" s="1"/>
  <c r="E190" i="16"/>
  <c r="D190" i="16"/>
  <c r="H190" i="16" s="1"/>
  <c r="A190" i="16"/>
  <c r="E189" i="16"/>
  <c r="D189" i="16"/>
  <c r="A189" i="16"/>
  <c r="B189" i="16" s="1"/>
  <c r="E188" i="16"/>
  <c r="D188" i="16"/>
  <c r="A188" i="16"/>
  <c r="E187" i="16"/>
  <c r="D187" i="16"/>
  <c r="A187" i="16"/>
  <c r="B187" i="16" s="1"/>
  <c r="E186" i="16"/>
  <c r="D186" i="16"/>
  <c r="H186" i="16" s="1"/>
  <c r="A186" i="16"/>
  <c r="E185" i="16"/>
  <c r="D185" i="16"/>
  <c r="A185" i="16"/>
  <c r="B185" i="16" s="1"/>
  <c r="E184" i="16"/>
  <c r="D184" i="16"/>
  <c r="A184" i="16"/>
  <c r="E183" i="16"/>
  <c r="D183" i="16"/>
  <c r="A183" i="16"/>
  <c r="B183" i="16" s="1"/>
  <c r="E182" i="16"/>
  <c r="D182" i="16"/>
  <c r="A182" i="16"/>
  <c r="E181" i="16"/>
  <c r="D181" i="16"/>
  <c r="H181" i="16" s="1"/>
  <c r="A181" i="16"/>
  <c r="B181" i="16" s="1"/>
  <c r="E180" i="16"/>
  <c r="D180" i="16"/>
  <c r="H180" i="16" s="1"/>
  <c r="I180" i="16" s="1"/>
  <c r="A180" i="16"/>
  <c r="E179" i="16"/>
  <c r="D179" i="16"/>
  <c r="A179" i="16"/>
  <c r="B179" i="16" s="1"/>
  <c r="E178" i="16"/>
  <c r="D178" i="16"/>
  <c r="A178" i="16"/>
  <c r="E177" i="16"/>
  <c r="D177" i="16"/>
  <c r="H177" i="16" s="1"/>
  <c r="A177" i="16"/>
  <c r="B177" i="16" s="1"/>
  <c r="E176" i="16"/>
  <c r="D176" i="16"/>
  <c r="A176" i="16"/>
  <c r="E175" i="16"/>
  <c r="D175" i="16"/>
  <c r="H175" i="16" s="1"/>
  <c r="I175" i="16" s="1"/>
  <c r="A175" i="16"/>
  <c r="B175" i="16" s="1"/>
  <c r="E174" i="16"/>
  <c r="D174" i="16"/>
  <c r="A174" i="16"/>
  <c r="E173" i="16"/>
  <c r="D173" i="16"/>
  <c r="H173" i="16" s="1"/>
  <c r="A173" i="16"/>
  <c r="B173" i="16" s="1"/>
  <c r="E172" i="16"/>
  <c r="D172" i="16"/>
  <c r="A172" i="16"/>
  <c r="E171" i="16"/>
  <c r="D171" i="16"/>
  <c r="H171" i="16" s="1"/>
  <c r="I171" i="16" s="1"/>
  <c r="A171" i="16"/>
  <c r="B171" i="16" s="1"/>
  <c r="E170" i="16"/>
  <c r="D170" i="16"/>
  <c r="H170" i="16" s="1"/>
  <c r="A170" i="16"/>
  <c r="E169" i="16"/>
  <c r="D169" i="16"/>
  <c r="H169" i="16" s="1"/>
  <c r="A169" i="16"/>
  <c r="B169" i="16" s="1"/>
  <c r="E168" i="16"/>
  <c r="D168" i="16"/>
  <c r="H168" i="16" s="1"/>
  <c r="A168" i="16"/>
  <c r="E167" i="16"/>
  <c r="D167" i="16"/>
  <c r="H167" i="16" s="1"/>
  <c r="A167" i="16"/>
  <c r="B167" i="16" s="1"/>
  <c r="E166" i="16"/>
  <c r="D166" i="16"/>
  <c r="A166" i="16"/>
  <c r="E165" i="16"/>
  <c r="D165" i="16"/>
  <c r="A165" i="16"/>
  <c r="B165" i="16" s="1"/>
  <c r="E164" i="16"/>
  <c r="D164" i="16"/>
  <c r="A164" i="16"/>
  <c r="E163" i="16"/>
  <c r="D163" i="16"/>
  <c r="H163" i="16" s="1"/>
  <c r="I163" i="16" s="1"/>
  <c r="A163" i="16"/>
  <c r="B163" i="16" s="1"/>
  <c r="E162" i="16"/>
  <c r="D162" i="16"/>
  <c r="H162" i="16" s="1"/>
  <c r="A162" i="16"/>
  <c r="E161" i="16"/>
  <c r="D161" i="16"/>
  <c r="H161" i="16" s="1"/>
  <c r="A161" i="16"/>
  <c r="B161" i="16" s="1"/>
  <c r="E160" i="16"/>
  <c r="D160" i="16"/>
  <c r="H160" i="16" s="1"/>
  <c r="I160" i="16" s="1"/>
  <c r="A160" i="16"/>
  <c r="E159" i="16"/>
  <c r="D159" i="16"/>
  <c r="A159" i="16"/>
  <c r="B159" i="16" s="1"/>
  <c r="E158" i="16"/>
  <c r="D158" i="16"/>
  <c r="A158" i="16"/>
  <c r="E157" i="16"/>
  <c r="D157" i="16"/>
  <c r="A157" i="16"/>
  <c r="B157" i="16" s="1"/>
  <c r="E156" i="16"/>
  <c r="D156" i="16"/>
  <c r="A156" i="16"/>
  <c r="E155" i="16"/>
  <c r="D155" i="16"/>
  <c r="H155" i="16" s="1"/>
  <c r="A155" i="16"/>
  <c r="B155" i="16" s="1"/>
  <c r="E154" i="16"/>
  <c r="D154" i="16"/>
  <c r="A154" i="16"/>
  <c r="E153" i="16"/>
  <c r="D153" i="16"/>
  <c r="A153" i="16"/>
  <c r="B153" i="16" s="1"/>
  <c r="E152" i="16"/>
  <c r="D152" i="16"/>
  <c r="H152" i="16" s="1"/>
  <c r="A152" i="16"/>
  <c r="E151" i="16"/>
  <c r="D151" i="16"/>
  <c r="A151" i="16"/>
  <c r="B151" i="16" s="1"/>
  <c r="E150" i="16"/>
  <c r="D150" i="16"/>
  <c r="A150" i="16"/>
  <c r="E149" i="16"/>
  <c r="D149" i="16"/>
  <c r="H149" i="16" s="1"/>
  <c r="I149" i="16" s="1"/>
  <c r="A149" i="16"/>
  <c r="B149" i="16" s="1"/>
  <c r="E148" i="16"/>
  <c r="D148" i="16"/>
  <c r="A148" i="16"/>
  <c r="E147" i="16"/>
  <c r="D147" i="16"/>
  <c r="H147" i="16" s="1"/>
  <c r="A147" i="16"/>
  <c r="B147" i="16" s="1"/>
  <c r="E146" i="16"/>
  <c r="D146" i="16"/>
  <c r="A146" i="16"/>
  <c r="E145" i="16"/>
  <c r="D145" i="16"/>
  <c r="A145" i="16"/>
  <c r="B145" i="16" s="1"/>
  <c r="E144" i="16"/>
  <c r="D144" i="16"/>
  <c r="A144" i="16"/>
  <c r="E143" i="16"/>
  <c r="D143" i="16"/>
  <c r="A143" i="16"/>
  <c r="B143" i="16" s="1"/>
  <c r="E142" i="16"/>
  <c r="D142" i="16"/>
  <c r="H142" i="16" s="1"/>
  <c r="A142" i="16"/>
  <c r="E141" i="16"/>
  <c r="D141" i="16"/>
  <c r="A141" i="16"/>
  <c r="B141" i="16" s="1"/>
  <c r="E140" i="16"/>
  <c r="D140" i="16"/>
  <c r="A140" i="16"/>
  <c r="E139" i="16"/>
  <c r="D139" i="16"/>
  <c r="H139" i="16" s="1"/>
  <c r="A139" i="16"/>
  <c r="B139" i="16" s="1"/>
  <c r="E138" i="16"/>
  <c r="D138" i="16"/>
  <c r="A138" i="16"/>
  <c r="E137" i="16"/>
  <c r="D137" i="16"/>
  <c r="H137" i="16" s="1"/>
  <c r="I137" i="16" s="1"/>
  <c r="A137" i="16"/>
  <c r="B137" i="16" s="1"/>
  <c r="E136" i="16"/>
  <c r="D136" i="16"/>
  <c r="H136" i="16" s="1"/>
  <c r="A136" i="16"/>
  <c r="E135" i="16"/>
  <c r="D135" i="16"/>
  <c r="A135" i="16"/>
  <c r="B135" i="16" s="1"/>
  <c r="E134" i="16"/>
  <c r="D134" i="16"/>
  <c r="A134" i="16"/>
  <c r="E133" i="16"/>
  <c r="D133" i="16"/>
  <c r="H133" i="16" s="1"/>
  <c r="A133" i="16"/>
  <c r="B133" i="16" s="1"/>
  <c r="E132" i="16"/>
  <c r="D132" i="16"/>
  <c r="A132" i="16"/>
  <c r="E131" i="16"/>
  <c r="D131" i="16"/>
  <c r="H131" i="16" s="1"/>
  <c r="A131" i="16"/>
  <c r="B131" i="16" s="1"/>
  <c r="E130" i="16"/>
  <c r="D130" i="16"/>
  <c r="A130" i="16"/>
  <c r="E129" i="16"/>
  <c r="D129" i="16"/>
  <c r="A129" i="16"/>
  <c r="B129" i="16" s="1"/>
  <c r="E128" i="16"/>
  <c r="D128" i="16"/>
  <c r="A128" i="16"/>
  <c r="E127" i="16"/>
  <c r="D127" i="16"/>
  <c r="A127" i="16"/>
  <c r="B127" i="16" s="1"/>
  <c r="E126" i="16"/>
  <c r="D126" i="16"/>
  <c r="A126" i="16"/>
  <c r="E125" i="16"/>
  <c r="D125" i="16"/>
  <c r="A125" i="16"/>
  <c r="B125" i="16" s="1"/>
  <c r="E124" i="16"/>
  <c r="D124" i="16"/>
  <c r="A124" i="16"/>
  <c r="E123" i="16"/>
  <c r="D123" i="16"/>
  <c r="A123" i="16"/>
  <c r="B123" i="16" s="1"/>
  <c r="E122" i="16"/>
  <c r="D122" i="16"/>
  <c r="A122" i="16"/>
  <c r="E121" i="16"/>
  <c r="D121" i="16"/>
  <c r="A121" i="16"/>
  <c r="B121" i="16" s="1"/>
  <c r="E120" i="16"/>
  <c r="D120" i="16"/>
  <c r="A120" i="16"/>
  <c r="E119" i="16"/>
  <c r="D119" i="16"/>
  <c r="A119" i="16"/>
  <c r="B119" i="16" s="1"/>
  <c r="E118" i="16"/>
  <c r="D118" i="16"/>
  <c r="A118" i="16"/>
  <c r="E117" i="16"/>
  <c r="D117" i="16"/>
  <c r="A117" i="16"/>
  <c r="B117" i="16" s="1"/>
  <c r="E116" i="16"/>
  <c r="D116" i="16"/>
  <c r="A116" i="16"/>
  <c r="E115" i="16"/>
  <c r="D115" i="16"/>
  <c r="A115" i="16"/>
  <c r="B115" i="16" s="1"/>
  <c r="E114" i="16"/>
  <c r="D114" i="16"/>
  <c r="A114" i="16"/>
  <c r="E113" i="16"/>
  <c r="D113" i="16"/>
  <c r="A113" i="16"/>
  <c r="B113" i="16" s="1"/>
  <c r="E112" i="16"/>
  <c r="D112" i="16"/>
  <c r="A112" i="16"/>
  <c r="E111" i="16"/>
  <c r="D111" i="16"/>
  <c r="A111" i="16"/>
  <c r="B111" i="16" s="1"/>
  <c r="E110" i="16"/>
  <c r="D110" i="16"/>
  <c r="A110" i="16"/>
  <c r="E109" i="16"/>
  <c r="D109" i="16"/>
  <c r="A109" i="16"/>
  <c r="B109" i="16" s="1"/>
  <c r="E108" i="16"/>
  <c r="D108" i="16"/>
  <c r="A108" i="16"/>
  <c r="E107" i="16"/>
  <c r="D107" i="16"/>
  <c r="A107" i="16"/>
  <c r="B107" i="16" s="1"/>
  <c r="E106" i="16"/>
  <c r="D106" i="16"/>
  <c r="A106" i="16"/>
  <c r="E105" i="16"/>
  <c r="D105" i="16"/>
  <c r="A105" i="16"/>
  <c r="B105" i="16" s="1"/>
  <c r="E104" i="16"/>
  <c r="D104" i="16"/>
  <c r="A104" i="16"/>
  <c r="E103" i="16"/>
  <c r="D103" i="16"/>
  <c r="A103" i="16"/>
  <c r="B103" i="16" s="1"/>
  <c r="E102" i="16"/>
  <c r="D102" i="16"/>
  <c r="A102" i="16"/>
  <c r="E101" i="16"/>
  <c r="D101" i="16"/>
  <c r="A101" i="16"/>
  <c r="B101" i="16" s="1"/>
  <c r="E100" i="16"/>
  <c r="D100" i="16"/>
  <c r="A100" i="16"/>
  <c r="E99" i="16"/>
  <c r="D99" i="16"/>
  <c r="A99" i="16"/>
  <c r="B99" i="16" s="1"/>
  <c r="E98" i="16"/>
  <c r="D98" i="16"/>
  <c r="A98" i="16"/>
  <c r="E97" i="16"/>
  <c r="D97" i="16"/>
  <c r="A97" i="16"/>
  <c r="B97" i="16" s="1"/>
  <c r="E96" i="16"/>
  <c r="D96" i="16"/>
  <c r="A96" i="16"/>
  <c r="E95" i="16"/>
  <c r="D95" i="16"/>
  <c r="A95" i="16"/>
  <c r="B95" i="16" s="1"/>
  <c r="E94" i="16"/>
  <c r="D94" i="16"/>
  <c r="A94" i="16"/>
  <c r="E93" i="16"/>
  <c r="D93" i="16"/>
  <c r="A93" i="16"/>
  <c r="B93" i="16" s="1"/>
  <c r="E92" i="16"/>
  <c r="D92" i="16"/>
  <c r="A92" i="16"/>
  <c r="E91" i="16"/>
  <c r="D91" i="16"/>
  <c r="A91" i="16"/>
  <c r="B91" i="16" s="1"/>
  <c r="E90" i="16"/>
  <c r="D90" i="16"/>
  <c r="A90" i="16"/>
  <c r="E89" i="16"/>
  <c r="D89" i="16"/>
  <c r="A89" i="16"/>
  <c r="B89" i="16" s="1"/>
  <c r="E88" i="16"/>
  <c r="D88" i="16"/>
  <c r="A88" i="16"/>
  <c r="E87" i="16"/>
  <c r="D87" i="16"/>
  <c r="A87" i="16"/>
  <c r="B87" i="16" s="1"/>
  <c r="E86" i="16"/>
  <c r="D86" i="16"/>
  <c r="A86" i="16"/>
  <c r="E85" i="16"/>
  <c r="D85" i="16"/>
  <c r="A85" i="16"/>
  <c r="B85" i="16" s="1"/>
  <c r="E84" i="16"/>
  <c r="D84" i="16"/>
  <c r="A84" i="16"/>
  <c r="E83" i="16"/>
  <c r="D83" i="16"/>
  <c r="A83" i="16"/>
  <c r="B83" i="16" s="1"/>
  <c r="E82" i="16"/>
  <c r="D82" i="16"/>
  <c r="A82" i="16"/>
  <c r="E81" i="16"/>
  <c r="D81" i="16"/>
  <c r="A81" i="16"/>
  <c r="B81" i="16" s="1"/>
  <c r="E80" i="16"/>
  <c r="D80" i="16"/>
  <c r="A80" i="16"/>
  <c r="E79" i="16"/>
  <c r="D79" i="16"/>
  <c r="A79" i="16"/>
  <c r="B79" i="16" s="1"/>
  <c r="E78" i="16"/>
  <c r="D78" i="16"/>
  <c r="A78" i="16"/>
  <c r="E77" i="16"/>
  <c r="D77" i="16"/>
  <c r="A77" i="16"/>
  <c r="B77" i="16" s="1"/>
  <c r="E76" i="16"/>
  <c r="D76" i="16"/>
  <c r="A76" i="16"/>
  <c r="E75" i="16"/>
  <c r="D75" i="16"/>
  <c r="A75" i="16"/>
  <c r="B75" i="16" s="1"/>
  <c r="E74" i="16"/>
  <c r="D74" i="16"/>
  <c r="A74" i="16"/>
  <c r="E73" i="16"/>
  <c r="D73" i="16"/>
  <c r="A73" i="16"/>
  <c r="B73" i="16" s="1"/>
  <c r="E72" i="16"/>
  <c r="D72" i="16"/>
  <c r="A72" i="16"/>
  <c r="E71" i="16"/>
  <c r="D71" i="16"/>
  <c r="A71" i="16"/>
  <c r="B71" i="16" s="1"/>
  <c r="E70" i="16"/>
  <c r="D70" i="16"/>
  <c r="A70" i="16"/>
  <c r="E69" i="16"/>
  <c r="D69" i="16"/>
  <c r="A69" i="16"/>
  <c r="B69" i="16" s="1"/>
  <c r="E68" i="16"/>
  <c r="D68" i="16"/>
  <c r="A68" i="16"/>
  <c r="E67" i="16"/>
  <c r="D67" i="16"/>
  <c r="A67" i="16"/>
  <c r="B67" i="16" s="1"/>
  <c r="E66" i="16"/>
  <c r="D66" i="16"/>
  <c r="A66" i="16"/>
  <c r="E65" i="16"/>
  <c r="D65" i="16"/>
  <c r="A65" i="16"/>
  <c r="B65" i="16" s="1"/>
  <c r="E64" i="16"/>
  <c r="D64" i="16"/>
  <c r="A64" i="16"/>
  <c r="E63" i="16"/>
  <c r="D63" i="16"/>
  <c r="A63" i="16"/>
  <c r="B63" i="16" s="1"/>
  <c r="E62" i="16"/>
  <c r="D62" i="16"/>
  <c r="A62" i="16"/>
  <c r="E61" i="16"/>
  <c r="D61" i="16"/>
  <c r="A61" i="16"/>
  <c r="B61" i="16" s="1"/>
  <c r="E60" i="16"/>
  <c r="D60" i="16"/>
  <c r="A60" i="16"/>
  <c r="E59" i="16"/>
  <c r="D59" i="16"/>
  <c r="A59" i="16"/>
  <c r="B59" i="16" s="1"/>
  <c r="E58" i="16"/>
  <c r="D58" i="16"/>
  <c r="A58" i="16"/>
  <c r="E57" i="16"/>
  <c r="D57" i="16"/>
  <c r="A57" i="16"/>
  <c r="B57" i="16" s="1"/>
  <c r="E56" i="16"/>
  <c r="D56" i="16"/>
  <c r="A56" i="16"/>
  <c r="E55" i="16"/>
  <c r="D55" i="16"/>
  <c r="A55" i="16"/>
  <c r="B55" i="16" s="1"/>
  <c r="E54" i="16"/>
  <c r="D54" i="16"/>
  <c r="A54" i="16"/>
  <c r="E53" i="16"/>
  <c r="D53" i="16"/>
  <c r="A53" i="16"/>
  <c r="B53" i="16" s="1"/>
  <c r="E52" i="16"/>
  <c r="D52" i="16"/>
  <c r="A52" i="16"/>
  <c r="E51" i="16"/>
  <c r="D51" i="16"/>
  <c r="A51" i="16"/>
  <c r="B51" i="16" s="1"/>
  <c r="E50" i="16"/>
  <c r="D50" i="16"/>
  <c r="A50" i="16"/>
  <c r="E49" i="16"/>
  <c r="D49" i="16"/>
  <c r="A49" i="16"/>
  <c r="B49" i="16" s="1"/>
  <c r="E48" i="16"/>
  <c r="D48" i="16"/>
  <c r="A48" i="16"/>
  <c r="E47" i="16"/>
  <c r="D47" i="16"/>
  <c r="A47" i="16"/>
  <c r="B47" i="16" s="1"/>
  <c r="E46" i="16"/>
  <c r="D46" i="16"/>
  <c r="A46" i="16"/>
  <c r="E45" i="16"/>
  <c r="D45" i="16"/>
  <c r="A45" i="16"/>
  <c r="B45" i="16" s="1"/>
  <c r="E44" i="16"/>
  <c r="D44" i="16"/>
  <c r="A44" i="16"/>
  <c r="E43" i="16"/>
  <c r="D43" i="16"/>
  <c r="A43" i="16"/>
  <c r="B43" i="16" s="1"/>
  <c r="E42" i="16"/>
  <c r="D42" i="16"/>
  <c r="A42" i="16"/>
  <c r="E41" i="16"/>
  <c r="D41" i="16"/>
  <c r="A41" i="16"/>
  <c r="B41" i="16" s="1"/>
  <c r="E40" i="16"/>
  <c r="D40" i="16"/>
  <c r="A40" i="16"/>
  <c r="E39" i="16"/>
  <c r="D39" i="16"/>
  <c r="A39" i="16"/>
  <c r="B39" i="16" s="1"/>
  <c r="E38" i="16"/>
  <c r="D38" i="16"/>
  <c r="A38" i="16"/>
  <c r="E37" i="16"/>
  <c r="D37" i="16"/>
  <c r="A37" i="16"/>
  <c r="B37" i="16" s="1"/>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B32" i="16" s="1"/>
  <c r="E31" i="16"/>
  <c r="D31" i="16"/>
  <c r="A31" i="16"/>
  <c r="E30" i="16"/>
  <c r="D30" i="16"/>
  <c r="A30" i="16"/>
  <c r="B30" i="16" s="1"/>
  <c r="E29" i="16"/>
  <c r="D29" i="16"/>
  <c r="A29" i="16"/>
  <c r="E28" i="16"/>
  <c r="D28" i="16"/>
  <c r="A28" i="16"/>
  <c r="B28" i="16" s="1"/>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B12" i="16" s="1"/>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1" i="16" l="1"/>
  <c r="B29" i="16"/>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13" i="16"/>
  <c r="B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AX16" i="16"/>
  <c r="AX18" i="16"/>
  <c r="AX20" i="16"/>
  <c r="H20" i="16" s="1"/>
  <c r="AX22" i="16"/>
  <c r="H22" i="16" s="1"/>
  <c r="AX24" i="16"/>
  <c r="F24" i="16" s="1"/>
  <c r="AX26" i="16"/>
  <c r="AX28" i="16"/>
  <c r="H28" i="16" s="1"/>
  <c r="AX30" i="16"/>
  <c r="F30" i="16" s="1"/>
  <c r="AX32" i="16"/>
  <c r="AX34" i="16"/>
  <c r="H34" i="16" s="1"/>
  <c r="AX36" i="16"/>
  <c r="AX38" i="16"/>
  <c r="H38" i="16" s="1"/>
  <c r="AX40" i="16"/>
  <c r="F40" i="16" s="1"/>
  <c r="AX42" i="16"/>
  <c r="AX44" i="16"/>
  <c r="AX46" i="16"/>
  <c r="H46" i="16" s="1"/>
  <c r="AX48" i="16"/>
  <c r="F48" i="16" s="1"/>
  <c r="AX50" i="16"/>
  <c r="H50" i="16" s="1"/>
  <c r="AX52" i="16"/>
  <c r="H52" i="16" s="1"/>
  <c r="AX54" i="16"/>
  <c r="F54" i="16" s="1"/>
  <c r="AX56" i="16"/>
  <c r="H56" i="16" s="1"/>
  <c r="AX58" i="16"/>
  <c r="H58" i="16" s="1"/>
  <c r="AX60" i="16"/>
  <c r="AX62" i="16"/>
  <c r="H62" i="16" s="1"/>
  <c r="AX64" i="16"/>
  <c r="F64" i="16" s="1"/>
  <c r="AX66" i="16"/>
  <c r="AX68" i="16"/>
  <c r="F68" i="16" s="1"/>
  <c r="AX70" i="16"/>
  <c r="AX72" i="16"/>
  <c r="AX74" i="16"/>
  <c r="AX76" i="16"/>
  <c r="F76" i="16" s="1"/>
  <c r="AX78" i="16"/>
  <c r="AX80" i="16"/>
  <c r="AX82" i="16"/>
  <c r="H82" i="16" s="1"/>
  <c r="AX84" i="16"/>
  <c r="H84" i="16" s="1"/>
  <c r="AX86" i="16"/>
  <c r="F86" i="16" s="1"/>
  <c r="AX88" i="16"/>
  <c r="F88" i="16" s="1"/>
  <c r="AX90" i="16"/>
  <c r="AX92" i="16"/>
  <c r="F92" i="16" s="1"/>
  <c r="AX94" i="16"/>
  <c r="H94" i="16" s="1"/>
  <c r="AX96" i="16"/>
  <c r="F96" i="16" s="1"/>
  <c r="AX98" i="16"/>
  <c r="H98" i="16" s="1"/>
  <c r="AX100" i="16"/>
  <c r="AX102" i="16"/>
  <c r="H102" i="16" s="1"/>
  <c r="AX104" i="16"/>
  <c r="F104" i="16" s="1"/>
  <c r="AX106" i="16"/>
  <c r="AX108" i="16"/>
  <c r="H108" i="16" s="1"/>
  <c r="AX110" i="16"/>
  <c r="AX112" i="16"/>
  <c r="F112" i="16" s="1"/>
  <c r="AX114" i="16"/>
  <c r="F114" i="16" s="1"/>
  <c r="AX116" i="16"/>
  <c r="AX118" i="16"/>
  <c r="H118" i="16" s="1"/>
  <c r="AX120" i="16"/>
  <c r="AX122" i="16"/>
  <c r="H122" i="16" s="1"/>
  <c r="AX124" i="16"/>
  <c r="H124" i="16" s="1"/>
  <c r="AX126" i="16"/>
  <c r="F126" i="16" s="1"/>
  <c r="AX128" i="16"/>
  <c r="F128" i="16" s="1"/>
  <c r="AX130" i="16"/>
  <c r="AX132" i="16"/>
  <c r="AX134" i="16"/>
  <c r="AX136" i="16"/>
  <c r="F136" i="16" s="1"/>
  <c r="AX138" i="16"/>
  <c r="AX140" i="16"/>
  <c r="F140" i="16" s="1"/>
  <c r="AX142" i="16"/>
  <c r="AX144" i="16"/>
  <c r="AX146" i="16"/>
  <c r="AX148" i="16"/>
  <c r="AX150" i="16"/>
  <c r="AX152" i="16"/>
  <c r="F152" i="16" s="1"/>
  <c r="AX154" i="16"/>
  <c r="AX156" i="16"/>
  <c r="AX158" i="16"/>
  <c r="F158" i="16" s="1"/>
  <c r="AX160" i="16"/>
  <c r="F160" i="16" s="1"/>
  <c r="AX162" i="16"/>
  <c r="AX164" i="16"/>
  <c r="F164" i="16" s="1"/>
  <c r="AX166" i="16"/>
  <c r="AX168" i="16"/>
  <c r="F168" i="16" s="1"/>
  <c r="AX170" i="16"/>
  <c r="AX172" i="16"/>
  <c r="AX174" i="16"/>
  <c r="AX176" i="16"/>
  <c r="F176" i="16" s="1"/>
  <c r="AX178" i="16"/>
  <c r="AX180" i="16"/>
  <c r="F180" i="16" s="1"/>
  <c r="AX13" i="16"/>
  <c r="H13" i="16" s="1"/>
  <c r="AX15" i="16"/>
  <c r="F15" i="16" s="1"/>
  <c r="AX17" i="16"/>
  <c r="H17" i="16" s="1"/>
  <c r="AX19" i="16"/>
  <c r="H19" i="16" s="1"/>
  <c r="AX21" i="16"/>
  <c r="H21" i="16" s="1"/>
  <c r="AX23" i="16"/>
  <c r="F23" i="16" s="1"/>
  <c r="AX25" i="16"/>
  <c r="H25" i="16" s="1"/>
  <c r="AX27" i="16"/>
  <c r="AX29" i="16"/>
  <c r="H29" i="16" s="1"/>
  <c r="AX31" i="16"/>
  <c r="AX33" i="16"/>
  <c r="AX35" i="16"/>
  <c r="AX37" i="16"/>
  <c r="AX39" i="16"/>
  <c r="F39" i="16" s="1"/>
  <c r="AX41" i="16"/>
  <c r="H41" i="16" s="1"/>
  <c r="AX43" i="16"/>
  <c r="AX45" i="16"/>
  <c r="F45" i="16" s="1"/>
  <c r="AX47" i="16"/>
  <c r="F47" i="16" s="1"/>
  <c r="AX49" i="16"/>
  <c r="F49" i="16" s="1"/>
  <c r="AX51" i="16"/>
  <c r="F51" i="16" s="1"/>
  <c r="AX53" i="16"/>
  <c r="H53" i="16" s="1"/>
  <c r="AX55" i="16"/>
  <c r="H55" i="16" s="1"/>
  <c r="AX57" i="16"/>
  <c r="AX59" i="16"/>
  <c r="F59" i="16" s="1"/>
  <c r="AX61" i="16"/>
  <c r="AX63" i="16"/>
  <c r="F63" i="16" s="1"/>
  <c r="AX65" i="16"/>
  <c r="H65" i="16" s="1"/>
  <c r="AX67" i="16"/>
  <c r="AX69" i="16"/>
  <c r="AX71" i="16"/>
  <c r="F71" i="16" s="1"/>
  <c r="AX73" i="16"/>
  <c r="H73" i="16" s="1"/>
  <c r="AX75" i="16"/>
  <c r="F75" i="16" s="1"/>
  <c r="AX77" i="16"/>
  <c r="H77" i="16" s="1"/>
  <c r="AX79" i="16"/>
  <c r="F79" i="16" s="1"/>
  <c r="AX81" i="16"/>
  <c r="H81" i="16" s="1"/>
  <c r="AX83" i="16"/>
  <c r="AX85" i="16"/>
  <c r="H85" i="16" s="1"/>
  <c r="AX87" i="16"/>
  <c r="AX89" i="16"/>
  <c r="F89" i="16" s="1"/>
  <c r="AX91" i="16"/>
  <c r="H91" i="16" s="1"/>
  <c r="AX93" i="16"/>
  <c r="H93" i="16" s="1"/>
  <c r="AX95" i="16"/>
  <c r="H95" i="16" s="1"/>
  <c r="AX97" i="16"/>
  <c r="H97" i="16" s="1"/>
  <c r="AX99" i="16"/>
  <c r="F99" i="16" s="1"/>
  <c r="AX101" i="16"/>
  <c r="AX103" i="16"/>
  <c r="F103" i="16" s="1"/>
  <c r="AX105" i="16"/>
  <c r="F105" i="16" s="1"/>
  <c r="AX107" i="16"/>
  <c r="AX109" i="16"/>
  <c r="H109" i="16" s="1"/>
  <c r="AX111" i="16"/>
  <c r="F111" i="16" s="1"/>
  <c r="AX113" i="16"/>
  <c r="H113" i="16" s="1"/>
  <c r="AX115" i="16"/>
  <c r="F115" i="16" s="1"/>
  <c r="AX117" i="16"/>
  <c r="H117" i="16" s="1"/>
  <c r="AX119" i="16"/>
  <c r="AX121" i="16"/>
  <c r="H121" i="16" s="1"/>
  <c r="AX123" i="16"/>
  <c r="AX125" i="16"/>
  <c r="H125" i="16" s="1"/>
  <c r="AX127" i="16"/>
  <c r="H127" i="16" s="1"/>
  <c r="I127" i="16" s="1"/>
  <c r="AX129" i="16"/>
  <c r="AX131" i="16"/>
  <c r="AX133" i="16"/>
  <c r="AX135" i="16"/>
  <c r="F135" i="16" s="1"/>
  <c r="AX137" i="16"/>
  <c r="AX139" i="16"/>
  <c r="F139" i="16" s="1"/>
  <c r="AX141" i="16"/>
  <c r="AX143" i="16"/>
  <c r="F143" i="16" s="1"/>
  <c r="AX145" i="16"/>
  <c r="AX147" i="16"/>
  <c r="F147" i="16" s="1"/>
  <c r="AX149" i="16"/>
  <c r="AX151" i="16"/>
  <c r="F151" i="16" s="1"/>
  <c r="AX153" i="16"/>
  <c r="AX155" i="16"/>
  <c r="AX157" i="16"/>
  <c r="AX159" i="16"/>
  <c r="AX161" i="16"/>
  <c r="AX163" i="16"/>
  <c r="AX165" i="16"/>
  <c r="F165" i="16" s="1"/>
  <c r="AX167" i="16"/>
  <c r="F167" i="16" s="1"/>
  <c r="AX169" i="16"/>
  <c r="AX171" i="16"/>
  <c r="AX173" i="16"/>
  <c r="F173" i="16" s="1"/>
  <c r="AX175" i="16"/>
  <c r="AX177" i="16"/>
  <c r="AX179" i="16"/>
  <c r="F179" i="16" s="1"/>
  <c r="AX181" i="16"/>
  <c r="F181" i="16" s="1"/>
  <c r="AX182" i="16"/>
  <c r="AX184" i="16"/>
  <c r="AX186" i="16"/>
  <c r="F186" i="16" s="1"/>
  <c r="AX188" i="16"/>
  <c r="F188" i="16" s="1"/>
  <c r="AX190" i="16"/>
  <c r="F190" i="16" s="1"/>
  <c r="AX192" i="16"/>
  <c r="AX194" i="16"/>
  <c r="AX196" i="16"/>
  <c r="F196" i="16" s="1"/>
  <c r="AX198" i="16"/>
  <c r="F198" i="16" s="1"/>
  <c r="AX200" i="16"/>
  <c r="AX202" i="16"/>
  <c r="AX204" i="16"/>
  <c r="F204" i="16" s="1"/>
  <c r="AX206" i="16"/>
  <c r="AX208" i="16"/>
  <c r="AX210" i="16"/>
  <c r="AX212" i="16"/>
  <c r="F212" i="16" s="1"/>
  <c r="AX214" i="16"/>
  <c r="AX216" i="16"/>
  <c r="F216" i="16" s="1"/>
  <c r="AX218" i="16"/>
  <c r="AX220" i="16"/>
  <c r="F220" i="16" s="1"/>
  <c r="AX222" i="16"/>
  <c r="F222" i="16" s="1"/>
  <c r="AX224" i="16"/>
  <c r="AX226" i="16"/>
  <c r="F226" i="16" s="1"/>
  <c r="AX228" i="16"/>
  <c r="AX230" i="16"/>
  <c r="AX232" i="16"/>
  <c r="AX234" i="16"/>
  <c r="F234" i="16" s="1"/>
  <c r="AX236" i="16"/>
  <c r="F236" i="16" s="1"/>
  <c r="AX238" i="16"/>
  <c r="F238" i="16" s="1"/>
  <c r="AX240" i="16"/>
  <c r="AX242" i="16"/>
  <c r="AX244" i="16"/>
  <c r="F244" i="16" s="1"/>
  <c r="AX246" i="16"/>
  <c r="F246" i="16" s="1"/>
  <c r="AX248" i="16"/>
  <c r="AX250" i="16"/>
  <c r="AX252" i="16"/>
  <c r="F252" i="16" s="1"/>
  <c r="AX254" i="16"/>
  <c r="F254" i="16" s="1"/>
  <c r="AX256" i="16"/>
  <c r="AX258" i="16"/>
  <c r="F258" i="16" s="1"/>
  <c r="AX260" i="16"/>
  <c r="F260" i="16" s="1"/>
  <c r="AX262" i="16"/>
  <c r="AX264" i="16"/>
  <c r="F264" i="16" s="1"/>
  <c r="AX266" i="16"/>
  <c r="AX268" i="16"/>
  <c r="AX270" i="16"/>
  <c r="F270" i="16" s="1"/>
  <c r="AX272" i="16"/>
  <c r="F272" i="16" s="1"/>
  <c r="AX274" i="16"/>
  <c r="AX276" i="16"/>
  <c r="F276" i="16" s="1"/>
  <c r="AX278" i="16"/>
  <c r="F278" i="16" s="1"/>
  <c r="AX280" i="16"/>
  <c r="AX282" i="16"/>
  <c r="AX284" i="16"/>
  <c r="F284" i="16" s="1"/>
  <c r="AX286" i="16"/>
  <c r="F286" i="16" s="1"/>
  <c r="AX288" i="16"/>
  <c r="AX290" i="16"/>
  <c r="F290" i="16" s="1"/>
  <c r="AX292" i="16"/>
  <c r="AX294" i="16"/>
  <c r="F294" i="16" s="1"/>
  <c r="AX296" i="16"/>
  <c r="F296" i="16" s="1"/>
  <c r="AX298" i="16"/>
  <c r="AX300" i="16"/>
  <c r="F300" i="16" s="1"/>
  <c r="AX302" i="16"/>
  <c r="H302" i="16" s="1"/>
  <c r="AX304" i="16"/>
  <c r="AX306" i="16"/>
  <c r="F306" i="16" s="1"/>
  <c r="AX308" i="16"/>
  <c r="F308" i="16" s="1"/>
  <c r="AX310" i="16"/>
  <c r="F310" i="16" s="1"/>
  <c r="AX312" i="16"/>
  <c r="F312" i="16" s="1"/>
  <c r="AX314" i="16"/>
  <c r="AX316" i="16"/>
  <c r="AX318" i="16"/>
  <c r="AX320" i="16"/>
  <c r="AX322" i="16"/>
  <c r="F322" i="16" s="1"/>
  <c r="AX324" i="16"/>
  <c r="F324" i="16" s="1"/>
  <c r="AX326" i="16"/>
  <c r="F326" i="16" s="1"/>
  <c r="AX328" i="16"/>
  <c r="AX330" i="16"/>
  <c r="F330" i="16" s="1"/>
  <c r="AX332" i="16"/>
  <c r="F332" i="16" s="1"/>
  <c r="AX334" i="16"/>
  <c r="F334" i="16" s="1"/>
  <c r="AX336" i="16"/>
  <c r="AX338" i="16"/>
  <c r="AX340" i="16"/>
  <c r="AX342" i="16"/>
  <c r="H342" i="16" s="1"/>
  <c r="AX344" i="16"/>
  <c r="AX346" i="16"/>
  <c r="F346" i="16" s="1"/>
  <c r="AX348" i="16"/>
  <c r="AX350" i="16"/>
  <c r="H350" i="16" s="1"/>
  <c r="AX352" i="16"/>
  <c r="AX183" i="16"/>
  <c r="F183" i="16" s="1"/>
  <c r="AX185" i="16"/>
  <c r="F185" i="16" s="1"/>
  <c r="AX187" i="16"/>
  <c r="H187" i="16" s="1"/>
  <c r="AX189" i="16"/>
  <c r="AX191" i="16"/>
  <c r="H191" i="16" s="1"/>
  <c r="AX193" i="16"/>
  <c r="F193" i="16" s="1"/>
  <c r="AX195" i="16"/>
  <c r="AX197" i="16"/>
  <c r="AX199" i="16"/>
  <c r="F199" i="16" s="1"/>
  <c r="AX201" i="16"/>
  <c r="F201" i="16" s="1"/>
  <c r="AX203" i="16"/>
  <c r="H203" i="16" s="1"/>
  <c r="AX205" i="16"/>
  <c r="F205" i="16" s="1"/>
  <c r="AX207" i="16"/>
  <c r="H207" i="16" s="1"/>
  <c r="AX209" i="16"/>
  <c r="AX211" i="16"/>
  <c r="AX213" i="16"/>
  <c r="AX215" i="16"/>
  <c r="F215" i="16" s="1"/>
  <c r="AX217" i="16"/>
  <c r="F217" i="16" s="1"/>
  <c r="AX219" i="16"/>
  <c r="F219" i="16" s="1"/>
  <c r="AX221" i="16"/>
  <c r="AX223" i="16"/>
  <c r="F223" i="16" s="1"/>
  <c r="AX225" i="16"/>
  <c r="F225" i="16" s="1"/>
  <c r="AX227" i="16"/>
  <c r="AX229" i="16"/>
  <c r="AX231" i="16"/>
  <c r="H231" i="16" s="1"/>
  <c r="AX233" i="16"/>
  <c r="AX235" i="16"/>
  <c r="AX237" i="16"/>
  <c r="F237" i="16" s="1"/>
  <c r="AX239" i="16"/>
  <c r="F239" i="16" s="1"/>
  <c r="AX241" i="16"/>
  <c r="F241" i="16" s="1"/>
  <c r="AX243" i="16"/>
  <c r="H243" i="16" s="1"/>
  <c r="AX245" i="16"/>
  <c r="AX247" i="16"/>
  <c r="F247" i="16" s="1"/>
  <c r="AX249" i="16"/>
  <c r="F249" i="16" s="1"/>
  <c r="AX251" i="16"/>
  <c r="F251" i="16" s="1"/>
  <c r="AX253" i="16"/>
  <c r="AX255" i="16"/>
  <c r="F255" i="16" s="1"/>
  <c r="AX257" i="16"/>
  <c r="F257" i="16" s="1"/>
  <c r="AX259" i="16"/>
  <c r="AX261" i="16"/>
  <c r="AX263" i="16"/>
  <c r="F263" i="16" s="1"/>
  <c r="AX265" i="16"/>
  <c r="F265" i="16" s="1"/>
  <c r="AX267" i="16"/>
  <c r="H267" i="16" s="1"/>
  <c r="AX269" i="16"/>
  <c r="AX271" i="16"/>
  <c r="H271" i="16" s="1"/>
  <c r="AX273" i="16"/>
  <c r="F273" i="16" s="1"/>
  <c r="AX275" i="16"/>
  <c r="H275" i="16" s="1"/>
  <c r="AX277" i="16"/>
  <c r="F277" i="16" s="1"/>
  <c r="AX279" i="16"/>
  <c r="F279" i="16" s="1"/>
  <c r="AX281" i="16"/>
  <c r="AX283" i="16"/>
  <c r="H283" i="16" s="1"/>
  <c r="AX285" i="16"/>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11" i="16"/>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H353"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110" i="16"/>
  <c r="F132" i="16"/>
  <c r="F156" i="16"/>
  <c r="F192" i="16"/>
  <c r="F200" i="16"/>
  <c r="F208" i="16"/>
  <c r="F224" i="16"/>
  <c r="F232" i="16"/>
  <c r="F274" i="16"/>
  <c r="F33" i="16"/>
  <c r="F65" i="16"/>
  <c r="F83" i="16"/>
  <c r="F125" i="16"/>
  <c r="F189" i="16"/>
  <c r="F269" i="16"/>
  <c r="F340" i="16"/>
  <c r="F120" i="16"/>
  <c r="F138" i="16"/>
  <c r="F146" i="16"/>
  <c r="F154" i="16"/>
  <c r="F172" i="16"/>
  <c r="F178" i="16"/>
  <c r="F210" i="16"/>
  <c r="F240" i="16"/>
  <c r="F266" i="16"/>
  <c r="F17" i="16"/>
  <c r="F57" i="16"/>
  <c r="F69" i="16"/>
  <c r="F101" i="16"/>
  <c r="F109" i="16"/>
  <c r="F123" i="16"/>
  <c r="F129" i="16"/>
  <c r="F141" i="16"/>
  <c r="F157" i="16"/>
  <c r="F197" i="16"/>
  <c r="F213" i="16"/>
  <c r="F285" i="16"/>
  <c r="F336" i="16"/>
  <c r="F333" i="16"/>
  <c r="D50" i="8"/>
  <c r="G3" i="16"/>
  <c r="J9" i="8" s="1"/>
  <c r="I3" i="16"/>
  <c r="P8" i="16"/>
  <c r="AF11" i="16"/>
  <c r="F3" i="16"/>
  <c r="H3" i="16"/>
  <c r="J11" i="8" s="1"/>
  <c r="F352" i="16"/>
  <c r="F348" i="16"/>
  <c r="F344" i="16"/>
  <c r="F328" i="16"/>
  <c r="F355" i="16"/>
  <c r="F320" i="16"/>
  <c r="F304" i="16"/>
  <c r="F298" i="16"/>
  <c r="F288" i="16"/>
  <c r="F282" i="16"/>
  <c r="F256" i="16"/>
  <c r="F248" i="16"/>
  <c r="F242" i="16"/>
  <c r="F214" i="16"/>
  <c r="F202" i="16"/>
  <c r="F259" i="16"/>
  <c r="F253" i="16"/>
  <c r="F245" i="16"/>
  <c r="F221" i="16"/>
  <c r="F184" i="16"/>
  <c r="F170" i="16"/>
  <c r="F162" i="16"/>
  <c r="F150" i="16"/>
  <c r="F142" i="16"/>
  <c r="F130" i="16"/>
  <c r="F177" i="16"/>
  <c r="F175" i="16"/>
  <c r="F171" i="16"/>
  <c r="F169" i="16"/>
  <c r="F163" i="16"/>
  <c r="F161" i="16"/>
  <c r="F155" i="16"/>
  <c r="F153" i="16"/>
  <c r="F149" i="16"/>
  <c r="F145" i="16"/>
  <c r="F137" i="16"/>
  <c r="F133" i="16"/>
  <c r="F131" i="16"/>
  <c r="F14" i="16"/>
  <c r="F16" i="16"/>
  <c r="F19" i="16"/>
  <c r="F21" i="16"/>
  <c r="F22" i="16"/>
  <c r="F29" i="16"/>
  <c r="F34" i="16"/>
  <c r="F18" i="16"/>
  <c r="F35" i="16"/>
  <c r="F38" i="16"/>
  <c r="F41" i="16"/>
  <c r="F46" i="16"/>
  <c r="F50" i="16"/>
  <c r="F52" i="16"/>
  <c r="F60" i="16"/>
  <c r="F70" i="16"/>
  <c r="F72" i="16"/>
  <c r="F73" i="16"/>
  <c r="F81" i="16"/>
  <c r="F84" i="16"/>
  <c r="F85" i="16"/>
  <c r="F91" i="16"/>
  <c r="F93" i="16"/>
  <c r="F98" i="16"/>
  <c r="F100" i="16"/>
  <c r="F102" i="16"/>
  <c r="F107" i="16"/>
  <c r="F113" i="16"/>
  <c r="F116" i="16"/>
  <c r="F117" i="16"/>
  <c r="F119" i="16"/>
  <c r="F20" i="16" l="1"/>
  <c r="F124" i="16"/>
  <c r="F203" i="16"/>
  <c r="F108" i="16"/>
  <c r="F28" i="16"/>
  <c r="F271" i="16"/>
  <c r="F295" i="16"/>
  <c r="F56" i="16"/>
  <c r="F350" i="16"/>
  <c r="F302" i="16"/>
  <c r="F55" i="16"/>
  <c r="F283" i="16"/>
  <c r="F95" i="16"/>
  <c r="F53" i="16"/>
  <c r="F127" i="16"/>
  <c r="F207" i="16"/>
  <c r="F339" i="16"/>
  <c r="F187" i="16"/>
  <c r="F62" i="16"/>
  <c r="F341"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H250" i="16"/>
  <c r="F262" i="16"/>
  <c r="H262" i="16"/>
  <c r="H209" i="16"/>
  <c r="F209" i="16"/>
  <c r="H229" i="16"/>
  <c r="F229" i="16"/>
  <c r="AG21" i="16" s="1"/>
  <c r="H233" i="16"/>
  <c r="F233" i="16"/>
  <c r="H261" i="16"/>
  <c r="F261" i="16"/>
  <c r="AG23" i="16" s="1"/>
  <c r="H281" i="16"/>
  <c r="F281" i="16"/>
  <c r="F293" i="16"/>
  <c r="H293" i="16"/>
  <c r="F309" i="16"/>
  <c r="H309" i="16"/>
  <c r="H292" i="16"/>
  <c r="F292" i="16"/>
  <c r="H316" i="16"/>
  <c r="F316" i="16"/>
  <c r="H351" i="16"/>
  <c r="F351" i="16"/>
  <c r="H363" i="16"/>
  <c r="F363" i="16"/>
  <c r="AG14" i="16" l="1"/>
  <c r="AG19" i="16"/>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V25" i="16" s="1"/>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M72" i="16"/>
  <c r="N72" i="16" s="1"/>
  <c r="AI72" i="16"/>
  <c r="T72" i="16"/>
  <c r="S72" i="16"/>
  <c r="AP72" i="16"/>
  <c r="AA72" i="16"/>
  <c r="AJ72" i="16" l="1"/>
  <c r="AB72" i="16"/>
  <c r="U72" i="16"/>
  <c r="AQ72" i="16"/>
  <c r="L74" i="16"/>
  <c r="AP73" i="16"/>
  <c r="AA73" i="16"/>
  <c r="S73" i="16"/>
  <c r="AI73" i="16"/>
  <c r="T73" i="16"/>
  <c r="X73" i="16"/>
  <c r="Y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L90" i="16"/>
  <c r="AJ89" i="16" l="1"/>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M94" i="16"/>
  <c r="N94" i="16" s="1"/>
  <c r="AI94" i="16"/>
  <c r="AJ94" i="16" s="1"/>
  <c r="AK94" i="16" s="1"/>
  <c r="T94" i="16"/>
  <c r="S94" i="16"/>
  <c r="AP94" i="16"/>
  <c r="AA94" i="16"/>
  <c r="L95" i="16"/>
  <c r="Y94" i="16" l="1"/>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M142" i="16"/>
  <c r="N142" i="16" s="1"/>
  <c r="L143" i="16"/>
  <c r="AJ142" i="16" l="1"/>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Y149" i="16" s="1"/>
  <c r="M149" i="16"/>
  <c r="N149" i="16" s="1"/>
  <c r="AI149" i="16"/>
  <c r="T149" i="16"/>
  <c r="U149" i="16" s="1"/>
  <c r="S149" i="16"/>
  <c r="AP149" i="16"/>
  <c r="AA149" i="16"/>
  <c r="L150" i="16"/>
  <c r="AJ149" i="16" l="1"/>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AR150" i="16" l="1"/>
  <c r="Y151" i="16"/>
  <c r="V150" i="16"/>
  <c r="AJ151" i="16"/>
  <c r="AQ151" i="16"/>
  <c r="U151" i="16"/>
  <c r="AB151" i="16"/>
  <c r="AP152" i="16"/>
  <c r="AA152" i="16"/>
  <c r="S152" i="16"/>
  <c r="AI152" i="16"/>
  <c r="AJ152" i="16" s="1"/>
  <c r="AK152" i="16" s="1"/>
  <c r="T152" i="16"/>
  <c r="X152" i="16"/>
  <c r="M152" i="16"/>
  <c r="N152" i="16" s="1"/>
  <c r="L153" i="16"/>
  <c r="Y152" i="16" l="1"/>
  <c r="U152" i="16"/>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AR166" i="16" s="1"/>
  <c r="L168" i="16"/>
  <c r="X167" i="16"/>
  <c r="Y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M170" i="16"/>
  <c r="N170" i="16" s="1"/>
  <c r="AJ170" i="16" l="1"/>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AJ178" i="16" l="1"/>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Y182" i="16" s="1"/>
  <c r="M182" i="16"/>
  <c r="N182" i="16" s="1"/>
  <c r="L183" i="16"/>
  <c r="AJ182" i="16" l="1"/>
  <c r="U182" i="16"/>
  <c r="AQ182" i="16"/>
  <c r="AB182" i="16"/>
  <c r="X183" i="16"/>
  <c r="M183" i="16"/>
  <c r="N183" i="16" s="1"/>
  <c r="AI183" i="16"/>
  <c r="AJ183" i="16" s="1"/>
  <c r="T183" i="16"/>
  <c r="S183" i="16"/>
  <c r="AP183" i="16"/>
  <c r="AA183" i="16"/>
  <c r="L184" i="16"/>
  <c r="Y183" i="16" l="1"/>
  <c r="V182" i="16"/>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M196" i="16"/>
  <c r="N196" i="16" s="1"/>
  <c r="L197" i="16"/>
  <c r="AJ196" i="16" l="1"/>
  <c r="AQ196" i="16"/>
  <c r="AB196" i="16"/>
  <c r="U196" i="16"/>
  <c r="X197" i="16"/>
  <c r="M197" i="16"/>
  <c r="N197" i="16" s="1"/>
  <c r="AI197" i="16"/>
  <c r="AJ197" i="16" s="1"/>
  <c r="AK197" i="16" s="1"/>
  <c r="T197" i="16"/>
  <c r="S197" i="16"/>
  <c r="AP197" i="16"/>
  <c r="AA197" i="16"/>
  <c r="L198" i="16"/>
  <c r="Y197" i="16" l="1"/>
  <c r="AQ197" i="16"/>
  <c r="U197" i="16"/>
  <c r="AB197" i="16"/>
  <c r="AP198" i="16"/>
  <c r="AA198" i="16"/>
  <c r="S198" i="16"/>
  <c r="AI198" i="16"/>
  <c r="T198" i="16"/>
  <c r="X198" i="16"/>
  <c r="Y198" i="16" s="1"/>
  <c r="M198" i="16"/>
  <c r="N198" i="16" s="1"/>
  <c r="L199" i="16"/>
  <c r="AC197" i="16" l="1"/>
  <c r="AJ198" i="16"/>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Y200" i="16" s="1"/>
  <c r="M200" i="16"/>
  <c r="N200" i="16" s="1"/>
  <c r="L201" i="16"/>
  <c r="AJ200" i="16" l="1"/>
  <c r="AB200" i="16"/>
  <c r="U200" i="16"/>
  <c r="AQ200" i="16"/>
  <c r="AR200" i="16" s="1"/>
  <c r="X201" i="16"/>
  <c r="M201" i="16"/>
  <c r="N201" i="16" s="1"/>
  <c r="AI201" i="16"/>
  <c r="T201" i="16"/>
  <c r="U201" i="16" s="1"/>
  <c r="V201" i="16" s="1"/>
  <c r="S201" i="16"/>
  <c r="AP201" i="16"/>
  <c r="AA201" i="16"/>
  <c r="L202" i="16"/>
  <c r="Y201" i="16" l="1"/>
  <c r="AQ201" i="16"/>
  <c r="AJ201" i="16"/>
  <c r="AB201" i="16"/>
  <c r="AP202" i="16"/>
  <c r="AQ202" i="16" s="1"/>
  <c r="AR202" i="16" s="1"/>
  <c r="AA202" i="16"/>
  <c r="AB202" i="16" s="1"/>
  <c r="AC202" i="16" s="1"/>
  <c r="S202" i="16"/>
  <c r="AI202" i="16"/>
  <c r="AJ202" i="16" s="1"/>
  <c r="T202" i="16"/>
  <c r="X202" i="16"/>
  <c r="M202" i="16"/>
  <c r="N202" i="16" s="1"/>
  <c r="L203" i="16"/>
  <c r="Y202" i="16" l="1"/>
  <c r="AK202" i="16"/>
  <c r="U202" i="16"/>
  <c r="X203" i="16"/>
  <c r="Y203" i="16" s="1"/>
  <c r="AP203" i="16"/>
  <c r="M203" i="16"/>
  <c r="N203" i="16" s="1"/>
  <c r="AA203" i="16"/>
  <c r="S203" i="16"/>
  <c r="T203" i="16"/>
  <c r="AI203" i="16"/>
  <c r="AJ203" i="16" s="1"/>
  <c r="AK203" i="16" s="1"/>
  <c r="L204" i="16"/>
  <c r="AB203" i="16" l="1"/>
  <c r="U203" i="16"/>
  <c r="AQ203" i="16"/>
  <c r="AP204" i="16"/>
  <c r="AA204" i="16"/>
  <c r="S204" i="16"/>
  <c r="AI204" i="16"/>
  <c r="AJ204" i="16" s="1"/>
  <c r="T204" i="16"/>
  <c r="X204" i="16"/>
  <c r="Y204" i="16" s="1"/>
  <c r="M204" i="16"/>
  <c r="N204" i="16" s="1"/>
  <c r="L205" i="16"/>
  <c r="AR203" i="16" l="1"/>
  <c r="U204" i="16"/>
  <c r="AK204" i="16"/>
  <c r="AB204" i="16"/>
  <c r="AQ204" i="16"/>
  <c r="X205" i="16"/>
  <c r="M205" i="16"/>
  <c r="N205" i="16" s="1"/>
  <c r="AI205" i="16"/>
  <c r="AJ205" i="16" s="1"/>
  <c r="AK205" i="16" s="1"/>
  <c r="T205" i="16"/>
  <c r="U205" i="16" s="1"/>
  <c r="S205" i="16"/>
  <c r="AP205" i="16"/>
  <c r="AQ205" i="16" s="1"/>
  <c r="AR205" i="16" s="1"/>
  <c r="AA205" i="16"/>
  <c r="AB205" i="16" s="1"/>
  <c r="AC205" i="16" s="1"/>
  <c r="L206" i="16"/>
  <c r="Y205" i="16" l="1"/>
  <c r="AR204" i="16"/>
  <c r="AC204" i="16"/>
  <c r="V205" i="16"/>
  <c r="AP206" i="16"/>
  <c r="AQ206" i="16" s="1"/>
  <c r="AR206" i="16" s="1"/>
  <c r="AA206" i="16"/>
  <c r="S206" i="16"/>
  <c r="AI206" i="16"/>
  <c r="AJ206" i="16" s="1"/>
  <c r="AK206" i="16" s="1"/>
  <c r="T206" i="16"/>
  <c r="U206" i="16" s="1"/>
  <c r="V206" i="16" s="1"/>
  <c r="X206" i="16"/>
  <c r="Y206" i="16" s="1"/>
  <c r="M206" i="16"/>
  <c r="N206" i="16" s="1"/>
  <c r="L207" i="16"/>
  <c r="AB206" i="16" l="1"/>
  <c r="X207" i="16"/>
  <c r="Y207" i="16" s="1"/>
  <c r="M207" i="16"/>
  <c r="N207" i="16" s="1"/>
  <c r="AI207" i="16"/>
  <c r="AJ207" i="16" s="1"/>
  <c r="AK207" i="16" s="1"/>
  <c r="T207" i="16"/>
  <c r="U207" i="16" s="1"/>
  <c r="V207" i="16" s="1"/>
  <c r="S207" i="16"/>
  <c r="AP207" i="16"/>
  <c r="AA207" i="16"/>
  <c r="AB207" i="16" s="1"/>
  <c r="AC207" i="16" s="1"/>
  <c r="L208" i="16"/>
  <c r="AQ207" i="16" l="1"/>
  <c r="AC206" i="16"/>
  <c r="AP208" i="16"/>
  <c r="AQ208" i="16" s="1"/>
  <c r="AR208" i="16" s="1"/>
  <c r="AA208" i="16"/>
  <c r="S208" i="16"/>
  <c r="AI208" i="16"/>
  <c r="AJ208" i="16" s="1"/>
  <c r="T208" i="16"/>
  <c r="X208" i="16"/>
  <c r="Y208" i="16" s="1"/>
  <c r="M208" i="16"/>
  <c r="N208" i="16" s="1"/>
  <c r="L209" i="16"/>
  <c r="U208" i="16" l="1"/>
  <c r="AK208" i="16"/>
  <c r="AB208" i="16"/>
  <c r="X209" i="16"/>
  <c r="M209" i="16"/>
  <c r="N209" i="16" s="1"/>
  <c r="AI209" i="16"/>
  <c r="AJ209" i="16" s="1"/>
  <c r="AK209" i="16" s="1"/>
  <c r="T209" i="16"/>
  <c r="S209" i="16"/>
  <c r="AP209" i="16"/>
  <c r="AQ209" i="16" s="1"/>
  <c r="AR209" i="16" s="1"/>
  <c r="AA209" i="16"/>
  <c r="AB209" i="16" s="1"/>
  <c r="AC209" i="16" s="1"/>
  <c r="L210" i="16"/>
  <c r="U209" i="16" l="1"/>
  <c r="Y209" i="16"/>
  <c r="AP210" i="16"/>
  <c r="AQ210" i="16" s="1"/>
  <c r="AR210" i="16" s="1"/>
  <c r="AA210" i="16"/>
  <c r="S210" i="16"/>
  <c r="AI210" i="16"/>
  <c r="AJ210" i="16" s="1"/>
  <c r="AK210" i="16" s="1"/>
  <c r="T210" i="16"/>
  <c r="X210" i="16"/>
  <c r="Y210" i="16" s="1"/>
  <c r="M210" i="16"/>
  <c r="N210" i="16" s="1"/>
  <c r="L211" i="16"/>
  <c r="U210" i="16" l="1"/>
  <c r="AB210" i="16"/>
  <c r="X211" i="16"/>
  <c r="Y211" i="16" s="1"/>
  <c r="M211" i="16"/>
  <c r="N211" i="16" s="1"/>
  <c r="AI211" i="16"/>
  <c r="AJ211" i="16" s="1"/>
  <c r="AK211" i="16" s="1"/>
  <c r="T211" i="16"/>
  <c r="U211" i="16" s="1"/>
  <c r="V211" i="16" s="1"/>
  <c r="S211" i="16"/>
  <c r="AP211" i="16"/>
  <c r="AQ211" i="16" s="1"/>
  <c r="AR211" i="16" s="1"/>
  <c r="AA211" i="16"/>
  <c r="AB211" i="16" s="1"/>
  <c r="AC211" i="16" s="1"/>
  <c r="L212" i="16"/>
  <c r="AC210" i="16" l="1"/>
  <c r="AP212" i="16"/>
  <c r="AQ212" i="16" s="1"/>
  <c r="AA212" i="16"/>
  <c r="S212" i="16"/>
  <c r="AI212" i="16"/>
  <c r="AJ212" i="16" s="1"/>
  <c r="AK212" i="16" s="1"/>
  <c r="T212" i="16"/>
  <c r="U212" i="16" s="1"/>
  <c r="V212" i="16" s="1"/>
  <c r="X212" i="16"/>
  <c r="Y212" i="16" s="1"/>
  <c r="M212" i="16"/>
  <c r="N212" i="16" s="1"/>
  <c r="L213" i="16"/>
  <c r="AR212" i="16" l="1"/>
  <c r="AB212" i="16"/>
  <c r="X213" i="16"/>
  <c r="Y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X214" i="16"/>
  <c r="Y214" i="16" s="1"/>
  <c r="M214" i="16"/>
  <c r="N214" i="16" s="1"/>
  <c r="L215" i="16"/>
  <c r="V214" i="16" l="1"/>
  <c r="AJ214" i="16"/>
  <c r="AQ214" i="16"/>
  <c r="AB214" i="16"/>
  <c r="X215" i="16"/>
  <c r="Y215" i="16" s="1"/>
  <c r="M215" i="16"/>
  <c r="AI215" i="16"/>
  <c r="AJ215" i="16" s="1"/>
  <c r="AK215" i="16" s="1"/>
  <c r="T215" i="16"/>
  <c r="U215" i="16" s="1"/>
  <c r="V215" i="16" s="1"/>
  <c r="S215" i="16"/>
  <c r="AP215" i="16"/>
  <c r="AQ215" i="16" s="1"/>
  <c r="AR215" i="16" s="1"/>
  <c r="AA215" i="16"/>
  <c r="AB215" i="16" s="1"/>
  <c r="AC215" i="16" s="1"/>
  <c r="N215" i="16"/>
  <c r="L216" i="16"/>
  <c r="AR214" i="16" l="1"/>
  <c r="AC214" i="16"/>
  <c r="AP216" i="16"/>
  <c r="AQ216" i="16" s="1"/>
  <c r="AR216" i="16" s="1"/>
  <c r="AA216" i="16"/>
  <c r="S216" i="16"/>
  <c r="AI216" i="16"/>
  <c r="AJ216" i="16" s="1"/>
  <c r="AK216" i="16" s="1"/>
  <c r="T216" i="16"/>
  <c r="U216" i="16" s="1"/>
  <c r="V216" i="16" s="1"/>
  <c r="X216" i="16"/>
  <c r="Y216" i="16" s="1"/>
  <c r="M216" i="16"/>
  <c r="N216" i="16" s="1"/>
  <c r="L217" i="16"/>
  <c r="AB216" i="16" l="1"/>
  <c r="AC216" i="16" s="1"/>
  <c r="X217" i="16"/>
  <c r="Y217" i="16" s="1"/>
  <c r="M217" i="16"/>
  <c r="AI217" i="16"/>
  <c r="AJ217" i="16" s="1"/>
  <c r="AK217" i="16" s="1"/>
  <c r="T217" i="16"/>
  <c r="U217" i="16" s="1"/>
  <c r="S217" i="16"/>
  <c r="AP217" i="16"/>
  <c r="AQ217" i="16" s="1"/>
  <c r="AR217" i="16" s="1"/>
  <c r="AA217" i="16"/>
  <c r="AB217" i="16" s="1"/>
  <c r="AC217" i="16" s="1"/>
  <c r="N217" i="16"/>
  <c r="L218" i="16"/>
  <c r="V217" i="16" l="1"/>
  <c r="AP218" i="16"/>
  <c r="AQ218" i="16" s="1"/>
  <c r="AR218" i="16" s="1"/>
  <c r="AA218" i="16"/>
  <c r="S218" i="16"/>
  <c r="AI218" i="16"/>
  <c r="AJ218" i="16" s="1"/>
  <c r="AK218" i="16" s="1"/>
  <c r="T218" i="16"/>
  <c r="U218" i="16" s="1"/>
  <c r="V218" i="16" s="1"/>
  <c r="X218" i="16"/>
  <c r="Y218" i="16" s="1"/>
  <c r="M218" i="16"/>
  <c r="N218" i="16" s="1"/>
  <c r="L219" i="16"/>
  <c r="AB218" i="16" l="1"/>
  <c r="AC218" i="16" s="1"/>
  <c r="X219" i="16"/>
  <c r="Y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M220" i="16"/>
  <c r="N220" i="16" s="1"/>
  <c r="L221" i="16"/>
  <c r="AB220" i="16" l="1"/>
  <c r="AC220" i="16" s="1"/>
  <c r="X221" i="16"/>
  <c r="Y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M222" i="16"/>
  <c r="N222" i="16" s="1"/>
  <c r="L223" i="16"/>
  <c r="U222" i="16" l="1"/>
  <c r="V222" i="16" s="1"/>
  <c r="X223" i="16"/>
  <c r="Y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M224" i="16"/>
  <c r="N224" i="16" s="1"/>
  <c r="L225" i="16"/>
  <c r="AB224" i="16" l="1"/>
  <c r="AC224" i="16" s="1"/>
  <c r="X225" i="16"/>
  <c r="Y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M226" i="16"/>
  <c r="N226" i="16" s="1"/>
  <c r="L227" i="16"/>
  <c r="AB226" i="16" l="1"/>
  <c r="AC226" i="16" s="1"/>
  <c r="X227" i="16"/>
  <c r="Y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M228" i="16"/>
  <c r="N228" i="16" s="1"/>
  <c r="L229" i="16"/>
  <c r="AB228" i="16" l="1"/>
  <c r="AC228" i="16" s="1"/>
  <c r="AQ228" i="16"/>
  <c r="AR228" i="16" s="1"/>
  <c r="X229" i="16"/>
  <c r="Y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M230" i="16"/>
  <c r="N230" i="16" s="1"/>
  <c r="L231" i="16"/>
  <c r="AB230" i="16" l="1"/>
  <c r="AC230" i="16" s="1"/>
  <c r="AJ230" i="16"/>
  <c r="AQ230" i="16"/>
  <c r="AR230" i="16" s="1"/>
  <c r="X231" i="16"/>
  <c r="Y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M232" i="16"/>
  <c r="N232" i="16" s="1"/>
  <c r="L233" i="16"/>
  <c r="U232" i="16" l="1"/>
  <c r="V232" i="16" s="1"/>
  <c r="X233" i="16"/>
  <c r="Y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M234" i="16"/>
  <c r="N234" i="16" s="1"/>
  <c r="L235" i="16"/>
  <c r="AB234" i="16" l="1"/>
  <c r="AC234" i="16" s="1"/>
  <c r="X235" i="16"/>
  <c r="Y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M236" i="16"/>
  <c r="N236" i="16" s="1"/>
  <c r="L237" i="16"/>
  <c r="AB236" i="16" l="1"/>
  <c r="AC236" i="16" s="1"/>
  <c r="X237" i="16"/>
  <c r="Y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M238" i="16"/>
  <c r="N238" i="16" s="1"/>
  <c r="L239" i="16"/>
  <c r="U238" i="16" l="1"/>
  <c r="V238" i="16" s="1"/>
  <c r="X239" i="16"/>
  <c r="Y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M240" i="16"/>
  <c r="N240" i="16" s="1"/>
  <c r="L241" i="16"/>
  <c r="U240" i="16" l="1"/>
  <c r="V240" i="16" s="1"/>
  <c r="X241" i="16"/>
  <c r="Y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M242" i="16"/>
  <c r="N242" i="16" s="1"/>
  <c r="L243" i="16"/>
  <c r="X243" i="16" l="1"/>
  <c r="Y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M244" i="16"/>
  <c r="N244" i="16" s="1"/>
  <c r="L245" i="16"/>
  <c r="AB244" i="16" l="1"/>
  <c r="AC244" i="16" s="1"/>
  <c r="X245" i="16"/>
  <c r="Y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M246" i="16"/>
  <c r="L247" i="16"/>
  <c r="X247" i="16" l="1"/>
  <c r="Y247" i="16" s="1"/>
  <c r="M247" i="16"/>
  <c r="AI247" i="16"/>
  <c r="AJ247" i="16" s="1"/>
  <c r="AK247" i="16" s="1"/>
  <c r="T247" i="16"/>
  <c r="U247" i="16" s="1"/>
  <c r="V247" i="16" s="1"/>
  <c r="S247" i="16"/>
  <c r="AP247" i="16"/>
  <c r="AQ247" i="16" s="1"/>
  <c r="AR247" i="16" s="1"/>
  <c r="AA247" i="16"/>
  <c r="AB247" i="16" s="1"/>
  <c r="AC247" i="16" s="1"/>
  <c r="N247" i="16"/>
  <c r="L248" i="16"/>
  <c r="X248" i="16" l="1"/>
  <c r="Y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M249" i="16"/>
  <c r="L250" i="16"/>
  <c r="X250" i="16" l="1"/>
  <c r="Y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M251" i="16"/>
  <c r="L252" i="16"/>
  <c r="X252" i="16" l="1"/>
  <c r="Y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M253" i="16"/>
  <c r="L254" i="16"/>
  <c r="X254" i="16" l="1"/>
  <c r="Y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M255" i="16"/>
  <c r="L256" i="16"/>
  <c r="X256" i="16" l="1"/>
  <c r="Y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M257" i="16"/>
  <c r="L258" i="16"/>
  <c r="X258" i="16" l="1"/>
  <c r="Y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M259" i="16"/>
  <c r="L260" i="16"/>
  <c r="X260" i="16" l="1"/>
  <c r="Y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M261" i="16"/>
  <c r="L262" i="16"/>
  <c r="X262" i="16" l="1"/>
  <c r="Y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M263" i="16"/>
  <c r="L264" i="16"/>
  <c r="X264" i="16" l="1"/>
  <c r="Y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M265" i="16"/>
  <c r="L266" i="16"/>
  <c r="X266" i="16" l="1"/>
  <c r="Y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M267" i="16"/>
  <c r="L268" i="16"/>
  <c r="X268" i="16" l="1"/>
  <c r="Y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M269" i="16"/>
  <c r="L270" i="16"/>
  <c r="X270" i="16" l="1"/>
  <c r="Y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M271" i="16"/>
  <c r="L272" i="16"/>
  <c r="X272" i="16" l="1"/>
  <c r="Y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M273" i="16"/>
  <c r="L274" i="16"/>
  <c r="X274" i="16" l="1"/>
  <c r="Y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M275" i="16"/>
  <c r="L276" i="16"/>
  <c r="X276" i="16" l="1"/>
  <c r="Y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M277" i="16"/>
  <c r="L278" i="16"/>
  <c r="X278" i="16" l="1"/>
  <c r="Y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M279" i="16"/>
  <c r="L280" i="16"/>
  <c r="X280" i="16" l="1"/>
  <c r="Y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M281" i="16"/>
  <c r="L282" i="16"/>
  <c r="X282" i="16" l="1"/>
  <c r="Y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M283" i="16"/>
  <c r="L284" i="16"/>
  <c r="X284" i="16" l="1"/>
  <c r="Y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M285" i="16"/>
  <c r="L286" i="16"/>
  <c r="X286" i="16" l="1"/>
  <c r="Y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M287" i="16"/>
  <c r="L288" i="16"/>
  <c r="X288" i="16" l="1"/>
  <c r="Y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M289" i="16"/>
  <c r="L290" i="16"/>
  <c r="AP290" i="16" l="1"/>
  <c r="AQ290" i="16" s="1"/>
  <c r="AR290" i="16" s="1"/>
  <c r="S290" i="16"/>
  <c r="AI290" i="16"/>
  <c r="AJ290" i="16" s="1"/>
  <c r="AK290" i="16" s="1"/>
  <c r="T290" i="16"/>
  <c r="U290" i="16" s="1"/>
  <c r="V290" i="16" s="1"/>
  <c r="X290" i="16"/>
  <c r="Y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M291" i="16"/>
  <c r="L292" i="16"/>
  <c r="X292" i="16" l="1"/>
  <c r="Y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M293" i="16"/>
  <c r="L294" i="16"/>
  <c r="X294" i="16" l="1"/>
  <c r="Y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M295" i="16"/>
  <c r="L296" i="16"/>
  <c r="X296" i="16" l="1"/>
  <c r="Y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M297" i="16"/>
  <c r="L298" i="16"/>
  <c r="X298" i="16" l="1"/>
  <c r="Y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M299" i="16"/>
  <c r="L300" i="16"/>
  <c r="X300" i="16" l="1"/>
  <c r="Y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M301" i="16"/>
  <c r="L302" i="16"/>
  <c r="X302" i="16" l="1"/>
  <c r="Y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M303" i="16"/>
  <c r="L304" i="16"/>
  <c r="X304" i="16" l="1"/>
  <c r="Y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M305" i="16"/>
  <c r="L306" i="16"/>
  <c r="X306" i="16" l="1"/>
  <c r="Y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M307" i="16"/>
  <c r="L308" i="16"/>
  <c r="X308" i="16" l="1"/>
  <c r="Y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M309" i="16"/>
  <c r="L310" i="16"/>
  <c r="X310" i="16" l="1"/>
  <c r="Y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M311" i="16"/>
  <c r="L312" i="16"/>
  <c r="AP312" i="16" l="1"/>
  <c r="AQ312" i="16" s="1"/>
  <c r="AR312" i="16" s="1"/>
  <c r="AA312" i="16"/>
  <c r="AB312" i="16" s="1"/>
  <c r="AC312" i="16" s="1"/>
  <c r="S312" i="16"/>
  <c r="N312" i="16"/>
  <c r="AI312" i="16"/>
  <c r="AJ312" i="16" s="1"/>
  <c r="AK312" i="16" s="1"/>
  <c r="X312" i="16"/>
  <c r="Y312" i="16" s="1"/>
  <c r="M312" i="16"/>
  <c r="T312" i="16"/>
  <c r="U312" i="16" s="1"/>
  <c r="V312" i="16" s="1"/>
  <c r="L313" i="16"/>
  <c r="X313" i="16" l="1"/>
  <c r="Y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M314" i="16"/>
  <c r="L315" i="16"/>
  <c r="X315" i="16" l="1"/>
  <c r="Y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M316" i="16"/>
  <c r="L317" i="16"/>
  <c r="X317" i="16" l="1"/>
  <c r="Y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M318" i="16"/>
  <c r="L319" i="16"/>
  <c r="X319" i="16" l="1"/>
  <c r="Y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M320" i="16"/>
  <c r="L321" i="16"/>
  <c r="X321" i="16" l="1"/>
  <c r="Y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M322" i="16"/>
  <c r="L323" i="16"/>
  <c r="X323" i="16" l="1"/>
  <c r="Y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M324" i="16"/>
  <c r="L325" i="16"/>
  <c r="X325" i="16" l="1"/>
  <c r="Y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M326" i="16"/>
  <c r="L327" i="16"/>
  <c r="X327" i="16" l="1"/>
  <c r="Y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M328" i="16"/>
  <c r="L329" i="16"/>
  <c r="X329" i="16" l="1"/>
  <c r="Y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M330" i="16"/>
  <c r="L331" i="16"/>
  <c r="X331" i="16" l="1"/>
  <c r="Y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M332" i="16"/>
  <c r="L333" i="16"/>
  <c r="AP333" i="16" l="1"/>
  <c r="AQ333" i="16" s="1"/>
  <c r="AR333" i="16" s="1"/>
  <c r="AA333" i="16"/>
  <c r="AB333" i="16" s="1"/>
  <c r="AC333" i="16" s="1"/>
  <c r="M333" i="16"/>
  <c r="S333" i="16"/>
  <c r="AI333" i="16"/>
  <c r="AJ333" i="16" s="1"/>
  <c r="AK333" i="16" s="1"/>
  <c r="T333" i="16"/>
  <c r="U333" i="16" s="1"/>
  <c r="V333" i="16" s="1"/>
  <c r="X333" i="16"/>
  <c r="Y333" i="16" s="1"/>
  <c r="N333" i="16"/>
  <c r="L334" i="16"/>
  <c r="X334" i="16" l="1"/>
  <c r="Y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M335" i="16"/>
  <c r="L336" i="16"/>
  <c r="X336" i="16" l="1"/>
  <c r="Y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M337" i="16"/>
  <c r="L338" i="16"/>
  <c r="X338" i="16" l="1"/>
  <c r="Y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M339" i="16"/>
  <c r="L340" i="16"/>
  <c r="X340" i="16" l="1"/>
  <c r="Y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M341" i="16"/>
  <c r="L342" i="16"/>
  <c r="X342" i="16" l="1"/>
  <c r="Y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M343" i="16"/>
  <c r="L344" i="16"/>
  <c r="X344" i="16" l="1"/>
  <c r="Y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M345" i="16"/>
  <c r="X346" i="16" l="1"/>
  <c r="Y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M347" i="16"/>
  <c r="AP347" i="16"/>
  <c r="AQ347" i="16" s="1"/>
  <c r="AR347" i="16" s="1"/>
  <c r="AA347" i="16"/>
  <c r="AB347" i="16" s="1"/>
  <c r="AC347" i="16" s="1"/>
  <c r="N347" i="16"/>
  <c r="S347" i="16"/>
  <c r="L348" i="16"/>
  <c r="L349" i="16" l="1"/>
  <c r="X348" i="16"/>
  <c r="Y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M349" i="16"/>
  <c r="L350" i="16"/>
  <c r="X350" i="16" l="1"/>
  <c r="Y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M351" i="16"/>
  <c r="L352" i="16"/>
  <c r="X352" i="16" l="1"/>
  <c r="Y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M353" i="16"/>
  <c r="L354" i="16"/>
  <c r="X354" i="16" l="1"/>
  <c r="Y354" i="16" s="1"/>
  <c r="AI354" i="16"/>
  <c r="AJ354" i="16" s="1"/>
  <c r="AK354" i="16" s="1"/>
  <c r="M354" i="16"/>
  <c r="T354" i="16"/>
  <c r="U354" i="16" s="1"/>
  <c r="V354" i="16" s="1"/>
  <c r="S354" i="16"/>
  <c r="AA354" i="16"/>
  <c r="AB354" i="16" s="1"/>
  <c r="AC354" i="16" s="1"/>
  <c r="AP354" i="16"/>
  <c r="AQ354" i="16" s="1"/>
  <c r="AR354" i="16" s="1"/>
  <c r="N354" i="16"/>
  <c r="L355" i="16"/>
  <c r="X355" i="16" l="1"/>
  <c r="Y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M356" i="16"/>
  <c r="L357" i="16"/>
  <c r="X357" i="16" l="1"/>
  <c r="Y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M358" i="16"/>
  <c r="L359" i="16"/>
  <c r="X359" i="16" l="1"/>
  <c r="Y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S360" i="16"/>
  <c r="L361" i="16"/>
  <c r="X361" i="16" l="1"/>
  <c r="Y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58"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61" i="16"/>
  <c r="Z73" i="16"/>
  <c r="Z72" i="16"/>
  <c r="Z76" i="16"/>
  <c r="Z80" i="16"/>
  <c r="Z89" i="16"/>
  <c r="Z94" i="16"/>
  <c r="Z142" i="16"/>
  <c r="Z146" i="16"/>
  <c r="Z149" i="16"/>
  <c r="Z150" i="16"/>
  <c r="Z152" i="16"/>
  <c r="Z154" i="16"/>
  <c r="Z167" i="16"/>
  <c r="Z170" i="16"/>
  <c r="Z172" i="16"/>
  <c r="Z178" i="16"/>
  <c r="Z181" i="16"/>
  <c r="Z182" i="16"/>
  <c r="Z185" i="16"/>
  <c r="Z193" i="16"/>
  <c r="Z196" i="16"/>
  <c r="Z200" i="16"/>
  <c r="Z198" i="16"/>
  <c r="Z202" i="16"/>
  <c r="Z201" i="16"/>
  <c r="Z204" i="16"/>
  <c r="Z203" i="16"/>
  <c r="Z205" i="16"/>
  <c r="Z206" i="16"/>
  <c r="Z207" i="16"/>
  <c r="Z208" i="16"/>
  <c r="Z211" i="16"/>
  <c r="Z210" i="16"/>
  <c r="Z212" i="16"/>
  <c r="Z209" i="16"/>
  <c r="Z213" i="16"/>
  <c r="Z215" i="16"/>
  <c r="Z214" i="16"/>
  <c r="Z216" i="16"/>
  <c r="Z217" i="16"/>
  <c r="Z218" i="16"/>
  <c r="Z220" i="16"/>
  <c r="Z219" i="16"/>
  <c r="Z223" i="16"/>
  <c r="Z221" i="16"/>
  <c r="Z222" i="16"/>
  <c r="Z225" i="16"/>
  <c r="Z224" i="16"/>
  <c r="Z228" i="16"/>
  <c r="Z226" i="16"/>
  <c r="Z227" i="16"/>
  <c r="Z229" i="16"/>
  <c r="Z233" i="16"/>
  <c r="Z231" i="16"/>
  <c r="Z230" i="16"/>
  <c r="Z232" i="16"/>
  <c r="Z234" i="16"/>
  <c r="Z235" i="16"/>
  <c r="Z236" i="16"/>
  <c r="Z238" i="16"/>
  <c r="Z237" i="16"/>
  <c r="Z239" i="16"/>
  <c r="Z240" i="16"/>
  <c r="Z241" i="16"/>
  <c r="Z243" i="16"/>
  <c r="Z242" i="16"/>
  <c r="Z244" i="16"/>
  <c r="Z247" i="16"/>
  <c r="Z245" i="16"/>
  <c r="Z248" i="16"/>
  <c r="Z246" i="16"/>
  <c r="Z250" i="16"/>
  <c r="Z251" i="16"/>
  <c r="Z249" i="16"/>
  <c r="Z254" i="16"/>
  <c r="Z252" i="16"/>
  <c r="Z256" i="16"/>
  <c r="Z258" i="16"/>
  <c r="Z255" i="16"/>
  <c r="Z253" i="16"/>
  <c r="Z260" i="16"/>
  <c r="Z257" i="16"/>
  <c r="Z261" i="16"/>
  <c r="Z262" i="16"/>
  <c r="Z259" i="16"/>
  <c r="Z265" i="16"/>
  <c r="Z263" i="16"/>
  <c r="Z264" i="16"/>
  <c r="Z266" i="16"/>
  <c r="Z267" i="16"/>
  <c r="Z269" i="16"/>
  <c r="Z268" i="16"/>
  <c r="Z272" i="16"/>
  <c r="Z270" i="16"/>
  <c r="Z271" i="16"/>
  <c r="Z274" i="16"/>
  <c r="Z273" i="16"/>
  <c r="Z275" i="16"/>
  <c r="Z277" i="16"/>
  <c r="Z276" i="16"/>
  <c r="Z280" i="16"/>
  <c r="Z278" i="16"/>
  <c r="Z282" i="16"/>
  <c r="Z279" i="16"/>
  <c r="Z281" i="16"/>
  <c r="Z283" i="16"/>
  <c r="Z285" i="16"/>
  <c r="Z284" i="16"/>
  <c r="Z286" i="16"/>
  <c r="Z288" i="16"/>
  <c r="Z287" i="16"/>
  <c r="Z291" i="16"/>
  <c r="Z292" i="16"/>
  <c r="Z290" i="16"/>
  <c r="Z289" i="16"/>
  <c r="Z294" i="16"/>
  <c r="Z293" i="16"/>
  <c r="Z297" i="16"/>
  <c r="Z296" i="16"/>
  <c r="Z295" i="16"/>
  <c r="Z298" i="16"/>
  <c r="Z299" i="16"/>
  <c r="Z301" i="16"/>
  <c r="Z302" i="16"/>
  <c r="Z300" i="16"/>
  <c r="Z305" i="16"/>
  <c r="Z304" i="16"/>
  <c r="Z306" i="16"/>
  <c r="Z303" i="16"/>
  <c r="Z307" i="16"/>
  <c r="Z308" i="16"/>
  <c r="Z310" i="16"/>
  <c r="Z309" i="16"/>
  <c r="Z313" i="16"/>
  <c r="Z312" i="16"/>
  <c r="Z311" i="16"/>
  <c r="Z314" i="16"/>
  <c r="Z315" i="16"/>
  <c r="Z319" i="16"/>
  <c r="Z316" i="16"/>
  <c r="Z318" i="16"/>
  <c r="Z320" i="16"/>
  <c r="Z317" i="16"/>
  <c r="Z322" i="16"/>
  <c r="Z323" i="16"/>
  <c r="Z321" i="16"/>
  <c r="Z325" i="16"/>
  <c r="Z324" i="16"/>
  <c r="Z326" i="16"/>
  <c r="Z327" i="16"/>
  <c r="Z328" i="16"/>
  <c r="Z331" i="16"/>
  <c r="Z329" i="16"/>
  <c r="Z332" i="16"/>
  <c r="Z330" i="16"/>
  <c r="Z334" i="16"/>
  <c r="Z333" i="16"/>
  <c r="Z336" i="16"/>
  <c r="Z335" i="16"/>
  <c r="Z337" i="16"/>
  <c r="Z338" i="16"/>
  <c r="Z340" i="16"/>
  <c r="Z339" i="16"/>
  <c r="Z343" i="16"/>
  <c r="Z341" i="16"/>
  <c r="Z344" i="16"/>
  <c r="Z345" i="16"/>
  <c r="Z342" i="16"/>
  <c r="Z346" i="16"/>
  <c r="Z349" i="16"/>
  <c r="Z348" i="16"/>
  <c r="Z347" i="16"/>
  <c r="Z350" i="16"/>
  <c r="Z352" i="16"/>
  <c r="Z354" i="16"/>
  <c r="Z351" i="16"/>
  <c r="Z353" i="16"/>
  <c r="Z355" i="16"/>
  <c r="Z361" i="16"/>
  <c r="Z357" i="16"/>
  <c r="Z362" i="16"/>
  <c r="Z359" i="16"/>
  <c r="Z360" i="16"/>
  <c r="Z356"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41" i="16" s="1"/>
  <c r="N363" i="16"/>
  <c r="O10" i="16" s="1"/>
  <c r="T363" i="16"/>
  <c r="U363" i="16" s="1"/>
  <c r="AA363" i="16"/>
  <c r="G119" i="8" s="1"/>
  <c r="S363" i="16"/>
  <c r="M363" i="16"/>
  <c r="M9" i="16" s="1"/>
  <c r="L37" i="8" s="1"/>
  <c r="K37" i="8" s="1"/>
  <c r="AI363" i="16"/>
  <c r="AJ363" i="16" s="1"/>
  <c r="AK132" i="16" s="1"/>
  <c r="Y9" i="16"/>
  <c r="L38" i="8" s="1"/>
  <c r="U69" i="8"/>
  <c r="U67" i="8"/>
  <c r="U70" i="8"/>
  <c r="U68" i="8"/>
  <c r="U71" i="8"/>
  <c r="U73" i="8"/>
  <c r="U72" i="8"/>
  <c r="AK41" i="16" l="1"/>
  <c r="AK27" i="16"/>
  <c r="AK44" i="16"/>
  <c r="AK34" i="16"/>
  <c r="AK13" i="16"/>
  <c r="AK49" i="16"/>
  <c r="AK28" i="16"/>
  <c r="AK21" i="16"/>
  <c r="AR47" i="16"/>
  <c r="AR45" i="16"/>
  <c r="AR63" i="16"/>
  <c r="AR79" i="16"/>
  <c r="AR90" i="16"/>
  <c r="AR97" i="16"/>
  <c r="AR101" i="16"/>
  <c r="AR105" i="16"/>
  <c r="AR141" i="16"/>
  <c r="AR170" i="16"/>
  <c r="AR175" i="16"/>
  <c r="AR186" i="16"/>
  <c r="AR196" i="16"/>
  <c r="AR201" i="16"/>
  <c r="AR207" i="16"/>
  <c r="V94" i="16"/>
  <c r="V117" i="16"/>
  <c r="V128" i="16"/>
  <c r="V146" i="16"/>
  <c r="V196" i="16"/>
  <c r="V198" i="16"/>
  <c r="V208" i="16"/>
  <c r="V209" i="16"/>
  <c r="V210" i="16"/>
  <c r="AR13" i="16"/>
  <c r="AR62" i="16"/>
  <c r="AK17" i="16"/>
  <c r="AK52" i="16"/>
  <c r="AK36" i="16"/>
  <c r="AK60" i="16"/>
  <c r="AK51" i="16"/>
  <c r="AR16" i="16"/>
  <c r="AR59"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34"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42" i="16"/>
  <c r="AC40" i="16"/>
  <c r="AC49" i="16"/>
  <c r="AC53" i="16"/>
  <c r="AC55" i="16"/>
  <c r="AC58" i="16"/>
  <c r="AC64" i="16"/>
  <c r="AC65" i="16"/>
  <c r="AC67" i="16"/>
  <c r="AC68" i="16"/>
  <c r="AC69" i="16"/>
  <c r="AC71" i="16"/>
  <c r="AC72" i="16"/>
  <c r="AC73" i="16"/>
  <c r="AC74" i="16"/>
  <c r="AC79" i="16"/>
  <c r="AC81" i="16"/>
  <c r="AC83"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AK117" i="16"/>
  <c r="AK188" i="16"/>
  <c r="AK69" i="16"/>
  <c r="AK74" i="16"/>
  <c r="AK90" i="16"/>
  <c r="AK125" i="16"/>
  <c r="AS12" i="16"/>
  <c r="AS13" i="16" s="1"/>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18" i="16"/>
  <c r="P346" i="16"/>
  <c r="P306" i="16"/>
  <c r="P334" i="16"/>
  <c r="P282" i="16"/>
  <c r="P342" i="16"/>
  <c r="P266" i="16"/>
  <c r="P314" i="16"/>
  <c r="P240" i="16"/>
  <c r="P192" i="16"/>
  <c r="P343" i="16"/>
  <c r="P322" i="16"/>
  <c r="P250" i="16"/>
  <c r="P311" i="16"/>
  <c r="P274" i="16"/>
  <c r="P249" i="16"/>
  <c r="P359" i="16"/>
  <c r="P211" i="16"/>
  <c r="P208" i="16"/>
  <c r="P327" i="16"/>
  <c r="P142" i="16"/>
  <c r="P179" i="16"/>
  <c r="K32" i="8"/>
  <c r="K50" i="8" s="1"/>
  <c r="P362" i="16"/>
  <c r="P360" i="16"/>
  <c r="P356" i="16"/>
  <c r="P352" i="16"/>
  <c r="P344" i="16"/>
  <c r="P340" i="16"/>
  <c r="P336" i="16"/>
  <c r="P328" i="16"/>
  <c r="P324" i="16"/>
  <c r="P320" i="16"/>
  <c r="P310" i="16"/>
  <c r="P302" i="16"/>
  <c r="P294" i="16"/>
  <c r="P278" i="16"/>
  <c r="P270" i="16"/>
  <c r="P262" i="16"/>
  <c r="P246" i="16"/>
  <c r="P232" i="16"/>
  <c r="P216" i="16"/>
  <c r="P184" i="16"/>
  <c r="P351" i="16"/>
  <c r="P335" i="16"/>
  <c r="P297" i="16"/>
  <c r="P265" i="16"/>
  <c r="P233" i="16"/>
  <c r="P110" i="16"/>
  <c r="P115" i="16"/>
  <c r="P312" i="16"/>
  <c r="P304" i="16"/>
  <c r="P300" i="16"/>
  <c r="P296" i="16"/>
  <c r="P288" i="16"/>
  <c r="P284" i="16"/>
  <c r="P280" i="16"/>
  <c r="P272" i="16"/>
  <c r="P268" i="16"/>
  <c r="P264" i="16"/>
  <c r="P256" i="16"/>
  <c r="P252" i="16"/>
  <c r="P248" i="16"/>
  <c r="P236" i="16"/>
  <c r="P228" i="16"/>
  <c r="P220" i="16"/>
  <c r="P204" i="16"/>
  <c r="P196" i="16"/>
  <c r="P188" i="16"/>
  <c r="P355" i="16"/>
  <c r="P347" i="16"/>
  <c r="P339" i="16"/>
  <c r="P323" i="16"/>
  <c r="P315" i="16"/>
  <c r="P305" i="16"/>
  <c r="P273" i="16"/>
  <c r="P257" i="16"/>
  <c r="P241" i="16"/>
  <c r="P195" i="16"/>
  <c r="P158" i="16"/>
  <c r="P126" i="16"/>
  <c r="P147" i="16"/>
  <c r="P83" i="16"/>
  <c r="P242" i="16"/>
  <c r="P234" i="16"/>
  <c r="P230" i="16"/>
  <c r="P226" i="16"/>
  <c r="P218" i="16"/>
  <c r="P214" i="16"/>
  <c r="P210" i="16"/>
  <c r="P202" i="16"/>
  <c r="P198" i="16"/>
  <c r="P194" i="16"/>
  <c r="P186" i="16"/>
  <c r="P180" i="16"/>
  <c r="P361" i="16"/>
  <c r="P353" i="16"/>
  <c r="P349" i="16"/>
  <c r="P345" i="16"/>
  <c r="P337" i="16"/>
  <c r="P333" i="16"/>
  <c r="P329" i="16"/>
  <c r="P321" i="16"/>
  <c r="P317" i="16"/>
  <c r="P313" i="16"/>
  <c r="P301" i="16"/>
  <c r="P293" i="16"/>
  <c r="P285" i="16"/>
  <c r="P269" i="16"/>
  <c r="P261" i="16"/>
  <c r="P253" i="16"/>
  <c r="P237" i="16"/>
  <c r="P229" i="16"/>
  <c r="P219" i="16"/>
  <c r="P187" i="16"/>
  <c r="P166" i="16"/>
  <c r="P150" i="16"/>
  <c r="P118" i="16"/>
  <c r="P94" i="16"/>
  <c r="P22" i="16"/>
  <c r="P131" i="16"/>
  <c r="P99" i="16"/>
  <c r="P67" i="16"/>
  <c r="P303" i="16"/>
  <c r="P299" i="16"/>
  <c r="P295" i="16"/>
  <c r="P287" i="16"/>
  <c r="P283" i="16"/>
  <c r="P279" i="16"/>
  <c r="P271" i="16"/>
  <c r="P267" i="16"/>
  <c r="P263" i="16"/>
  <c r="P255" i="16"/>
  <c r="P251" i="16"/>
  <c r="P247" i="16"/>
  <c r="P239" i="16"/>
  <c r="P235" i="16"/>
  <c r="P231" i="16"/>
  <c r="P223" i="16"/>
  <c r="P215" i="16"/>
  <c r="P207" i="16"/>
  <c r="P191" i="16"/>
  <c r="P182" i="16"/>
  <c r="P170" i="16"/>
  <c r="P154" i="16"/>
  <c r="P146" i="16"/>
  <c r="P138" i="16"/>
  <c r="P122" i="16"/>
  <c r="P114" i="16"/>
  <c r="P102" i="16"/>
  <c r="P70" i="16"/>
  <c r="P14" i="16"/>
  <c r="P171" i="16"/>
  <c r="P139" i="16"/>
  <c r="P123" i="16"/>
  <c r="P107" i="16"/>
  <c r="P75" i="16"/>
  <c r="P17" i="16"/>
  <c r="P221" i="16"/>
  <c r="P213" i="16"/>
  <c r="P209" i="16"/>
  <c r="P205" i="16"/>
  <c r="P197" i="16"/>
  <c r="P193" i="16"/>
  <c r="P189" i="16"/>
  <c r="P178" i="16"/>
  <c r="P172" i="16"/>
  <c r="P168" i="16"/>
  <c r="P160" i="16"/>
  <c r="P156" i="16"/>
  <c r="P152" i="16"/>
  <c r="P144" i="16"/>
  <c r="P140" i="16"/>
  <c r="P136" i="16"/>
  <c r="P128" i="16"/>
  <c r="P124" i="16"/>
  <c r="P120" i="16"/>
  <c r="P112" i="16"/>
  <c r="P106" i="16"/>
  <c r="P98" i="16"/>
  <c r="P82" i="16"/>
  <c r="P74" i="16"/>
  <c r="P66" i="16"/>
  <c r="P18" i="16"/>
  <c r="P183" i="16"/>
  <c r="P175" i="16"/>
  <c r="P167" i="16"/>
  <c r="P151" i="16"/>
  <c r="P143" i="16"/>
  <c r="P135" i="16"/>
  <c r="P119" i="16"/>
  <c r="P111" i="16"/>
  <c r="P103" i="16"/>
  <c r="P87" i="16"/>
  <c r="P79" i="16"/>
  <c r="P71" i="16"/>
  <c r="P21" i="16"/>
  <c r="P13" i="16"/>
  <c r="P108" i="16"/>
  <c r="P104" i="16"/>
  <c r="P96" i="16"/>
  <c r="P92" i="16"/>
  <c r="P88" i="16"/>
  <c r="P80" i="16"/>
  <c r="P76" i="16"/>
  <c r="P72" i="16"/>
  <c r="P24" i="16"/>
  <c r="P20" i="16"/>
  <c r="P16" i="16"/>
  <c r="P12" i="16"/>
  <c r="P181" i="16"/>
  <c r="P177" i="16"/>
  <c r="P173" i="16"/>
  <c r="P165" i="16"/>
  <c r="P161" i="16"/>
  <c r="P157" i="16"/>
  <c r="P149" i="16"/>
  <c r="P145" i="16"/>
  <c r="P141" i="16"/>
  <c r="P133" i="16"/>
  <c r="P129" i="16"/>
  <c r="P125" i="16"/>
  <c r="P117" i="16"/>
  <c r="P113" i="16"/>
  <c r="P109" i="16"/>
  <c r="P101" i="16"/>
  <c r="P97" i="16"/>
  <c r="P93" i="16"/>
  <c r="P85" i="16"/>
  <c r="P81" i="16"/>
  <c r="P77" i="16"/>
  <c r="P69" i="16"/>
  <c r="P23" i="16"/>
  <c r="P19" i="16"/>
  <c r="P15" i="16"/>
  <c r="R78" i="16"/>
  <c r="R55" i="16"/>
  <c r="R119" i="16"/>
  <c r="R166" i="16"/>
  <c r="R198" i="16"/>
  <c r="R230" i="16"/>
  <c r="R65" i="16"/>
  <c r="R129" i="16"/>
  <c r="R171" i="16"/>
  <c r="R197" i="16"/>
  <c r="R223" i="16"/>
  <c r="R245" i="16"/>
  <c r="R261" i="16"/>
  <c r="R277" i="16"/>
  <c r="R293" i="16"/>
  <c r="R309" i="16"/>
  <c r="R325" i="16"/>
  <c r="R341" i="16"/>
  <c r="R357" i="16"/>
  <c r="R229" i="16"/>
  <c r="R242" i="16"/>
  <c r="R250" i="16"/>
  <c r="R258" i="16"/>
  <c r="R266" i="16"/>
  <c r="R274" i="16"/>
  <c r="R282" i="16"/>
  <c r="R290" i="16"/>
  <c r="R298" i="16"/>
  <c r="R306" i="16"/>
  <c r="R314" i="16"/>
  <c r="R322" i="16"/>
  <c r="R330" i="16"/>
  <c r="R338" i="16"/>
  <c r="R346" i="16"/>
  <c r="R354" i="16"/>
  <c r="R361" i="16"/>
  <c r="P64" i="16"/>
  <c r="P60" i="16"/>
  <c r="P56" i="16"/>
  <c r="P48" i="16"/>
  <c r="P44" i="16"/>
  <c r="P40" i="16"/>
  <c r="P32" i="16"/>
  <c r="P28" i="16"/>
  <c r="P63" i="16"/>
  <c r="P55" i="16"/>
  <c r="P51" i="16"/>
  <c r="P47" i="16"/>
  <c r="P39" i="16"/>
  <c r="P35" i="16"/>
  <c r="P31" i="16"/>
  <c r="Q12" i="16"/>
  <c r="Q14" i="16"/>
  <c r="Q16" i="16"/>
  <c r="Q20" i="16"/>
  <c r="Q22" i="16"/>
  <c r="Q24" i="16"/>
  <c r="Q28" i="16"/>
  <c r="Q30" i="16"/>
  <c r="Q32" i="16"/>
  <c r="Q36" i="16"/>
  <c r="Q38" i="16"/>
  <c r="Q40" i="16"/>
  <c r="Q44" i="16"/>
  <c r="Q46" i="16"/>
  <c r="Q48"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4" i="16"/>
  <c r="Q122" i="16"/>
  <c r="Q130" i="16"/>
  <c r="Q138" i="16"/>
  <c r="Q146" i="16"/>
  <c r="Q154" i="16"/>
  <c r="Q162" i="16"/>
  <c r="Q170" i="16"/>
  <c r="Q178"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Q115" i="16"/>
  <c r="Q123" i="16"/>
  <c r="Q131" i="16"/>
  <c r="Q139" i="16"/>
  <c r="Q147" i="16"/>
  <c r="Q155" i="16"/>
  <c r="Q163" i="16"/>
  <c r="Q171" i="16"/>
  <c r="Q179" i="16"/>
  <c r="Q187" i="16"/>
  <c r="Q195" i="16"/>
  <c r="Q203" i="16"/>
  <c r="Q190" i="16"/>
  <c r="Q206" i="16"/>
  <c r="Q215" i="16"/>
  <c r="Q223" i="16"/>
  <c r="Q231" i="16"/>
  <c r="Q239" i="16"/>
  <c r="Q247" i="16"/>
  <c r="Q255" i="16"/>
  <c r="Q263" i="16"/>
  <c r="Q271" i="16"/>
  <c r="Q279" i="16"/>
  <c r="Q287" i="16"/>
  <c r="Q295" i="16"/>
  <c r="Q303" i="16"/>
  <c r="Q311" i="16"/>
  <c r="Q319" i="16"/>
  <c r="Q327" i="16"/>
  <c r="Q335" i="16"/>
  <c r="Q343" i="16"/>
  <c r="Q351" i="16"/>
  <c r="Q359" i="16"/>
  <c r="Q200" i="16"/>
  <c r="Q212" i="16"/>
  <c r="Q220" i="16"/>
  <c r="Q228" i="16"/>
  <c r="Q236" i="16"/>
  <c r="Q240" i="16"/>
  <c r="Q244" i="16"/>
  <c r="Q248" i="16"/>
  <c r="Q252" i="16"/>
  <c r="Q256" i="16"/>
  <c r="Q260" i="16"/>
  <c r="Q264" i="16"/>
  <c r="Q268" i="16"/>
  <c r="Q272" i="16"/>
  <c r="Q276" i="16"/>
  <c r="Q280" i="16"/>
  <c r="Q284" i="16"/>
  <c r="Q288" i="16"/>
  <c r="Q292" i="16"/>
  <c r="Q296" i="16"/>
  <c r="Q300" i="16"/>
  <c r="Q304" i="16"/>
  <c r="Q308" i="16"/>
  <c r="Q312" i="16"/>
  <c r="Q316" i="16"/>
  <c r="Q320" i="16"/>
  <c r="Q324" i="16"/>
  <c r="Q328" i="16"/>
  <c r="Q332" i="16"/>
  <c r="Q336" i="16"/>
  <c r="Q340" i="16"/>
  <c r="Q344" i="16"/>
  <c r="Q348" i="16"/>
  <c r="Q352" i="16"/>
  <c r="Q356" i="16"/>
  <c r="Q360" i="16"/>
  <c r="P62" i="16"/>
  <c r="P58" i="16"/>
  <c r="P54" i="16"/>
  <c r="P50" i="16"/>
  <c r="P46" i="16"/>
  <c r="P42" i="16"/>
  <c r="P38" i="16"/>
  <c r="P34" i="16"/>
  <c r="P30" i="16"/>
  <c r="P26" i="16"/>
  <c r="P65" i="16"/>
  <c r="P61" i="16"/>
  <c r="P57" i="16"/>
  <c r="P53" i="16"/>
  <c r="P49" i="16"/>
  <c r="P45" i="16"/>
  <c r="P41" i="16"/>
  <c r="P37" i="16"/>
  <c r="P33" i="16"/>
  <c r="P29" i="16"/>
  <c r="P25" i="16"/>
  <c r="P363" i="16" l="1"/>
  <c r="P358" i="16"/>
  <c r="P354" i="16"/>
  <c r="P326" i="16"/>
  <c r="P290" i="16"/>
  <c r="P298" i="16"/>
  <c r="P224" i="16"/>
  <c r="P258" i="16"/>
  <c r="P281" i="16"/>
  <c r="P27" i="16"/>
  <c r="P348" i="16"/>
  <c r="P332" i="16"/>
  <c r="P316" i="16"/>
  <c r="P286" i="16"/>
  <c r="P254" i="16"/>
  <c r="P200" i="16"/>
  <c r="P319" i="16"/>
  <c r="P174" i="16"/>
  <c r="P308" i="16"/>
  <c r="P292" i="16"/>
  <c r="P276" i="16"/>
  <c r="P260" i="16"/>
  <c r="P244" i="16"/>
  <c r="P212" i="16"/>
  <c r="P176" i="16"/>
  <c r="P331" i="16"/>
  <c r="P289" i="16"/>
  <c r="P225" i="16"/>
  <c r="P78" i="16"/>
  <c r="P238" i="16"/>
  <c r="P222" i="16"/>
  <c r="P206" i="16"/>
  <c r="P190" i="16"/>
  <c r="P357" i="16"/>
  <c r="P341" i="16"/>
  <c r="P325" i="16"/>
  <c r="P309" i="16"/>
  <c r="P277" i="16"/>
  <c r="P245" i="16"/>
  <c r="P203" i="16"/>
  <c r="P134" i="16"/>
  <c r="P163" i="16"/>
  <c r="P307" i="16"/>
  <c r="P291" i="16"/>
  <c r="P275" i="16"/>
  <c r="P259" i="16"/>
  <c r="P243" i="16"/>
  <c r="P227" i="16"/>
  <c r="P199" i="16"/>
  <c r="P162" i="16"/>
  <c r="P130" i="16"/>
  <c r="P86" i="16"/>
  <c r="P155" i="16"/>
  <c r="P91" i="16"/>
  <c r="P217" i="16"/>
  <c r="P201" i="16"/>
  <c r="P185" i="16"/>
  <c r="P164" i="16"/>
  <c r="P148" i="16"/>
  <c r="P132" i="16"/>
  <c r="P116" i="16"/>
  <c r="P90" i="16"/>
  <c r="P159" i="16"/>
  <c r="P127" i="16"/>
  <c r="P95" i="16"/>
  <c r="P100" i="16"/>
  <c r="P84" i="16"/>
  <c r="P68" i="16"/>
  <c r="P169" i="16"/>
  <c r="P153" i="16"/>
  <c r="P137" i="16"/>
  <c r="P121" i="16"/>
  <c r="P105" i="16"/>
  <c r="P89" i="16"/>
  <c r="P73" i="16"/>
  <c r="P52" i="16"/>
  <c r="P36" i="16"/>
  <c r="P59" i="16"/>
  <c r="P43" i="16"/>
  <c r="T32" i="8"/>
  <c r="M49" i="8" s="1"/>
  <c r="Q19" i="16"/>
  <c r="Q26" i="16"/>
  <c r="Q34" i="16"/>
  <c r="Q42" i="16"/>
  <c r="Q50" i="16"/>
  <c r="O305" i="16"/>
  <c r="AC84" i="16"/>
  <c r="AC78" i="16"/>
  <c r="AC61" i="16"/>
  <c r="AC80" i="16"/>
  <c r="AC94" i="16"/>
  <c r="AC108" i="16"/>
  <c r="AC155" i="16"/>
  <c r="AC196" i="16"/>
  <c r="AC203" i="16"/>
  <c r="AC208" i="16"/>
  <c r="AC47" i="16"/>
  <c r="AC62"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O50" i="8"/>
  <c r="M51" i="8"/>
  <c r="AT13" i="16"/>
  <c r="AU13" i="16" s="1"/>
  <c r="U94" i="8"/>
  <c r="AS14" i="16"/>
  <c r="AM13" i="16"/>
  <c r="AN13" i="16" s="1"/>
  <c r="M48" i="8" l="1"/>
  <c r="M50" i="8"/>
  <c r="M52" i="8"/>
  <c r="O51" i="8"/>
  <c r="E51" i="8"/>
  <c r="AH93" i="8"/>
  <c r="K40" i="8"/>
  <c r="O49" i="8"/>
  <c r="O48" i="8"/>
  <c r="Q121"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<sst xmlns="http://schemas.openxmlformats.org/spreadsheetml/2006/main" count="9832" uniqueCount="904">
  <si>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</si>
  <si>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</si>
  <si>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</si>
  <si>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</si>
  <si>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</si>
  <si>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</si>
  <si>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</si>
  <si>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</si>
  <si>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</si>
  <si>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</si>
  <si>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</si>
  <si>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</si>
  <si>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</si>
  <si>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</si>
  <si>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</si>
  <si>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</si>
  <si>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</si>
  <si>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</si>
  <si>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</si>
  <si>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</si>
  <si>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</si>
  <si>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</si>
  <si>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</si>
  <si>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</si>
  <si>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</si>
  <si>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</si>
  <si>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</si>
  <si>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</si>
  <si>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</si>
  <si>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</si>
  <si>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</si>
  <si>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</si>
  <si>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</si>
  <si>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</si>
  <si>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</si>
  <si>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</si>
  <si>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</si>
  <si>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</si>
  <si>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</si>
  <si>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</si>
  <si>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</si>
  <si>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</si>
  <si>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</si>
  <si>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</si>
  <si>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</si>
  <si>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</si>
  <si>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</si>
  <si>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</si>
  <si>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</si>
  <si>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</si>
  <si>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</si>
  <si>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</si>
  <si>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</si>
  <si>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</si>
  <si>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</si>
  <si>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</si>
  <si>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</si>
  <si>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</si>
  <si>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</si>
  <si>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</si>
  <si>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</si>
  <si>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</si>
  <si>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</si>
  <si>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</si>
  <si>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</si>
  <si>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</si>
  <si>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</si>
  <si>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</si>
  <si>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</si>
  <si>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</si>
  <si>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</si>
  <si>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</si>
  <si>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</si>
  <si>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</si>
  <si>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</si>
  <si>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</si>
  <si>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</si>
  <si>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</si>
  <si>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</si>
  <si>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</si>
  <si>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</si>
  <si>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</si>
  <si>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</si>
  <si>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</si>
  <si>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</si>
  <si>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</si>
  <si>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</si>
  <si>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</si>
  <si>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</si>
  <si>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</si>
  <si>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</si>
  <si>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</si>
  <si>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</si>
  <si>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</si>
  <si>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</si>
  <si>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</si>
  <si>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</si>
  <si>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</si>
  <si>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</si>
  <si>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</si>
  <si>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</si>
  <si>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</si>
  <si>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</si>
  <si>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</si>
  <si>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</si>
  <si>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</si>
  <si>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</si>
  <si>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</si>
  <si>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</si>
  <si>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</si>
  <si>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</si>
  <si>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</si>
  <si>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</si>
  <si>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</si>
  <si>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</si>
  <si>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</si>
  <si>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</si>
  <si>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</si>
  <si>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</si>
  <si>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</si>
  <si>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</si>
  <si>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</si>
  <si>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</si>
  <si>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</si>
  <si>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</si>
  <si>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</si>
  <si>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</si>
  <si>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</si>
  <si>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</si>
  <si>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</si>
  <si>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</si>
  <si>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</si>
  <si>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</si>
  <si>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</si>
  <si>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</si>
  <si>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</si>
  <si>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</si>
  <si>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</si>
  <si>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</si>
  <si>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</si>
  <si>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</si>
  <si>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</si>
  <si>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</si>
  <si>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</si>
  <si>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</si>
  <si>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</si>
  <si>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</si>
  <si>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</si>
  <si>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</si>
  <si>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</si>
  <si>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</si>
  <si>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</si>
  <si>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</si>
  <si>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</si>
  <si>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</si>
  <si>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</si>
  <si>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</si>
  <si>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</si>
  <si>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</si>
  <si>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</si>
  <si>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</si>
  <si>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</si>
  <si>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</si>
  <si>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</si>
  <si>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</si>
  <si>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</si>
  <si>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</si>
  <si>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</si>
  <si>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</si>
  <si>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</si>
  <si>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</si>
  <si>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</si>
  <si>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</si>
  <si>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</si>
  <si>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</si>
  <si>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</si>
  <si>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</si>
  <si>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</si>
  <si>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</si>
  <si>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</si>
  <si>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</si>
  <si>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</si>
  <si>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</si>
  <si>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</si>
  <si>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</si>
  <si>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</si>
  <si>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</si>
  <si>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</si>
  <si>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</si>
  <si>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</si>
  <si>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</si>
  <si>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</si>
  <si>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</si>
  <si>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</si>
  <si>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</si>
  <si>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</si>
  <si>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</si>
  <si>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</si>
  <si>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</si>
  <si>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</si>
  <si>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</si>
  <si>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</si>
  <si>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</si>
  <si>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</si>
  <si>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</si>
  <si>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</si>
  <si>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</si>
  <si>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</si>
  <si>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</si>
  <si>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</si>
  <si>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</si>
  <si>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</si>
  <si>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</si>
  <si>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</si>
  <si>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</si>
  <si>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</si>
  <si>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</si>
  <si>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</si>
  <si>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</si>
  <si>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</si>
  <si>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</si>
  <si>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</si>
  <si>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</si>
  <si>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</si>
  <si>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</si>
  <si>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</si>
  <si>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</si>
  <si>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</si>
  <si>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</si>
  <si>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</si>
  <si>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</si>
  <si>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</si>
  <si>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</si>
  <si>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</si>
  <si>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</si>
  <si>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</si>
  <si>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</si>
  <si>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</si>
  <si>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</si>
  <si>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</si>
  <si>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</si>
  <si>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</si>
  <si>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</si>
  <si>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</si>
  <si>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</si>
  <si>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</si>
  <si>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</si>
  <si>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</si>
  <si>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</si>
  <si>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</si>
  <si>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</si>
  <si>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</si>
  <si>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</si>
  <si>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</si>
  <si>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</si>
  <si>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</si>
  <si>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</si>
  <si>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</si>
  <si>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</si>
  <si>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</si>
  <si>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</si>
  <si>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</si>
  <si>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</si>
  <si>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</si>
  <si>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</si>
  <si>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</si>
  <si>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</si>
  <si>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</si>
  <si>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</si>
  <si>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</si>
  <si>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</si>
  <si>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</si>
  <si>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</si>
  <si>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</si>
  <si>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</si>
  <si>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</si>
  <si>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</si>
  <si>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</si>
  <si>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</si>
  <si>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</si>
  <si>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</si>
  <si>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</si>
  <si>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</si>
  <si>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</si>
  <si>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</si>
  <si>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</si>
  <si>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</si>
  <si>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</si>
  <si>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</si>
  <si>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</si>
  <si>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</si>
  <si>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</si>
  <si>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</si>
  <si>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</si>
  <si>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</si>
  <si>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</si>
  <si>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</si>
  <si>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</si>
  <si>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</si>
  <si>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</si>
  <si>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</si>
  <si>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</si>
  <si>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</si>
  <si>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</si>
  <si>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</si>
  <si>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</si>
  <si>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</si>
  <si>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</si>
  <si>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</si>
  <si>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</si>
  <si>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</si>
  <si>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</si>
  <si>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</si>
  <si>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</si>
  <si>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</si>
  <si>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</si>
  <si>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</si>
  <si>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</si>
  <si>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</si>
  <si>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</si>
  <si>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</si>
  <si>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</si>
  <si>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</si>
  <si>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</si>
  <si>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</si>
  <si>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</si>
  <si>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</si>
  <si>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</si>
  <si>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</si>
  <si>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</si>
  <si>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</si>
  <si>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</si>
  <si>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</si>
  <si>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</si>
  <si>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</si>
  <si>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</si>
  <si>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</si>
  <si>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</si>
  <si>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</si>
  <si>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</si>
  <si>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</si>
  <si>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</si>
  <si>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</si>
  <si>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</si>
  <si>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</si>
  <si>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</si>
  <si>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</si>
  <si>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</si>
  <si>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</si>
  <si>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</si>
  <si>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</si>
  <si>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</si>
  <si>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</si>
  <si>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</si>
  <si>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</si>
  <si>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</si>
  <si>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</si>
  <si>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</si>
  <si>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</si>
  <si>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</si>
  <si>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</si>
  <si>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</si>
  <si>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</si>
  <si>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</si>
  <si>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</si>
  <si>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</si>
  <si>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</si>
  <si>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</si>
  <si>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</si>
  <si>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</si>
  <si>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</si>
  <si>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</si>
  <si>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</si>
  <si>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</si>
  <si>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</si>
  <si>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</si>
  <si>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</si>
  <si>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</si>
  <si>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</si>
  <si>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</si>
  <si>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</si>
  <si>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</si>
  <si>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</si>
  <si>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</si>
  <si>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</si>
  <si>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</si>
  <si>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</si>
  <si>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</si>
  <si>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</si>
  <si>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</si>
  <si>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</si>
  <si>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</si>
  <si>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</si>
  <si>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</si>
  <si>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</si>
  <si>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</si>
  <si>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</si>
  <si>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</si>
  <si>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</si>
  <si>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</si>
  <si>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</si>
  <si>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</si>
  <si>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</si>
  <si>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</si>
  <si>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</si>
  <si>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</si>
  <si>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</si>
  <si>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</si>
  <si>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</si>
  <si>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</si>
  <si>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</si>
  <si>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</si>
  <si>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</si>
  <si>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</si>
  <si>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</si>
  <si>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</si>
  <si>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</si>
  <si>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</si>
  <si>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</si>
  <si>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</si>
  <si>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</si>
  <si>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</si>
  <si>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</si>
  <si>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</si>
  <si>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</si>
  <si>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</si>
  <si>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</si>
  <si>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</si>
  <si>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</si>
  <si>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</si>
  <si>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</si>
  <si>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</si>
  <si>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</si>
  <si>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</si>
  <si>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</si>
  <si>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</si>
  <si>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</si>
  <si>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</si>
  <si>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</si>
  <si>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</si>
  <si>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</si>
  <si>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</si>
  <si>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</si>
  <si>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</si>
  <si>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</si>
  <si>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</si>
  <si>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</si>
  <si>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</si>
  <si>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</si>
  <si>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</si>
  <si>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</si>
  <si>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</si>
  <si>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</si>
  <si>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</si>
  <si>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</si>
  <si>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</si>
  <si>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</si>
  <si>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</si>
  <si>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</si>
  <si>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</si>
  <si>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</si>
  <si>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</si>
  <si>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</si>
  <si>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</si>
  <si>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</si>
  <si>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</si>
  <si>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</si>
  <si>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</si>
  <si>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</si>
  <si>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</si>
  <si>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</si>
  <si>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</si>
  <si>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</si>
  <si>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</si>
  <si>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</si>
  <si>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</si>
  <si>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</si>
  <si>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</si>
  <si>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</si>
  <si>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</si>
  <si>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</si>
  <si>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</si>
  <si>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</si>
  <si>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</si>
  <si>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</si>
  <si>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</si>
  <si>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</si>
  <si>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</si>
  <si>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</si>
  <si>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</si>
  <si>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</si>
  <si>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</si>
  <si>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</si>
  <si>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</si>
  <si>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</si>
  <si>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</si>
  <si>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</si>
  <si>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</si>
  <si>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</si>
  <si>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</si>
  <si>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</si>
  <si>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</si>
  <si>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</si>
  <si>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</si>
  <si>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</si>
  <si>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</si>
  <si>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</si>
  <si>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</si>
  <si>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</si>
  <si>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</si>
  <si>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</si>
  <si>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</si>
  <si>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</si>
  <si>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</si>
  <si>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</si>
  <si>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</si>
  <si>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</si>
  <si>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</si>
  <si>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</si>
  <si>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</si>
  <si>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</si>
  <si>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</si>
  <si>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</si>
  <si>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</si>
  <si>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</si>
  <si>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</si>
  <si>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</si>
  <si>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</si>
  <si>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</si>
  <si>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</si>
  <si>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</si>
  <si>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</si>
  <si>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</si>
  <si>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</si>
  <si>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</si>
  <si>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</si>
  <si>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</si>
  <si>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</si>
  <si>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</si>
  <si>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</si>
  <si>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</si>
  <si>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</si>
  <si>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</si>
  <si>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</si>
  <si>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</si>
  <si>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</si>
  <si>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</si>
  <si>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</si>
  <si>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</si>
  <si>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</si>
  <si>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</si>
  <si>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</si>
  <si>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</si>
  <si>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</si>
  <si>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</si>
  <si>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</si>
  <si>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</si>
  <si>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</si>
  <si>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</si>
  <si>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</si>
  <si>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</si>
  <si>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</si>
  <si>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</si>
  <si>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</si>
  <si>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</si>
  <si>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</si>
  <si>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</si>
  <si>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</si>
  <si>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</si>
  <si>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</si>
  <si>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</si>
  <si>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</si>
  <si>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</si>
  <si>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</si>
  <si>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</si>
  <si>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</si>
  <si>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</si>
  <si>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</si>
  <si>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</si>
  <si>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</si>
  <si>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</si>
  <si>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</si>
  <si>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</si>
  <si>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</si>
  <si>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</si>
  <si>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</si>
  <si>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</si>
  <si>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</si>
  <si>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</si>
  <si>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</si>
  <si>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</si>
  <si>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</si>
  <si>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</si>
  <si>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</si>
  <si>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</si>
  <si>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</si>
  <si>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</si>
  <si>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</si>
  <si>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</si>
  <si>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</si>
  <si>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</si>
  <si>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</si>
  <si>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</si>
  <si>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</si>
  <si>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</si>
  <si>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</si>
  <si>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</si>
  <si>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</si>
  <si>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</si>
  <si>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</si>
  <si>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</si>
  <si>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</si>
  <si>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</si>
  <si>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</si>
  <si>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</si>
  <si>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</si>
  <si>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</si>
  <si>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</si>
  <si>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</si>
  <si>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</si>
  <si>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</si>
  <si>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</si>
  <si>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</si>
  <si>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</si>
  <si>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</si>
  <si>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</si>
  <si>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</si>
  <si>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</si>
  <si>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</si>
  <si>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</si>
  <si>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</si>
  <si>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</si>
  <si>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</si>
  <si>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</si>
  <si>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</si>
  <si>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</si>
  <si>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</si>
  <si>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</si>
  <si>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</si>
  <si>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</si>
  <si>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</si>
  <si>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</si>
  <si>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</si>
  <si>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</si>
  <si>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</si>
  <si>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</si>
  <si>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</si>
  <si>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</si>
  <si>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</si>
  <si>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</si>
  <si>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</si>
  <si>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</si>
  <si>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</si>
  <si>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</si>
  <si>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</si>
  <si>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</si>
  <si>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</si>
  <si>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</si>
  <si>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</si>
  <si>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</si>
  <si>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</si>
  <si>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</si>
  <si>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</si>
  <si>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</si>
  <si>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</si>
  <si>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</si>
  <si>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</si>
  <si>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</si>
  <si>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</si>
  <si>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</si>
  <si>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</si>
  <si>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</si>
  <si>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</si>
  <si>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</si>
  <si>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</si>
  <si>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</si>
  <si>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</si>
  <si>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</si>
  <si>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</si>
  <si>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</si>
  <si>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</si>
  <si>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</si>
  <si>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</si>
  <si>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</si>
  <si>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</si>
  <si>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</si>
  <si>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</si>
  <si>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</si>
  <si>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</si>
  <si>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</si>
  <si>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</si>
  <si>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</si>
  <si>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</si>
  <si>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</si>
  <si>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</si>
  <si>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</si>
  <si>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</si>
  <si>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</si>
  <si>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</si>
  <si>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</si>
  <si>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</si>
  <si>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</si>
  <si>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</si>
  <si>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</si>
  <si>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</si>
  <si>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</si>
  <si>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</si>
  <si>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</si>
  <si>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</si>
  <si>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</si>
  <si>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</si>
  <si>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</si>
  <si>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</si>
  <si>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</si>
  <si>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</si>
  <si>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</si>
  <si>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</si>
  <si>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</si>
  <si>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</si>
  <si>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</si>
  <si>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</si>
  <si>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</si>
  <si>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</si>
  <si>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</si>
  <si>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</si>
  <si>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</si>
  <si>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</si>
  <si>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</si>
  <si>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</si>
  <si>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</si>
  <si>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</si>
  <si>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</si>
  <si>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</si>
  <si>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</si>
  <si>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</si>
  <si>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</si>
  <si>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</si>
  <si>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</si>
  <si>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</si>
  <si>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</si>
  <si>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</si>
  <si>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</si>
  <si>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</si>
  <si>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</si>
  <si>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</si>
  <si>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</si>
  <si>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</si>
  <si>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</si>
  <si>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</si>
  <si>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</si>
  <si>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</si>
  <si>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</si>
  <si>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</si>
  <si>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</si>
  <si>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</si>
  <si>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</si>
  <si>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</si>
  <si>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</si>
  <si>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</si>
  <si>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</si>
  <si>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</si>
  <si>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</si>
  <si>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</si>
  <si>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</si>
  <si>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</si>
  <si>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</si>
  <si>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</si>
  <si>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</si>
  <si>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</si>
  <si>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</si>
  <si>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</si>
  <si>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</si>
  <si>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</si>
  <si>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</si>
  <si>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</si>
  <si>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</si>
  <si>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</si>
  <si>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</si>
  <si>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</si>
  <si>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</si>
  <si>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</si>
  <si>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</si>
  <si>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</si>
  <si>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</si>
  <si>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</si>
  <si>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</si>
  <si>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</si>
  <si>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</si>
  <si>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</si>
  <si>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</si>
  <si>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</si>
  <si>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</si>
  <si>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</si>
  <si>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</si>
  <si>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</si>
  <si>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</si>
  <si>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</si>
  <si>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</si>
  <si>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</si>
  <si>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</si>
  <si>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</si>
  <si>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</si>
  <si>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</si>
  <si>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</si>
  <si>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</si>
  <si>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</si>
  <si>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</si>
  <si>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</si>
  <si>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</si>
  <si>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</si>
  <si>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</si>
  <si>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</si>
  <si>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</si>
  <si>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</si>
  <si>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</si>
  <si>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</si>
  <si>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</si>
  <si>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</si>
  <si>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</si>
  <si>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</si>
  <si>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</si>
  <si>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</si>
  <si>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</si>
  <si>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</si>
  <si>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</si>
  <si>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</si>
  <si>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</si>
  <si>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</si>
  <si>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</si>
  <si>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</si>
  <si>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</si>
  <si>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</si>
  <si>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</si>
  <si>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</si>
  <si>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</si>
  <si>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</si>
  <si>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</si>
  <si>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</si>
  <si>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</si>
  <si>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</si>
  <si>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</si>
  <si>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</si>
  <si>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</si>
  <si>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</si>
  <si>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</si>
  <si>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</si>
  <si>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</si>
  <si>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</si>
  <si>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</si>
  <si>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</si>
  <si>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</si>
  <si>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</si>
  <si>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</si>
  <si>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</si>
  <si>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</si>
  <si>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</si>
  <si>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</si>
  <si>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</si>
  <si>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</si>
  <si>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</si>
  <si>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</si>
  <si>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</si>
  <si>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</si>
  <si>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</si>
  <si>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</si>
  <si>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</si>
  <si>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</si>
  <si>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</si>
  <si>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</si>
  <si>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</si>
  <si>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</si>
  <si>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</si>
  <si>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</si>
  <si>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</si>
  <si>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</si>
  <si>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</si>
  <si>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</si>
  <si>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</si>
  <si>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</si>
  <si>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</si>
  <si>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</si>
  <si>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</si>
  <si>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</si>
  <si>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</si>
  <si>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</si>
  <si>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</si>
  <si>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</si>
  <si>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</si>
  <si>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</si>
  <si>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</si>
  <si>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</si>
  <si>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</si>
  <si>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</si>
  <si>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</si>
  <si>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</si>
  <si>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</si>
  <si>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</si>
  <si>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</si>
  <si>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Q1 2013/14</t>
  </si>
  <si>
    <t>Q2 2013/14</t>
  </si>
  <si>
    <t>Q3 2013/14</t>
  </si>
  <si>
    <t>Q1-3 average 2013/14</t>
  </si>
  <si>
    <t>www.gov.uk</t>
  </si>
  <si>
    <t>Speed of Processing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</si>
</sst>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47"/>
                <c:pt idx="46">
                  <c:v>u</c:v>
                </c:pt>
              </c:strCache>
            </c:strRef>
          </c:cat>
          <c:val>
            <c:numRef>
              <c:f>[0]!TopQuart</c:f>
              <c:numCache>
                <c:formatCode>General</c:formatCode>
                <c:ptCount val="55"/>
                <c:pt idx="0">
                  <c:v>10</c:v>
                </c:pt>
                <c:pt idx="1">
                  <c:v>10</c:v>
                </c:pt>
                <c:pt idx="2">
                  <c:v>11</c:v>
                </c:pt>
                <c:pt idx="3">
                  <c:v>11</c:v>
                </c:pt>
                <c:pt idx="4">
                  <c:v>14</c:v>
                </c:pt>
                <c:pt idx="5">
                  <c:v>15</c:v>
                </c:pt>
                <c:pt idx="6">
                  <c:v>15</c:v>
                </c:pt>
                <c:pt idx="7">
                  <c:v>15</c:v>
                </c:pt>
                <c:pt idx="8">
                  <c:v>16</c:v>
                </c:pt>
                <c:pt idx="9">
                  <c:v>16</c:v>
                </c:pt>
                <c:pt idx="10">
                  <c:v>16</c:v>
                </c:pt>
                <c:pt idx="11">
                  <c:v>16</c:v>
                </c:pt>
                <c:pt idx="12">
                  <c:v>17</c:v>
                </c:pt>
                <c:pt idx="13">
                  <c:v>17</c:v>
                </c:pt>
                <c:pt idx="14">
                  <c:v>17</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47"/>
                <c:pt idx="46">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18</c:v>
                </c:pt>
                <c:pt idx="16">
                  <c:v>18</c:v>
                </c:pt>
                <c:pt idx="17">
                  <c:v>19</c:v>
                </c:pt>
                <c:pt idx="18">
                  <c:v>19</c:v>
                </c:pt>
                <c:pt idx="19">
                  <c:v>19</c:v>
                </c:pt>
                <c:pt idx="20">
                  <c:v>20</c:v>
                </c:pt>
                <c:pt idx="21">
                  <c:v>20</c:v>
                </c:pt>
                <c:pt idx="22">
                  <c:v>20</c:v>
                </c:pt>
                <c:pt idx="23">
                  <c:v>20</c:v>
                </c:pt>
                <c:pt idx="24">
                  <c:v>21</c:v>
                </c:pt>
                <c:pt idx="25">
                  <c:v>21</c:v>
                </c:pt>
                <c:pt idx="26">
                  <c:v>21</c:v>
                </c:pt>
                <c:pt idx="27">
                  <c:v>21</c:v>
                </c:pt>
                <c:pt idx="28">
                  <c:v>21</c:v>
                </c:pt>
                <c:pt idx="29">
                  <c:v>21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47"/>
                <c:pt idx="46">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22</c:v>
                </c:pt>
                <c:pt idx="31">
                  <c:v>22</c:v>
                </c:pt>
                <c:pt idx="32">
                  <c:v>23</c:v>
                </c:pt>
                <c:pt idx="33">
                  <c:v>23</c:v>
                </c:pt>
                <c:pt idx="34">
                  <c:v>23</c:v>
                </c:pt>
                <c:pt idx="35">
                  <c:v>24</c:v>
                </c:pt>
                <c:pt idx="36">
                  <c:v>25</c:v>
                </c:pt>
                <c:pt idx="37">
                  <c:v>27</c:v>
                </c:pt>
                <c:pt idx="38">
                  <c:v>27</c:v>
                </c:pt>
                <c:pt idx="39">
                  <c:v>27</c:v>
                </c:pt>
                <c:pt idx="40">
                  <c:v>27</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47"/>
                <c:pt idx="46">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28</c:v>
                </c:pt>
                <c:pt idx="42">
                  <c:v>28</c:v>
                </c:pt>
                <c:pt idx="43">
                  <c:v>30</c:v>
                </c:pt>
                <c:pt idx="44">
                  <c:v>31</c:v>
                </c:pt>
                <c:pt idx="45">
                  <c:v>33</c:v>
                </c:pt>
                <c:pt idx="46">
                  <c:v>33</c:v>
                </c:pt>
                <c:pt idx="47">
                  <c:v>33</c:v>
                </c:pt>
                <c:pt idx="48">
                  <c:v>34</c:v>
                </c:pt>
                <c:pt idx="49">
                  <c:v>35</c:v>
                </c:pt>
                <c:pt idx="50">
                  <c:v>36</c:v>
                </c:pt>
                <c:pt idx="51">
                  <c:v>37</c:v>
                </c:pt>
                <c:pt idx="52">
                  <c:v>39</c:v>
                </c:pt>
                <c:pt idx="53">
                  <c:v>41</c:v>
                </c:pt>
                <c:pt idx="54">
                  <c:v>46</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47"/>
                <c:pt idx="46">
                  <c:v>u</c:v>
                </c:pt>
              </c:strCache>
            </c:strRef>
          </c:cat>
          <c:val>
            <c:numRef>
              <c:f>[0]!MarkData</c:f>
              <c:numCache>
                <c:formatCode>0.00</c:formatCode>
                <c:ptCount val="55"/>
                <c:pt idx="0">
                  <c:v>10</c:v>
                </c:pt>
                <c:pt idx="1">
                  <c:v>10</c:v>
                </c:pt>
                <c:pt idx="2">
                  <c:v>11</c:v>
                </c:pt>
                <c:pt idx="3">
                  <c:v>11</c:v>
                </c:pt>
                <c:pt idx="4">
                  <c:v>14</c:v>
                </c:pt>
                <c:pt idx="5">
                  <c:v>15</c:v>
                </c:pt>
                <c:pt idx="6">
                  <c:v>15</c:v>
                </c:pt>
                <c:pt idx="7">
                  <c:v>15</c:v>
                </c:pt>
                <c:pt idx="8">
                  <c:v>16</c:v>
                </c:pt>
                <c:pt idx="9">
                  <c:v>16</c:v>
                </c:pt>
                <c:pt idx="10">
                  <c:v>16</c:v>
                </c:pt>
                <c:pt idx="11">
                  <c:v>16</c:v>
                </c:pt>
                <c:pt idx="12">
                  <c:v>17</c:v>
                </c:pt>
                <c:pt idx="13">
                  <c:v>17</c:v>
                </c:pt>
                <c:pt idx="14">
                  <c:v>17</c:v>
                </c:pt>
                <c:pt idx="15">
                  <c:v>18</c:v>
                </c:pt>
                <c:pt idx="16">
                  <c:v>18</c:v>
                </c:pt>
                <c:pt idx="17">
                  <c:v>19</c:v>
                </c:pt>
                <c:pt idx="18">
                  <c:v>19</c:v>
                </c:pt>
                <c:pt idx="19">
                  <c:v>19</c:v>
                </c:pt>
                <c:pt idx="20">
                  <c:v>20</c:v>
                </c:pt>
                <c:pt idx="21">
                  <c:v>20</c:v>
                </c:pt>
                <c:pt idx="22">
                  <c:v>20</c:v>
                </c:pt>
                <c:pt idx="23">
                  <c:v>20</c:v>
                </c:pt>
                <c:pt idx="24">
                  <c:v>21</c:v>
                </c:pt>
                <c:pt idx="25">
                  <c:v>21</c:v>
                </c:pt>
                <c:pt idx="26">
                  <c:v>21</c:v>
                </c:pt>
                <c:pt idx="27">
                  <c:v>21</c:v>
                </c:pt>
                <c:pt idx="28">
                  <c:v>21</c:v>
                </c:pt>
                <c:pt idx="29">
                  <c:v>21</c:v>
                </c:pt>
                <c:pt idx="30">
                  <c:v>22</c:v>
                </c:pt>
                <c:pt idx="31">
                  <c:v>22</c:v>
                </c:pt>
                <c:pt idx="32">
                  <c:v>23</c:v>
                </c:pt>
                <c:pt idx="33">
                  <c:v>23</c:v>
                </c:pt>
                <c:pt idx="34">
                  <c:v>23</c:v>
                </c:pt>
                <c:pt idx="35">
                  <c:v>24</c:v>
                </c:pt>
                <c:pt idx="36">
                  <c:v>25</c:v>
                </c:pt>
                <c:pt idx="37">
                  <c:v>27</c:v>
                </c:pt>
                <c:pt idx="38">
                  <c:v>27</c:v>
                </c:pt>
                <c:pt idx="39">
                  <c:v>27</c:v>
                </c:pt>
                <c:pt idx="40">
                  <c:v>27</c:v>
                </c:pt>
                <c:pt idx="41">
                  <c:v>28</c:v>
                </c:pt>
                <c:pt idx="42">
                  <c:v>28</c:v>
                </c:pt>
                <c:pt idx="43">
                  <c:v>30</c:v>
                </c:pt>
                <c:pt idx="44">
                  <c:v>31</c:v>
                </c:pt>
                <c:pt idx="45">
                  <c:v>33</c:v>
                </c:pt>
                <c:pt idx="46">
                  <c:v>33</c:v>
                </c:pt>
                <c:pt idx="47">
                  <c:v>33</c:v>
                </c:pt>
                <c:pt idx="48">
                  <c:v>34</c:v>
                </c:pt>
                <c:pt idx="49">
                  <c:v>35</c:v>
                </c:pt>
                <c:pt idx="50">
                  <c:v>36</c:v>
                </c:pt>
                <c:pt idx="51">
                  <c:v>37</c:v>
                </c:pt>
                <c:pt idx="52">
                  <c:v>39</c:v>
                </c:pt>
                <c:pt idx="53">
                  <c:v>41</c:v>
                </c:pt>
                <c:pt idx="54">
                  <c:v>46</c:v>
                </c:pt>
              </c:numCache>
            </c:numRef>
          </c:val>
        </c:ser>
        <c:dLbls>
          <c:showLegendKey val="0"/>
          <c:showVal val="0"/>
          <c:showCatName val="0"/>
          <c:showSerName val="0"/>
          <c:showPercent val="0"/>
          <c:showBubbleSize val="0"/>
        </c:dLbls>
        <c:gapWidth val="0"/>
        <c:overlap val="100"/>
        <c:axId val="542904136"/>
        <c:axId val="584974432"/>
      </c:barChart>
      <c:catAx>
        <c:axId val="542904136"/>
        <c:scaling>
          <c:orientation val="minMax"/>
        </c:scaling>
        <c:delete val="0"/>
        <c:axPos val="b"/>
        <c:numFmt formatCode="General" sourceLinked="1"/>
        <c:majorTickMark val="none"/>
        <c:minorTickMark val="none"/>
        <c:tickLblPos val="none"/>
        <c:crossAx val="584974432"/>
        <c:crosses val="autoZero"/>
        <c:auto val="1"/>
        <c:lblAlgn val="ctr"/>
        <c:lblOffset val="100"/>
        <c:noMultiLvlLbl val="0"/>
      </c:catAx>
      <c:valAx>
        <c:axId val="584974432"/>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2904136"/>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Cheshire West &amp; Chester</c:v>
                </c:pt>
                <c:pt idx="1">
                  <c:v>Unitaries</c:v>
                </c:pt>
                <c:pt idx="2">
                  <c:v>Family</c:v>
                </c:pt>
                <c:pt idx="3">
                  <c:v>Regional</c:v>
                </c:pt>
                <c:pt idx="4">
                  <c:v>Rural</c:v>
                </c:pt>
              </c:strCache>
            </c:strRef>
          </c:cat>
          <c:val>
            <c:numRef>
              <c:f>Profile!$E$48:$E$52</c:f>
              <c:numCache>
                <c:formatCode>0.00</c:formatCode>
                <c:ptCount val="5"/>
                <c:pt idx="0">
                  <c:v>33</c:v>
                </c:pt>
                <c:pt idx="1">
                  <c:v>23.072727272727274</c:v>
                </c:pt>
                <c:pt idx="2">
                  <c:v>24.3125</c:v>
                </c:pt>
                <c:pt idx="3">
                  <c:v>24.333333333333332</c:v>
                </c:pt>
                <c:pt idx="4">
                  <c:v>23.833333333333332</c:v>
                </c:pt>
              </c:numCache>
            </c:numRef>
          </c:val>
        </c:ser>
        <c:dLbls>
          <c:showLegendKey val="0"/>
          <c:showVal val="0"/>
          <c:showCatName val="0"/>
          <c:showSerName val="0"/>
          <c:showPercent val="0"/>
          <c:showBubbleSize val="0"/>
        </c:dLbls>
        <c:gapWidth val="39"/>
        <c:overlap val="100"/>
        <c:axId val="584975216"/>
        <c:axId val="584975608"/>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17</c:v>
                </c:pt>
                <c:pt idx="1">
                  <c:v>17</c:v>
                </c:pt>
                <c:pt idx="2">
                  <c:v>17</c:v>
                </c:pt>
                <c:pt idx="3">
                  <c:v>17</c:v>
                </c:pt>
                <c:pt idx="4">
                  <c:v>17</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21</c:v>
                </c:pt>
                <c:pt idx="1">
                  <c:v>21</c:v>
                </c:pt>
                <c:pt idx="2">
                  <c:v>21</c:v>
                </c:pt>
                <c:pt idx="3">
                  <c:v>21</c:v>
                </c:pt>
                <c:pt idx="4">
                  <c:v>21</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27.5</c:v>
                </c:pt>
                <c:pt idx="1">
                  <c:v>27.5</c:v>
                </c:pt>
                <c:pt idx="2">
                  <c:v>27.5</c:v>
                </c:pt>
                <c:pt idx="3">
                  <c:v>27.5</c:v>
                </c:pt>
                <c:pt idx="4">
                  <c:v>27.5</c:v>
                </c:pt>
              </c:numCache>
            </c:numRef>
          </c:val>
          <c:smooth val="0"/>
        </c:ser>
        <c:dLbls>
          <c:showLegendKey val="0"/>
          <c:showVal val="0"/>
          <c:showCatName val="0"/>
          <c:showSerName val="0"/>
          <c:showPercent val="0"/>
          <c:showBubbleSize val="0"/>
        </c:dLbls>
        <c:marker val="1"/>
        <c:smooth val="0"/>
        <c:axId val="584975216"/>
        <c:axId val="584975608"/>
      </c:lineChart>
      <c:catAx>
        <c:axId val="5849752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84975608"/>
        <c:crosses val="autoZero"/>
        <c:auto val="1"/>
        <c:lblAlgn val="ctr"/>
        <c:lblOffset val="100"/>
        <c:noMultiLvlLbl val="0"/>
      </c:catAx>
      <c:valAx>
        <c:axId val="584975608"/>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84975216"/>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Cheshire West &amp; Chester</c:v>
                </c:pt>
                <c:pt idx="1">
                  <c:v>Predominantly Rural</c:v>
                </c:pt>
                <c:pt idx="2">
                  <c:v>Predominantly Urban</c:v>
                </c:pt>
                <c:pt idx="3">
                  <c:v>Significant Rural</c:v>
                </c:pt>
              </c:strCache>
            </c:strRef>
          </c:cat>
          <c:val>
            <c:numRef>
              <c:f>Profile!$G$118:$G$121</c:f>
              <c:numCache>
                <c:formatCode>0.00</c:formatCode>
                <c:ptCount val="4"/>
                <c:pt idx="0">
                  <c:v>33</c:v>
                </c:pt>
                <c:pt idx="1">
                  <c:v>23.1875</c:v>
                </c:pt>
                <c:pt idx="2">
                  <c:v>23.088235294117649</c:v>
                </c:pt>
                <c:pt idx="3">
                  <c:v>22.6</c:v>
                </c:pt>
              </c:numCache>
            </c:numRef>
          </c:val>
        </c:ser>
        <c:dLbls>
          <c:showLegendKey val="0"/>
          <c:showVal val="0"/>
          <c:showCatName val="0"/>
          <c:showSerName val="0"/>
          <c:showPercent val="0"/>
          <c:showBubbleSize val="0"/>
        </c:dLbls>
        <c:gapWidth val="39"/>
        <c:overlap val="100"/>
        <c:axId val="542896816"/>
        <c:axId val="54289720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17</c:v>
                </c:pt>
                <c:pt idx="1">
                  <c:v>17</c:v>
                </c:pt>
                <c:pt idx="2">
                  <c:v>17</c:v>
                </c:pt>
                <c:pt idx="3">
                  <c:v>17</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21</c:v>
                </c:pt>
                <c:pt idx="1">
                  <c:v>21</c:v>
                </c:pt>
                <c:pt idx="2">
                  <c:v>21</c:v>
                </c:pt>
                <c:pt idx="3">
                  <c:v>21</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27.5</c:v>
                </c:pt>
                <c:pt idx="1">
                  <c:v>27.5</c:v>
                </c:pt>
                <c:pt idx="2">
                  <c:v>27.5</c:v>
                </c:pt>
                <c:pt idx="3">
                  <c:v>27.5</c:v>
                </c:pt>
              </c:numCache>
            </c:numRef>
          </c:val>
          <c:smooth val="0"/>
        </c:ser>
        <c:dLbls>
          <c:showLegendKey val="0"/>
          <c:showVal val="0"/>
          <c:showCatName val="0"/>
          <c:showSerName val="0"/>
          <c:showPercent val="0"/>
          <c:showBubbleSize val="0"/>
        </c:dLbls>
        <c:marker val="1"/>
        <c:smooth val="0"/>
        <c:axId val="542896816"/>
        <c:axId val="542897208"/>
      </c:lineChart>
      <c:catAx>
        <c:axId val="54289681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2897208"/>
        <c:crosses val="autoZero"/>
        <c:auto val="1"/>
        <c:lblAlgn val="ctr"/>
        <c:lblOffset val="100"/>
        <c:noMultiLvlLbl val="0"/>
      </c:catAx>
      <c:valAx>
        <c:axId val="54289720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2896816"/>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Unitary</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Speed of Processing</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822</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896</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Unitary</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Rural Classification:</v>
      </c>
      <c r="C10" s="347"/>
      <c r="D10" s="347"/>
      <c r="E10" s="347"/>
      <c r="F10" s="347"/>
      <c r="G10" s="347"/>
      <c r="H10" s="347"/>
      <c r="I10" s="347"/>
      <c r="J10" s="284" t="str">
        <f>IF('Filtered Data'!D1="L","",IF('Filtered Data'!D1="MD",'Filtered Data'!I3,IF('Filtered Data'!D1="SD",'Filtered Data'!I3,'Filtered Data'!H3)))</f>
        <v>Significant Rural</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
      </c>
      <c r="C11" s="347"/>
      <c r="D11" s="347"/>
      <c r="E11" s="347"/>
      <c r="F11" s="347"/>
      <c r="G11" s="347"/>
      <c r="H11" s="347"/>
      <c r="I11" s="347"/>
      <c r="J11" s="79" t="str">
        <f>IF('Filtered Data'!D1="MD",'Filtered Data'!H3,IF('Filtered Data'!D1="SD",'Filtered Data'!H3,""))</f>
        <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900</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www.gov.uk</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Housing Benefit - New Claims - Q3 2013/14</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17</v>
      </c>
      <c r="L32" s="322"/>
      <c r="M32" s="322"/>
      <c r="N32" s="321" t="s">
        <v>355</v>
      </c>
      <c r="O32" s="321"/>
      <c r="P32" s="321"/>
      <c r="Q32" s="321"/>
      <c r="R32" s="321"/>
      <c r="S32" s="321"/>
      <c r="T32" s="322">
        <f>IF('Filtered Data'!$H$8="..",'Filtered Data'!P10,'Filtered Data'!P10/100)</f>
        <v>21</v>
      </c>
      <c r="U32" s="322"/>
      <c r="V32" s="322"/>
      <c r="W32" s="322"/>
      <c r="X32" s="341" t="s">
        <v>356</v>
      </c>
      <c r="Y32" s="341"/>
      <c r="Z32" s="341"/>
      <c r="AA32" s="341"/>
      <c r="AB32" s="341"/>
      <c r="AC32" s="322">
        <f>IF('Filtered Data'!$H$8="..",'Filtered Data'!Q10,'Filtered Data'!Q10/100)</f>
        <v>27.5</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Cheshire West &amp; Chester</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33</v>
      </c>
      <c r="M35" s="338"/>
      <c r="N35" s="338"/>
      <c r="O35" s="338"/>
      <c r="P35" s="135"/>
      <c r="Q35" s="338" t="s">
        <v>357</v>
      </c>
      <c r="R35" s="338"/>
      <c r="S35" s="338"/>
      <c r="T35" s="338"/>
      <c r="U35" s="338"/>
      <c r="V35" s="338"/>
      <c r="W35" s="338"/>
      <c r="AP35" s="85"/>
    </row>
    <row r="36" spans="2:16384" ht="12.75" customHeight="1">
      <c r="B36" s="337" t="str">
        <f>'Filtered Data'!R8&amp;" Quartile"</f>
        <v>Bottom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Unitaries</v>
      </c>
      <c r="C37" s="136"/>
      <c r="D37" s="136"/>
      <c r="E37" s="136"/>
      <c r="F37" s="136"/>
      <c r="G37" s="136"/>
      <c r="H37" s="136"/>
      <c r="I37" s="136"/>
      <c r="J37" s="313" t="s">
        <v>807</v>
      </c>
      <c r="K37" s="137" t="str">
        <f>IF(Q37="","",IF('Filtered Data'!I8="D",IF($L$35&gt;=L37,"J","L"),IF('Filtered Data'!I8="A",IF($L$35&lt;=L37,"J","L"))))</f>
        <v>L</v>
      </c>
      <c r="L37" s="318">
        <f>'Filtered Data'!M9</f>
        <v>23.072727272727274</v>
      </c>
      <c r="M37" s="318"/>
      <c r="N37" s="318"/>
      <c r="O37" s="318"/>
      <c r="P37" s="138"/>
      <c r="Q37" s="308">
        <f>VLOOKUP(J5,'Filtered Data'!C:I,7,FALSE)</f>
        <v>47</v>
      </c>
      <c r="R37" s="308"/>
      <c r="S37" s="139"/>
      <c r="T37" s="140" t="s">
        <v>358</v>
      </c>
      <c r="U37" s="141"/>
      <c r="V37" s="308">
        <f>COUNT('Filtered Data'!I11:I363)</f>
        <v>55</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v>
      </c>
      <c r="C38" s="136"/>
      <c r="D38" s="136"/>
      <c r="E38" s="136"/>
      <c r="F38" s="136"/>
      <c r="G38" s="136"/>
      <c r="H38" s="136"/>
      <c r="I38" s="136"/>
      <c r="J38" s="314"/>
      <c r="K38" s="137" t="str">
        <f>IF(Q38="","",IF('Filtered Data'!I8="D",IF($L$35&gt;=L38,"J","L"),IF('Filtered Data'!I8="A",IF($L$35&lt;=L38,"J","L"))))</f>
        <v>L</v>
      </c>
      <c r="L38" s="318">
        <f>IF('Filtered Data'!D1="L",'Filtered Data'!AG9,'Filtered Data'!Y9)</f>
        <v>23.833333333333332</v>
      </c>
      <c r="M38" s="318"/>
      <c r="N38" s="318"/>
      <c r="O38" s="318"/>
      <c r="P38" s="138"/>
      <c r="Q38" s="324">
        <f>IF(ISERROR(IF('Filtered Data'!D1="L",VLOOKUP(J5,'Filtered Data'!AF11:AH26,3,FALSE),VLOOKUP(J5,'Filtered Data'!$L$11:$Z$363,15,FALSE))),"",(IF('Filtered Data'!D1="L",VLOOKUP(J5,'Filtered Data'!AF11:AH26,3,FALSE),VLOOKUP(J5,'Filtered Data'!$L$11:$Z$363,15,FALSE))))</f>
        <v>15</v>
      </c>
      <c r="R38" s="324"/>
      <c r="S38" s="317" t="s">
        <v>358</v>
      </c>
      <c r="T38" s="318"/>
      <c r="U38" s="318"/>
      <c r="V38" s="308">
        <f>IF('Filtered Data'!D1="L",16,COUNT('Filtered Data'!Z:Z))</f>
        <v>18</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L</v>
      </c>
      <c r="L39" s="318">
        <f>IF('Filtered Data'!D1="L","",'Filtered Data'!AG9)</f>
        <v>24.3125</v>
      </c>
      <c r="M39" s="318"/>
      <c r="N39" s="318"/>
      <c r="O39" s="318"/>
      <c r="P39" s="138"/>
      <c r="Q39" s="308">
        <f>IF(ISERROR(IF('Filtered Data'!D1="L","",'Filtered Data'!AH11)),"",(IF('Filtered Data'!D1="L","",'Filtered Data'!AH11)))</f>
        <v>12</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Regional</v>
      </c>
      <c r="C40" s="136"/>
      <c r="D40" s="136"/>
      <c r="E40" s="136"/>
      <c r="F40" s="136"/>
      <c r="G40" s="136"/>
      <c r="H40" s="136"/>
      <c r="I40" s="136"/>
      <c r="J40" s="314"/>
      <c r="K40" s="137" t="str">
        <f>IF(Q40="","",IF('Filtered Data'!I8="D",IF($L$35&gt;=L40,"J","L"),IF('Filtered Data'!I8="A",IF($L$35&lt;=L40,"J","L"))))</f>
        <v>L</v>
      </c>
      <c r="L40" s="318">
        <f>IF('Filtered Data'!D1="L","",IF('Filtered Data'!D1="SD",'Filtered Data'!AJ9,'Filtered Data'!AQ9))</f>
        <v>24.333333333333332</v>
      </c>
      <c r="M40" s="318"/>
      <c r="N40" s="318"/>
      <c r="O40" s="318"/>
      <c r="P40" s="138"/>
      <c r="Q40" s="308">
        <f>IF(ISERROR(IF('Filtered Data'!D1="L","",IF('Filtered Data'!D1="SD",VLOOKUP(J5,'Filtered Data'!L:AK,26,FALSE),(VLOOKUP(J5,'Filtered Data'!L:AR,33,FALSE))))),"",(IF('Filtered Data'!D1="L","",IF('Filtered Data'!D1="SD",VLOOKUP(J5,'Filtered Data'!L:AK,26,FALSE),(VLOOKUP(J5,'Filtered Data'!L:AR,33,FALSE))))))</f>
        <v>6</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Housing Benefit - New Claims - Q3 2013/14</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Cheshire West &amp; Chester</v>
      </c>
      <c r="E48" s="286">
        <f>IF('Filtered Data'!$H$8="..",L35,L35*100)</f>
        <v>33</v>
      </c>
      <c r="F48" s="286"/>
      <c r="G48" s="286"/>
      <c r="H48" s="286"/>
      <c r="I48" s="6"/>
      <c r="J48" s="6"/>
      <c r="K48" s="285">
        <f>IF('Filtered Data'!$H$8="..",K$32,K$32*100)</f>
        <v>17</v>
      </c>
      <c r="L48" s="285"/>
      <c r="M48" s="285">
        <f>IF('Filtered Data'!$H$8="..",T$32,T$32*100)</f>
        <v>21</v>
      </c>
      <c r="N48" s="285"/>
      <c r="O48" s="285">
        <f>IF('Filtered Data'!$H$8="..",AC$32,AC$32*100)</f>
        <v>27.5</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286">
        <f>IF('Filtered Data'!$H$8="..",L37,L37*100)</f>
        <v>23.072727272727274</v>
      </c>
      <c r="F49" s="286"/>
      <c r="G49" s="286"/>
      <c r="H49" s="286"/>
      <c r="I49" s="6"/>
      <c r="J49" s="6"/>
      <c r="K49" s="285">
        <f>IF('Filtered Data'!$H$8="..",K$32,K$32*100)</f>
        <v>17</v>
      </c>
      <c r="L49" s="285"/>
      <c r="M49" s="285">
        <f>IF('Filtered Data'!$H$8="..",T$32,T$32*100)</f>
        <v>21</v>
      </c>
      <c r="N49" s="285"/>
      <c r="O49" s="285">
        <f>IF('Filtered Data'!$H$8="..",AC$32,AC$32*100)</f>
        <v>27.5</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24.3125</v>
      </c>
      <c r="F50" s="286"/>
      <c r="G50" s="286"/>
      <c r="H50" s="286"/>
      <c r="I50" s="6"/>
      <c r="J50" s="6"/>
      <c r="K50" s="285">
        <f>IF('Filtered Data'!$H$8="..",K$32,K$32*100)</f>
        <v>17</v>
      </c>
      <c r="L50" s="285"/>
      <c r="M50" s="285">
        <f>IF('Filtered Data'!$H$8="..",T$32,T$32*100)</f>
        <v>21</v>
      </c>
      <c r="N50" s="285"/>
      <c r="O50" s="285">
        <f>IF('Filtered Data'!$H$8="..",AC$32,AC$32*100)</f>
        <v>27.5</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286">
        <f>IF('Filtered Data'!$H$8="..",L40,L40*100)</f>
        <v>24.333333333333332</v>
      </c>
      <c r="F51" s="286"/>
      <c r="G51" s="286"/>
      <c r="H51" s="286"/>
      <c r="I51" s="6"/>
      <c r="J51" s="6"/>
      <c r="K51" s="285">
        <f>IF('Filtered Data'!$H$8="..",K$32,K$32*100)</f>
        <v>17</v>
      </c>
      <c r="L51" s="285"/>
      <c r="M51" s="285">
        <f>IF('Filtered Data'!$H$8="..",T$32,T$32*100)</f>
        <v>21</v>
      </c>
      <c r="N51" s="285"/>
      <c r="O51" s="285">
        <f>IF('Filtered Data'!$H$8="..",AC$32,AC$32*100)</f>
        <v>27.5</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286">
        <f>IF('Filtered Data'!$H$8="..",L38,L38*100)</f>
        <v>23.833333333333332</v>
      </c>
      <c r="F52" s="286"/>
      <c r="G52" s="286"/>
      <c r="H52" s="286"/>
      <c r="I52" s="6"/>
      <c r="J52" s="6"/>
      <c r="K52" s="285">
        <f>IF('Filtered Data'!$H$8="..",K$32,K$32*100)</f>
        <v>17</v>
      </c>
      <c r="L52" s="285"/>
      <c r="M52" s="285">
        <f>IF('Filtered Data'!$H$8="..",T$32,T$32*100)</f>
        <v>21</v>
      </c>
      <c r="N52" s="285"/>
      <c r="O52" s="285">
        <f>IF('Filtered Data'!$H$8="..",AC$32,AC$32*100)</f>
        <v>27.5</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Speed of Processing</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Housing Benefit - New Claims - Q3 2013/14</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Darlington</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10</v>
      </c>
      <c r="V66" s="307"/>
      <c r="W66" s="307"/>
      <c r="X66" s="307"/>
      <c r="Y66" s="184" t="str">
        <f>IF((VLOOKUP(E66,classifications!C:K,9,FALSE))="Sparse","S","")</f>
        <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Plymouth</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10</v>
      </c>
      <c r="V67" s="307"/>
      <c r="W67" s="307"/>
      <c r="X67" s="307"/>
      <c r="Y67" s="184" t="str">
        <f>IF((VLOOKUP(E67,classifications!C:K,9,FALSE))="Sparse","S","")</f>
        <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Herefordshire</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11</v>
      </c>
      <c r="V68" s="307"/>
      <c r="W68" s="307"/>
      <c r="X68" s="307"/>
      <c r="Y68" s="184" t="str">
        <f>IF((VLOOKUP(E68,classifications!C:K,9,FALSE))="Sparse","S","")</f>
        <v>S</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Telford &amp; Wrekin</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11</v>
      </c>
      <c r="V69" s="307"/>
      <c r="W69" s="307"/>
      <c r="X69" s="307"/>
      <c r="Y69" s="184" t="str">
        <f>IF((VLOOKUP(E69,classifications!C:K,9,FALSE))="Sparse","S","")</f>
        <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Halton</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14</v>
      </c>
      <c r="V70" s="307"/>
      <c r="W70" s="307"/>
      <c r="X70" s="307"/>
      <c r="Y70" s="184" t="str">
        <f>IF((VLOOKUP(E70,classifications!C:K,9,FALSE))="Sparse","S","")</f>
        <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Reading</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15</v>
      </c>
      <c r="V71" s="307"/>
      <c r="W71" s="307"/>
      <c r="X71" s="307"/>
      <c r="Y71" s="184" t="str">
        <f>IF((VLOOKUP(E71,classifications!C:K,9,FALSE))="Sparse","S","")</f>
        <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Southampton</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15</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Stoke-on-Trent</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15</v>
      </c>
      <c r="V73" s="307"/>
      <c r="W73" s="307"/>
      <c r="X73" s="307"/>
      <c r="Y73" s="184" t="str">
        <f>IF((VLOOKUP(E73,classifications!C:K,9,FALSE))="Sparse","S","")</f>
        <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Bath &amp; North East Somerset</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16</v>
      </c>
      <c r="V74" s="307"/>
      <c r="W74" s="307"/>
      <c r="X74" s="307"/>
      <c r="Y74" s="184" t="str">
        <f>IF((VLOOKUP(E74,classifications!C:K,9,FALSE))="Sparse","S","")</f>
        <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Bournemouth</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16</v>
      </c>
      <c r="V75" s="307"/>
      <c r="W75" s="307"/>
      <c r="X75" s="307"/>
      <c r="Y75" s="184" t="str">
        <f>IF((VLOOKUP(E75,classifications!C:K,9,FALSE))="Sparse","S","")</f>
        <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Northumberland</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16</v>
      </c>
      <c r="V76" s="307"/>
      <c r="W76" s="307"/>
      <c r="X76" s="307"/>
      <c r="Y76" s="184" t="str">
        <f>IF((VLOOKUP(E76,classifications!C:K,9,FALSE))="Sparse","S","")</f>
        <v>S</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Swindon</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16</v>
      </c>
      <c r="V77" s="307"/>
      <c r="W77" s="307"/>
      <c r="X77" s="307"/>
      <c r="Y77" s="184" t="str">
        <f>IF((VLOOKUP(E77,classifications!C:K,9,FALSE))="Sparse","S","")</f>
        <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Rutland</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17</v>
      </c>
      <c r="V78" s="307"/>
      <c r="W78" s="307"/>
      <c r="X78" s="307"/>
      <c r="Y78" s="184" t="str">
        <f>IF((VLOOKUP(E78,classifications!C:K,9,FALSE))="Sparse","S","")</f>
        <v>S</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Southend-on-Sea</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17</v>
      </c>
      <c r="V79" s="307"/>
      <c r="W79" s="307"/>
      <c r="X79" s="307"/>
      <c r="Y79" s="184" t="str">
        <f>IF((VLOOKUP(E79,classifications!C:K,9,FALSE))="Sparse","S","")</f>
        <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Stockton-on-Tees</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17</v>
      </c>
      <c r="V80" s="307"/>
      <c r="W80" s="307"/>
      <c r="X80" s="307"/>
      <c r="Y80" s="184" t="str">
        <f>IF((VLOOKUP(E80,classifications!C:K,9,FALSE))="Sparse","S","")</f>
        <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Slough</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18</v>
      </c>
      <c r="V81" s="307"/>
      <c r="W81" s="307"/>
      <c r="X81" s="307"/>
      <c r="Y81" s="184" t="str">
        <f>IF((VLOOKUP(E81,classifications!C:K,9,FALSE))="Sparse","S","")</f>
        <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West Berkshire</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18</v>
      </c>
      <c r="V82" s="307"/>
      <c r="W82" s="307"/>
      <c r="X82" s="307"/>
      <c r="Y82" s="184" t="str">
        <f>IF((VLOOKUP(E82,classifications!C:K,9,FALSE))="Sparse","S","")</f>
        <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Bedford</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19</v>
      </c>
      <c r="V83" s="307"/>
      <c r="W83" s="307"/>
      <c r="X83" s="307"/>
      <c r="Y83" s="184" t="str">
        <f>IF((VLOOKUP(E83,classifications!C:K,9,FALSE))="Sparse","S","")</f>
        <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Bracknell Forest</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19</v>
      </c>
      <c r="V84" s="307"/>
      <c r="W84" s="307"/>
      <c r="X84" s="307"/>
      <c r="Y84" s="184" t="str">
        <f>IF((VLOOKUP(E84,classifications!C:K,9,FALSE))="Sparse","S","")</f>
        <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Luton</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19</v>
      </c>
      <c r="V85" s="307"/>
      <c r="W85" s="307"/>
      <c r="X85" s="307"/>
      <c r="Y85" s="184" t="str">
        <f>IF((VLOOKUP(E85,classifications!C:K,9,FALSE))="Sparse","S","")</f>
        <v/>
      </c>
      <c r="Z85" s="184"/>
      <c r="AA85" s="184"/>
      <c r="AB85" s="184"/>
      <c r="AC85" s="184"/>
      <c r="AD85" s="298"/>
      <c r="AE85" s="298"/>
      <c r="AF85" s="298"/>
      <c r="AG85" s="298"/>
      <c r="AH85" s="298"/>
      <c r="AI85" s="298"/>
      <c r="AJ85" s="298"/>
      <c r="AK85" s="298"/>
      <c r="AL85" s="298"/>
      <c r="AP85" s="85"/>
    </row>
    <row r="86" spans="1:42" ht="12" customHeight="1">
      <c r="A86" s="80"/>
      <c r="B86" s="282">
        <f>IF(Q37&lt;=MAX(B66:D85),"",Q37)</f>
        <v>47</v>
      </c>
      <c r="C86" s="282"/>
      <c r="D86" s="282"/>
      <c r="E86" s="279" t="str">
        <f>IF(B86="","",VLOOKUP(B86,'Filtered Data'!K:L,2,FALSE))</f>
        <v>Cheshire West &amp; Chester</v>
      </c>
      <c r="F86" s="279"/>
      <c r="G86" s="279"/>
      <c r="H86" s="279"/>
      <c r="I86" s="279"/>
      <c r="J86" s="279"/>
      <c r="K86" s="279"/>
      <c r="L86" s="279"/>
      <c r="M86" s="279"/>
      <c r="N86" s="279"/>
      <c r="O86" s="279"/>
      <c r="P86" s="279"/>
      <c r="Q86" s="279"/>
      <c r="R86" s="279"/>
      <c r="S86" s="279"/>
      <c r="T86" s="279"/>
      <c r="U86" s="351">
        <f>IF(B86="","",L35)</f>
        <v>33</v>
      </c>
      <c r="V86" s="351"/>
      <c r="W86" s="351"/>
      <c r="X86" s="351"/>
      <c r="Y86" s="184" t="str">
        <f>IF(B86="","",IF((VLOOKUP(E86,classifications!C:K,9,FALSE))="Sparse","S",""))</f>
        <v>S</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North West</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Trafford</v>
      </c>
      <c r="F92" s="279"/>
      <c r="G92" s="279"/>
      <c r="H92" s="279"/>
      <c r="I92" s="279"/>
      <c r="J92" s="279"/>
      <c r="K92" s="279"/>
      <c r="L92" s="279"/>
      <c r="M92" s="279"/>
      <c r="N92" s="279"/>
      <c r="O92" s="278">
        <f>IF(E92="","",IF('Filtered Data'!$H$8="%.",(VLOOKUP(B92,'Filtered Data'!AE:AG,3,FALSE))/100,VLOOKUP(B92,'Filtered Data'!AE:AG,3,FALSE)))</f>
        <v>15</v>
      </c>
      <c r="P92" s="278"/>
      <c r="Q92" s="278"/>
      <c r="R92" s="278"/>
      <c r="S92" s="185" t="str">
        <f>IF(E92="","",IF((VLOOKUP(E92,classifications!C:K,9,FALSE))="Sparse","S",""))</f>
        <v/>
      </c>
      <c r="U92" s="295">
        <f>IF('Filtered Data'!$D$1="MD","",IF('Filtered Data'!$D$1="SC","",IF('Filtered Data'!$D$1="UA",'Filtered Data'!AS11,'Filtered Data'!AL11)))</f>
        <v>1</v>
      </c>
      <c r="V92" s="281"/>
      <c r="W92" s="281"/>
      <c r="X92" s="284" t="str">
        <f>IF(U92="","",IF('Filtered Data'!$D$1="UA",VLOOKUP(U92,'Filtered Data'!AS:AU,2,FALSE),VLOOKUP(U92,'Filtered Data'!AL:AN,2,FALSE)))</f>
        <v>Halton</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14</v>
      </c>
      <c r="AI92" s="278"/>
      <c r="AJ92" s="278"/>
      <c r="AK92" s="278"/>
      <c r="AL92" s="185" t="str">
        <f>IF(X92="","",IF((VLOOKUP(X92,classifications!C:K,9,FALSE))="Sparse","S",""))</f>
        <v/>
      </c>
      <c r="AP92" s="85"/>
    </row>
    <row r="93" spans="1:42" ht="12" customHeight="1">
      <c r="B93" s="276">
        <v>2</v>
      </c>
      <c r="C93" s="277"/>
      <c r="D93" s="277"/>
      <c r="E93" s="279" t="str">
        <f>IF(ISNA(VLOOKUP(B93,'Filtered Data'!AE:AF,2,FALSE)),"",(VLOOKUP(B93,'Filtered Data'!AE:AF,2,FALSE)))</f>
        <v>Calderdale</v>
      </c>
      <c r="F93" s="279"/>
      <c r="G93" s="279"/>
      <c r="H93" s="279"/>
      <c r="I93" s="279"/>
      <c r="J93" s="279"/>
      <c r="K93" s="279"/>
      <c r="L93" s="279"/>
      <c r="M93" s="279"/>
      <c r="N93" s="279"/>
      <c r="O93" s="278">
        <f>IF(E93="","",IF('Filtered Data'!$H$8="%.",(VLOOKUP(B93,'Filtered Data'!AE:AG,3,FALSE))/100,VLOOKUP(B93,'Filtered Data'!AE:AG,3,FALSE)))</f>
        <v>15</v>
      </c>
      <c r="P93" s="278"/>
      <c r="Q93" s="278"/>
      <c r="R93" s="278"/>
      <c r="S93" s="185" t="str">
        <f>IF(E93="","",IF((VLOOKUP(E93,classifications!C:K,9,FALSE))="Sparse","S",""))</f>
        <v/>
      </c>
      <c r="U93" s="295">
        <f>IF('Filtered Data'!$D$1="MD","",IF('Filtered Data'!$D$1="SC","",IF('Filtered Data'!$D$1="UA",'Filtered Data'!AS12,'Filtered Data'!AL12)))</f>
        <v>2</v>
      </c>
      <c r="V93" s="281"/>
      <c r="W93" s="281"/>
      <c r="X93" s="284" t="str">
        <f>IF(U93="","",IF('Filtered Data'!$D$1="UA",VLOOKUP(U93,'Filtered Data'!AS:AU,2,FALSE),VLOOKUP(U93,'Filtered Data'!AL:AN,2,FALSE)))</f>
        <v>Blackpool</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21</v>
      </c>
      <c r="AI93" s="278"/>
      <c r="AJ93" s="278"/>
      <c r="AK93" s="278"/>
      <c r="AL93" s="185" t="str">
        <f>IF(X93="","",IF((VLOOKUP(X93,classifications!C:K,9,FALSE))="Sparse","S",""))</f>
        <v/>
      </c>
      <c r="AP93" s="85"/>
    </row>
    <row r="94" spans="1:42" ht="12" customHeight="1">
      <c r="B94" s="276">
        <v>3</v>
      </c>
      <c r="C94" s="277"/>
      <c r="D94" s="277"/>
      <c r="E94" s="279" t="str">
        <f>IF(ISNA(VLOOKUP(B94,'Filtered Data'!AE:AF,2,FALSE)),"",(VLOOKUP(B94,'Filtered Data'!AE:AF,2,FALSE)))</f>
        <v>Bath &amp; North East Somerset</v>
      </c>
      <c r="F94" s="279"/>
      <c r="G94" s="279"/>
      <c r="H94" s="279"/>
      <c r="I94" s="279"/>
      <c r="J94" s="279"/>
      <c r="K94" s="279"/>
      <c r="L94" s="279"/>
      <c r="M94" s="279"/>
      <c r="N94" s="279"/>
      <c r="O94" s="278">
        <f>IF(E94="","",IF('Filtered Data'!$H$8="%.",(VLOOKUP(B94,'Filtered Data'!AE:AG,3,FALSE))/100,VLOOKUP(B94,'Filtered Data'!AE:AG,3,FALSE)))</f>
        <v>16</v>
      </c>
      <c r="P94" s="278"/>
      <c r="Q94" s="278"/>
      <c r="R94" s="278"/>
      <c r="S94" s="185" t="str">
        <f>IF(E94="","",IF((VLOOKUP(E94,classifications!C:K,9,FALSE))="Sparse","S",""))</f>
        <v/>
      </c>
      <c r="U94" s="295">
        <f>IF('Filtered Data'!$D$1="MD","",IF('Filtered Data'!$D$1="SC","",IF('Filtered Data'!$D$1="UA",'Filtered Data'!AS13,'Filtered Data'!AL13)))</f>
        <v>3</v>
      </c>
      <c r="V94" s="281"/>
      <c r="W94" s="281"/>
      <c r="X94" s="284" t="str">
        <f>IF(U94="","",IF('Filtered Data'!$D$1="UA",VLOOKUP(U94,'Filtered Data'!AS:AU,2,FALSE),VLOOKUP(U94,'Filtered Data'!AL:AN,2,FALSE)))</f>
        <v>Blackburn with Darwen</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22</v>
      </c>
      <c r="AI94" s="278"/>
      <c r="AJ94" s="278"/>
      <c r="AK94" s="278"/>
      <c r="AL94" s="185" t="str">
        <f>IF(X94="","",IF((VLOOKUP(X94,classifications!C:K,9,FALSE))="Sparse","S",""))</f>
        <v/>
      </c>
      <c r="AP94" s="85"/>
    </row>
    <row r="95" spans="1:42" ht="12" customHeight="1">
      <c r="B95" s="276">
        <v>4</v>
      </c>
      <c r="C95" s="277"/>
      <c r="D95" s="277"/>
      <c r="E95" s="279" t="str">
        <f>IF(ISNA(VLOOKUP(B95,'Filtered Data'!AE:AF,2,FALSE)),"",(VLOOKUP(B95,'Filtered Data'!AE:AF,2,FALSE)))</f>
        <v>Swindon</v>
      </c>
      <c r="F95" s="279"/>
      <c r="G95" s="279"/>
      <c r="H95" s="279"/>
      <c r="I95" s="279"/>
      <c r="J95" s="279"/>
      <c r="K95" s="279"/>
      <c r="L95" s="279"/>
      <c r="M95" s="279"/>
      <c r="N95" s="279"/>
      <c r="O95" s="278">
        <f>IF(E95="","",IF('Filtered Data'!$H$8="%.",(VLOOKUP(B95,'Filtered Data'!AE:AG,3,FALSE))/100,VLOOKUP(B95,'Filtered Data'!AE:AG,3,FALSE)))</f>
        <v>16</v>
      </c>
      <c r="P95" s="278"/>
      <c r="Q95" s="278"/>
      <c r="R95" s="278"/>
      <c r="S95" s="185" t="str">
        <f>IF(E95="","",IF((VLOOKUP(E95,classifications!C:K,9,FALSE))="Sparse","S",""))</f>
        <v/>
      </c>
      <c r="U95" s="295">
        <f>IF('Filtered Data'!$D$1="MD","",IF('Filtered Data'!$D$1="SC","",IF('Filtered Data'!$D$1="UA",'Filtered Data'!AS14,'Filtered Data'!AL14)))</f>
        <v>4</v>
      </c>
      <c r="V95" s="281"/>
      <c r="W95" s="281"/>
      <c r="X95" s="284" t="str">
        <f>IF(U95="","",IF('Filtered Data'!$D$1="UA",VLOOKUP(U95,'Filtered Data'!AS:AU,2,FALSE),VLOOKUP(U95,'Filtered Data'!AL:AN,2,FALSE)))</f>
        <v>Warrington</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23</v>
      </c>
      <c r="AI95" s="278"/>
      <c r="AJ95" s="278"/>
      <c r="AK95" s="278"/>
      <c r="AL95" s="185" t="str">
        <f>IF(X95="","",IF((VLOOKUP(X95,classifications!C:K,9,FALSE))="Sparse","S",""))</f>
        <v/>
      </c>
      <c r="AP95" s="85"/>
    </row>
    <row r="96" spans="1:42" ht="12" customHeight="1">
      <c r="B96" s="276">
        <v>5</v>
      </c>
      <c r="C96" s="277"/>
      <c r="D96" s="277"/>
      <c r="E96" s="279" t="str">
        <f>IF(ISNA(VLOOKUP(B96,'Filtered Data'!AE:AF,2,FALSE)),"",(VLOOKUP(B96,'Filtered Data'!AE:AF,2,FALSE)))</f>
        <v>Northumberland</v>
      </c>
      <c r="F96" s="279"/>
      <c r="G96" s="279"/>
      <c r="H96" s="279"/>
      <c r="I96" s="279"/>
      <c r="J96" s="279"/>
      <c r="K96" s="279"/>
      <c r="L96" s="279"/>
      <c r="M96" s="279"/>
      <c r="N96" s="279"/>
      <c r="O96" s="278">
        <f>IF(E96="","",IF('Filtered Data'!$H$8="%.",(VLOOKUP(B96,'Filtered Data'!AE:AG,3,FALSE))/100,VLOOKUP(B96,'Filtered Data'!AE:AG,3,FALSE)))</f>
        <v>16</v>
      </c>
      <c r="P96" s="278"/>
      <c r="Q96" s="278"/>
      <c r="R96" s="278"/>
      <c r="S96" s="185" t="str">
        <f>IF(E96="","",IF((VLOOKUP(E96,classifications!C:K,9,FALSE))="Sparse","S",""))</f>
        <v>S</v>
      </c>
      <c r="U96" s="295">
        <f>IF('Filtered Data'!$D$1="MD","",IF('Filtered Data'!$D$1="SC","",IF('Filtered Data'!$D$1="UA",'Filtered Data'!AS15,'Filtered Data'!AL15)))</f>
        <v>5</v>
      </c>
      <c r="V96" s="281"/>
      <c r="W96" s="281"/>
      <c r="X96" s="284" t="str">
        <f>IF(U96="","",IF('Filtered Data'!$D$1="UA",VLOOKUP(U96,'Filtered Data'!AS:AU,2,FALSE),VLOOKUP(U96,'Filtered Data'!AL:AN,2,FALSE)))</f>
        <v>Cheshire East</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33</v>
      </c>
      <c r="AI96" s="278"/>
      <c r="AJ96" s="278"/>
      <c r="AK96" s="278"/>
      <c r="AL96" s="185" t="str">
        <f>IF(X96="","",IF((VLOOKUP(X96,classifications!C:K,9,FALSE))="Sparse","S",""))</f>
        <v>S</v>
      </c>
      <c r="AP96" s="85"/>
    </row>
    <row r="97" spans="2:42" ht="12" customHeight="1">
      <c r="B97" s="276">
        <v>6</v>
      </c>
      <c r="C97" s="277"/>
      <c r="D97" s="277"/>
      <c r="E97" s="279" t="str">
        <f>IF(ISNA(VLOOKUP(B97,'Filtered Data'!AE:AF,2,FALSE)),"",(VLOOKUP(B97,'Filtered Data'!AE:AF,2,FALSE)))</f>
        <v>Stockport</v>
      </c>
      <c r="F97" s="279"/>
      <c r="G97" s="279"/>
      <c r="H97" s="279"/>
      <c r="I97" s="279"/>
      <c r="J97" s="279"/>
      <c r="K97" s="279"/>
      <c r="L97" s="279"/>
      <c r="M97" s="279"/>
      <c r="N97" s="279"/>
      <c r="O97" s="278">
        <f>IF(E97="","",IF('Filtered Data'!$H$8="%.",(VLOOKUP(B97,'Filtered Data'!AE:AG,3,FALSE))/100,VLOOKUP(B97,'Filtered Data'!AE:AG,3,FALSE)))</f>
        <v>19</v>
      </c>
      <c r="P97" s="278"/>
      <c r="Q97" s="278"/>
      <c r="R97" s="278"/>
      <c r="S97" s="185" t="str">
        <f>IF(E97="","",IF((VLOOKUP(E97,classifications!C:K,9,FALSE))="Sparse","S",""))</f>
        <v/>
      </c>
      <c r="U97" s="295">
        <f>IF('Filtered Data'!$D$1="MD","",IF('Filtered Data'!$D$1="SC","",IF('Filtered Data'!$D$1="UA",'Filtered Data'!AS16,'Filtered Data'!AL16)))</f>
        <v>6</v>
      </c>
      <c r="V97" s="281"/>
      <c r="W97" s="281"/>
      <c r="X97" s="284" t="str">
        <f>IF(U97="","",IF('Filtered Data'!$D$1="UA",VLOOKUP(U97,'Filtered Data'!AS:AU,2,FALSE),VLOOKUP(U97,'Filtered Data'!AL:AN,2,FALSE)))</f>
        <v>Cheshire West &amp; Chester</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33</v>
      </c>
      <c r="AI97" s="278"/>
      <c r="AJ97" s="278"/>
      <c r="AK97" s="278"/>
      <c r="AL97" s="185" t="str">
        <f>IF(X97="","",IF((VLOOKUP(X97,classifications!C:K,9,FALSE))="Sparse","S",""))</f>
        <v>S</v>
      </c>
      <c r="AP97" s="85"/>
    </row>
    <row r="98" spans="2:42" ht="12" customHeight="1">
      <c r="B98" s="276">
        <v>7</v>
      </c>
      <c r="C98" s="277"/>
      <c r="D98" s="277"/>
      <c r="E98" s="279" t="str">
        <f>IF(ISNA(VLOOKUP(B98,'Filtered Data'!AE:AF,2,FALSE)),"",(VLOOKUP(B98,'Filtered Data'!AE:AF,2,FALSE)))</f>
        <v>Bedford</v>
      </c>
      <c r="F98" s="279"/>
      <c r="G98" s="279"/>
      <c r="H98" s="279"/>
      <c r="I98" s="279"/>
      <c r="J98" s="279"/>
      <c r="K98" s="279"/>
      <c r="L98" s="279"/>
      <c r="M98" s="279"/>
      <c r="N98" s="279"/>
      <c r="O98" s="278">
        <f>IF(E98="","",IF('Filtered Data'!$H$8="%.",(VLOOKUP(B98,'Filtered Data'!AE:AG,3,FALSE))/100,VLOOKUP(B98,'Filtered Data'!AE:AG,3,FALSE)))</f>
        <v>19</v>
      </c>
      <c r="P98" s="278"/>
      <c r="Q98" s="278"/>
      <c r="R98" s="278"/>
      <c r="S98" s="185" t="str">
        <f>IF(E98="","",IF((VLOOKUP(E98,classifications!C:K,9,FALSE))="Sparse","S",""))</f>
        <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East Riding of Yorkshire</v>
      </c>
      <c r="F99" s="279"/>
      <c r="G99" s="279"/>
      <c r="H99" s="279"/>
      <c r="I99" s="279"/>
      <c r="J99" s="279"/>
      <c r="K99" s="279"/>
      <c r="L99" s="279"/>
      <c r="M99" s="279"/>
      <c r="N99" s="279"/>
      <c r="O99" s="278">
        <f>IF(E99="","",IF('Filtered Data'!$H$8="%.",(VLOOKUP(B99,'Filtered Data'!AE:AG,3,FALSE))/100,VLOOKUP(B99,'Filtered Data'!AE:AG,3,FALSE)))</f>
        <v>20</v>
      </c>
      <c r="P99" s="278"/>
      <c r="Q99" s="278"/>
      <c r="R99" s="278"/>
      <c r="S99" s="185" t="str">
        <f>IF(E99="","",IF((VLOOKUP(E99,classifications!C:K,9,FALSE))="Sparse","S",""))</f>
        <v>S</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Warrington</v>
      </c>
      <c r="F100" s="279"/>
      <c r="G100" s="279"/>
      <c r="H100" s="279"/>
      <c r="I100" s="279"/>
      <c r="J100" s="279"/>
      <c r="K100" s="279"/>
      <c r="L100" s="279"/>
      <c r="M100" s="279"/>
      <c r="N100" s="279"/>
      <c r="O100" s="278">
        <f>IF(E100="","",IF('Filtered Data'!$H$8="%.",(VLOOKUP(B100,'Filtered Data'!AE:AG,3,FALSE))/100,VLOOKUP(B100,'Filtered Data'!AE:AG,3,FALSE)))</f>
        <v>23</v>
      </c>
      <c r="P100" s="278"/>
      <c r="Q100" s="278"/>
      <c r="R100" s="278"/>
      <c r="S100" s="185" t="str">
        <f>IF(E100="","",IF((VLOOKUP(E100,classifications!C:K,9,FALSE))="Sparse","S",""))</f>
        <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Wiltshire</v>
      </c>
      <c r="F101" s="279"/>
      <c r="G101" s="279"/>
      <c r="H101" s="279"/>
      <c r="I101" s="279"/>
      <c r="J101" s="279"/>
      <c r="K101" s="279"/>
      <c r="L101" s="279"/>
      <c r="M101" s="279"/>
      <c r="N101" s="279"/>
      <c r="O101" s="278">
        <f>IF(E101="","",IF('Filtered Data'!$H$8="%.",(VLOOKUP(B101,'Filtered Data'!AE:AG,3,FALSE))/100,VLOOKUP(B101,'Filtered Data'!AE:AG,3,FALSE)))</f>
        <v>23</v>
      </c>
      <c r="P101" s="278"/>
      <c r="Q101" s="278"/>
      <c r="R101" s="278"/>
      <c r="S101" s="185" t="str">
        <f>IF(E101="","",IF((VLOOKUP(E101,classifications!C:K,9,FALSE))="Sparse","S",""))</f>
        <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Solihull</v>
      </c>
      <c r="F102" s="279"/>
      <c r="G102" s="279"/>
      <c r="H102" s="279"/>
      <c r="I102" s="279"/>
      <c r="J102" s="279"/>
      <c r="K102" s="279"/>
      <c r="L102" s="279"/>
      <c r="M102" s="279"/>
      <c r="N102" s="279"/>
      <c r="O102" s="278">
        <f>IF(E102="","",IF('Filtered Data'!$H$8="%.",(VLOOKUP(B102,'Filtered Data'!AE:AG,3,FALSE))/100,VLOOKUP(B102,'Filtered Data'!AE:AG,3,FALSE)))</f>
        <v>24</v>
      </c>
      <c r="P102" s="278"/>
      <c r="Q102" s="278"/>
      <c r="R102" s="278"/>
      <c r="S102" s="185" t="str">
        <f>IF(E102="","",IF((VLOOKUP(E102,classifications!C:K,9,FALSE))="Sparse","S",""))</f>
        <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Cheshire West &amp; Chester</v>
      </c>
      <c r="F103" s="279"/>
      <c r="G103" s="279"/>
      <c r="H103" s="279"/>
      <c r="I103" s="279"/>
      <c r="J103" s="279"/>
      <c r="K103" s="279"/>
      <c r="L103" s="279"/>
      <c r="M103" s="279"/>
      <c r="N103" s="279"/>
      <c r="O103" s="278">
        <f>IF(E103="","",IF('Filtered Data'!$H$8="%.",(VLOOKUP(B103,'Filtered Data'!AE:AG,3,FALSE))/100,VLOOKUP(B103,'Filtered Data'!AE:AG,3,FALSE)))</f>
        <v>33</v>
      </c>
      <c r="P103" s="278"/>
      <c r="Q103" s="278"/>
      <c r="R103" s="278"/>
      <c r="S103" s="185" t="str">
        <f>IF(E103="","",IF((VLOOKUP(E103,classifications!C:K,9,FALSE))="Sparse","S",""))</f>
        <v>S</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Cheshire East</v>
      </c>
      <c r="F104" s="279"/>
      <c r="G104" s="279"/>
      <c r="H104" s="279"/>
      <c r="I104" s="279"/>
      <c r="J104" s="279"/>
      <c r="K104" s="279"/>
      <c r="L104" s="279"/>
      <c r="M104" s="279"/>
      <c r="N104" s="279"/>
      <c r="O104" s="278">
        <f>IF(E104="","",IF('Filtered Data'!$H$8="%.",(VLOOKUP(B104,'Filtered Data'!AE:AG,3,FALSE))/100,VLOOKUP(B104,'Filtered Data'!AE:AG,3,FALSE)))</f>
        <v>33</v>
      </c>
      <c r="P104" s="278"/>
      <c r="Q104" s="278"/>
      <c r="R104" s="278"/>
      <c r="S104" s="185" t="str">
        <f>IF(E104="","",IF((VLOOKUP(E104,classifications!C:K,9,FALSE))="Sparse","S",""))</f>
        <v>S</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York</v>
      </c>
      <c r="F105" s="279"/>
      <c r="G105" s="279"/>
      <c r="H105" s="279"/>
      <c r="I105" s="279"/>
      <c r="J105" s="279"/>
      <c r="K105" s="279"/>
      <c r="L105" s="279"/>
      <c r="M105" s="279"/>
      <c r="N105" s="279"/>
      <c r="O105" s="278">
        <f>IF(E105="","",IF('Filtered Data'!$H$8="%.",(VLOOKUP(B105,'Filtered Data'!AE:AG,3,FALSE))/100,VLOOKUP(B105,'Filtered Data'!AE:AG,3,FALSE)))</f>
        <v>37</v>
      </c>
      <c r="P105" s="278"/>
      <c r="Q105" s="278"/>
      <c r="R105" s="278"/>
      <c r="S105" s="185" t="str">
        <f>IF(E105="","",IF((VLOOKUP(E105,classifications!C:K,9,FALSE))="Sparse","S",""))</f>
        <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Shropshire</v>
      </c>
      <c r="F106" s="279"/>
      <c r="G106" s="279"/>
      <c r="H106" s="279"/>
      <c r="I106" s="279"/>
      <c r="J106" s="279"/>
      <c r="K106" s="279"/>
      <c r="L106" s="279"/>
      <c r="M106" s="279"/>
      <c r="N106" s="279"/>
      <c r="O106" s="278">
        <f>IF(E106="","",IF('Filtered Data'!$H$8="%.",(VLOOKUP(B106,'Filtered Data'!AE:AG,3,FALSE))/100,VLOOKUP(B106,'Filtered Data'!AE:AG,3,FALSE)))</f>
        <v>39</v>
      </c>
      <c r="P106" s="278"/>
      <c r="Q106" s="278"/>
      <c r="R106" s="278"/>
      <c r="S106" s="185" t="str">
        <f>IF(E106="","",IF((VLOOKUP(E106,classifications!C:K,9,FALSE))="Sparse","S",""))</f>
        <v>S</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Central Bedfordshire</v>
      </c>
      <c r="F107" s="279"/>
      <c r="G107" s="279"/>
      <c r="H107" s="279"/>
      <c r="I107" s="279"/>
      <c r="J107" s="279"/>
      <c r="K107" s="279"/>
      <c r="L107" s="279"/>
      <c r="M107" s="279"/>
      <c r="N107" s="279"/>
      <c r="O107" s="278">
        <f>IF(E107="","",IF('Filtered Data'!$H$8="%.",(VLOOKUP(B107,'Filtered Data'!AE:AG,3,FALSE))/100,VLOOKUP(B107,'Filtered Data'!AE:AG,3,FALSE)))</f>
        <v>41</v>
      </c>
      <c r="P107" s="278"/>
      <c r="Q107" s="278"/>
      <c r="R107" s="278"/>
      <c r="S107" s="185" t="str">
        <f>IF(E107="","",IF((VLOOKUP(E107,classifications!C:K,9,FALSE))="Sparse","S",""))</f>
        <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24.3125</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24.333333333333332</v>
      </c>
      <c r="AI108" s="294"/>
      <c r="AJ108" s="294"/>
      <c r="AK108" s="294"/>
      <c r="AP108" s="85"/>
    </row>
    <row r="109" spans="2:42" ht="12" customHeight="1">
      <c r="W109" s="22">
        <f>COUNT(U92:V107)</f>
        <v>6</v>
      </c>
    </row>
    <row r="110" spans="2:42" ht="19.5" customHeight="1">
      <c r="B110" s="296" t="str">
        <f>B3</f>
        <v>Speed of Processing</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Housing Benefit - New Claims - Q3 2013/14</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Cheshire West &amp; Chester</v>
      </c>
      <c r="G118" s="289">
        <f>IF('Filtered Data'!H8="..",L35,L35*100)</f>
        <v>33</v>
      </c>
      <c r="H118" s="289"/>
      <c r="I118" s="289"/>
      <c r="J118" s="289"/>
      <c r="K118" s="289"/>
      <c r="L118" s="6"/>
      <c r="M118" s="285">
        <f>K$48</f>
        <v>17</v>
      </c>
      <c r="N118" s="285"/>
      <c r="O118" s="285">
        <f>M$48</f>
        <v>21</v>
      </c>
      <c r="P118" s="285"/>
      <c r="Q118" s="285">
        <f>O$48</f>
        <v>27.5</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23.1875</v>
      </c>
      <c r="H119" s="289"/>
      <c r="I119" s="289"/>
      <c r="J119" s="289"/>
      <c r="K119" s="289"/>
      <c r="L119" s="6"/>
      <c r="M119" s="285">
        <f>K$48</f>
        <v>17</v>
      </c>
      <c r="N119" s="285"/>
      <c r="O119" s="285">
        <f>M$48</f>
        <v>21</v>
      </c>
      <c r="P119" s="285"/>
      <c r="Q119" s="285">
        <f>O$48</f>
        <v>27.5</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23.088235294117649</v>
      </c>
      <c r="H120" s="289"/>
      <c r="I120" s="289"/>
      <c r="J120" s="289"/>
      <c r="K120" s="289"/>
      <c r="L120" s="6"/>
      <c r="M120" s="285">
        <f>K$48</f>
        <v>17</v>
      </c>
      <c r="N120" s="285"/>
      <c r="O120" s="285">
        <f>M$48</f>
        <v>21</v>
      </c>
      <c r="P120" s="285"/>
      <c r="Q120" s="285">
        <f>O$48</f>
        <v>27.5</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22.6</v>
      </c>
      <c r="H121" s="289"/>
      <c r="I121" s="289"/>
      <c r="J121" s="289"/>
      <c r="K121" s="289"/>
      <c r="L121" s="6"/>
      <c r="M121" s="285">
        <f>K$48</f>
        <v>17</v>
      </c>
      <c r="N121" s="285"/>
      <c r="O121" s="285">
        <f>M$48</f>
        <v>21</v>
      </c>
      <c r="P121" s="285"/>
      <c r="Q121" s="285">
        <f>O$48</f>
        <v>27.5</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Cheshire West &amp; Chester</v>
      </c>
      <c r="F3" s="108" t="str">
        <f>VLOOKUP(D3,classifications!C:G,4,FALSE)</f>
        <v>UA</v>
      </c>
      <c r="G3" s="48" t="str">
        <f>VLOOKUP(D3,classifications!C:E,3,FALSE)</f>
        <v>North West</v>
      </c>
      <c r="H3" s="118" t="str">
        <f>VLOOKUP(D3,classifications!C:H,6,FALSE)</f>
        <v>Significant Rural</v>
      </c>
      <c r="I3" s="48" t="str">
        <f>VLOOKUP(D3,classifications!C:J,8,FALSE)</f>
        <v>Unitary</v>
      </c>
      <c r="J3" s="47" t="str">
        <f>VLOOKUP(D3,classifications!C:I,7,FALSE)</f>
        <v>Significant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Q3 2013/14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v>
      </c>
      <c r="Q7" s="145">
        <f>IF(I8="A",MAX(N11:N363),MIN(N11:N363))</f>
        <v>46</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Cheshire West &amp; Chester</v>
      </c>
      <c r="Q8" s="146">
        <f>VLOOKUP(D3,L11:N363,3,FALSE)</f>
        <v>33</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23.072727272727274</v>
      </c>
      <c r="N9" s="123"/>
      <c r="O9" s="126" t="s">
        <v>344</v>
      </c>
      <c r="P9" s="126" t="s">
        <v>355</v>
      </c>
      <c r="Q9" s="126" t="s">
        <v>356</v>
      </c>
      <c r="R9" s="128" t="s">
        <v>408</v>
      </c>
      <c r="S9" s="53"/>
      <c r="T9" s="233" t="s">
        <v>828</v>
      </c>
      <c r="U9" s="234">
        <f>IF($H$8="%.",(AVERAGE(U11:U363))/100,(AVERAGE(U11:U363)))</f>
        <v>23.75</v>
      </c>
      <c r="V9" s="235"/>
      <c r="W9" s="235"/>
      <c r="X9" s="121" t="str">
        <f>"Lower Level Ranking for Authorites in "&amp;H3&amp;" &amp; are a "&amp;F3</f>
        <v>Lower Level Ranking for Authorites in Significant Rural &amp; are a UA</v>
      </c>
      <c r="Y9" s="123">
        <f>IF($H$8="%.",(AVERAGE(Y11:Y363))/100,(AVERAGE(Y11:Y363)))</f>
        <v>23.833333333333332</v>
      </c>
      <c r="Z9" s="122"/>
      <c r="AA9" s="243" t="s">
        <v>384</v>
      </c>
      <c r="AB9" s="234">
        <f>IF($H$8="%.",(AVERAGE(AB11:AB363))/100,(AVERAGE(AB11:AB363)))</f>
        <v>22.6</v>
      </c>
      <c r="AC9" s="244"/>
      <c r="AD9" s="244"/>
      <c r="AE9" s="54" t="s">
        <v>417</v>
      </c>
      <c r="AG9" s="123">
        <f>IF($H$8="%.",(AVERAGE(AG11:AG363))/100,(AVERAGE(AG11:AG363)))</f>
        <v>24.3125</v>
      </c>
      <c r="AI9" s="121" t="str">
        <f>"County Ranking &amp; Top Authorites in "&amp;I3&amp;" &amp; are a "&amp;F3</f>
        <v>County Ranking &amp; Top Authorites in Unitary &amp; are a UA</v>
      </c>
      <c r="AJ9" s="123">
        <f>IF($H$8="%.",(AVERAGE(AJ11:AJ363))/100,(AVERAGE(AJ11:AJ363)))</f>
        <v>23.072727272727274</v>
      </c>
      <c r="AK9" s="122"/>
      <c r="AL9" s="70"/>
      <c r="AM9" s="31"/>
      <c r="AN9" s="31"/>
      <c r="AP9" s="121" t="str">
        <f>"Regional Ranking in for "&amp;F3</f>
        <v>Regional Ranking in for UA</v>
      </c>
      <c r="AQ9" s="123">
        <f>IF($H$8="%.",(AVERAGE(AQ11:AQ363))/100,(AVERAGE(AQ11:AQ363)))</f>
        <v>24.333333333333332</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17</v>
      </c>
      <c r="P10" s="130">
        <f>QUARTILE(N:N,2)</f>
        <v>21</v>
      </c>
      <c r="Q10" s="130">
        <f>IF(I8="A",QUARTILE(N:N,3),QUARTILE(N:N,1))</f>
        <v>27.5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Q3 2013/14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Cheshire East</v>
      </c>
      <c r="C11" s="31" t="s">
        <v>4</v>
      </c>
      <c r="D11" s="49" t="str">
        <f>VLOOKUP($C11,classifications!$C:$J,4,FALSE)</f>
        <v>SD</v>
      </c>
      <c r="E11" s="49">
        <f>VLOOKUP(C11,classifications!C:K,9,FALSE)</f>
        <v>0</v>
      </c>
      <c r="F11" s="59">
        <f>HLOOKUP($D$6,AX$10:ZX$363,ROW()-9,FALSE)</f>
        <v>16</v>
      </c>
      <c r="G11" s="105"/>
      <c r="H11" s="60" t="str">
        <f>IF(D11=$D$1,HLOOKUP($D$6,$AX$10:$ZZ$363,ROW()-9,FALSE),"")</f>
        <v/>
      </c>
      <c r="I11" s="112" t="str">
        <f>IF(H11="","",IF($I$8="A",(RANK(H11,H$11:H$363,1)+COUNTIF(H$11:H11,H11)-1),(RANK(H11,H$11:H$363)+COUNTIF(H$11:H11,H11)-1)))</f>
        <v/>
      </c>
      <c r="J11" s="58"/>
      <c r="K11" s="51">
        <v>1</v>
      </c>
      <c r="L11" s="59" t="str">
        <f>IF(K11="","",INDEX(C$11:C$363,MATCH(K11,I$11:I$363,0)))</f>
        <v>Darlington</v>
      </c>
      <c r="M11" s="153">
        <f>IF(L11="","",IF(VLOOKUP(L11,C:D,2,FALSE)=$F$3,VLOOKUP(L11,C:H,6,FALSE),""))</f>
        <v>10</v>
      </c>
      <c r="N11" s="148">
        <f>IF(L11="","",IF($H$8="%%",M11*100,M11))</f>
        <v>10</v>
      </c>
      <c r="O11" s="131">
        <f>IF(I$8="A",IF(N11&gt;=$P$7,IF(N11&lt;=$O$10,N11,""),""),IF(N11&lt;=$P$7,IF(N11&gt;=$O$10,N11,""),""))</f>
        <v>10</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Rural</v>
      </c>
      <c r="AB11" s="239" t="str">
        <f>IF(AA11=$J$3,M11,"")</f>
        <v/>
      </c>
      <c r="AC11" s="239" t="str">
        <f>IF(AB11="","",IF($I$8="A",(RANK(AB11,AB$11:AB$363)+COUNTIF(AB$11:AB11,AB11)-1),(RANK(AB11,AB$11:AB$363,1)+COUNTIF(AB$11:AB11,AB11)-1)))</f>
        <v/>
      </c>
      <c r="AD11" s="239"/>
      <c r="AE11" s="71">
        <f>IF(I$8="A",(RANK(AG11,AG$11:AG$363,1)+COUNTIF(AG$11:AG11,AG11)-1),(RANK(AG11,AG$11:AG$363)+COUNTIF(AG$11:AG11,AG11)-1))</f>
        <v>12</v>
      </c>
      <c r="AF11" s="69" t="str">
        <f>'Filtered Data'!D3</f>
        <v>Cheshire West &amp; Chester</v>
      </c>
      <c r="AG11" s="142">
        <f>VLOOKUP(Profile!$J$5,$C$11:$H$363,4,FALSE)</f>
        <v>33</v>
      </c>
      <c r="AH11" s="72">
        <f>AE11</f>
        <v>12</v>
      </c>
      <c r="AI11" s="61" t="str">
        <f>IF(L11="","",VLOOKUP($L11,classifications!$C:$J,8,FALSE))</f>
        <v>Unitary</v>
      </c>
      <c r="AJ11" s="62">
        <f t="shared" ref="AJ11:AJ74" si="0">IF(AI11=$I$3,M11,"")</f>
        <v>10</v>
      </c>
      <c r="AK11" s="57">
        <f>IF(AJ11="","",IF(I$8="A",(RANK(AJ11,AJ$11:AJ$363,1)+COUNTIF(AJ$11:AJ11,AJ11)-1),(RANK(AJ11,AJ$11:AJ$363)+COUNTIF(AJ$11:AJ11,AJ11)-1)))</f>
        <v>1</v>
      </c>
      <c r="AL11" s="57">
        <v>1</v>
      </c>
      <c r="AM11" s="31" t="str">
        <f>IF(ISNA(IF(AL11="","",INDEX(L$11:L$363,MATCH(AL11,AK$11:AK$363,0)))),"",(IF(AL11="","",INDEX(L$11:L$363,MATCH(AL11,AK$11:AK$363,0)))))</f>
        <v>Darlington</v>
      </c>
      <c r="AN11" s="31">
        <f>(VLOOKUP(AM11,L:M,2,FALSE))</f>
        <v>10</v>
      </c>
      <c r="AP11" s="61" t="str">
        <f>IF(L11="","",VLOOKUP($L11,classifications!$C:$E,3,FALSE))</f>
        <v>NE</v>
      </c>
      <c r="AQ11" s="62" t="str">
        <f>IF(AP11=$G$3,$M11,"")</f>
        <v/>
      </c>
      <c r="AR11" s="57" t="str">
        <f>IF(AQ11="","",IF(I$8="A",(RANK(AQ11,AQ$11:AQ$363,1)+COUNTIF(AQ$11:AQ11,AQ11)-1),(RANK(AQ11,AQ$11:AQ$363)+COUNTIF(AQ$11:AQ11,AQ11)-1)))</f>
        <v/>
      </c>
      <c r="AS11" s="57">
        <v>1</v>
      </c>
      <c r="AT11" s="57" t="str">
        <f>IF(AS11="","",INDEX(L$11:L$363,MATCH(AS11,AR$11:AR$363,0)))</f>
        <v>Halton</v>
      </c>
      <c r="AU11" s="62">
        <f>IF(AT11="","",VLOOKUP(AT11,L:M,2,FALSE))</f>
        <v>14</v>
      </c>
      <c r="AX11" s="44">
        <f>HLOOKUP($AX$9&amp;$AX$10,Data!$A$1:$ZZ$2000,(MATCH($C11,Data!$A$1:$A$2000,0)),FALSE)</f>
        <v>16</v>
      </c>
      <c r="AY11" s="156"/>
      <c r="AZ11" s="44"/>
    </row>
    <row r="12" spans="1:735">
      <c r="A12" s="84" t="str">
        <f>$D$1&amp;2</f>
        <v>UA2</v>
      </c>
      <c r="B12" s="85" t="str">
        <f>IF(ISERROR(VLOOKUP(A12,classifications!A:C,3,FALSE)),0,VLOOKUP(A12,classifications!A:C,3,FALSE))</f>
        <v>Cheshire West &amp; Chester</v>
      </c>
      <c r="C12" s="31" t="s">
        <v>6</v>
      </c>
      <c r="D12" s="49" t="str">
        <f>VLOOKUP($C12,classifications!$C:$J,4,FALSE)</f>
        <v>SD</v>
      </c>
      <c r="E12" s="49" t="str">
        <f>VLOOKUP(C12,classifications!C:K,9,FALSE)</f>
        <v>Sparse</v>
      </c>
      <c r="F12" s="59">
        <f t="shared" ref="F12:F74" si="1">HLOOKUP($D$6,AX$10:ZX$363,ROW()-9,FALSE)</f>
        <v>23</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Plymouth</v>
      </c>
      <c r="M12" s="153">
        <f>IF(L12="","",IF(VLOOKUP(L12,C:D,2,FALSE)=$F$3,VLOOKUP(L12,C:H,6,FALSE),""))</f>
        <v>10</v>
      </c>
      <c r="N12" s="148">
        <f>IF(L12="","",IF($H$8="%%",M12*100,M12))</f>
        <v>10</v>
      </c>
      <c r="O12" s="131">
        <f t="shared" ref="O12:O74" si="3">IF(I$8="A",IF(N12&gt;=$P$7,IF(N12&lt;=$O$10,N12,""),""),IF(N12&lt;=$P$7,IF(N12&gt;=$O$10,N12,""),""))</f>
        <v>10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13</v>
      </c>
      <c r="AF12" s="6" t="str">
        <f>VLOOKUP(Profile!$J$5,Families!$C:$R,2,FALSE)</f>
        <v>Cheshire East</v>
      </c>
      <c r="AG12" s="143">
        <f>VLOOKUP(AF12,$C$11:$H$363,4,FALSE)</f>
        <v>33</v>
      </c>
      <c r="AH12" s="72">
        <f>AE12</f>
        <v>13</v>
      </c>
      <c r="AI12" s="61" t="str">
        <f>IF(L12="","",VLOOKUP($L12,classifications!$C:$J,8,FALSE))</f>
        <v>Unitary</v>
      </c>
      <c r="AJ12" s="62">
        <f t="shared" si="0"/>
        <v>10</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Plymouth</v>
      </c>
      <c r="AN12" s="31">
        <f t="shared" ref="AN12:AN75" si="9">(VLOOKUP(AM12,L:M,2,FALSE))</f>
        <v>10</v>
      </c>
      <c r="AP12" s="61" t="str">
        <f>IF(L12="","",VLOOKUP($L12,classifications!$C:$E,3,FALSE))</f>
        <v>South West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Blackpool</v>
      </c>
      <c r="AU12" s="62">
        <f t="shared" ref="AU12:AU75" si="12">IF(AT12="","",VLOOKUP(AT12,L:M,2,FALSE))</f>
        <v>21</v>
      </c>
      <c r="AX12" s="44">
        <f>HLOOKUP($AX$9&amp;$AX$10,Data!$A$1:$ZZ$2000,(MATCH($C12,Data!$A$1:$A$2000,0)),FALSE)</f>
        <v>23</v>
      </c>
      <c r="AY12" s="156"/>
      <c r="AZ12" s="44"/>
    </row>
    <row r="13" spans="1:735">
      <c r="A13" s="84" t="str">
        <f>$D$1&amp;3</f>
        <v>UA3</v>
      </c>
      <c r="B13" s="85" t="str">
        <f>IF(ISERROR(VLOOKUP(A13,classifications!A:C,3,FALSE)),0,VLOOKUP(A13,classifications!A:C,3,FALSE))</f>
        <v>Cornwall</v>
      </c>
      <c r="C13" s="31" t="s">
        <v>7</v>
      </c>
      <c r="D13" s="49" t="str">
        <f>VLOOKUP($C13,classifications!$C:$J,4,FALSE)</f>
        <v>SD</v>
      </c>
      <c r="E13" s="49">
        <f>VLOOKUP(C13,classifications!C:K,9,FALSE)</f>
        <v>0</v>
      </c>
      <c r="F13" s="59">
        <f t="shared" si="1"/>
        <v>14</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Herefordshire</v>
      </c>
      <c r="M13" s="153">
        <f>IF(L13="","",IF(VLOOKUP(L13,C:D,2,FALSE)=$F$3,VLOOKUP(L13,C:H,6,FALSE),""))</f>
        <v>11</v>
      </c>
      <c r="N13" s="148">
        <f>IF(L13="","",IF($H$8="%%",M13*100,M13))</f>
        <v>11</v>
      </c>
      <c r="O13" s="131">
        <f t="shared" si="3"/>
        <v>11</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11</v>
      </c>
      <c r="V13" s="239">
        <f>IF(U13="","",IF($I$8="A",(RANK(U13,U$11:U$363)+COUNTIF(U$11:U13,U13)-1),(RANK(U13,U$11:U$363,1)+COUNTIF(U$11:U13,U13)-1)))</f>
        <v>12</v>
      </c>
      <c r="W13" s="240"/>
      <c r="X13" s="61" t="str">
        <f>IF(L13="","",VLOOKUP($L13,classifications!$C:$J,6,FALSE))</f>
        <v>Rural-50</v>
      </c>
      <c r="Y13" s="49">
        <f t="shared" si="6"/>
        <v>11</v>
      </c>
      <c r="Z13" s="57">
        <f>IF(Y13="","",IF(I$8="A",(RANK(Y13,Y$11:Y$363,1)+COUNTIF(Y$11:Y13,Y13)-1),(RANK(Y13,Y$11:Y$363)+COUNTIF(Y$11:Y13,Y13)-1)))</f>
        <v>1</v>
      </c>
      <c r="AA13" s="245" t="str">
        <f>IF(L13="","",VLOOKUP($L13,classifications!C:I,7,FALSE))</f>
        <v>Predominantly Rural</v>
      </c>
      <c r="AB13" s="239" t="str">
        <f>IF(AA13=$J$3,M13,"")</f>
        <v/>
      </c>
      <c r="AC13" s="239" t="str">
        <f>IF(AB13="","",IF($I$8="A",(RANK(AB13,AB$11:AB$363)+COUNTIF(AB$11:AB13,AB13)-1),(RANK(AB13,AB$11:AB$363,1)+COUNTIF(AB$11:AB13,AB13)-1)))</f>
        <v/>
      </c>
      <c r="AD13" s="239"/>
      <c r="AE13" s="71">
        <f>IF(I$8="A",(RANK(AG13,AG$11:AG$363,1)+COUNTIF(AG$11:AG13,AG13)-1),(RANK(AG13,AG$11:AG$363)+COUNTIF(AG$11:AG13,AG13)-1))</f>
        <v>6</v>
      </c>
      <c r="AF13" s="6" t="str">
        <f>VLOOKUP(Profile!$J$5,Families!$C:$R,3,FALSE)</f>
        <v>Stockport</v>
      </c>
      <c r="AG13" s="143">
        <f>VLOOKUP(AF13,$C$11:$H$363,4,FALSE)</f>
        <v>19</v>
      </c>
      <c r="AH13" s="72">
        <f t="shared" ref="AH13:AH26" si="18">AE13</f>
        <v>6</v>
      </c>
      <c r="AI13" s="61" t="str">
        <f>IF(L13="","",VLOOKUP($L13,classifications!$C:$J,8,FALSE))</f>
        <v>Unitary</v>
      </c>
      <c r="AJ13" s="62">
        <f>IF(AI13=$I$3,M13,"")</f>
        <v>11</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Herefordshire</v>
      </c>
      <c r="AN13" s="31">
        <f t="shared" si="9"/>
        <v>11</v>
      </c>
      <c r="AP13" s="61" t="str">
        <f>IF(L13="","",VLOOKUP($L13,classifications!$C:$E,3,FALSE))</f>
        <v>West Midlands</v>
      </c>
      <c r="AQ13" s="62" t="str">
        <f t="shared" si="10"/>
        <v/>
      </c>
      <c r="AR13" s="57" t="str">
        <f>IF(AQ13="","",IF(I$8="A",(RANK(AQ13,AQ$11:AQ$363,1)+COUNTIF(AQ$11:AQ13,AQ13)-1),(RANK(AQ13,AQ$11:AQ$363)+COUNTIF(AQ$11:AQ13,AQ13)-1)))</f>
        <v/>
      </c>
      <c r="AS13" s="52">
        <f>IF(AS12="","",IF(AS12+1&gt;(COUNT(AQ$11:AQ$363)),"",AS12+1))</f>
        <v>3</v>
      </c>
      <c r="AT13" s="57" t="str">
        <f t="shared" si="11"/>
        <v>Blackburn with Darwen</v>
      </c>
      <c r="AU13" s="62">
        <f t="shared" si="12"/>
        <v>22</v>
      </c>
      <c r="AX13" s="44">
        <f>HLOOKUP($AX$9&amp;$AX$10,Data!$A$1:$ZZ$2000,(MATCH($C13,Data!$A$1:$A$2000,0)),FALSE)</f>
        <v>14</v>
      </c>
      <c r="AY13" s="156"/>
      <c r="AZ13" s="44"/>
    </row>
    <row r="14" spans="1:735">
      <c r="A14" s="84" t="str">
        <f>$D$1&amp;4</f>
        <v>UA4</v>
      </c>
      <c r="B14" s="85" t="str">
        <f>IF(ISERROR(VLOOKUP(A14,classifications!A:C,3,FALSE)),0,VLOOKUP(A14,classifications!A:C,3,FALSE))</f>
        <v>Durham</v>
      </c>
      <c r="C14" s="31" t="s">
        <v>8</v>
      </c>
      <c r="D14" s="49" t="str">
        <f>VLOOKUP($C14,classifications!$C:$J,4,FALSE)</f>
        <v>SD</v>
      </c>
      <c r="E14" s="49">
        <f>VLOOKUP(C14,classifications!C:K,9,FALSE)</f>
        <v>0</v>
      </c>
      <c r="F14" s="59">
        <f t="shared" si="1"/>
        <v>17</v>
      </c>
      <c r="G14" s="105"/>
      <c r="H14" s="60" t="str">
        <f t="shared" si="2"/>
        <v/>
      </c>
      <c r="I14" s="112" t="str">
        <f>IF(H14="","",IF($I$8="A",(RANK(H14,H$11:H$363,1)+COUNTIF(H$11:H14,H14)-1),(RANK(H14,H$11:H$363)+COUNTIF(H$11:H14,H14)-1)))</f>
        <v/>
      </c>
      <c r="J14" s="58"/>
      <c r="K14" s="51">
        <f t="shared" si="13"/>
        <v>4</v>
      </c>
      <c r="L14" s="59" t="str">
        <f t="shared" si="14"/>
        <v>Telford &amp; Wrekin</v>
      </c>
      <c r="M14" s="153">
        <f t="shared" ref="M14:M75" si="20">IF(L14="","",IF(VLOOKUP(L14,C:D,2,FALSE)=$F$3,VLOOKUP(L14,C:H,6,FALSE),""))</f>
        <v>11</v>
      </c>
      <c r="N14" s="148">
        <f t="shared" ref="N14:N75" si="21">IF(L14="","",IF($H$8="%%",M14*100,M14))</f>
        <v>11</v>
      </c>
      <c r="O14" s="131">
        <f t="shared" si="3"/>
        <v>11</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16</v>
      </c>
      <c r="AF14" s="6" t="str">
        <f>VLOOKUP(Profile!$J$5,Families!$C:$R,4,FALSE)</f>
        <v>Central Bedfordshire</v>
      </c>
      <c r="AG14" s="143">
        <f t="shared" ref="AG14:AG26" si="22">VLOOKUP(AF14,$C$11:$H$363,4,FALSE)</f>
        <v>41</v>
      </c>
      <c r="AH14" s="72">
        <f t="shared" si="18"/>
        <v>16</v>
      </c>
      <c r="AI14" s="61" t="str">
        <f>IF(L14="","",VLOOKUP($L14,classifications!$C:$J,8,FALSE))</f>
        <v>Unitary</v>
      </c>
      <c r="AJ14" s="62">
        <f t="shared" si="0"/>
        <v>11</v>
      </c>
      <c r="AK14" s="57">
        <f>IF(AJ14="","",IF(I$8="A",(RANK(AJ14,AJ$11:AJ$363,1)+COUNTIF(AJ$11:AJ14,AJ14)-1),(RANK(AJ14,AJ$11:AJ$363)+COUNTIF(AJ$11:AJ14,AJ14)-1)))</f>
        <v>4</v>
      </c>
      <c r="AL14" s="52">
        <f t="shared" si="19"/>
        <v>4</v>
      </c>
      <c r="AM14" s="31" t="str">
        <f t="shared" si="8"/>
        <v>Telford &amp; Wrekin</v>
      </c>
      <c r="AN14" s="31">
        <f t="shared" si="9"/>
        <v>11</v>
      </c>
      <c r="AP14" s="61" t="str">
        <f>IF(L14="","",VLOOKUP($L14,classifications!$C:$E,3,FALSE))</f>
        <v>West Midlands</v>
      </c>
      <c r="AQ14" s="62" t="str">
        <f t="shared" si="10"/>
        <v/>
      </c>
      <c r="AR14" s="57" t="str">
        <f>IF(AQ14="","",IF(I$8="A",(RANK(AQ14,AQ$11:AQ$363,1)+COUNTIF(AQ$11:AQ14,AQ14)-1),(RANK(AQ14,AQ$11:AQ$363)+COUNTIF(AQ$11:AQ14,AQ14)-1)))</f>
        <v/>
      </c>
      <c r="AS14" s="52">
        <f t="shared" ref="AS14:AS75" si="23">IF(AS13="","",IF(AS13+1&gt;(COUNT(AQ$11:AQ$363)),"",AS13+1))</f>
        <v>4</v>
      </c>
      <c r="AT14" s="57" t="str">
        <f t="shared" si="11"/>
        <v>Warrington</v>
      </c>
      <c r="AU14" s="62">
        <f t="shared" si="12"/>
        <v>23</v>
      </c>
      <c r="AX14" s="44">
        <f>HLOOKUP($AX$9&amp;$AX$10,Data!$A$1:$ZZ$2000,(MATCH($C14,Data!$A$1:$A$2000,0)),FALSE)</f>
        <v>17</v>
      </c>
      <c r="AY14" s="156"/>
      <c r="AZ14" s="44"/>
    </row>
    <row r="15" spans="1:735">
      <c r="A15" s="84" t="str">
        <f>$D$1&amp;5</f>
        <v>UA5</v>
      </c>
      <c r="B15" s="85" t="str">
        <f>IF(ISERROR(VLOOKUP(A15,classifications!A:C,3,FALSE)),0,VLOOKUP(A15,classifications!A:C,3,FALSE))</f>
        <v>East Riding of Yorkshire</v>
      </c>
      <c r="C15" s="31" t="s">
        <v>9</v>
      </c>
      <c r="D15" s="49" t="str">
        <f>VLOOKUP($C15,classifications!$C:$J,4,FALSE)</f>
        <v>SD</v>
      </c>
      <c r="E15" s="49">
        <f>VLOOKUP(C15,classifications!C:K,9,FALSE)</f>
        <v>0</v>
      </c>
      <c r="F15" s="59">
        <f t="shared" si="1"/>
        <v>17</v>
      </c>
      <c r="G15" s="105"/>
      <c r="H15" s="60" t="str">
        <f t="shared" si="2"/>
        <v/>
      </c>
      <c r="I15" s="112" t="str">
        <f>IF(H15="","",IF($I$8="A",(RANK(H15,H$11:H$363,1)+COUNTIF(H$11:H15,H15)-1),(RANK(H15,H$11:H$363)+COUNTIF(H$11:H15,H15)-1)))</f>
        <v/>
      </c>
      <c r="J15" s="58"/>
      <c r="K15" s="51">
        <f t="shared" si="13"/>
        <v>5</v>
      </c>
      <c r="L15" s="59" t="str">
        <f t="shared" si="14"/>
        <v>Halton</v>
      </c>
      <c r="M15" s="153">
        <f t="shared" si="20"/>
        <v>14</v>
      </c>
      <c r="N15" s="148">
        <f t="shared" si="21"/>
        <v>14</v>
      </c>
      <c r="O15" s="131">
        <f t="shared" si="3"/>
        <v>14</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9</v>
      </c>
      <c r="AF15" s="6" t="str">
        <f>VLOOKUP(Profile!$J$5,Families!$C:$R,5,FALSE)</f>
        <v>Warrington</v>
      </c>
      <c r="AG15" s="143">
        <f t="shared" si="22"/>
        <v>23</v>
      </c>
      <c r="AH15" s="72">
        <f t="shared" si="18"/>
        <v>9</v>
      </c>
      <c r="AI15" s="61" t="str">
        <f>IF(L15="","",VLOOKUP($L15,classifications!$C:$J,8,FALSE))</f>
        <v>Unitary</v>
      </c>
      <c r="AJ15" s="62">
        <f t="shared" si="0"/>
        <v>14</v>
      </c>
      <c r="AK15" s="57">
        <f>IF(AJ15="","",IF(I$8="A",(RANK(AJ15,AJ$11:AJ$363,1)+COUNTIF(AJ$11:AJ15,AJ15)-1),(RANK(AJ15,AJ$11:AJ$363)+COUNTIF(AJ$11:AJ15,AJ15)-1)))</f>
        <v>5</v>
      </c>
      <c r="AL15" s="52">
        <f t="shared" si="19"/>
        <v>5</v>
      </c>
      <c r="AM15" s="31" t="str">
        <f>IF(ISNA(IF(AL15="","",INDEX(L$11:L$363,MATCH(AL15,AK$11:AK$363,0)))),"",(IF(AL15="","",INDEX(L$11:L$363,MATCH(AL15,AK$11:AK$363,0)))))</f>
        <v>Halton</v>
      </c>
      <c r="AN15" s="31">
        <f t="shared" si="9"/>
        <v>14</v>
      </c>
      <c r="AP15" s="61" t="str">
        <f>IF(L15="","",VLOOKUP($L15,classifications!$C:$E,3,FALSE))</f>
        <v>North West</v>
      </c>
      <c r="AQ15" s="62">
        <f t="shared" si="10"/>
        <v>14</v>
      </c>
      <c r="AR15" s="57">
        <f>IF(AQ15="","",IF(I$8="A",(RANK(AQ15,AQ$11:AQ$363,1)+COUNTIF(AQ$11:AQ15,AQ15)-1),(RANK(AQ15,AQ$11:AQ$363)+COUNTIF(AQ$11:AQ15,AQ15)-1)))</f>
        <v>1</v>
      </c>
      <c r="AS15" s="52">
        <f t="shared" si="23"/>
        <v>5</v>
      </c>
      <c r="AT15" s="57" t="str">
        <f t="shared" si="11"/>
        <v>Cheshire East</v>
      </c>
      <c r="AU15" s="62">
        <f t="shared" si="12"/>
        <v>33</v>
      </c>
      <c r="AX15" s="44">
        <f>HLOOKUP($AX$9&amp;$AX$10,Data!$A$1:$ZZ$2000,(MATCH($C15,Data!$A$1:$A$2000,0)),FALSE)</f>
        <v>17</v>
      </c>
      <c r="AY15" s="156"/>
      <c r="AZ15" s="44"/>
    </row>
    <row r="16" spans="1:735">
      <c r="A16" s="84" t="str">
        <f>$D$1&amp;6</f>
        <v>UA6</v>
      </c>
      <c r="B16" s="85" t="str">
        <f>IF(ISERROR(VLOOKUP(A16,classifications!A:C,3,FALSE)),0,VLOOKUP(A16,classifications!A:C,3,FALSE))</f>
        <v>Herefordshire</v>
      </c>
      <c r="C16" s="31" t="s">
        <v>10</v>
      </c>
      <c r="D16" s="49" t="str">
        <f>VLOOKUP($C16,classifications!$C:$J,4,FALSE)</f>
        <v>SD</v>
      </c>
      <c r="E16" s="49" t="str">
        <f>VLOOKUP(C16,classifications!C:K,9,FALSE)</f>
        <v>Sparse</v>
      </c>
      <c r="F16" s="59">
        <f t="shared" si="1"/>
        <v>27</v>
      </c>
      <c r="G16" s="105"/>
      <c r="H16" s="60" t="str">
        <f t="shared" si="2"/>
        <v/>
      </c>
      <c r="I16" s="112" t="str">
        <f>IF(H16="","",IF($I$8="A",(RANK(H16,H$11:H$363,1)+COUNTIF(H$11:H16,H16)-1),(RANK(H16,H$11:H$363)+COUNTIF(H$11:H16,H16)-1)))</f>
        <v/>
      </c>
      <c r="J16" s="58"/>
      <c r="K16" s="51">
        <f t="shared" si="13"/>
        <v>6</v>
      </c>
      <c r="L16" s="59" t="str">
        <f t="shared" si="14"/>
        <v>Reading</v>
      </c>
      <c r="M16" s="153">
        <f t="shared" si="20"/>
        <v>15</v>
      </c>
      <c r="N16" s="148">
        <f t="shared" si="21"/>
        <v>15</v>
      </c>
      <c r="O16" s="131">
        <f t="shared" si="3"/>
        <v>15</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Large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11</v>
      </c>
      <c r="AF16" s="6" t="str">
        <f>VLOOKUP(Profile!$J$5,Families!$C:$R,6,FALSE)</f>
        <v>Solihull</v>
      </c>
      <c r="AG16" s="143">
        <f t="shared" si="22"/>
        <v>24</v>
      </c>
      <c r="AH16" s="72">
        <f t="shared" si="18"/>
        <v>11</v>
      </c>
      <c r="AI16" s="61" t="str">
        <f>IF(L16="","",VLOOKUP($L16,classifications!$C:$J,8,FALSE))</f>
        <v>Unitary</v>
      </c>
      <c r="AJ16" s="62">
        <f t="shared" si="0"/>
        <v>15</v>
      </c>
      <c r="AK16" s="57">
        <f>IF(AJ16="","",IF(I$8="A",(RANK(AJ16,AJ$11:AJ$363,1)+COUNTIF(AJ$11:AJ16,AJ16)-1),(RANK(AJ16,AJ$11:AJ$363)+COUNTIF(AJ$11:AJ16,AJ16)-1)))</f>
        <v>6</v>
      </c>
      <c r="AL16" s="52">
        <f t="shared" si="19"/>
        <v>6</v>
      </c>
      <c r="AM16" s="31" t="str">
        <f t="shared" si="8"/>
        <v>Reading</v>
      </c>
      <c r="AN16" s="31">
        <f t="shared" si="9"/>
        <v>15</v>
      </c>
      <c r="AP16" s="61" t="str">
        <f>IF(L16="","",VLOOKUP($L16,classifications!$C:$E,3,FALSE))</f>
        <v>South East</v>
      </c>
      <c r="AQ16" s="62" t="str">
        <f t="shared" si="10"/>
        <v/>
      </c>
      <c r="AR16" s="57" t="str">
        <f>IF(AQ16="","",IF(I$8="A",(RANK(AQ16,AQ$11:AQ$363,1)+COUNTIF(AQ$11:AQ16,AQ16)-1),(RANK(AQ16,AQ$11:AQ$363)+COUNTIF(AQ$11:AQ16,AQ16)-1)))</f>
        <v/>
      </c>
      <c r="AS16" s="52">
        <f t="shared" si="23"/>
        <v>6</v>
      </c>
      <c r="AT16" s="57" t="str">
        <f t="shared" si="11"/>
        <v>Cheshire West &amp; Chester</v>
      </c>
      <c r="AU16" s="62">
        <f t="shared" si="12"/>
        <v>33</v>
      </c>
      <c r="AX16" s="44">
        <f>HLOOKUP($AX$9&amp;$AX$10,Data!$A$1:$ZZ$2000,(MATCH($C16,Data!$A$1:$A$2000,0)),FALSE)</f>
        <v>27</v>
      </c>
      <c r="AY16" s="156"/>
      <c r="AZ16" s="44"/>
    </row>
    <row r="17" spans="1:52">
      <c r="A17" s="84" t="str">
        <f>$D$1&amp;7</f>
        <v>UA7</v>
      </c>
      <c r="B17" s="85" t="str">
        <f>IF(ISERROR(VLOOKUP(A17,classifications!A:C,3,FALSE)),0,VLOOKUP(A17,classifications!A:C,3,FALSE))</f>
        <v>Isle of Wight</v>
      </c>
      <c r="C17" s="31" t="s">
        <v>11</v>
      </c>
      <c r="D17" s="49" t="str">
        <f>VLOOKUP($C17,classifications!$C:$J,4,FALSE)</f>
        <v>SD</v>
      </c>
      <c r="E17" s="49" t="str">
        <f>VLOOKUP(C17,classifications!C:K,9,FALSE)</f>
        <v>Sparse</v>
      </c>
      <c r="F17" s="59">
        <f t="shared" si="1"/>
        <v>19</v>
      </c>
      <c r="G17" s="105"/>
      <c r="H17" s="60" t="str">
        <f t="shared" si="2"/>
        <v/>
      </c>
      <c r="I17" s="112" t="str">
        <f>IF(H17="","",IF($I$8="A",(RANK(H17,H$11:H$363,1)+COUNTIF(H$11:H17,H17)-1),(RANK(H17,H$11:H$363)+COUNTIF(H$11:H17,H17)-1)))</f>
        <v/>
      </c>
      <c r="J17" s="58"/>
      <c r="K17" s="51">
        <f t="shared" si="13"/>
        <v>7</v>
      </c>
      <c r="L17" s="59" t="str">
        <f t="shared" si="14"/>
        <v>Southampton</v>
      </c>
      <c r="M17" s="153">
        <f t="shared" si="20"/>
        <v>15</v>
      </c>
      <c r="N17" s="148">
        <f t="shared" si="21"/>
        <v>15</v>
      </c>
      <c r="O17" s="131">
        <f t="shared" si="3"/>
        <v>15</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10</v>
      </c>
      <c r="AF17" s="6" t="str">
        <f>VLOOKUP(Profile!$J$5,Families!$C:$R,7,FALSE)</f>
        <v>Wiltshire</v>
      </c>
      <c r="AG17" s="143">
        <f t="shared" si="22"/>
        <v>23</v>
      </c>
      <c r="AH17" s="72">
        <f t="shared" si="18"/>
        <v>10</v>
      </c>
      <c r="AI17" s="61" t="str">
        <f>IF(L17="","",VLOOKUP($L17,classifications!$C:$J,8,FALSE))</f>
        <v>Unitary</v>
      </c>
      <c r="AJ17" s="62">
        <f t="shared" si="0"/>
        <v>15</v>
      </c>
      <c r="AK17" s="57">
        <f>IF(AJ17="","",IF(I$8="A",(RANK(AJ17,AJ$11:AJ$363,1)+COUNTIF(AJ$11:AJ17,AJ17)-1),(RANK(AJ17,AJ$11:AJ$363)+COUNTIF(AJ$11:AJ17,AJ17)-1)))</f>
        <v>7</v>
      </c>
      <c r="AL17" s="52">
        <f t="shared" si="19"/>
        <v>7</v>
      </c>
      <c r="AM17" s="31" t="str">
        <f t="shared" si="8"/>
        <v>Southampton</v>
      </c>
      <c r="AN17" s="31">
        <f t="shared" si="9"/>
        <v>15</v>
      </c>
      <c r="AP17" s="61" t="str">
        <f>IF(L17="","",VLOOKUP($L17,classifications!$C:$E,3,FALSE))</f>
        <v>South East</v>
      </c>
      <c r="AQ17" s="62" t="str">
        <f t="shared" si="10"/>
        <v/>
      </c>
      <c r="AR17" s="57" t="str">
        <f>IF(AQ17="","",IF(I$8="A",(RANK(AQ17,AQ$11:AQ$363,1)+COUNTIF(AQ$11:AQ17,AQ17)-1),(RANK(AQ17,AQ$11:AQ$363)+COUNTIF(AQ$11:AQ17,AQ17)-1)))</f>
        <v/>
      </c>
      <c r="AS17" s="52" t="str">
        <f t="shared" si="23"/>
        <v/>
      </c>
      <c r="AT17" s="57" t="str">
        <f t="shared" si="11"/>
        <v/>
      </c>
      <c r="AU17" s="62" t="str">
        <f t="shared" si="12"/>
        <v/>
      </c>
      <c r="AX17" s="44">
        <f>HLOOKUP($AX$9&amp;$AX$10,Data!$A$1:$ZZ$2000,(MATCH($C17,Data!$A$1:$A$2000,0)),FALSE)</f>
        <v>19</v>
      </c>
      <c r="AY17" s="156"/>
      <c r="AZ17" s="44"/>
    </row>
    <row r="18" spans="1:52">
      <c r="A18" s="84" t="str">
        <f>$D$1&amp;8</f>
        <v>UA8</v>
      </c>
      <c r="B18" s="85" t="str">
        <f>IF(ISERROR(VLOOKUP(A18,classifications!A:C,3,FALSE)),0,VLOOKUP(A18,classifications!A:C,3,FALSE))</f>
        <v>North Lincolnshire</v>
      </c>
      <c r="C18" s="31" t="s">
        <v>12</v>
      </c>
      <c r="D18" s="49" t="str">
        <f>VLOOKUP($C18,classifications!$C:$J,4,FALSE)</f>
        <v>SD</v>
      </c>
      <c r="E18" s="49" t="str">
        <f>VLOOKUP(C18,classifications!C:K,9,FALSE)</f>
        <v>Sparse</v>
      </c>
      <c r="F18" s="59">
        <f t="shared" si="1"/>
        <v>22</v>
      </c>
      <c r="G18" s="105"/>
      <c r="H18" s="60" t="str">
        <f t="shared" si="2"/>
        <v/>
      </c>
      <c r="I18" s="112" t="str">
        <f>IF(H18="","",IF($I$8="A",(RANK(H18,H$11:H$363,1)+COUNTIF(H$11:H18,H18)-1),(RANK(H18,H$11:H$363)+COUNTIF(H$11:H18,H18)-1)))</f>
        <v/>
      </c>
      <c r="J18" s="58"/>
      <c r="K18" s="51">
        <f t="shared" si="13"/>
        <v>8</v>
      </c>
      <c r="L18" s="59" t="str">
        <f t="shared" si="14"/>
        <v>Stoke-on-Trent</v>
      </c>
      <c r="M18" s="153">
        <f t="shared" si="20"/>
        <v>15</v>
      </c>
      <c r="N18" s="148">
        <f t="shared" si="21"/>
        <v>15</v>
      </c>
      <c r="O18" s="131">
        <f t="shared" si="3"/>
        <v>15</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Large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3</v>
      </c>
      <c r="AF18" s="6" t="str">
        <f>VLOOKUP(Profile!$J$5,Families!$C:$R,8,FALSE)</f>
        <v>Bath &amp; North East Somerset</v>
      </c>
      <c r="AG18" s="143">
        <f t="shared" si="22"/>
        <v>16</v>
      </c>
      <c r="AH18" s="72">
        <f t="shared" si="18"/>
        <v>3</v>
      </c>
      <c r="AI18" s="61" t="str">
        <f>IF(L18="","",VLOOKUP($L18,classifications!$C:$J,8,FALSE))</f>
        <v>Unitary</v>
      </c>
      <c r="AJ18" s="62">
        <f t="shared" si="0"/>
        <v>15</v>
      </c>
      <c r="AK18" s="57">
        <f>IF(AJ18="","",IF(I$8="A",(RANK(AJ18,AJ$11:AJ$363,1)+COUNTIF(AJ$11:AJ18,AJ18)-1),(RANK(AJ18,AJ$11:AJ$363)+COUNTIF(AJ$11:AJ18,AJ18)-1)))</f>
        <v>8</v>
      </c>
      <c r="AL18" s="52">
        <f t="shared" si="19"/>
        <v>8</v>
      </c>
      <c r="AM18" s="31" t="str">
        <f t="shared" si="8"/>
        <v>Stoke-on-Trent</v>
      </c>
      <c r="AN18" s="31">
        <f t="shared" si="9"/>
        <v>15</v>
      </c>
      <c r="AP18" s="61" t="str">
        <f>IF(L18="","",VLOOKUP($L18,classifications!$C:$E,3,FALSE))</f>
        <v>West Midlands</v>
      </c>
      <c r="AQ18" s="62" t="str">
        <f t="shared" si="10"/>
        <v/>
      </c>
      <c r="AR18" s="57" t="str">
        <f>IF(AQ18="","",IF(I$8="A",(RANK(AQ18,AQ$11:AQ$363,1)+COUNTIF(AQ$11:AQ18,AQ18)-1),(RANK(AQ18,AQ$11:AQ$363)+COUNTIF(AQ$11:AQ18,AQ18)-1)))</f>
        <v/>
      </c>
      <c r="AS18" s="52" t="str">
        <f t="shared" si="23"/>
        <v/>
      </c>
      <c r="AT18" s="57" t="str">
        <f t="shared" si="11"/>
        <v/>
      </c>
      <c r="AU18" s="62" t="str">
        <f t="shared" si="12"/>
        <v/>
      </c>
      <c r="AX18" s="44">
        <f>HLOOKUP($AX$9&amp;$AX$10,Data!$A$1:$ZZ$2000,(MATCH($C18,Data!$A$1:$A$2000,0)),FALSE)</f>
        <v>22</v>
      </c>
      <c r="AY18" s="156"/>
      <c r="AZ18" s="44"/>
    </row>
    <row r="19" spans="1:52">
      <c r="A19" s="84" t="str">
        <f>$D$1&amp;9</f>
        <v>UA9</v>
      </c>
      <c r="B19" s="85" t="str">
        <f>IF(ISERROR(VLOOKUP(A19,classifications!A:C,3,FALSE)),0,VLOOKUP(A19,classifications!A:C,3,FALSE))</f>
        <v>North Somerset</v>
      </c>
      <c r="C19" s="31" t="s">
        <v>341</v>
      </c>
      <c r="D19" s="49" t="str">
        <f>VLOOKUP($C19,classifications!$C:$J,4,FALSE)</f>
        <v>L</v>
      </c>
      <c r="E19" s="49">
        <f>VLOOKUP(C19,classifications!C:K,9,FALSE)</f>
        <v>0</v>
      </c>
      <c r="F19" s="59">
        <f t="shared" si="1"/>
        <v>24</v>
      </c>
      <c r="G19" s="105"/>
      <c r="H19" s="60" t="str">
        <f t="shared" si="2"/>
        <v/>
      </c>
      <c r="I19" s="112" t="str">
        <f>IF(H19="","",IF($I$8="A",(RANK(H19,H$11:H$363,1)+COUNTIF(H$11:H19,H19)-1),(RANK(H19,H$11:H$363)+COUNTIF(H$11:H19,H19)-1)))</f>
        <v/>
      </c>
      <c r="J19" s="58"/>
      <c r="K19" s="51">
        <f t="shared" si="13"/>
        <v>9</v>
      </c>
      <c r="L19" s="59" t="str">
        <f t="shared" si="14"/>
        <v>Bath &amp; North East Somerset</v>
      </c>
      <c r="M19" s="153">
        <f t="shared" si="20"/>
        <v>16</v>
      </c>
      <c r="N19" s="148">
        <f t="shared" si="21"/>
        <v>16</v>
      </c>
      <c r="O19" s="131">
        <f t="shared" si="3"/>
        <v>16</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Significant Rural</v>
      </c>
      <c r="Y19" s="49">
        <f t="shared" si="6"/>
        <v>16</v>
      </c>
      <c r="Z19" s="57">
        <f>IF(Y19="","",IF(I$8="A",(RANK(Y19,Y$11:Y$363,1)+COUNTIF(Y$11:Y19,Y19)-1),(RANK(Y19,Y$11:Y$363)+COUNTIF(Y$11:Y19,Y19)-1)))</f>
        <v>2</v>
      </c>
      <c r="AA19" s="245" t="str">
        <f>IF(L19="","",VLOOKUP($L19,classifications!C:I,7,FALSE))</f>
        <v>Significant Rural</v>
      </c>
      <c r="AB19" s="239">
        <f t="shared" si="7"/>
        <v>16</v>
      </c>
      <c r="AC19" s="239">
        <f>IF(AB19="","",IF($I$8="A",(RANK(AB19,AB$11:AB$363)+COUNTIF(AB$11:AB19,AB19)-1),(RANK(AB19,AB$11:AB$363,1)+COUNTIF(AB$11:AB19,AB19)-1)))</f>
        <v>5</v>
      </c>
      <c r="AD19" s="239"/>
      <c r="AE19" s="71">
        <f>IF(I$8="A",(RANK(AG19,AG$11:AG$363,1)+COUNTIF(AG$11:AG19,AG19)-1),(RANK(AG19,AG$11:AG$363)+COUNTIF(AG$11:AG19,AG19)-1))</f>
        <v>14</v>
      </c>
      <c r="AF19" s="6" t="str">
        <f>VLOOKUP(Profile!$J$5,Families!$C:$R,9,FALSE)</f>
        <v>York</v>
      </c>
      <c r="AG19" s="143">
        <f t="shared" si="22"/>
        <v>37</v>
      </c>
      <c r="AH19" s="72">
        <f t="shared" si="18"/>
        <v>14</v>
      </c>
      <c r="AI19" s="61" t="str">
        <f>IF(L19="","",VLOOKUP($L19,classifications!$C:$J,8,FALSE))</f>
        <v>Unitary</v>
      </c>
      <c r="AJ19" s="62">
        <f t="shared" si="0"/>
        <v>16</v>
      </c>
      <c r="AK19" s="57">
        <f>IF(AJ19="","",IF(I$8="A",(RANK(AJ19,AJ$11:AJ$363,1)+COUNTIF(AJ$11:AJ19,AJ19)-1),(RANK(AJ19,AJ$11:AJ$363)+COUNTIF(AJ$11:AJ19,AJ19)-1)))</f>
        <v>9</v>
      </c>
      <c r="AL19" s="52">
        <f t="shared" si="19"/>
        <v>9</v>
      </c>
      <c r="AM19" s="31" t="str">
        <f t="shared" si="8"/>
        <v>Bath &amp; North East Somerset</v>
      </c>
      <c r="AN19" s="31">
        <f t="shared" si="9"/>
        <v>16</v>
      </c>
      <c r="AP19" s="61" t="str">
        <f>IF(L19="","",VLOOKUP($L19,classifications!$C:$E,3,FALSE))</f>
        <v>South West</v>
      </c>
      <c r="AQ19" s="62" t="str">
        <f t="shared" si="10"/>
        <v/>
      </c>
      <c r="AR19" s="57" t="str">
        <f>IF(AQ19="","",IF(I$8="A",(RANK(AQ19,AQ$11:AQ$363,1)+COUNTIF(AQ$11:AQ19,AQ19)-1),(RANK(AQ19,AQ$11:AQ$363)+COUNTIF(AQ$11:AQ19,AQ19)-1)))</f>
        <v/>
      </c>
      <c r="AS19" s="52" t="str">
        <f t="shared" si="23"/>
        <v/>
      </c>
      <c r="AT19" s="57" t="str">
        <f t="shared" si="11"/>
        <v/>
      </c>
      <c r="AU19" s="62" t="str">
        <f t="shared" si="12"/>
        <v/>
      </c>
      <c r="AX19" s="44">
        <f>HLOOKUP($AX$9&amp;$AX$10,Data!$A$1:$ZZ$2000,(MATCH($C19,Data!$A$1:$A$2000,0)),FALSE)</f>
        <v>24</v>
      </c>
      <c r="AY19" s="156"/>
      <c r="AZ19" s="44"/>
    </row>
    <row r="20" spans="1:52">
      <c r="A20" s="84" t="str">
        <f>$D$1&amp;10</f>
        <v>UA10</v>
      </c>
      <c r="B20" s="85" t="str">
        <f>IF(ISERROR(VLOOKUP(A20,classifications!A:C,3,FALSE)),0,VLOOKUP(A20,classifications!A:C,3,FALSE))</f>
        <v>Northumberland</v>
      </c>
      <c r="C20" s="31" t="s">
        <v>197</v>
      </c>
      <c r="D20" s="49" t="str">
        <f>VLOOKUP($C20,classifications!$C:$J,4,FALSE)</f>
        <v>L</v>
      </c>
      <c r="E20" s="49">
        <f>VLOOKUP(C20,classifications!C:K,9,FALSE)</f>
        <v>0</v>
      </c>
      <c r="F20" s="59">
        <f t="shared" si="1"/>
        <v>7</v>
      </c>
      <c r="G20" s="105"/>
      <c r="H20" s="60" t="str">
        <f t="shared" si="2"/>
        <v/>
      </c>
      <c r="I20" s="112" t="str">
        <f>IF(H20="","",IF($I$8="A",(RANK(H20,H$11:H$363,1)+COUNTIF(H$11:H20,H20)-1),(RANK(H20,H$11:H$363)+COUNTIF(H$11:H20,H20)-1)))</f>
        <v/>
      </c>
      <c r="J20" s="58"/>
      <c r="K20" s="51">
        <f t="shared" si="13"/>
        <v>10</v>
      </c>
      <c r="L20" s="59" t="str">
        <f t="shared" si="14"/>
        <v>Bournemouth</v>
      </c>
      <c r="M20" s="153">
        <f t="shared" si="20"/>
        <v>16</v>
      </c>
      <c r="N20" s="148">
        <f t="shared" si="21"/>
        <v>16</v>
      </c>
      <c r="O20" s="131">
        <f t="shared" si="3"/>
        <v>16</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Large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15</v>
      </c>
      <c r="AF20" s="6" t="str">
        <f>VLOOKUP(Profile!$J$5,Families!$C:$R,10,FALSE)</f>
        <v>Shropshire</v>
      </c>
      <c r="AG20" s="143">
        <f t="shared" si="22"/>
        <v>39</v>
      </c>
      <c r="AH20" s="72">
        <f t="shared" si="18"/>
        <v>15</v>
      </c>
      <c r="AI20" s="61" t="str">
        <f>IF(L20="","",VLOOKUP($L20,classifications!$C:$J,8,FALSE))</f>
        <v>Unitary</v>
      </c>
      <c r="AJ20" s="62">
        <f t="shared" si="0"/>
        <v>16</v>
      </c>
      <c r="AK20" s="57">
        <f>IF(AJ20="","",IF(I$8="A",(RANK(AJ20,AJ$11:AJ$363,1)+COUNTIF(AJ$11:AJ20,AJ20)-1),(RANK(AJ20,AJ$11:AJ$363)+COUNTIF(AJ$11:AJ20,AJ20)-1)))</f>
        <v>10</v>
      </c>
      <c r="AL20" s="52">
        <f t="shared" si="19"/>
        <v>10</v>
      </c>
      <c r="AM20" s="31" t="str">
        <f t="shared" si="8"/>
        <v>Bournemouth</v>
      </c>
      <c r="AN20" s="31">
        <f t="shared" si="9"/>
        <v>16</v>
      </c>
      <c r="AP20" s="61" t="str">
        <f>IF(L20="","",VLOOKUP($L20,classifications!$C:$E,3,FALSE))</f>
        <v>South West</v>
      </c>
      <c r="AQ20" s="62" t="str">
        <f t="shared" si="10"/>
        <v/>
      </c>
      <c r="AR20" s="57" t="str">
        <f>IF(AQ20="","",IF(I$8="A",(RANK(AQ20,AQ$11:AQ$363,1)+COUNTIF(AQ$11:AQ20,AQ20)-1),(RANK(AQ20,AQ$11:AQ$363)+COUNTIF(AQ$11:AQ20,AQ20)-1)))</f>
        <v/>
      </c>
      <c r="AS20" s="52" t="str">
        <f t="shared" si="23"/>
        <v/>
      </c>
      <c r="AT20" s="57" t="str">
        <f t="shared" si="11"/>
        <v/>
      </c>
      <c r="AU20" s="62" t="str">
        <f t="shared" si="12"/>
        <v/>
      </c>
      <c r="AX20" s="44">
        <f>HLOOKUP($AX$9&amp;$AX$10,Data!$A$1:$ZZ$2000,(MATCH($C20,Data!$A$1:$A$2000,0)),FALSE)</f>
        <v>7</v>
      </c>
      <c r="AY20" s="156"/>
      <c r="AZ20" s="44"/>
    </row>
    <row r="21" spans="1:52">
      <c r="A21" s="84" t="str">
        <f>$D$1&amp;11</f>
        <v>UA11</v>
      </c>
      <c r="B21" s="85" t="str">
        <f>IF(ISERROR(VLOOKUP(A21,classifications!A:C,3,FALSE)),0,VLOOKUP(A21,classifications!A:C,3,FALSE))</f>
        <v>Rutland</v>
      </c>
      <c r="C21" s="31" t="s">
        <v>223</v>
      </c>
      <c r="D21" s="49" t="str">
        <f>VLOOKUP($C21,classifications!$C:$J,4,FALSE)</f>
        <v>MD</v>
      </c>
      <c r="E21" s="49">
        <f>VLOOKUP(C21,classifications!C:K,9,FALSE)</f>
        <v>0</v>
      </c>
      <c r="F21" s="59">
        <f t="shared" si="1"/>
        <v>20</v>
      </c>
      <c r="G21" s="105"/>
      <c r="H21" s="60" t="str">
        <f t="shared" si="2"/>
        <v/>
      </c>
      <c r="I21" s="112" t="str">
        <f>IF(H21="","",IF($I$8="A",(RANK(H21,H$11:H$363,1)+COUNTIF(H$11:H21,H21)-1),(RANK(H21,H$11:H$363)+COUNTIF(H$11:H21,H21)-1)))</f>
        <v/>
      </c>
      <c r="J21" s="58"/>
      <c r="K21" s="51">
        <f t="shared" si="13"/>
        <v>11</v>
      </c>
      <c r="L21" s="59" t="str">
        <f t="shared" si="14"/>
        <v>Northumberland</v>
      </c>
      <c r="M21" s="153">
        <f t="shared" si="20"/>
        <v>16</v>
      </c>
      <c r="N21" s="148">
        <f t="shared" si="21"/>
        <v>16</v>
      </c>
      <c r="O21" s="131">
        <f t="shared" si="3"/>
        <v>16</v>
      </c>
      <c r="P21" s="131" t="str">
        <f t="shared" si="15"/>
        <v/>
      </c>
      <c r="Q21" s="131" t="str">
        <f t="shared" si="16"/>
        <v/>
      </c>
      <c r="R21" s="127" t="str">
        <f t="shared" si="17"/>
        <v/>
      </c>
      <c r="S21" s="60" t="str">
        <f t="shared" si="4"/>
        <v/>
      </c>
      <c r="T21" s="231" t="str">
        <f>IF(L21="","",VLOOKUP(L21,classifications!C:K,9,FALSE))</f>
        <v>Sparse</v>
      </c>
      <c r="U21" s="238">
        <f t="shared" si="5"/>
        <v>16</v>
      </c>
      <c r="V21" s="239">
        <f>IF(U21="","",IF($I$8="A",(RANK(U21,U$11:U$363)+COUNTIF(U$11:U21,U21)-1),(RANK(U21,U$11:U$363,1)+COUNTIF(U$11:U21,U21)-1)))</f>
        <v>11</v>
      </c>
      <c r="W21" s="240"/>
      <c r="X21" s="61" t="str">
        <f>IF(L21="","",VLOOKUP($L21,classifications!$C:$J,6,FALSE))</f>
        <v>Rural-50</v>
      </c>
      <c r="Y21" s="49">
        <f t="shared" si="6"/>
        <v>16</v>
      </c>
      <c r="Z21" s="57">
        <f>IF(Y21="","",IF(I$8="A",(RANK(Y21,Y$11:Y$363,1)+COUNTIF(Y$11:Y21,Y21)-1),(RANK(Y21,Y$11:Y$363)+COUNTIF(Y$11:Y21,Y21)-1)))</f>
        <v>3</v>
      </c>
      <c r="AA21" s="245" t="str">
        <f>IF(L21="","",VLOOKUP($L21,classifications!C:I,7,FALSE))</f>
        <v>Predominantly Rural</v>
      </c>
      <c r="AB21" s="239" t="str">
        <f t="shared" si="7"/>
        <v/>
      </c>
      <c r="AC21" s="239" t="str">
        <f>IF(AB21="","",IF($I$8="A",(RANK(AB21,AB$11:AB$363)+COUNTIF(AB$11:AB21,AB21)-1),(RANK(AB21,AB$11:AB$363,1)+COUNTIF(AB$11:AB21,AB21)-1)))</f>
        <v/>
      </c>
      <c r="AD21" s="239"/>
      <c r="AE21" s="71">
        <f>IF(I$8="A",(RANK(AG21,AG$11:AG$363,1)+COUNTIF(AG$11:AG21,AG21)-1),(RANK(AG21,AG$11:AG$363)+COUNTIF(AG$11:AG21,AG21)-1))</f>
        <v>1</v>
      </c>
      <c r="AF21" s="6" t="str">
        <f>VLOOKUP(Profile!$J$5,Families!$C:$R,11,FALSE)</f>
        <v>Trafford</v>
      </c>
      <c r="AG21" s="143">
        <f t="shared" si="22"/>
        <v>15</v>
      </c>
      <c r="AH21" s="72">
        <f t="shared" si="18"/>
        <v>1</v>
      </c>
      <c r="AI21" s="61" t="str">
        <f>IF(L21="","",VLOOKUP($L21,classifications!$C:$J,8,FALSE))</f>
        <v>Unitary</v>
      </c>
      <c r="AJ21" s="62">
        <f t="shared" si="0"/>
        <v>16</v>
      </c>
      <c r="AK21" s="57">
        <f>IF(AJ21="","",IF(I$8="A",(RANK(AJ21,AJ$11:AJ$363,1)+COUNTIF(AJ$11:AJ21,AJ21)-1),(RANK(AJ21,AJ$11:AJ$363)+COUNTIF(AJ$11:AJ21,AJ21)-1)))</f>
        <v>11</v>
      </c>
      <c r="AL21" s="52">
        <f t="shared" si="19"/>
        <v>11</v>
      </c>
      <c r="AM21" s="31" t="str">
        <f t="shared" si="8"/>
        <v>Northumberland</v>
      </c>
      <c r="AN21" s="31">
        <f t="shared" si="9"/>
        <v>16</v>
      </c>
      <c r="AP21" s="61" t="str">
        <f>IF(L21="","",VLOOKUP($L21,classifications!$C:$E,3,FALSE))</f>
        <v>NE</v>
      </c>
      <c r="AQ21" s="62" t="str">
        <f t="shared" si="10"/>
        <v/>
      </c>
      <c r="AR21" s="57" t="str">
        <f>IF(AQ21="","",IF(I$8="A",(RANK(AQ21,AQ$11:AQ$363,1)+COUNTIF(AQ$11:AQ21,AQ21)-1),(RANK(AQ21,AQ$11:AQ$363)+COUNTIF(AQ$11:AQ21,AQ21)-1)))</f>
        <v/>
      </c>
      <c r="AS21" s="52" t="str">
        <f t="shared" si="23"/>
        <v/>
      </c>
      <c r="AT21" s="57" t="str">
        <f t="shared" si="11"/>
        <v/>
      </c>
      <c r="AU21" s="62" t="str">
        <f t="shared" si="12"/>
        <v/>
      </c>
      <c r="AX21" s="44">
        <f>HLOOKUP($AX$9&amp;$AX$10,Data!$A$1:$ZZ$2000,(MATCH($C21,Data!$A$1:$A$2000,0)),FALSE)</f>
        <v>20</v>
      </c>
      <c r="AY21" s="156"/>
      <c r="AZ21" s="44"/>
    </row>
    <row r="22" spans="1:52">
      <c r="A22" s="84" t="str">
        <f>$D$1&amp;12</f>
        <v>UA12</v>
      </c>
      <c r="B22" s="85" t="str">
        <f>IF(ISERROR(VLOOKUP(A22,classifications!A:C,3,FALSE)),0,VLOOKUP(A22,classifications!A:C,3,FALSE))</f>
        <v>Shropshire</v>
      </c>
      <c r="C22" s="31" t="s">
        <v>13</v>
      </c>
      <c r="D22" s="49" t="str">
        <f>VLOOKUP($C22,classifications!$C:$J,4,FALSE)</f>
        <v>SD</v>
      </c>
      <c r="E22" s="49">
        <f>VLOOKUP(C22,classifications!C:K,9,FALSE)</f>
        <v>0</v>
      </c>
      <c r="F22" s="59">
        <f t="shared" si="1"/>
        <v>19</v>
      </c>
      <c r="G22" s="105"/>
      <c r="H22" s="60" t="str">
        <f t="shared" si="2"/>
        <v/>
      </c>
      <c r="I22" s="112" t="str">
        <f>IF(H22="","",IF($I$8="A",(RANK(H22,H$11:H$363,1)+COUNTIF(H$11:H22,H22)-1),(RANK(H22,H$11:H$363)+COUNTIF(H$11:H22,H22)-1)))</f>
        <v/>
      </c>
      <c r="J22" s="58"/>
      <c r="K22" s="51">
        <f t="shared" si="13"/>
        <v>12</v>
      </c>
      <c r="L22" s="59" t="str">
        <f t="shared" si="14"/>
        <v>Swindon</v>
      </c>
      <c r="M22" s="153">
        <f t="shared" si="20"/>
        <v>16</v>
      </c>
      <c r="N22" s="148">
        <f t="shared" si="21"/>
        <v>16</v>
      </c>
      <c r="O22" s="131">
        <f t="shared" si="3"/>
        <v>16</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4</v>
      </c>
      <c r="AF22" s="6" t="str">
        <f>VLOOKUP(Profile!$J$5,Families!$C:$R,12,FALSE)</f>
        <v>Swindon</v>
      </c>
      <c r="AG22" s="143">
        <f t="shared" si="22"/>
        <v>16</v>
      </c>
      <c r="AH22" s="72">
        <f t="shared" si="18"/>
        <v>4</v>
      </c>
      <c r="AI22" s="61" t="str">
        <f>IF(L22="","",VLOOKUP($L22,classifications!$C:$J,8,FALSE))</f>
        <v>Unitary</v>
      </c>
      <c r="AJ22" s="62">
        <f t="shared" si="0"/>
        <v>16</v>
      </c>
      <c r="AK22" s="57">
        <f>IF(AJ22="","",IF(I$8="A",(RANK(AJ22,AJ$11:AJ$363,1)+COUNTIF(AJ$11:AJ22,AJ22)-1),(RANK(AJ22,AJ$11:AJ$363)+COUNTIF(AJ$11:AJ22,AJ22)-1)))</f>
        <v>12</v>
      </c>
      <c r="AL22" s="52">
        <f t="shared" si="19"/>
        <v>12</v>
      </c>
      <c r="AM22" s="31" t="str">
        <f>IF(ISNA(IF(AL22="","",INDEX(L$11:L$363,MATCH(AL22,AK$11:AK$363,0)))),"",(IF(AL22="","",INDEX(L$11:L$363,MATCH(AL22,AK$11:AK$363,0)))))</f>
        <v>Swindon</v>
      </c>
      <c r="AN22" s="31">
        <f t="shared" si="9"/>
        <v>16</v>
      </c>
      <c r="AP22" s="61" t="str">
        <f>IF(L22="","",VLOOKUP($L22,classifications!$C:$E,3,FALSE))</f>
        <v>South West</v>
      </c>
      <c r="AQ22" s="62" t="str">
        <f t="shared" si="10"/>
        <v/>
      </c>
      <c r="AR22" s="57" t="str">
        <f>IF(AQ22="","",IF(I$8="A",(RANK(AQ22,AQ$11:AQ$363,1)+COUNTIF(AQ$11:AQ22,AQ22)-1),(RANK(AQ22,AQ$11:AQ$363)+COUNTIF(AQ$11:AQ22,AQ22)-1)))</f>
        <v/>
      </c>
      <c r="AS22" s="52" t="str">
        <f t="shared" si="23"/>
        <v/>
      </c>
      <c r="AT22" s="57" t="str">
        <f t="shared" si="11"/>
        <v/>
      </c>
      <c r="AU22" s="62" t="str">
        <f t="shared" si="12"/>
        <v/>
      </c>
      <c r="AX22" s="44">
        <f>HLOOKUP($AX$9&amp;$AX$10,Data!$A$1:$ZZ$2000,(MATCH($C22,Data!$A$1:$A$2000,0)),FALSE)</f>
        <v>19</v>
      </c>
      <c r="AY22" s="156"/>
      <c r="AZ22" s="44"/>
    </row>
    <row r="23" spans="1:52">
      <c r="A23" s="84" t="str">
        <f>$D$1&amp;13</f>
        <v>UA13</v>
      </c>
      <c r="B23" s="85">
        <f>IF(ISERROR(VLOOKUP(A23,classifications!A:C,3,FALSE)),0,VLOOKUP(A23,classifications!A:C,3,FALSE))</f>
        <v>0</v>
      </c>
      <c r="C23" s="31" t="s">
        <v>14</v>
      </c>
      <c r="D23" s="49" t="str">
        <f>VLOOKUP($C23,classifications!$C:$J,4,FALSE)</f>
        <v>SD</v>
      </c>
      <c r="E23" s="49">
        <f>VLOOKUP(C23,classifications!C:K,9,FALSE)</f>
        <v>0</v>
      </c>
      <c r="F23" s="59">
        <f t="shared" si="1"/>
        <v>24</v>
      </c>
      <c r="G23" s="105"/>
      <c r="H23" s="60" t="str">
        <f t="shared" si="2"/>
        <v/>
      </c>
      <c r="I23" s="112" t="str">
        <f>IF(H23="","",IF($I$8="A",(RANK(H23,H$11:H$363,1)+COUNTIF(H$11:H23,H23)-1),(RANK(H23,H$11:H$363)+COUNTIF(H$11:H23,H23)-1)))</f>
        <v/>
      </c>
      <c r="J23" s="58"/>
      <c r="K23" s="51">
        <f t="shared" si="13"/>
        <v>13</v>
      </c>
      <c r="L23" s="59" t="str">
        <f t="shared" si="14"/>
        <v>Rutland</v>
      </c>
      <c r="M23" s="153">
        <f t="shared" si="20"/>
        <v>17</v>
      </c>
      <c r="N23" s="148">
        <f t="shared" si="21"/>
        <v>17</v>
      </c>
      <c r="O23" s="131">
        <f t="shared" si="3"/>
        <v>17</v>
      </c>
      <c r="P23" s="131" t="str">
        <f t="shared" si="15"/>
        <v/>
      </c>
      <c r="Q23" s="131" t="str">
        <f t="shared" si="16"/>
        <v/>
      </c>
      <c r="R23" s="127" t="str">
        <f t="shared" si="17"/>
        <v/>
      </c>
      <c r="S23" s="60" t="str">
        <f t="shared" si="4"/>
        <v/>
      </c>
      <c r="T23" s="231" t="str">
        <f>IF(L23="","",VLOOKUP(L23,classifications!C:K,9,FALSE))</f>
        <v>Sparse</v>
      </c>
      <c r="U23" s="238">
        <f t="shared" si="5"/>
        <v>17</v>
      </c>
      <c r="V23" s="239">
        <f>IF(U23="","",IF($I$8="A",(RANK(U23,U$11:U$363)+COUNTIF(U$11:U23,U23)-1),(RANK(U23,U$11:U$363,1)+COUNTIF(U$11:U23,U23)-1)))</f>
        <v>10</v>
      </c>
      <c r="W23" s="240"/>
      <c r="X23" s="61" t="str">
        <f>IF(L23="","",VLOOKUP($L23,classifications!$C:$J,6,FALSE))</f>
        <v>Rural-80</v>
      </c>
      <c r="Y23" s="49">
        <f t="shared" si="6"/>
        <v>17</v>
      </c>
      <c r="Z23" s="57">
        <f>IF(Y23="","",IF(I$8="A",(RANK(Y23,Y$11:Y$363,1)+COUNTIF(Y$11:Y23,Y23)-1),(RANK(Y23,Y$11:Y$363)+COUNTIF(Y$11:Y23,Y23)-1)))</f>
        <v>4</v>
      </c>
      <c r="AA23" s="245" t="str">
        <f>IF(L23="","",VLOOKUP($L23,classifications!C:I,7,FALSE))</f>
        <v>Predominantly Rural</v>
      </c>
      <c r="AB23" s="239" t="str">
        <f t="shared" si="7"/>
        <v/>
      </c>
      <c r="AC23" s="239" t="str">
        <f>IF(AB23="","",IF($I$8="A",(RANK(AB23,AB$11:AB$363)+COUNTIF(AB$11:AB23,AB23)-1),(RANK(AB23,AB$11:AB$363,1)+COUNTIF(AB$11:AB23,AB23)-1)))</f>
        <v/>
      </c>
      <c r="AD23" s="239"/>
      <c r="AE23" s="71">
        <f>IF(I$8="A",(RANK(AG23,AG$11:AG$363,1)+COUNTIF(AG$11:AG23,AG23)-1),(RANK(AG23,AG$11:AG$363)+COUNTIF(AG$11:AG23,AG23)-1))</f>
        <v>7</v>
      </c>
      <c r="AF23" s="6" t="str">
        <f>VLOOKUP(Profile!$J$5,Families!$C:$R,13,FALSE)</f>
        <v>Bedford</v>
      </c>
      <c r="AG23" s="143">
        <f t="shared" si="22"/>
        <v>19</v>
      </c>
      <c r="AH23" s="72">
        <f t="shared" si="18"/>
        <v>7</v>
      </c>
      <c r="AI23" s="61" t="str">
        <f>IF(L23="","",VLOOKUP($L23,classifications!$C:$J,8,FALSE))</f>
        <v>Unitary</v>
      </c>
      <c r="AJ23" s="62">
        <f t="shared" si="0"/>
        <v>17</v>
      </c>
      <c r="AK23" s="57">
        <f>IF(AJ23="","",IF(I$8="A",(RANK(AJ23,AJ$11:AJ$363,1)+COUNTIF(AJ$11:AJ23,AJ23)-1),(RANK(AJ23,AJ$11:AJ$363)+COUNTIF(AJ$11:AJ23,AJ23)-1)))</f>
        <v>13</v>
      </c>
      <c r="AL23" s="52">
        <f t="shared" si="19"/>
        <v>13</v>
      </c>
      <c r="AM23" s="31" t="str">
        <f t="shared" ref="AM23:AM86" si="24">IF(ISNA(IF(AL23="","",INDEX(L$11:L$363,MATCH(AL23,AK$11:AK$363,0)))),"",(IF(AL23="","",INDEX(L$11:L$363,MATCH(AL23,AK$11:AK$363,0)))))</f>
        <v>Rutland</v>
      </c>
      <c r="AN23" s="31">
        <f t="shared" si="9"/>
        <v>17</v>
      </c>
      <c r="AP23" s="61" t="str">
        <f>IF(L23="","",VLOOKUP($L23,classifications!$C:$E,3,FALSE))</f>
        <v>East Midlands</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24</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20</v>
      </c>
      <c r="G24" s="105"/>
      <c r="H24" s="60" t="str">
        <f t="shared" si="2"/>
        <v/>
      </c>
      <c r="I24" s="112" t="str">
        <f>IF(H24="","",IF($I$8="A",(RANK(H24,H$11:H$363,1)+COUNTIF(H$11:H24,H24)-1),(RANK(H24,H$11:H$363)+COUNTIF(H$11:H24,H24)-1)))</f>
        <v/>
      </c>
      <c r="J24" s="58"/>
      <c r="K24" s="51">
        <f t="shared" si="13"/>
        <v>14</v>
      </c>
      <c r="L24" s="59" t="str">
        <f t="shared" si="14"/>
        <v>Southend-on-Sea</v>
      </c>
      <c r="M24" s="153">
        <f t="shared" si="20"/>
        <v>17</v>
      </c>
      <c r="N24" s="148">
        <f t="shared" si="21"/>
        <v>17</v>
      </c>
      <c r="O24" s="131">
        <f t="shared" si="3"/>
        <v>17</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Large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5</v>
      </c>
      <c r="AF24" s="6" t="str">
        <f>VLOOKUP(Profile!$J$5,Families!$C:$R,14,FALSE)</f>
        <v>Northumberland</v>
      </c>
      <c r="AG24" s="143">
        <f t="shared" si="22"/>
        <v>16</v>
      </c>
      <c r="AH24" s="72">
        <f t="shared" si="18"/>
        <v>5</v>
      </c>
      <c r="AI24" s="61" t="str">
        <f>IF(L24="","",VLOOKUP($L24,classifications!$C:$J,8,FALSE))</f>
        <v>Unitary</v>
      </c>
      <c r="AJ24" s="62">
        <f t="shared" si="0"/>
        <v>17</v>
      </c>
      <c r="AK24" s="57">
        <f>IF(AJ24="","",IF(I$8="A",(RANK(AJ24,AJ$11:AJ$363,1)+COUNTIF(AJ$11:AJ24,AJ24)-1),(RANK(AJ24,AJ$11:AJ$363)+COUNTIF(AJ$11:AJ24,AJ24)-1)))</f>
        <v>14</v>
      </c>
      <c r="AL24" s="52">
        <f t="shared" si="19"/>
        <v>14</v>
      </c>
      <c r="AM24" s="31" t="str">
        <f t="shared" si="24"/>
        <v>Southend-on-Sea</v>
      </c>
      <c r="AN24" s="31">
        <f t="shared" si="9"/>
        <v>17</v>
      </c>
      <c r="AP24" s="61" t="str">
        <f>IF(L24="","",VLOOKUP($L24,classifications!$C:$E,3,FALSE))</f>
        <v>East of England</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20</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17</v>
      </c>
      <c r="G25" s="105"/>
      <c r="H25" s="60" t="str">
        <f t="shared" si="2"/>
        <v/>
      </c>
      <c r="I25" s="112" t="str">
        <f>IF(H25="","",IF($I$8="A",(RANK(H25,H$11:H$363,1)+COUNTIF(H$11:H25,H25)-1),(RANK(H25,H$11:H$363)+COUNTIF(H$11:H25,H25)-1)))</f>
        <v/>
      </c>
      <c r="J25" s="58"/>
      <c r="K25" s="51">
        <f t="shared" si="13"/>
        <v>15</v>
      </c>
      <c r="L25" s="59" t="str">
        <f t="shared" si="14"/>
        <v>Stockton-on-Tees</v>
      </c>
      <c r="M25" s="153">
        <f t="shared" si="20"/>
        <v>17</v>
      </c>
      <c r="N25" s="148">
        <f t="shared" si="21"/>
        <v>17</v>
      </c>
      <c r="O25" s="131">
        <f t="shared" si="3"/>
        <v>17</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Large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2</v>
      </c>
      <c r="AF25" s="6" t="str">
        <f>VLOOKUP(Profile!$J$5,Families!$C:$R,15,FALSE)</f>
        <v>Calderdale</v>
      </c>
      <c r="AG25" s="143">
        <f t="shared" si="22"/>
        <v>15</v>
      </c>
      <c r="AH25" s="72">
        <f t="shared" si="18"/>
        <v>2</v>
      </c>
      <c r="AI25" s="61" t="str">
        <f>IF(L25="","",VLOOKUP($L25,classifications!$C:$J,8,FALSE))</f>
        <v>Unitary</v>
      </c>
      <c r="AJ25" s="62">
        <f t="shared" si="0"/>
        <v>17</v>
      </c>
      <c r="AK25" s="57">
        <f>IF(AJ25="","",IF(I$8="A",(RANK(AJ25,AJ$11:AJ$363,1)+COUNTIF(AJ$11:AJ25,AJ25)-1),(RANK(AJ25,AJ$11:AJ$363)+COUNTIF(AJ$11:AJ25,AJ25)-1)))</f>
        <v>15</v>
      </c>
      <c r="AL25" s="52">
        <f t="shared" si="19"/>
        <v>15</v>
      </c>
      <c r="AM25" s="31" t="str">
        <f t="shared" si="24"/>
        <v>Stockton-on-Tees</v>
      </c>
      <c r="AN25" s="31">
        <f t="shared" si="9"/>
        <v>17</v>
      </c>
      <c r="AP25" s="61" t="str">
        <f>IF(L25="","",VLOOKUP($L25,classifications!$C:$E,3,FALSE))</f>
        <v>NE</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17</v>
      </c>
      <c r="AY25" s="156"/>
      <c r="AZ25" s="44"/>
    </row>
    <row r="26" spans="1:52">
      <c r="A26" s="84" t="str">
        <f>$D$1&amp;16</f>
        <v>UA16</v>
      </c>
      <c r="B26" s="85">
        <f>IF(ISERROR(VLOOKUP(A26,classifications!A:C,3,FALSE)),0,VLOOKUP(A26,classifications!A:C,3,FALSE))</f>
        <v>0</v>
      </c>
      <c r="C26" s="31" t="s">
        <v>259</v>
      </c>
      <c r="D26" s="49" t="str">
        <f>VLOOKUP($C26,classifications!$C:$J,4,FALSE)</f>
        <v>UA</v>
      </c>
      <c r="E26" s="49">
        <f>VLOOKUP(C26,classifications!C:K,9,FALSE)</f>
        <v>0</v>
      </c>
      <c r="F26" s="59">
        <f t="shared" si="1"/>
        <v>16</v>
      </c>
      <c r="G26" s="105"/>
      <c r="H26" s="60">
        <f t="shared" si="2"/>
        <v>16</v>
      </c>
      <c r="I26" s="112">
        <f>IF(H26="","",IF($I$8="A",(RANK(H26,H$11:H$363,1)+COUNTIF(H$11:H26,H26)-1),(RANK(H26,H$11:H$363)+COUNTIF(H$11:H26,H26)-1)))</f>
        <v>9</v>
      </c>
      <c r="J26" s="58"/>
      <c r="K26" s="51">
        <f t="shared" si="13"/>
        <v>16</v>
      </c>
      <c r="L26" s="59" t="str">
        <f t="shared" si="14"/>
        <v>Slough</v>
      </c>
      <c r="M26" s="153">
        <f t="shared" si="20"/>
        <v>18</v>
      </c>
      <c r="N26" s="148">
        <f t="shared" si="21"/>
        <v>18</v>
      </c>
      <c r="O26" s="131" t="str">
        <f t="shared" si="3"/>
        <v/>
      </c>
      <c r="P26" s="131">
        <f t="shared" si="15"/>
        <v>18</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Other Urban</v>
      </c>
      <c r="Y26" s="49" t="str">
        <f t="shared" si="6"/>
        <v/>
      </c>
      <c r="Z26" s="57" t="str">
        <f>IF(Y26="","",IF(I$8="A",(RANK(Y26,Y$11:Y$363,1)+COUNTIF(Y$11:Y26,Y26)-1),(RANK(Y26,Y$11:Y$363)+COUNTIF(Y$11:Y26,Y26)-1)))</f>
        <v/>
      </c>
      <c r="AA26" s="245" t="str">
        <f>IF(L26="","",VLOOKUP($L26,classifications!C:I,7,FALSE))</f>
        <v>Predominantly Rural</v>
      </c>
      <c r="AB26" s="239" t="str">
        <f t="shared" si="7"/>
        <v/>
      </c>
      <c r="AC26" s="239" t="str">
        <f>IF(AB26="","",IF($I$8="A",(RANK(AB26,AB$11:AB$363)+COUNTIF(AB$11:AB26,AB26)-1),(RANK(AB26,AB$11:AB$363,1)+COUNTIF(AB$11:AB26,AB26)-1)))</f>
        <v/>
      </c>
      <c r="AD26" s="239"/>
      <c r="AE26" s="71">
        <f>IF(I$8="A",(RANK(AG26,AG$11:AG$363,1)+COUNTIF(AG$11:AG26,AG26)-1),(RANK(AG26,AG$11:AG$363)+COUNTIF(AG$11:AG26,AG26)-1))</f>
        <v>8</v>
      </c>
      <c r="AF26" s="6" t="str">
        <f>VLOOKUP(Profile!$J$5,Families!$C:$R,16,FALSE)</f>
        <v>East Riding of Yorkshire</v>
      </c>
      <c r="AG26" s="143">
        <f t="shared" si="22"/>
        <v>20</v>
      </c>
      <c r="AH26" s="72">
        <f t="shared" si="18"/>
        <v>8</v>
      </c>
      <c r="AI26" s="61" t="str">
        <f>IF(L26="","",VLOOKUP($L26,classifications!$C:$J,8,FALSE))</f>
        <v>Unitary</v>
      </c>
      <c r="AJ26" s="62">
        <f t="shared" si="0"/>
        <v>18</v>
      </c>
      <c r="AK26" s="57">
        <f>IF(AJ26="","",IF(I$8="A",(RANK(AJ26,AJ$11:AJ$363,1)+COUNTIF(AJ$11:AJ26,AJ26)-1),(RANK(AJ26,AJ$11:AJ$363)+COUNTIF(AJ$11:AJ26,AJ26)-1)))</f>
        <v>16</v>
      </c>
      <c r="AL26" s="52">
        <f t="shared" si="19"/>
        <v>16</v>
      </c>
      <c r="AM26" s="31" t="str">
        <f t="shared" si="24"/>
        <v>Slough</v>
      </c>
      <c r="AN26" s="31">
        <f t="shared" si="9"/>
        <v>18</v>
      </c>
      <c r="AP26" s="61" t="str">
        <f>IF(L26="","",VLOOKUP($L26,classifications!$C:$E,3,FALSE))</f>
        <v>South East</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16</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19</v>
      </c>
      <c r="G27" s="105"/>
      <c r="H27" s="60">
        <f t="shared" si="2"/>
        <v>19</v>
      </c>
      <c r="I27" s="112">
        <f>IF(H27="","",IF($I$8="A",(RANK(H27,H$11:H$363,1)+COUNTIF(H$11:H27,H27)-1),(RANK(H27,H$11:H$363)+COUNTIF(H$11:H27,H27)-1)))</f>
        <v>18</v>
      </c>
      <c r="J27" s="58"/>
      <c r="K27" s="51">
        <f t="shared" si="13"/>
        <v>17</v>
      </c>
      <c r="L27" s="59" t="str">
        <f>IF(K27="","",INDEX(C$11:C$363,MATCH(K27,I$11:I$363,0)))</f>
        <v>West Berkshire</v>
      </c>
      <c r="M27" s="153">
        <f t="shared" si="20"/>
        <v>18</v>
      </c>
      <c r="N27" s="148">
        <f t="shared" si="21"/>
        <v>18</v>
      </c>
      <c r="O27" s="131" t="str">
        <f t="shared" si="3"/>
        <v/>
      </c>
      <c r="P27" s="131">
        <f t="shared" si="15"/>
        <v>18</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Significant Rural</v>
      </c>
      <c r="Y27" s="49">
        <f t="shared" si="6"/>
        <v>18</v>
      </c>
      <c r="Z27" s="57">
        <f>IF(Y27="","",IF(I$8="A",(RANK(Y27,Y$11:Y$363,1)+COUNTIF(Y$11:Y27,Y27)-1),(RANK(Y27,Y$11:Y$363)+COUNTIF(Y$11:Y27,Y27)-1)))</f>
        <v>5</v>
      </c>
      <c r="AA27" s="245" t="str">
        <f>IF(L27="","",VLOOKUP($L27,classifications!C:I,7,FALSE))</f>
        <v>Significant Rural</v>
      </c>
      <c r="AB27" s="239">
        <f t="shared" si="7"/>
        <v>18</v>
      </c>
      <c r="AC27" s="239">
        <f>IF(AB27="","",IF($I$8="A",(RANK(AB27,AB$11:AB$363)+COUNTIF(AB$11:AB27,AB27)-1),(RANK(AB27,AB$11:AB$363,1)+COUNTIF(AB$11:AB27,AB27)-1)))</f>
        <v>4</v>
      </c>
      <c r="AD27" s="239"/>
      <c r="AE27" s="51"/>
      <c r="AF27" s="6"/>
      <c r="AG27" s="143"/>
      <c r="AH27" s="52"/>
      <c r="AI27" s="61" t="str">
        <f>IF(L27="","",VLOOKUP($L27,classifications!$C:$J,8,FALSE))</f>
        <v>Unitary</v>
      </c>
      <c r="AJ27" s="62">
        <f t="shared" si="0"/>
        <v>18</v>
      </c>
      <c r="AK27" s="57">
        <f>IF(AJ27="","",IF(I$8="A",(RANK(AJ27,AJ$11:AJ$363,1)+COUNTIF(AJ$11:AJ27,AJ27)-1),(RANK(AJ27,AJ$11:AJ$363)+COUNTIF(AJ$11:AJ27,AJ27)-1)))</f>
        <v>17</v>
      </c>
      <c r="AL27" s="52">
        <f t="shared" si="19"/>
        <v>17</v>
      </c>
      <c r="AM27" s="31" t="str">
        <f t="shared" si="24"/>
        <v>West Berkshire</v>
      </c>
      <c r="AN27" s="31">
        <f t="shared" si="9"/>
        <v>18</v>
      </c>
      <c r="AP27" s="61" t="str">
        <f>IF(L27="","",VLOOKUP($L27,classifications!$C:$E,3,FALSE))</f>
        <v>South East</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19</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21</v>
      </c>
      <c r="G28" s="105"/>
      <c r="H28" s="60" t="str">
        <f t="shared" si="2"/>
        <v/>
      </c>
      <c r="I28" s="112" t="str">
        <f>IF(H28="","",IF($I$8="A",(RANK(H28,H$11:H$363,1)+COUNTIF(H$11:H28,H28)-1),(RANK(H28,H$11:H$363)+COUNTIF(H$11:H28,H28)-1)))</f>
        <v/>
      </c>
      <c r="J28" s="58"/>
      <c r="K28" s="51">
        <f t="shared" si="13"/>
        <v>18</v>
      </c>
      <c r="L28" s="59" t="str">
        <f t="shared" si="14"/>
        <v>Bedford</v>
      </c>
      <c r="M28" s="153">
        <f t="shared" si="20"/>
        <v>19</v>
      </c>
      <c r="N28" s="148">
        <f t="shared" si="21"/>
        <v>19</v>
      </c>
      <c r="O28" s="131" t="str">
        <f t="shared" si="3"/>
        <v/>
      </c>
      <c r="P28" s="131">
        <f t="shared" si="15"/>
        <v>19</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Significant Rural</v>
      </c>
      <c r="Y28" s="49">
        <f t="shared" si="6"/>
        <v>19</v>
      </c>
      <c r="Z28" s="57">
        <f>IF(Y28="","",IF(I$8="A",(RANK(Y28,Y$11:Y$363,1)+COUNTIF(Y$11:Y28,Y28)-1),(RANK(Y28,Y$11:Y$363)+COUNTIF(Y$11:Y28,Y28)-1)))</f>
        <v>6</v>
      </c>
      <c r="AA28" s="245" t="str">
        <f>IF(L28="","",VLOOKUP($L28,classifications!C:I,7,FALSE))</f>
        <v>Significant Rural</v>
      </c>
      <c r="AB28" s="239">
        <f t="shared" si="7"/>
        <v>19</v>
      </c>
      <c r="AC28" s="239">
        <f>IF(AB28="","",IF($I$8="A",(RANK(AB28,AB$11:AB$363)+COUNTIF(AB$11:AB28,AB28)-1),(RANK(AB28,AB$11:AB$363,1)+COUNTIF(AB$11:AB28,AB28)-1)))</f>
        <v>3</v>
      </c>
      <c r="AD28" s="239"/>
      <c r="AE28" s="51"/>
      <c r="AF28" s="6"/>
      <c r="AG28" s="143"/>
      <c r="AH28" s="52"/>
      <c r="AI28" s="61" t="str">
        <f>IF(L28="","",VLOOKUP($L28,classifications!$C:$J,8,FALSE))</f>
        <v>Unitary</v>
      </c>
      <c r="AJ28" s="62">
        <f t="shared" si="0"/>
        <v>19</v>
      </c>
      <c r="AK28" s="57">
        <f>IF(AJ28="","",IF(I$8="A",(RANK(AJ28,AJ$11:AJ$363,1)+COUNTIF(AJ$11:AJ28,AJ28)-1),(RANK(AJ28,AJ$11:AJ$363)+COUNTIF(AJ$11:AJ28,AJ28)-1)))</f>
        <v>18</v>
      </c>
      <c r="AL28" s="52">
        <f t="shared" si="19"/>
        <v>18</v>
      </c>
      <c r="AM28" s="31" t="str">
        <f t="shared" si="24"/>
        <v>Bedford</v>
      </c>
      <c r="AN28" s="31">
        <f t="shared" si="9"/>
        <v>19</v>
      </c>
      <c r="AP28" s="61" t="str">
        <f>IF(L28="","",VLOOKUP($L28,classifications!$C:$E,3,FALSE))</f>
        <v>East of England</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21</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21</v>
      </c>
      <c r="G29" s="105"/>
      <c r="H29" s="60" t="str">
        <f t="shared" si="2"/>
        <v/>
      </c>
      <c r="I29" s="112" t="str">
        <f>IF(H29="","",IF($I$8="A",(RANK(H29,H$11:H$363,1)+COUNTIF(H$11:H29,H29)-1),(RANK(H29,H$11:H$363)+COUNTIF(H$11:H29,H29)-1)))</f>
        <v/>
      </c>
      <c r="J29" s="58"/>
      <c r="K29" s="51">
        <f t="shared" si="13"/>
        <v>19</v>
      </c>
      <c r="L29" s="59" t="str">
        <f t="shared" si="14"/>
        <v>Bracknell Forest</v>
      </c>
      <c r="M29" s="153">
        <f t="shared" si="20"/>
        <v>19</v>
      </c>
      <c r="N29" s="148">
        <f t="shared" si="21"/>
        <v>19</v>
      </c>
      <c r="O29" s="131" t="str">
        <f t="shared" si="3"/>
        <v/>
      </c>
      <c r="P29" s="131">
        <f t="shared" si="15"/>
        <v>19</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Large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19</v>
      </c>
      <c r="AK29" s="57">
        <f>IF(AJ29="","",IF(I$8="A",(RANK(AJ29,AJ$11:AJ$363,1)+COUNTIF(AJ$11:AJ29,AJ29)-1),(RANK(AJ29,AJ$11:AJ$363)+COUNTIF(AJ$11:AJ29,AJ29)-1)))</f>
        <v>19</v>
      </c>
      <c r="AL29" s="52">
        <f t="shared" si="19"/>
        <v>19</v>
      </c>
      <c r="AM29" s="31" t="str">
        <f t="shared" si="24"/>
        <v>Bracknell Forest</v>
      </c>
      <c r="AN29" s="31">
        <f t="shared" si="9"/>
        <v>19</v>
      </c>
      <c r="AP29" s="61" t="str">
        <f>IF(L29="","",VLOOKUP($L29,classifications!$C:$E,3,FALSE))</f>
        <v>South East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21</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27</v>
      </c>
      <c r="G30" s="105"/>
      <c r="H30" s="60" t="str">
        <f t="shared" si="2"/>
        <v/>
      </c>
      <c r="I30" s="112" t="str">
        <f>IF(H30="","",IF($I$8="A",(RANK(H30,H$11:H$363,1)+COUNTIF(H$11:H30,H30)-1),(RANK(H30,H$11:H$363)+COUNTIF(H$11:H30,H30)-1)))</f>
        <v/>
      </c>
      <c r="J30" s="58"/>
      <c r="K30" s="51">
        <f t="shared" si="13"/>
        <v>20</v>
      </c>
      <c r="L30" s="59" t="str">
        <f t="shared" si="14"/>
        <v>Luton</v>
      </c>
      <c r="M30" s="153">
        <f t="shared" si="20"/>
        <v>19</v>
      </c>
      <c r="N30" s="148">
        <f t="shared" si="21"/>
        <v>19</v>
      </c>
      <c r="O30" s="131" t="str">
        <f t="shared" si="3"/>
        <v/>
      </c>
      <c r="P30" s="131">
        <f t="shared" si="15"/>
        <v>19</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Other Urban</v>
      </c>
      <c r="Y30" s="49" t="str">
        <f t="shared" si="6"/>
        <v/>
      </c>
      <c r="Z30" s="57" t="str">
        <f>IF(Y30="","",IF(I$8="A",(RANK(Y30,Y$11:Y$363,1)+COUNTIF(Y$11:Y30,Y30)-1),(RANK(Y30,Y$11:Y$363)+COUNTIF(Y$11:Y30,Y30)-1)))</f>
        <v/>
      </c>
      <c r="AA30" s="245" t="str">
        <f>IF(L30="","",VLOOKUP($L30,classifications!C:I,7,FALSE))</f>
        <v>Predominantly Urban</v>
      </c>
      <c r="AB30" s="239" t="str">
        <f t="shared" si="7"/>
        <v/>
      </c>
      <c r="AC30" s="239" t="str">
        <f>IF(AB30="","",IF($I$8="A",(RANK(AB30,AB$11:AB$363)+COUNTIF(AB$11:AB30,AB30)-1),(RANK(AB30,AB$11:AB$363,1)+COUNTIF(AB$11:AB30,AB30)-1)))</f>
        <v/>
      </c>
      <c r="AD30" s="239"/>
      <c r="AE30" s="51"/>
      <c r="AF30" s="6"/>
      <c r="AG30" s="143"/>
      <c r="AH30" s="52"/>
      <c r="AI30" s="61" t="str">
        <f>IF(L30="","",VLOOKUP($L30,classifications!$C:$J,8,FALSE))</f>
        <v>Unitary</v>
      </c>
      <c r="AJ30" s="62">
        <f t="shared" si="0"/>
        <v>19</v>
      </c>
      <c r="AK30" s="57">
        <f>IF(AJ30="","",IF(I$8="A",(RANK(AJ30,AJ$11:AJ$363,1)+COUNTIF(AJ$11:AJ30,AJ30)-1),(RANK(AJ30,AJ$11:AJ$363)+COUNTIF(AJ$11:AJ30,AJ30)-1)))</f>
        <v>20</v>
      </c>
      <c r="AL30" s="52">
        <f t="shared" si="19"/>
        <v>20</v>
      </c>
      <c r="AM30" s="31" t="str">
        <f t="shared" si="24"/>
        <v>Luton</v>
      </c>
      <c r="AN30" s="31">
        <f t="shared" si="9"/>
        <v>19</v>
      </c>
      <c r="AP30" s="61" t="str">
        <f>IF(L30="","",VLOOKUP($L30,classifications!$C:$E,3,FALSE))</f>
        <v>East of England</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27</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22</v>
      </c>
      <c r="G31" s="105"/>
      <c r="H31" s="60">
        <f t="shared" si="2"/>
        <v>22</v>
      </c>
      <c r="I31" s="112">
        <f>IF(H31="","",IF($I$8="A",(RANK(H31,H$11:H$363,1)+COUNTIF(H$11:H31,H31)-1),(RANK(H31,H$11:H$363)+COUNTIF(H$11:H31,H31)-1)))</f>
        <v>31</v>
      </c>
      <c r="J31" s="58"/>
      <c r="K31" s="51">
        <f t="shared" si="13"/>
        <v>21</v>
      </c>
      <c r="L31" s="59" t="str">
        <f t="shared" si="14"/>
        <v>Cornwall</v>
      </c>
      <c r="M31" s="153">
        <f t="shared" si="20"/>
        <v>20</v>
      </c>
      <c r="N31" s="148">
        <f t="shared" si="21"/>
        <v>20</v>
      </c>
      <c r="O31" s="131" t="str">
        <f t="shared" si="3"/>
        <v/>
      </c>
      <c r="P31" s="131">
        <f t="shared" si="15"/>
        <v>20</v>
      </c>
      <c r="Q31" s="131" t="str">
        <f t="shared" si="16"/>
        <v/>
      </c>
      <c r="R31" s="127" t="str">
        <f t="shared" si="17"/>
        <v/>
      </c>
      <c r="S31" s="60" t="str">
        <f t="shared" si="4"/>
        <v/>
      </c>
      <c r="T31" s="231" t="str">
        <f>IF(L31="","",VLOOKUP(L31,classifications!C:K,9,FALSE))</f>
        <v>Sparse</v>
      </c>
      <c r="U31" s="238">
        <f t="shared" si="5"/>
        <v>20</v>
      </c>
      <c r="V31" s="239">
        <f>IF(U31="","",IF($I$8="A",(RANK(U31,U$11:U$363)+COUNTIF(U$11:U31,U31)-1),(RANK(U31,U$11:U$363,1)+COUNTIF(U$11:U31,U31)-1)))</f>
        <v>7</v>
      </c>
      <c r="W31" s="240"/>
      <c r="X31" s="61" t="str">
        <f>IF(L31="","",VLOOKUP($L31,classifications!$C:$J,6,FALSE))</f>
        <v>Rural-80</v>
      </c>
      <c r="Y31" s="49">
        <f t="shared" si="6"/>
        <v>20</v>
      </c>
      <c r="Z31" s="57">
        <f>IF(Y31="","",IF(I$8="A",(RANK(Y31,Y$11:Y$363,1)+COUNTIF(Y$11:Y31,Y31)-1),(RANK(Y31,Y$11:Y$363)+COUNTIF(Y$11:Y31,Y31)-1)))</f>
        <v>7</v>
      </c>
      <c r="AA31" s="245" t="str">
        <f>IF(L31="","",VLOOKUP($L31,classifications!C:I,7,FALSE))</f>
        <v>Predominantly Rural</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20</v>
      </c>
      <c r="AK31" s="57">
        <f>IF(AJ31="","",IF(I$8="A",(RANK(AJ31,AJ$11:AJ$363,1)+COUNTIF(AJ$11:AJ31,AJ31)-1),(RANK(AJ31,AJ$11:AJ$363)+COUNTIF(AJ$11:AJ31,AJ31)-1)))</f>
        <v>21</v>
      </c>
      <c r="AL31" s="52">
        <f t="shared" si="19"/>
        <v>21</v>
      </c>
      <c r="AM31" s="31" t="str">
        <f t="shared" si="24"/>
        <v>Cornwall</v>
      </c>
      <c r="AN31" s="31">
        <f t="shared" si="9"/>
        <v>20</v>
      </c>
      <c r="AP31" s="61" t="str">
        <f>IF(L31="","",VLOOKUP($L31,classifications!$C:$E,3,FALSE))</f>
        <v>South West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22</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21</v>
      </c>
      <c r="G32" s="105"/>
      <c r="H32" s="60">
        <f t="shared" si="2"/>
        <v>21</v>
      </c>
      <c r="I32" s="112">
        <f>IF(H32="","",IF($I$8="A",(RANK(H32,H$11:H$363,1)+COUNTIF(H$11:H32,H32)-1),(RANK(H32,H$11:H$363)+COUNTIF(H$11:H32,H32)-1)))</f>
        <v>25</v>
      </c>
      <c r="J32" s="58"/>
      <c r="K32" s="51">
        <f t="shared" si="13"/>
        <v>22</v>
      </c>
      <c r="L32" s="59" t="str">
        <f t="shared" si="14"/>
        <v>East Riding of Yorkshire</v>
      </c>
      <c r="M32" s="153">
        <f t="shared" si="20"/>
        <v>20</v>
      </c>
      <c r="N32" s="148">
        <f t="shared" si="21"/>
        <v>20</v>
      </c>
      <c r="O32" s="131" t="str">
        <f t="shared" si="3"/>
        <v/>
      </c>
      <c r="P32" s="131">
        <f t="shared" si="15"/>
        <v>20</v>
      </c>
      <c r="Q32" s="131" t="str">
        <f t="shared" si="16"/>
        <v/>
      </c>
      <c r="R32" s="127" t="str">
        <f t="shared" si="17"/>
        <v/>
      </c>
      <c r="S32" s="60" t="str">
        <f t="shared" si="4"/>
        <v/>
      </c>
      <c r="T32" s="231" t="str">
        <f>IF(L32="","",VLOOKUP(L32,classifications!C:K,9,FALSE))</f>
        <v>Sparse</v>
      </c>
      <c r="U32" s="238">
        <f t="shared" si="5"/>
        <v>20</v>
      </c>
      <c r="V32" s="239">
        <f>IF(U32="","",IF($I$8="A",(RANK(U32,U$11:U$363)+COUNTIF(U$11:U32,U32)-1),(RANK(U32,U$11:U$363,1)+COUNTIF(U$11:U32,U32)-1)))</f>
        <v>8</v>
      </c>
      <c r="W32" s="240"/>
      <c r="X32" s="61" t="str">
        <f>IF(L32="","",VLOOKUP($L32,classifications!$C:$J,6,FALSE))</f>
        <v>Rural-50</v>
      </c>
      <c r="Y32" s="49">
        <f t="shared" si="6"/>
        <v>20</v>
      </c>
      <c r="Z32" s="57">
        <f>IF(Y32="","",IF(I$8="A",(RANK(Y32,Y$11:Y$363,1)+COUNTIF(Y$11:Y32,Y32)-1),(RANK(Y32,Y$11:Y$363)+COUNTIF(Y$11:Y32,Y32)-1)))</f>
        <v>8</v>
      </c>
      <c r="AA32" s="245" t="str">
        <f>IF(L32="","",VLOOKUP($L32,classifications!C:I,7,FALSE))</f>
        <v>Predominantly Rural</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20</v>
      </c>
      <c r="AK32" s="57">
        <f>IF(AJ32="","",IF(I$8="A",(RANK(AJ32,AJ$11:AJ$363,1)+COUNTIF(AJ$11:AJ32,AJ32)-1),(RANK(AJ32,AJ$11:AJ$363)+COUNTIF(AJ$11:AJ32,AJ32)-1)))</f>
        <v>22</v>
      </c>
      <c r="AL32" s="52">
        <f t="shared" si="19"/>
        <v>22</v>
      </c>
      <c r="AM32" s="31" t="str">
        <f t="shared" si="24"/>
        <v>East Riding of Yorkshire</v>
      </c>
      <c r="AN32" s="31">
        <f t="shared" si="9"/>
        <v>20</v>
      </c>
      <c r="AP32" s="61" t="str">
        <f>IF(L32="","",VLOOKUP($L32,classifications!$C:$E,3,FALSE))</f>
        <v>Yorkshire &amp; Humberside</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21</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16</v>
      </c>
      <c r="G33" s="105"/>
      <c r="H33" s="60" t="str">
        <f t="shared" si="2"/>
        <v/>
      </c>
      <c r="I33" s="112" t="str">
        <f>IF(H33="","",IF($I$8="A",(RANK(H33,H$11:H$363,1)+COUNTIF(H$11:H33,H33)-1),(RANK(H33,H$11:H$363)+COUNTIF(H$11:H33,H33)-1)))</f>
        <v/>
      </c>
      <c r="J33" s="58"/>
      <c r="K33" s="51">
        <f t="shared" si="13"/>
        <v>23</v>
      </c>
      <c r="L33" s="59" t="str">
        <f t="shared" si="14"/>
        <v>Milton Keynes</v>
      </c>
      <c r="M33" s="153">
        <f t="shared" si="20"/>
        <v>20</v>
      </c>
      <c r="N33" s="148">
        <f t="shared" si="21"/>
        <v>20</v>
      </c>
      <c r="O33" s="131" t="str">
        <f t="shared" si="3"/>
        <v/>
      </c>
      <c r="P33" s="131">
        <f t="shared" si="15"/>
        <v>20</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Other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20</v>
      </c>
      <c r="AK33" s="57">
        <f>IF(AJ33="","",IF(I$8="A",(RANK(AJ33,AJ$11:AJ$363,1)+COUNTIF(AJ$11:AJ33,AJ33)-1),(RANK(AJ33,AJ$11:AJ$363)+COUNTIF(AJ$11:AJ33,AJ33)-1)))</f>
        <v>23</v>
      </c>
      <c r="AL33" s="52">
        <f t="shared" si="19"/>
        <v>23</v>
      </c>
      <c r="AM33" s="31" t="str">
        <f t="shared" si="24"/>
        <v>Milton Keynes</v>
      </c>
      <c r="AN33" s="31">
        <f t="shared" si="9"/>
        <v>20</v>
      </c>
      <c r="AP33" s="61" t="str">
        <f>IF(L33="","",VLOOKUP($L33,classifications!$C:$E,3,FALSE))</f>
        <v>South East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16</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22</v>
      </c>
      <c r="G34" s="105"/>
      <c r="H34" s="60" t="str">
        <f t="shared" si="2"/>
        <v/>
      </c>
      <c r="I34" s="112" t="str">
        <f>IF(H34="","",IF($I$8="A",(RANK(H34,H$11:H$363,1)+COUNTIF(H$11:H34,H34)-1),(RANK(H34,H$11:H$363)+COUNTIF(H$11:H34,H34)-1)))</f>
        <v/>
      </c>
      <c r="J34" s="58"/>
      <c r="K34" s="51">
        <f t="shared" si="13"/>
        <v>24</v>
      </c>
      <c r="L34" s="59" t="str">
        <f t="shared" si="14"/>
        <v>North Somerset</v>
      </c>
      <c r="M34" s="153">
        <f t="shared" si="20"/>
        <v>20</v>
      </c>
      <c r="N34" s="148">
        <f t="shared" si="21"/>
        <v>20</v>
      </c>
      <c r="O34" s="131" t="str">
        <f t="shared" si="3"/>
        <v/>
      </c>
      <c r="P34" s="131">
        <f t="shared" si="15"/>
        <v>20</v>
      </c>
      <c r="Q34" s="131" t="str">
        <f t="shared" si="16"/>
        <v/>
      </c>
      <c r="R34" s="127" t="str">
        <f t="shared" si="17"/>
        <v/>
      </c>
      <c r="S34" s="60" t="str">
        <f t="shared" si="4"/>
        <v/>
      </c>
      <c r="T34" s="231" t="str">
        <f>IF(L34="","",VLOOKUP(L34,classifications!C:K,9,FALSE))</f>
        <v>Sparse</v>
      </c>
      <c r="U34" s="238">
        <f t="shared" si="5"/>
        <v>20</v>
      </c>
      <c r="V34" s="239">
        <f>IF(U34="","",IF($I$8="A",(RANK(U34,U$11:U$363)+COUNTIF(U$11:U34,U34)-1),(RANK(U34,U$11:U$363,1)+COUNTIF(U$11:U34,U34)-1)))</f>
        <v>9</v>
      </c>
      <c r="W34" s="240"/>
      <c r="X34" s="61" t="str">
        <f>IF(L34="","",VLOOKUP($L34,classifications!$C:$J,6,FALSE))</f>
        <v>Rural-50</v>
      </c>
      <c r="Y34" s="49">
        <f t="shared" si="6"/>
        <v>20</v>
      </c>
      <c r="Z34" s="57">
        <f>IF(Y34="","",IF(I$8="A",(RANK(Y34,Y$11:Y$363,1)+COUNTIF(Y$11:Y34,Y34)-1),(RANK(Y34,Y$11:Y$363)+COUNTIF(Y$11:Y34,Y34)-1)))</f>
        <v>9</v>
      </c>
      <c r="AA34" s="245" t="str">
        <f>IF(L34="","",VLOOKUP($L34,classifications!C:I,7,FALSE))</f>
        <v>Predominantly Rural</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20</v>
      </c>
      <c r="AK34" s="57">
        <f>IF(AJ34="","",IF(I$8="A",(RANK(AJ34,AJ$11:AJ$363,1)+COUNTIF(AJ$11:AJ34,AJ34)-1),(RANK(AJ34,AJ$11:AJ$363)+COUNTIF(AJ$11:AJ34,AJ34)-1)))</f>
        <v>24</v>
      </c>
      <c r="AL34" s="52">
        <f t="shared" si="19"/>
        <v>24</v>
      </c>
      <c r="AM34" s="31" t="str">
        <f t="shared" si="24"/>
        <v>North Somerset</v>
      </c>
      <c r="AN34" s="31">
        <f t="shared" si="9"/>
        <v>20</v>
      </c>
      <c r="AP34" s="61" t="str">
        <f>IF(L34="","",VLOOKUP($L34,classifications!$C:$E,3,FALSE))</f>
        <v>South West</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22</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4</v>
      </c>
      <c r="G35" s="105"/>
      <c r="H35" s="60" t="str">
        <f t="shared" si="2"/>
        <v/>
      </c>
      <c r="I35" s="112" t="str">
        <f>IF(H35="","",IF($I$8="A",(RANK(H35,H$11:H$363,1)+COUNTIF(H$11:H35,H35)-1),(RANK(H35,H$11:H$363)+COUNTIF(H$11:H35,H35)-1)))</f>
        <v/>
      </c>
      <c r="J35" s="58"/>
      <c r="K35" s="51">
        <f t="shared" si="13"/>
        <v>25</v>
      </c>
      <c r="L35" s="59" t="str">
        <f t="shared" si="14"/>
        <v>Blackpool</v>
      </c>
      <c r="M35" s="153">
        <f t="shared" si="20"/>
        <v>21</v>
      </c>
      <c r="N35" s="148">
        <f t="shared" si="21"/>
        <v>21</v>
      </c>
      <c r="O35" s="131" t="str">
        <f t="shared" si="3"/>
        <v/>
      </c>
      <c r="P35" s="131">
        <f t="shared" si="15"/>
        <v>21</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Large Urban</v>
      </c>
      <c r="Y35" s="49" t="str">
        <f t="shared" si="6"/>
        <v/>
      </c>
      <c r="Z35" s="57" t="str">
        <f>IF(Y35="","",IF(I$8="A",(RANK(Y35,Y$11:Y$363,1)+COUNTIF(Y$11:Y35,Y35)-1),(RANK(Y35,Y$11:Y$363)+COUNTIF(Y$11:Y35,Y35)-1)))</f>
        <v/>
      </c>
      <c r="AA35" s="245" t="str">
        <f>IF(L35="","",VLOOKUP($L35,classifications!C:I,7,FALSE))</f>
        <v>Predominantly Urban</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21</v>
      </c>
      <c r="AK35" s="57">
        <f>IF(AJ35="","",IF(I$8="A",(RANK(AJ35,AJ$11:AJ$363,1)+COUNTIF(AJ$11:AJ35,AJ35)-1),(RANK(AJ35,AJ$11:AJ$363)+COUNTIF(AJ$11:AJ35,AJ35)-1)))</f>
        <v>25</v>
      </c>
      <c r="AL35" s="52">
        <f t="shared" si="19"/>
        <v>25</v>
      </c>
      <c r="AM35" s="31" t="str">
        <f t="shared" si="24"/>
        <v>Blackpool</v>
      </c>
      <c r="AN35" s="31">
        <f t="shared" si="9"/>
        <v>21</v>
      </c>
      <c r="AP35" s="61" t="str">
        <f>IF(L35="","",VLOOKUP($L35,classifications!$C:$E,3,FALSE))</f>
        <v>North West</v>
      </c>
      <c r="AQ35" s="62">
        <f t="shared" si="10"/>
        <v>21</v>
      </c>
      <c r="AR35" s="57">
        <f>IF(AQ35="","",IF(I$8="A",(RANK(AQ35,AQ$11:AQ$363,1)+COUNTIF(AQ$11:AQ35,AQ35)-1),(RANK(AQ35,AQ$11:AQ$363)+COUNTIF(AQ$11:AQ35,AQ35)-1)))</f>
        <v>2</v>
      </c>
      <c r="AS35" s="52" t="str">
        <f t="shared" si="23"/>
        <v/>
      </c>
      <c r="AT35" s="57" t="str">
        <f t="shared" si="11"/>
        <v/>
      </c>
      <c r="AU35" s="62" t="str">
        <f t="shared" si="12"/>
        <v/>
      </c>
      <c r="AX35" s="44">
        <f>HLOOKUP($AX$9&amp;$AX$10,Data!$A$1:$ZZ$2000,(MATCH($C35,Data!$A$1:$A$2000,0)),FALSE)</f>
        <v>4</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16</v>
      </c>
      <c r="G36" s="105"/>
      <c r="H36" s="60">
        <f t="shared" si="2"/>
        <v>16</v>
      </c>
      <c r="I36" s="112">
        <f>IF(H36="","",IF($I$8="A",(RANK(H36,H$11:H$363,1)+COUNTIF(H$11:H36,H36)-1),(RANK(H36,H$11:H$363)+COUNTIF(H$11:H36,H36)-1)))</f>
        <v>10</v>
      </c>
      <c r="J36" s="58"/>
      <c r="K36" s="51">
        <f t="shared" si="13"/>
        <v>26</v>
      </c>
      <c r="L36" s="59" t="str">
        <f t="shared" si="14"/>
        <v>Durham</v>
      </c>
      <c r="M36" s="153">
        <f t="shared" si="20"/>
        <v>21</v>
      </c>
      <c r="N36" s="148">
        <f t="shared" si="21"/>
        <v>21</v>
      </c>
      <c r="O36" s="131" t="str">
        <f t="shared" si="3"/>
        <v/>
      </c>
      <c r="P36" s="131">
        <f t="shared" si="15"/>
        <v>21</v>
      </c>
      <c r="Q36" s="131" t="str">
        <f t="shared" si="16"/>
        <v/>
      </c>
      <c r="R36" s="127" t="str">
        <f t="shared" si="17"/>
        <v/>
      </c>
      <c r="S36" s="60" t="str">
        <f t="shared" si="4"/>
        <v/>
      </c>
      <c r="T36" s="231" t="str">
        <f>IF(L36="","",VLOOKUP(L36,classifications!C:K,9,FALSE))</f>
        <v>Sparse</v>
      </c>
      <c r="U36" s="238">
        <f t="shared" si="5"/>
        <v>21</v>
      </c>
      <c r="V36" s="239">
        <f>IF(U36="","",IF($I$8="A",(RANK(U36,U$11:U$363)+COUNTIF(U$11:U36,U36)-1),(RANK(U36,U$11:U$363,1)+COUNTIF(U$11:U36,U36)-1)))</f>
        <v>5</v>
      </c>
      <c r="W36" s="240"/>
      <c r="X36" s="61" t="str">
        <f>IF(L36="","",VLOOKUP($L36,classifications!$C:$J,6,FALSE))</f>
        <v>Rural-50</v>
      </c>
      <c r="Y36" s="49">
        <f t="shared" si="6"/>
        <v>21</v>
      </c>
      <c r="Z36" s="57">
        <f>IF(Y36="","",IF(I$8="A",(RANK(Y36,Y$11:Y$363,1)+COUNTIF(Y$11:Y36,Y36)-1),(RANK(Y36,Y$11:Y$363)+COUNTIF(Y$11:Y36,Y36)-1)))</f>
        <v>10</v>
      </c>
      <c r="AA36" s="245" t="str">
        <f>IF(L36="","",VLOOKUP($L36,classifications!C:I,7,FALSE))</f>
        <v>Predominantly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21</v>
      </c>
      <c r="AK36" s="57">
        <f>IF(AJ36="","",IF(I$8="A",(RANK(AJ36,AJ$11:AJ$363,1)+COUNTIF(AJ$11:AJ36,AJ36)-1),(RANK(AJ36,AJ$11:AJ$363)+COUNTIF(AJ$11:AJ36,AJ36)-1)))</f>
        <v>26</v>
      </c>
      <c r="AL36" s="52">
        <f t="shared" si="19"/>
        <v>26</v>
      </c>
      <c r="AM36" s="31" t="str">
        <f t="shared" si="24"/>
        <v>Durham</v>
      </c>
      <c r="AN36" s="31">
        <f t="shared" si="9"/>
        <v>21</v>
      </c>
      <c r="AP36" s="61" t="str">
        <f>IF(L36="","",VLOOKUP($L36,classifications!$C:$E,3,FALSE))</f>
        <v>NE</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16</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19</v>
      </c>
      <c r="G37" s="105"/>
      <c r="H37" s="60">
        <f t="shared" si="2"/>
        <v>19</v>
      </c>
      <c r="I37" s="112">
        <f>IF(H37="","",IF($I$8="A",(RANK(H37,H$11:H$363,1)+COUNTIF(H$11:H37,H37)-1),(RANK(H37,H$11:H$363)+COUNTIF(H$11:H37,H37)-1)))</f>
        <v>19</v>
      </c>
      <c r="J37" s="58"/>
      <c r="K37" s="51">
        <f t="shared" si="13"/>
        <v>27</v>
      </c>
      <c r="L37" s="59" t="str">
        <f t="shared" si="14"/>
        <v>Hartlepool</v>
      </c>
      <c r="M37" s="153">
        <f t="shared" si="20"/>
        <v>21</v>
      </c>
      <c r="N37" s="148">
        <f t="shared" si="21"/>
        <v>21</v>
      </c>
      <c r="O37" s="131" t="str">
        <f t="shared" si="3"/>
        <v/>
      </c>
      <c r="P37" s="131">
        <f t="shared" si="15"/>
        <v>21</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Other Urban</v>
      </c>
      <c r="Y37" s="49" t="str">
        <f t="shared" si="6"/>
        <v/>
      </c>
      <c r="Z37" s="57" t="str">
        <f>IF(Y37="","",IF(I$8="A",(RANK(Y37,Y$11:Y$363,1)+COUNTIF(Y$11:Y37,Y37)-1),(RANK(Y37,Y$11:Y$363)+COUNTIF(Y$11:Y37,Y37)-1)))</f>
        <v/>
      </c>
      <c r="AA37" s="245" t="str">
        <f>IF(L37="","",VLOOKUP($L37,classifications!C:I,7,FALSE))</f>
        <v>Predominantly Urban</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21</v>
      </c>
      <c r="AK37" s="57">
        <f>IF(AJ37="","",IF(I$8="A",(RANK(AJ37,AJ$11:AJ$363,1)+COUNTIF(AJ$11:AJ37,AJ37)-1),(RANK(AJ37,AJ$11:AJ$363)+COUNTIF(AJ$11:AJ37,AJ37)-1)))</f>
        <v>27</v>
      </c>
      <c r="AL37" s="52">
        <f t="shared" si="19"/>
        <v>27</v>
      </c>
      <c r="AM37" s="31" t="str">
        <f t="shared" si="24"/>
        <v>Hartlepool</v>
      </c>
      <c r="AN37" s="31">
        <f t="shared" si="9"/>
        <v>21</v>
      </c>
      <c r="AP37" s="61" t="str">
        <f>IF(L37="","",VLOOKUP($L37,classifications!$C:$E,3,FALSE))</f>
        <v>NE</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19</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25</v>
      </c>
      <c r="G38" s="105"/>
      <c r="H38" s="60" t="str">
        <f t="shared" si="2"/>
        <v/>
      </c>
      <c r="I38" s="112" t="str">
        <f>IF(H38="","",IF($I$8="A",(RANK(H38,H$11:H$363,1)+COUNTIF(H$11:H38,H38)-1),(RANK(H38,H$11:H$363)+COUNTIF(H$11:H38,H38)-1)))</f>
        <v/>
      </c>
      <c r="J38" s="58"/>
      <c r="K38" s="51">
        <f t="shared" si="13"/>
        <v>28</v>
      </c>
      <c r="L38" s="59" t="str">
        <f t="shared" si="14"/>
        <v>Isle of Wight</v>
      </c>
      <c r="M38" s="153">
        <f t="shared" si="20"/>
        <v>21</v>
      </c>
      <c r="N38" s="148">
        <f t="shared" si="21"/>
        <v>21</v>
      </c>
      <c r="O38" s="131" t="str">
        <f t="shared" si="3"/>
        <v/>
      </c>
      <c r="P38" s="131">
        <f t="shared" si="15"/>
        <v>21</v>
      </c>
      <c r="Q38" s="131" t="str">
        <f t="shared" si="16"/>
        <v/>
      </c>
      <c r="R38" s="127" t="str">
        <f t="shared" si="17"/>
        <v/>
      </c>
      <c r="S38" s="60" t="str">
        <f t="shared" si="4"/>
        <v/>
      </c>
      <c r="T38" s="231" t="str">
        <f>IF(L38="","",VLOOKUP(L38,classifications!C:K,9,FALSE))</f>
        <v>Sparse</v>
      </c>
      <c r="U38" s="238">
        <f t="shared" si="5"/>
        <v>21</v>
      </c>
      <c r="V38" s="239">
        <f>IF(U38="","",IF($I$8="A",(RANK(U38,U$11:U$363)+COUNTIF(U$11:U38,U38)-1),(RANK(U38,U$11:U$363,1)+COUNTIF(U$11:U38,U38)-1)))</f>
        <v>6</v>
      </c>
      <c r="W38" s="240"/>
      <c r="X38" s="61" t="str">
        <f>IF(L38="","",VLOOKUP($L38,classifications!$C:$J,6,FALSE))</f>
        <v>Rural-80</v>
      </c>
      <c r="Y38" s="49">
        <f t="shared" si="6"/>
        <v>21</v>
      </c>
      <c r="Z38" s="57">
        <f>IF(Y38="","",IF(I$8="A",(RANK(Y38,Y$11:Y$363,1)+COUNTIF(Y$11:Y38,Y38)-1),(RANK(Y38,Y$11:Y$363)+COUNTIF(Y$11:Y38,Y38)-1)))</f>
        <v>11</v>
      </c>
      <c r="AA38" s="245" t="str">
        <f>IF(L38="","",VLOOKUP($L38,classifications!C:I,7,FALSE))</f>
        <v>Predominantly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21</v>
      </c>
      <c r="AK38" s="57">
        <f>IF(AJ38="","",IF(I$8="A",(RANK(AJ38,AJ$11:AJ$363,1)+COUNTIF(AJ$11:AJ38,AJ38)-1),(RANK(AJ38,AJ$11:AJ$363)+COUNTIF(AJ$11:AJ38,AJ38)-1)))</f>
        <v>28</v>
      </c>
      <c r="AL38" s="52">
        <f t="shared" si="19"/>
        <v>28</v>
      </c>
      <c r="AM38" s="31" t="str">
        <f t="shared" si="24"/>
        <v>Isle of Wight</v>
      </c>
      <c r="AN38" s="31">
        <f t="shared" si="9"/>
        <v>21</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25</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16</v>
      </c>
      <c r="G39" s="105"/>
      <c r="H39" s="60" t="str">
        <f t="shared" si="2"/>
        <v/>
      </c>
      <c r="I39" s="112" t="str">
        <f>IF(H39="","",IF($I$8="A",(RANK(H39,H$11:H$363,1)+COUNTIF(H$11:H39,H39)-1),(RANK(H39,H$11:H$363)+COUNTIF(H$11:H39,H39)-1)))</f>
        <v/>
      </c>
      <c r="J39" s="58"/>
      <c r="K39" s="51">
        <f t="shared" si="13"/>
        <v>29</v>
      </c>
      <c r="L39" s="59" t="str">
        <f t="shared" si="14"/>
        <v>Torbay</v>
      </c>
      <c r="M39" s="153">
        <f t="shared" si="20"/>
        <v>21</v>
      </c>
      <c r="N39" s="148">
        <f t="shared" si="21"/>
        <v>21</v>
      </c>
      <c r="O39" s="131" t="str">
        <f t="shared" si="3"/>
        <v/>
      </c>
      <c r="P39" s="131">
        <f t="shared" si="15"/>
        <v>21</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Other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21</v>
      </c>
      <c r="AK39" s="57">
        <f>IF(AJ39="","",IF(I$8="A",(RANK(AJ39,AJ$11:AJ$363,1)+COUNTIF(AJ$11:AJ39,AJ39)-1),(RANK(AJ39,AJ$11:AJ$363)+COUNTIF(AJ$11:AJ39,AJ39)-1)))</f>
        <v>29</v>
      </c>
      <c r="AL39" s="52">
        <f t="shared" si="19"/>
        <v>29</v>
      </c>
      <c r="AM39" s="31" t="str">
        <f t="shared" si="24"/>
        <v>Torbay</v>
      </c>
      <c r="AN39" s="31">
        <f t="shared" si="9"/>
        <v>21</v>
      </c>
      <c r="AP39" s="61" t="str">
        <f>IF(L39="","",VLOOKUP($L39,classifications!$C:$E,3,FALSE))</f>
        <v>South West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16</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15</v>
      </c>
      <c r="G40" s="105"/>
      <c r="H40" s="60" t="str">
        <f t="shared" si="2"/>
        <v/>
      </c>
      <c r="I40" s="112" t="str">
        <f>IF(H40="","",IF($I$8="A",(RANK(H40,H$11:H$363,1)+COUNTIF(H$11:H40,H40)-1),(RANK(H40,H$11:H$363)+COUNTIF(H$11:H40,H40)-1)))</f>
        <v/>
      </c>
      <c r="J40" s="58"/>
      <c r="K40" s="51">
        <f t="shared" si="13"/>
        <v>30</v>
      </c>
      <c r="L40" s="59" t="str">
        <f t="shared" si="14"/>
        <v>Windsor &amp; Maidenhead</v>
      </c>
      <c r="M40" s="153">
        <f t="shared" si="20"/>
        <v>21</v>
      </c>
      <c r="N40" s="148">
        <f t="shared" si="21"/>
        <v>21</v>
      </c>
      <c r="O40" s="131" t="str">
        <f t="shared" si="3"/>
        <v/>
      </c>
      <c r="P40" s="131">
        <f t="shared" si="15"/>
        <v>21</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21</v>
      </c>
      <c r="AK40" s="57">
        <f>IF(AJ40="","",IF(I$8="A",(RANK(AJ40,AJ$11:AJ$363,1)+COUNTIF(AJ$11:AJ40,AJ40)-1),(RANK(AJ40,AJ$11:AJ$363)+COUNTIF(AJ$11:AJ40,AJ40)-1)))</f>
        <v>30</v>
      </c>
      <c r="AL40" s="52">
        <f t="shared" si="19"/>
        <v>30</v>
      </c>
      <c r="AM40" s="31" t="str">
        <f t="shared" si="24"/>
        <v>Windsor &amp; Maidenhead</v>
      </c>
      <c r="AN40" s="31">
        <f t="shared" si="9"/>
        <v>21</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15</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14</v>
      </c>
      <c r="G41" s="105"/>
      <c r="H41" s="60" t="str">
        <f t="shared" si="2"/>
        <v/>
      </c>
      <c r="I41" s="112" t="str">
        <f>IF(H41="","",IF($I$8="A",(RANK(H41,H$11:H$363,1)+COUNTIF(H$11:H41,H41)-1),(RANK(H41,H$11:H$363)+COUNTIF(H$11:H41,H41)-1)))</f>
        <v/>
      </c>
      <c r="J41" s="58"/>
      <c r="K41" s="51">
        <f t="shared" si="13"/>
        <v>31</v>
      </c>
      <c r="L41" s="59" t="str">
        <f t="shared" si="14"/>
        <v>Blackburn with Darwen</v>
      </c>
      <c r="M41" s="153">
        <f t="shared" si="20"/>
        <v>22</v>
      </c>
      <c r="N41" s="148">
        <f t="shared" si="21"/>
        <v>22</v>
      </c>
      <c r="O41" s="131" t="str">
        <f t="shared" si="3"/>
        <v/>
      </c>
      <c r="P41" s="131" t="str">
        <f t="shared" si="15"/>
        <v/>
      </c>
      <c r="Q41" s="131">
        <f t="shared" si="16"/>
        <v>22</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22</v>
      </c>
      <c r="AK41" s="57">
        <f>IF(AJ41="","",IF(I$8="A",(RANK(AJ41,AJ$11:AJ$363,1)+COUNTIF(AJ$11:AJ41,AJ41)-1),(RANK(AJ41,AJ$11:AJ$363)+COUNTIF(AJ$11:AJ41,AJ41)-1)))</f>
        <v>31</v>
      </c>
      <c r="AL41" s="52">
        <f t="shared" si="19"/>
        <v>31</v>
      </c>
      <c r="AM41" s="31" t="str">
        <f t="shared" si="24"/>
        <v>Blackburn with Darwen</v>
      </c>
      <c r="AN41" s="31">
        <f t="shared" si="9"/>
        <v>22</v>
      </c>
      <c r="AP41" s="61" t="str">
        <f>IF(L41="","",VLOOKUP($L41,classifications!$C:$E,3,FALSE))</f>
        <v>North West</v>
      </c>
      <c r="AQ41" s="62">
        <f t="shared" si="10"/>
        <v>22</v>
      </c>
      <c r="AR41" s="57">
        <f>IF(AQ41="","",IF(I$8="A",(RANK(AQ41,AQ$11:AQ$363,1)+COUNTIF(AQ$11:AQ41,AQ41)-1),(RANK(AQ41,AQ$11:AQ$363)+COUNTIF(AQ$11:AQ41,AQ41)-1)))</f>
        <v>3</v>
      </c>
      <c r="AS41" s="52" t="str">
        <f t="shared" si="23"/>
        <v/>
      </c>
      <c r="AT41" s="57" t="str">
        <f t="shared" si="11"/>
        <v/>
      </c>
      <c r="AU41" s="62" t="str">
        <f t="shared" si="12"/>
        <v/>
      </c>
      <c r="AX41" s="44">
        <f>HLOOKUP($AX$9&amp;$AX$10,Data!$A$1:$ZZ$2000,(MATCH($C41,Data!$A$1:$A$2000,0)),FALSE)</f>
        <v>14</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16</v>
      </c>
      <c r="G42" s="105"/>
      <c r="H42" s="60" t="str">
        <f t="shared" si="2"/>
        <v/>
      </c>
      <c r="I42" s="112" t="str">
        <f>IF(H42="","",IF($I$8="A",(RANK(H42,H$11:H$363,1)+COUNTIF(H$11:H42,H42)-1),(RANK(H42,H$11:H$363)+COUNTIF(H$11:H42,H42)-1)))</f>
        <v/>
      </c>
      <c r="J42" s="58"/>
      <c r="K42" s="51">
        <f t="shared" si="13"/>
        <v>32</v>
      </c>
      <c r="L42" s="59" t="str">
        <f t="shared" si="14"/>
        <v>Leicester</v>
      </c>
      <c r="M42" s="153">
        <f t="shared" si="20"/>
        <v>22</v>
      </c>
      <c r="N42" s="148">
        <f t="shared" si="21"/>
        <v>22</v>
      </c>
      <c r="O42" s="131" t="str">
        <f t="shared" si="3"/>
        <v/>
      </c>
      <c r="P42" s="131" t="str">
        <f t="shared" si="15"/>
        <v/>
      </c>
      <c r="Q42" s="131">
        <f t="shared" si="16"/>
        <v>22</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Large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22</v>
      </c>
      <c r="AK42" s="57">
        <f>IF(AJ42="","",IF(I$8="A",(RANK(AJ42,AJ$11:AJ$363,1)+COUNTIF(AJ$11:AJ42,AJ42)-1),(RANK(AJ42,AJ$11:AJ$363)+COUNTIF(AJ$11:AJ42,AJ42)-1)))</f>
        <v>32</v>
      </c>
      <c r="AL42" s="52">
        <f t="shared" si="19"/>
        <v>32</v>
      </c>
      <c r="AM42" s="31" t="str">
        <f t="shared" si="24"/>
        <v>Leicester</v>
      </c>
      <c r="AN42" s="31">
        <f t="shared" si="9"/>
        <v>22</v>
      </c>
      <c r="AP42" s="61" t="str">
        <f>IF(L42="","",VLOOKUP($L42,classifications!$C:$E,3,FALSE))</f>
        <v>East Midlands</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16</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28</v>
      </c>
      <c r="G43" s="105"/>
      <c r="H43" s="60">
        <f t="shared" si="2"/>
        <v>28</v>
      </c>
      <c r="I43" s="112">
        <f>IF(H43="","",IF($I$8="A",(RANK(H43,H$11:H$363,1)+COUNTIF(H$11:H43,H43)-1),(RANK(H43,H$11:H$363)+COUNTIF(H$11:H43,H43)-1)))</f>
        <v>42</v>
      </c>
      <c r="J43" s="58"/>
      <c r="K43" s="51">
        <f t="shared" si="13"/>
        <v>33</v>
      </c>
      <c r="L43" s="59" t="str">
        <f t="shared" si="14"/>
        <v>Poole</v>
      </c>
      <c r="M43" s="153">
        <f t="shared" si="20"/>
        <v>23</v>
      </c>
      <c r="N43" s="148">
        <f t="shared" si="21"/>
        <v>23</v>
      </c>
      <c r="O43" s="131" t="str">
        <f t="shared" si="3"/>
        <v/>
      </c>
      <c r="P43" s="131" t="str">
        <f t="shared" si="15"/>
        <v/>
      </c>
      <c r="Q43" s="131">
        <f t="shared" si="16"/>
        <v>23</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Large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23</v>
      </c>
      <c r="AK43" s="57">
        <f>IF(AJ43="","",IF(I$8="A",(RANK(AJ43,AJ$11:AJ$363,1)+COUNTIF(AJ$11:AJ43,AJ43)-1),(RANK(AJ43,AJ$11:AJ$363)+COUNTIF(AJ$11:AJ43,AJ43)-1)))</f>
        <v>33</v>
      </c>
      <c r="AL43" s="52">
        <f t="shared" si="19"/>
        <v>33</v>
      </c>
      <c r="AM43" s="31" t="str">
        <f t="shared" si="24"/>
        <v>Poole</v>
      </c>
      <c r="AN43" s="31">
        <f t="shared" si="9"/>
        <v>23</v>
      </c>
      <c r="AP43" s="61" t="str">
        <f>IF(L43="","",VLOOKUP($L43,classifications!$C:$E,3,FALSE))</f>
        <v>South West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28</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27</v>
      </c>
      <c r="G44" s="105"/>
      <c r="H44" s="60">
        <f t="shared" si="2"/>
        <v>27</v>
      </c>
      <c r="I44" s="112">
        <f>IF(H44="","",IF($I$8="A",(RANK(H44,H$11:H$363,1)+COUNTIF(H$11:H44,H44)-1),(RANK(H44,H$11:H$363)+COUNTIF(H$11:H44,H44)-1)))</f>
        <v>38</v>
      </c>
      <c r="J44" s="58"/>
      <c r="K44" s="51">
        <f t="shared" si="13"/>
        <v>34</v>
      </c>
      <c r="L44" s="59" t="str">
        <f t="shared" si="14"/>
        <v>Warrington</v>
      </c>
      <c r="M44" s="153">
        <f t="shared" si="20"/>
        <v>23</v>
      </c>
      <c r="N44" s="148">
        <f t="shared" si="21"/>
        <v>23</v>
      </c>
      <c r="O44" s="131" t="str">
        <f t="shared" si="3"/>
        <v/>
      </c>
      <c r="P44" s="131" t="str">
        <f t="shared" si="15"/>
        <v/>
      </c>
      <c r="Q44" s="131">
        <f t="shared" si="16"/>
        <v>23</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Other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23</v>
      </c>
      <c r="AK44" s="57">
        <f>IF(AJ44="","",IF(I$8="A",(RANK(AJ44,AJ$11:AJ$363,1)+COUNTIF(AJ$11:AJ44,AJ44)-1),(RANK(AJ44,AJ$11:AJ$363)+COUNTIF(AJ$11:AJ44,AJ44)-1)))</f>
        <v>34</v>
      </c>
      <c r="AL44" s="52">
        <f t="shared" si="19"/>
        <v>34</v>
      </c>
      <c r="AM44" s="31" t="str">
        <f t="shared" si="24"/>
        <v>Warrington</v>
      </c>
      <c r="AN44" s="31">
        <f t="shared" si="9"/>
        <v>23</v>
      </c>
      <c r="AP44" s="61" t="str">
        <f>IF(L44="","",VLOOKUP($L44,classifications!$C:$E,3,FALSE))</f>
        <v>North West</v>
      </c>
      <c r="AQ44" s="62">
        <f t="shared" si="10"/>
        <v>23</v>
      </c>
      <c r="AR44" s="57">
        <f>IF(AQ44="","",IF(I$8="A",(RANK(AQ44,AQ$11:AQ$363,1)+COUNTIF(AQ$11:AQ44,AQ44)-1),(RANK(AQ44,AQ$11:AQ$363)+COUNTIF(AQ$11:AQ44,AQ44)-1)))</f>
        <v>4</v>
      </c>
      <c r="AS44" s="52" t="str">
        <f t="shared" si="23"/>
        <v/>
      </c>
      <c r="AT44" s="57" t="str">
        <f t="shared" si="11"/>
        <v/>
      </c>
      <c r="AU44" s="62" t="str">
        <f t="shared" si="12"/>
        <v/>
      </c>
      <c r="AX44" s="44">
        <f>HLOOKUP($AX$9&amp;$AX$10,Data!$A$1:$ZZ$2000,(MATCH($C44,Data!$A$1:$A$2000,0)),FALSE)</f>
        <v>27</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28</v>
      </c>
      <c r="G45" s="105"/>
      <c r="H45" s="60" t="str">
        <f t="shared" si="2"/>
        <v/>
      </c>
      <c r="I45" s="112" t="str">
        <f>IF(H45="","",IF($I$8="A",(RANK(H45,H$11:H$363,1)+COUNTIF(H$11:H45,H45)-1),(RANK(H45,H$11:H$363)+COUNTIF(H$11:H45,H45)-1)))</f>
        <v/>
      </c>
      <c r="J45" s="58"/>
      <c r="K45" s="51">
        <f t="shared" si="13"/>
        <v>35</v>
      </c>
      <c r="L45" s="59" t="str">
        <f t="shared" si="14"/>
        <v>Wiltshire</v>
      </c>
      <c r="M45" s="153">
        <f t="shared" si="20"/>
        <v>23</v>
      </c>
      <c r="N45" s="148">
        <f t="shared" si="21"/>
        <v>23</v>
      </c>
      <c r="O45" s="131" t="str">
        <f t="shared" si="3"/>
        <v/>
      </c>
      <c r="P45" s="131" t="str">
        <f t="shared" si="15"/>
        <v/>
      </c>
      <c r="Q45" s="131">
        <f t="shared" si="16"/>
        <v>23</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Rural-50</v>
      </c>
      <c r="Y45" s="49">
        <f t="shared" si="6"/>
        <v>23</v>
      </c>
      <c r="Z45" s="57">
        <f>IF(Y45="","",IF(I$8="A",(RANK(Y45,Y$11:Y$363,1)+COUNTIF(Y$11:Y45,Y45)-1),(RANK(Y45,Y$11:Y$363)+COUNTIF(Y$11:Y45,Y45)-1)))</f>
        <v>12</v>
      </c>
      <c r="AA45" s="245" t="str">
        <f>IF(L45="","",VLOOKUP($L45,classifications!C:I,7,FALSE))</f>
        <v>Predominantly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23</v>
      </c>
      <c r="AK45" s="57">
        <f>IF(AJ45="","",IF(I$8="A",(RANK(AJ45,AJ$11:AJ$363,1)+COUNTIF(AJ$11:AJ45,AJ45)-1),(RANK(AJ45,AJ$11:AJ$363)+COUNTIF(AJ$11:AJ45,AJ45)-1)))</f>
        <v>35</v>
      </c>
      <c r="AL45" s="52">
        <f t="shared" si="19"/>
        <v>35</v>
      </c>
      <c r="AM45" s="31" t="str">
        <f t="shared" si="24"/>
        <v>Wiltshire</v>
      </c>
      <c r="AN45" s="31">
        <f t="shared" si="9"/>
        <v>23</v>
      </c>
      <c r="AP45" s="61" t="str">
        <f>IF(L45="","",VLOOKUP($L45,classifications!$C:$E,3,FALSE))</f>
        <v>South West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28</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26</v>
      </c>
      <c r="G46" s="105"/>
      <c r="H46" s="60" t="str">
        <f t="shared" si="2"/>
        <v/>
      </c>
      <c r="I46" s="112" t="str">
        <f>IF(H46="","",IF($I$8="A",(RANK(H46,H$11:H$363,1)+COUNTIF(H$11:H46,H46)-1),(RANK(H46,H$11:H$363)+COUNTIF(H$11:H46,H46)-1)))</f>
        <v/>
      </c>
      <c r="J46" s="58"/>
      <c r="K46" s="51">
        <f t="shared" si="13"/>
        <v>36</v>
      </c>
      <c r="L46" s="59" t="str">
        <f t="shared" si="14"/>
        <v>Kingston upon Hull</v>
      </c>
      <c r="M46" s="153">
        <f t="shared" si="20"/>
        <v>24</v>
      </c>
      <c r="N46" s="148">
        <f t="shared" si="21"/>
        <v>24</v>
      </c>
      <c r="O46" s="131" t="str">
        <f t="shared" si="3"/>
        <v/>
      </c>
      <c r="P46" s="131" t="str">
        <f t="shared" si="15"/>
        <v/>
      </c>
      <c r="Q46" s="131">
        <f t="shared" si="16"/>
        <v>24</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Large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24</v>
      </c>
      <c r="AK46" s="57">
        <f>IF(AJ46="","",IF(I$8="A",(RANK(AJ46,AJ$11:AJ$363,1)+COUNTIF(AJ$11:AJ46,AJ46)-1),(RANK(AJ46,AJ$11:AJ$363)+COUNTIF(AJ$11:AJ46,AJ46)-1)))</f>
        <v>36</v>
      </c>
      <c r="AL46" s="52">
        <f t="shared" si="19"/>
        <v>36</v>
      </c>
      <c r="AM46" s="31" t="str">
        <f t="shared" si="24"/>
        <v>Kingston upon Hull</v>
      </c>
      <c r="AN46" s="31">
        <f t="shared" si="9"/>
        <v>24</v>
      </c>
      <c r="AP46" s="61" t="str">
        <f>IF(L46="","",VLOOKUP($L46,classifications!$C:$E,3,FALSE))</f>
        <v>Yorkshire &amp; Humberside</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26</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27</v>
      </c>
      <c r="G47" s="105"/>
      <c r="H47" s="60" t="str">
        <f t="shared" si="2"/>
        <v/>
      </c>
      <c r="I47" s="112" t="str">
        <f>IF(H47="","",IF($I$8="A",(RANK(H47,H$11:H$363,1)+COUNTIF(H$11:H47,H47)-1),(RANK(H47,H$11:H$363)+COUNTIF(H$11:H47,H47)-1)))</f>
        <v/>
      </c>
      <c r="J47" s="58"/>
      <c r="K47" s="51">
        <f t="shared" si="13"/>
        <v>37</v>
      </c>
      <c r="L47" s="59" t="str">
        <f t="shared" si="14"/>
        <v>Middlesbrough</v>
      </c>
      <c r="M47" s="153">
        <f t="shared" si="20"/>
        <v>25</v>
      </c>
      <c r="N47" s="148">
        <f t="shared" si="21"/>
        <v>25</v>
      </c>
      <c r="O47" s="131" t="str">
        <f t="shared" si="3"/>
        <v/>
      </c>
      <c r="P47" s="131" t="str">
        <f t="shared" si="15"/>
        <v/>
      </c>
      <c r="Q47" s="131">
        <f t="shared" si="16"/>
        <v>25</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Large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25</v>
      </c>
      <c r="AK47" s="57">
        <f>IF(AJ47="","",IF(I$8="A",(RANK(AJ47,AJ$11:AJ$363,1)+COUNTIF(AJ$11:AJ47,AJ47)-1),(RANK(AJ47,AJ$11:AJ$363)+COUNTIF(AJ$11:AJ47,AJ47)-1)))</f>
        <v>37</v>
      </c>
      <c r="AL47" s="52">
        <f t="shared" si="19"/>
        <v>37</v>
      </c>
      <c r="AM47" s="31" t="str">
        <f t="shared" si="24"/>
        <v>Middlesbrough</v>
      </c>
      <c r="AN47" s="31">
        <f t="shared" si="9"/>
        <v>25</v>
      </c>
      <c r="AP47" s="61" t="str">
        <f>IF(L47="","",VLOOKUP($L47,classifications!$C:$E,3,FALSE))</f>
        <v>NE</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27</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22</v>
      </c>
      <c r="G48" s="105"/>
      <c r="H48" s="60" t="str">
        <f t="shared" si="2"/>
        <v/>
      </c>
      <c r="I48" s="112" t="str">
        <f>IF(H48="","",IF($I$8="A",(RANK(H48,H$11:H$363,1)+COUNTIF(H$11:H48,H48)-1),(RANK(H48,H$11:H$363)+COUNTIF(H$11:H48,H48)-1)))</f>
        <v/>
      </c>
      <c r="J48" s="58"/>
      <c r="K48" s="51">
        <f t="shared" si="13"/>
        <v>38</v>
      </c>
      <c r="L48" s="59" t="str">
        <f t="shared" si="14"/>
        <v>Bristol</v>
      </c>
      <c r="M48" s="153">
        <f t="shared" si="20"/>
        <v>27</v>
      </c>
      <c r="N48" s="148">
        <f t="shared" si="21"/>
        <v>27</v>
      </c>
      <c r="O48" s="131" t="str">
        <f t="shared" si="3"/>
        <v/>
      </c>
      <c r="P48" s="131" t="str">
        <f t="shared" si="15"/>
        <v/>
      </c>
      <c r="Q48" s="131">
        <f t="shared" si="16"/>
        <v>27</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Large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27</v>
      </c>
      <c r="AK48" s="57">
        <f>IF(AJ48="","",IF(I$8="A",(RANK(AJ48,AJ$11:AJ$363,1)+COUNTIF(AJ$11:AJ48,AJ48)-1),(RANK(AJ48,AJ$11:AJ$363)+COUNTIF(AJ$11:AJ48,AJ48)-1)))</f>
        <v>38</v>
      </c>
      <c r="AL48" s="52">
        <f t="shared" si="19"/>
        <v>38</v>
      </c>
      <c r="AM48" s="31" t="str">
        <f t="shared" si="24"/>
        <v>Bristol</v>
      </c>
      <c r="AN48" s="31">
        <f t="shared" si="9"/>
        <v>27</v>
      </c>
      <c r="AP48" s="61" t="str">
        <f>IF(L48="","",VLOOKUP($L48,classifications!$C:$E,3,FALSE))</f>
        <v>South West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22</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22</v>
      </c>
      <c r="G49" s="105"/>
      <c r="H49" s="60" t="str">
        <f t="shared" si="2"/>
        <v/>
      </c>
      <c r="I49" s="112" t="str">
        <f>IF(H49="","",IF($I$8="A",(RANK(H49,H$11:H$363,1)+COUNTIF(H$11:H49,H49)-1),(RANK(H49,H$11:H$363)+COUNTIF(H$11:H49,H49)-1)))</f>
        <v/>
      </c>
      <c r="J49" s="58"/>
      <c r="K49" s="51">
        <f t="shared" si="13"/>
        <v>39</v>
      </c>
      <c r="L49" s="59" t="str">
        <f t="shared" si="14"/>
        <v>Peterborough</v>
      </c>
      <c r="M49" s="153">
        <f t="shared" si="20"/>
        <v>27</v>
      </c>
      <c r="N49" s="148">
        <f t="shared" si="21"/>
        <v>27</v>
      </c>
      <c r="O49" s="131" t="str">
        <f t="shared" si="3"/>
        <v/>
      </c>
      <c r="P49" s="131" t="str">
        <f t="shared" si="15"/>
        <v/>
      </c>
      <c r="Q49" s="131">
        <f t="shared" si="16"/>
        <v>27</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Other Urban</v>
      </c>
      <c r="Y49" s="49" t="str">
        <f t="shared" si="6"/>
        <v/>
      </c>
      <c r="Z49" s="57" t="str">
        <f>IF(Y49="","",IF(I$8="A",(RANK(Y49,Y$11:Y$363,1)+COUNTIF(Y$11:Y49,Y49)-1),(RANK(Y49,Y$11:Y$363)+COUNTIF(Y$11:Y49,Y49)-1)))</f>
        <v/>
      </c>
      <c r="AA49" s="245" t="str">
        <f>IF(L49="","",VLOOKUP($L49,classifications!C:I,7,FALSE))</f>
        <v>Predominantly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27</v>
      </c>
      <c r="AK49" s="57">
        <f>IF(AJ49="","",IF(I$8="A",(RANK(AJ49,AJ$11:AJ$363,1)+COUNTIF(AJ$11:AJ49,AJ49)-1),(RANK(AJ49,AJ$11:AJ$363)+COUNTIF(AJ$11:AJ49,AJ49)-1)))</f>
        <v>39</v>
      </c>
      <c r="AL49" s="52">
        <f t="shared" si="19"/>
        <v>39</v>
      </c>
      <c r="AM49" s="31" t="str">
        <f t="shared" si="24"/>
        <v>Peterborough</v>
      </c>
      <c r="AN49" s="31">
        <f t="shared" si="9"/>
        <v>27</v>
      </c>
      <c r="AP49" s="61" t="str">
        <f>IF(L49="","",VLOOKUP($L49,classifications!$C:$E,3,FALSE))</f>
        <v>East of England</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22</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Portsmouth</v>
      </c>
      <c r="M50" s="153">
        <f t="shared" si="20"/>
        <v>27</v>
      </c>
      <c r="N50" s="148">
        <f t="shared" si="21"/>
        <v>27</v>
      </c>
      <c r="O50" s="131" t="str">
        <f t="shared" si="3"/>
        <v/>
      </c>
      <c r="P50" s="131" t="str">
        <f t="shared" si="15"/>
        <v/>
      </c>
      <c r="Q50" s="131">
        <f t="shared" si="16"/>
        <v>27</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Large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27</v>
      </c>
      <c r="AK50" s="57">
        <f>IF(AJ50="","",IF(I$8="A",(RANK(AJ50,AJ$11:AJ$363,1)+COUNTIF(AJ$11:AJ50,AJ50)-1),(RANK(AJ50,AJ$11:AJ$363)+COUNTIF(AJ$11:AJ50,AJ50)-1)))</f>
        <v>40</v>
      </c>
      <c r="AL50" s="52">
        <f t="shared" si="19"/>
        <v>40</v>
      </c>
      <c r="AM50" s="31" t="str">
        <f t="shared" si="24"/>
        <v>Portsmouth</v>
      </c>
      <c r="AN50" s="31">
        <f t="shared" si="9"/>
        <v>27</v>
      </c>
      <c r="AP50" s="61" t="str">
        <f>IF(L50="","",VLOOKUP($L50,classifications!$C:$E,3,FALSE))</f>
        <v>South East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20</v>
      </c>
      <c r="G51" s="105"/>
      <c r="H51" s="60" t="str">
        <f t="shared" si="2"/>
        <v/>
      </c>
      <c r="I51" s="112" t="str">
        <f>IF(H51="","",IF($I$8="A",(RANK(H51,H$11:H$363,1)+COUNTIF(H$11:H51,H51)-1),(RANK(H51,H$11:H$363)+COUNTIF(H$11:H51,H51)-1)))</f>
        <v/>
      </c>
      <c r="J51" s="58"/>
      <c r="K51" s="51">
        <f t="shared" si="13"/>
        <v>41</v>
      </c>
      <c r="L51" s="59" t="str">
        <f t="shared" si="14"/>
        <v>Redcar &amp; Cleveland</v>
      </c>
      <c r="M51" s="153">
        <f t="shared" si="20"/>
        <v>27</v>
      </c>
      <c r="N51" s="148">
        <f t="shared" si="21"/>
        <v>27</v>
      </c>
      <c r="O51" s="131" t="str">
        <f t="shared" si="3"/>
        <v/>
      </c>
      <c r="P51" s="131" t="str">
        <f t="shared" si="15"/>
        <v/>
      </c>
      <c r="Q51" s="131">
        <f t="shared" si="16"/>
        <v>27</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Significant Rural</v>
      </c>
      <c r="Y51" s="49">
        <f t="shared" si="6"/>
        <v>27</v>
      </c>
      <c r="Z51" s="57">
        <f>IF(Y51="","",IF(I$8="A",(RANK(Y51,Y$11:Y$363,1)+COUNTIF(Y$11:Y51,Y51)-1),(RANK(Y51,Y$11:Y$363)+COUNTIF(Y$11:Y51,Y51)-1)))</f>
        <v>13</v>
      </c>
      <c r="AA51" s="245" t="str">
        <f>IF(L51="","",VLOOKUP($L51,classifications!C:I,7,FALSE))</f>
        <v>Significant Rural</v>
      </c>
      <c r="AB51" s="239">
        <f t="shared" si="7"/>
        <v>27</v>
      </c>
      <c r="AC51" s="239">
        <f>IF(AB51="","",IF($I$8="A",(RANK(AB51,AB$11:AB$363)+COUNTIF(AB$11:AB51,AB51)-1),(RANK(AB51,AB$11:AB$363,1)+COUNTIF(AB$11:AB51,AB51)-1)))</f>
        <v>2</v>
      </c>
      <c r="AD51" s="239"/>
      <c r="AE51" s="51" t="str">
        <f t="shared" si="25"/>
        <v/>
      </c>
      <c r="AG51" s="143"/>
      <c r="AH51" s="52"/>
      <c r="AI51" s="61" t="str">
        <f>IF(L51="","",VLOOKUP($L51,classifications!$C:$J,8,FALSE))</f>
        <v>Unitary</v>
      </c>
      <c r="AJ51" s="62">
        <f t="shared" si="0"/>
        <v>27</v>
      </c>
      <c r="AK51" s="57">
        <f>IF(AJ51="","",IF(I$8="A",(RANK(AJ51,AJ$11:AJ$363,1)+COUNTIF(AJ$11:AJ51,AJ51)-1),(RANK(AJ51,AJ$11:AJ$363)+COUNTIF(AJ$11:AJ51,AJ51)-1)))</f>
        <v>41</v>
      </c>
      <c r="AL51" s="52">
        <f t="shared" si="19"/>
        <v>41</v>
      </c>
      <c r="AM51" s="31" t="str">
        <f t="shared" si="24"/>
        <v>Redcar &amp; Cleveland</v>
      </c>
      <c r="AN51" s="31">
        <f t="shared" si="9"/>
        <v>27</v>
      </c>
      <c r="AP51" s="61" t="str">
        <f>IF(L51="","",VLOOKUP($L51,classifications!$C:$E,3,FALSE))</f>
        <v>NE</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20</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25</v>
      </c>
      <c r="G52" s="105"/>
      <c r="H52" s="60" t="str">
        <f t="shared" si="2"/>
        <v/>
      </c>
      <c r="I52" s="112" t="str">
        <f>IF(H52="","",IF($I$8="A",(RANK(H52,H$11:H$363,1)+COUNTIF(H$11:H52,H52)-1),(RANK(H52,H$11:H$363)+COUNTIF(H$11:H52,H52)-1)))</f>
        <v/>
      </c>
      <c r="J52" s="58"/>
      <c r="K52" s="51">
        <f t="shared" si="13"/>
        <v>42</v>
      </c>
      <c r="L52" s="59" t="str">
        <f t="shared" si="14"/>
        <v>Brighton &amp; Hove</v>
      </c>
      <c r="M52" s="153">
        <f t="shared" si="20"/>
        <v>28</v>
      </c>
      <c r="N52" s="148">
        <f t="shared" si="21"/>
        <v>28</v>
      </c>
      <c r="O52" s="131" t="str">
        <f t="shared" si="3"/>
        <v/>
      </c>
      <c r="P52" s="131" t="str">
        <f t="shared" si="15"/>
        <v/>
      </c>
      <c r="Q52" s="131" t="str">
        <f t="shared" si="16"/>
        <v/>
      </c>
      <c r="R52" s="127">
        <f t="shared" si="17"/>
        <v>28</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Large Urban</v>
      </c>
      <c r="Y52" s="49" t="str">
        <f t="shared" si="6"/>
        <v/>
      </c>
      <c r="Z52" s="57" t="str">
        <f>IF(Y52="","",IF(I$8="A",(RANK(Y52,Y$11:Y$363,1)+COUNTIF(Y$11:Y52,Y52)-1),(RANK(Y52,Y$11:Y$363)+COUNTIF(Y$11:Y52,Y52)-1)))</f>
        <v/>
      </c>
      <c r="AA52" s="245" t="str">
        <f>IF(L52="","",VLOOKUP($L52,classifications!C:I,7,FALSE))</f>
        <v>Predominantly Urban</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28</v>
      </c>
      <c r="AK52" s="57">
        <f>IF(AJ52="","",IF(I$8="A",(RANK(AJ52,AJ$11:AJ$363,1)+COUNTIF(AJ$11:AJ52,AJ52)-1),(RANK(AJ52,AJ$11:AJ$363)+COUNTIF(AJ$11:AJ52,AJ52)-1)))</f>
        <v>42</v>
      </c>
      <c r="AL52" s="52">
        <f t="shared" si="19"/>
        <v>42</v>
      </c>
      <c r="AM52" s="31" t="str">
        <f t="shared" si="24"/>
        <v>Brighton &amp; Hove</v>
      </c>
      <c r="AN52" s="31">
        <f t="shared" si="9"/>
        <v>28</v>
      </c>
      <c r="AP52" s="61" t="str">
        <f>IF(L52="","",VLOOKUP($L52,classifications!$C:$E,3,FALSE))</f>
        <v>South East</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25</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15</v>
      </c>
      <c r="G53" s="105"/>
      <c r="H53" s="60" t="str">
        <f t="shared" si="2"/>
        <v/>
      </c>
      <c r="I53" s="112" t="str">
        <f>IF(H53="","",IF($I$8="A",(RANK(H53,H$11:H$363,1)+COUNTIF(H$11:H53,H53)-1),(RANK(H53,H$11:H$363)+COUNTIF(H$11:H53,H53)-1)))</f>
        <v/>
      </c>
      <c r="J53" s="58"/>
      <c r="K53" s="51">
        <f t="shared" si="13"/>
        <v>43</v>
      </c>
      <c r="L53" s="59" t="str">
        <f t="shared" si="14"/>
        <v>North East Lincolnshire</v>
      </c>
      <c r="M53" s="153">
        <f t="shared" si="20"/>
        <v>28</v>
      </c>
      <c r="N53" s="148">
        <f t="shared" si="21"/>
        <v>28</v>
      </c>
      <c r="O53" s="131" t="str">
        <f t="shared" si="3"/>
        <v/>
      </c>
      <c r="P53" s="131" t="str">
        <f t="shared" si="15"/>
        <v/>
      </c>
      <c r="Q53" s="131" t="str">
        <f t="shared" si="16"/>
        <v/>
      </c>
      <c r="R53" s="127">
        <f t="shared" si="17"/>
        <v>28</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28</v>
      </c>
      <c r="AK53" s="57">
        <f>IF(AJ53="","",IF(I$8="A",(RANK(AJ53,AJ$11:AJ$363,1)+COUNTIF(AJ$11:AJ53,AJ53)-1),(RANK(AJ53,AJ$11:AJ$363)+COUNTIF(AJ$11:AJ53,AJ53)-1)))</f>
        <v>43</v>
      </c>
      <c r="AL53" s="52">
        <f t="shared" si="19"/>
        <v>43</v>
      </c>
      <c r="AM53" s="31" t="str">
        <f t="shared" si="24"/>
        <v>North East Lincolnshire</v>
      </c>
      <c r="AN53" s="31">
        <f t="shared" si="9"/>
        <v>28</v>
      </c>
      <c r="AP53" s="61" t="str">
        <f>IF(L53="","",VLOOKUP($L53,classifications!$C:$E,3,FALSE))</f>
        <v>Yorkshire &amp; Humberside</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15</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16</v>
      </c>
      <c r="G54" s="105"/>
      <c r="H54" s="60" t="str">
        <f t="shared" si="2"/>
        <v/>
      </c>
      <c r="I54" s="112" t="str">
        <f>IF(H54="","",IF($I$8="A",(RANK(H54,H$11:H$363,1)+COUNTIF(H$11:H54,H54)-1),(RANK(H54,H$11:H$363)+COUNTIF(H$11:H54,H54)-1)))</f>
        <v/>
      </c>
      <c r="J54" s="58"/>
      <c r="K54" s="51">
        <f t="shared" si="13"/>
        <v>44</v>
      </c>
      <c r="L54" s="59" t="str">
        <f t="shared" si="14"/>
        <v>Medway</v>
      </c>
      <c r="M54" s="153">
        <f t="shared" si="20"/>
        <v>30</v>
      </c>
      <c r="N54" s="148">
        <f t="shared" si="21"/>
        <v>30</v>
      </c>
      <c r="O54" s="131" t="str">
        <f t="shared" si="3"/>
        <v/>
      </c>
      <c r="P54" s="131" t="str">
        <f t="shared" si="15"/>
        <v/>
      </c>
      <c r="Q54" s="131" t="str">
        <f t="shared" si="16"/>
        <v/>
      </c>
      <c r="R54" s="127">
        <f t="shared" si="17"/>
        <v>30</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Other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30</v>
      </c>
      <c r="AK54" s="57">
        <f>IF(AJ54="","",IF(I$8="A",(RANK(AJ54,AJ$11:AJ$363,1)+COUNTIF(AJ$11:AJ54,AJ54)-1),(RANK(AJ54,AJ$11:AJ$363)+COUNTIF(AJ$11:AJ54,AJ54)-1)))</f>
        <v>44</v>
      </c>
      <c r="AL54" s="52">
        <f t="shared" si="19"/>
        <v>44</v>
      </c>
      <c r="AM54" s="31" t="str">
        <f t="shared" si="24"/>
        <v>Medway</v>
      </c>
      <c r="AN54" s="31">
        <f t="shared" si="9"/>
        <v>30</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16</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Thurrock</v>
      </c>
      <c r="M55" s="153">
        <f t="shared" si="20"/>
        <v>31</v>
      </c>
      <c r="N55" s="148">
        <f t="shared" si="21"/>
        <v>31</v>
      </c>
      <c r="O55" s="131" t="str">
        <f t="shared" si="3"/>
        <v/>
      </c>
      <c r="P55" s="131" t="str">
        <f t="shared" si="15"/>
        <v/>
      </c>
      <c r="Q55" s="131" t="str">
        <f t="shared" si="16"/>
        <v/>
      </c>
      <c r="R55" s="127">
        <f t="shared" si="17"/>
        <v>31</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Other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31</v>
      </c>
      <c r="AK55" s="57">
        <f>IF(AJ55="","",IF(I$8="A",(RANK(AJ55,AJ$11:AJ$363,1)+COUNTIF(AJ$11:AJ55,AJ55)-1),(RANK(AJ55,AJ$11:AJ$363)+COUNTIF(AJ$11:AJ55,AJ55)-1)))</f>
        <v>45</v>
      </c>
      <c r="AL55" s="52">
        <f t="shared" si="19"/>
        <v>45</v>
      </c>
      <c r="AM55" s="31" t="str">
        <f t="shared" si="24"/>
        <v>Thurrock</v>
      </c>
      <c r="AN55" s="31">
        <f t="shared" si="9"/>
        <v>31</v>
      </c>
      <c r="AP55" s="61" t="str">
        <f>IF(L55="","",VLOOKUP($L55,classifications!$C:$E,3,FALSE))</f>
        <v>East of England</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22</v>
      </c>
      <c r="G56" s="105"/>
      <c r="H56" s="60" t="str">
        <f t="shared" si="2"/>
        <v/>
      </c>
      <c r="I56" s="112" t="str">
        <f>IF(H56="","",IF($I$8="A",(RANK(H56,H$11:H$363,1)+COUNTIF(H$11:H56,H56)-1),(RANK(H56,H$11:H$363)+COUNTIF(H$11:H56,H56)-1)))</f>
        <v/>
      </c>
      <c r="J56" s="58"/>
      <c r="K56" s="51">
        <f t="shared" si="13"/>
        <v>46</v>
      </c>
      <c r="L56" s="59" t="str">
        <f t="shared" si="14"/>
        <v>Cheshire East</v>
      </c>
      <c r="M56" s="153">
        <f t="shared" si="20"/>
        <v>33</v>
      </c>
      <c r="N56" s="148">
        <f t="shared" si="21"/>
        <v>33</v>
      </c>
      <c r="O56" s="131" t="str">
        <f t="shared" si="3"/>
        <v/>
      </c>
      <c r="P56" s="131" t="str">
        <f t="shared" si="15"/>
        <v/>
      </c>
      <c r="Q56" s="131" t="str">
        <f t="shared" si="16"/>
        <v/>
      </c>
      <c r="R56" s="127">
        <f t="shared" si="17"/>
        <v>33</v>
      </c>
      <c r="S56" s="60" t="str">
        <f t="shared" si="4"/>
        <v/>
      </c>
      <c r="T56" s="231" t="str">
        <f>IF(L56="","",VLOOKUP(L56,classifications!C:K,9,FALSE))</f>
        <v>Sparse</v>
      </c>
      <c r="U56" s="238">
        <f t="shared" si="26"/>
        <v>33</v>
      </c>
      <c r="V56" s="239">
        <f>IF(U56="","",IF($I$8="A",(RANK(U56,U$11:U$363)+COUNTIF(U$11:U56,U56)-1),(RANK(U56,U$11:U$363,1)+COUNTIF(U$11:U56,U56)-1)))</f>
        <v>3</v>
      </c>
      <c r="W56" s="240"/>
      <c r="X56" s="61" t="str">
        <f>IF(L56="","",VLOOKUP($L56,classifications!$C:$J,6,FALSE))</f>
        <v>Rural-50</v>
      </c>
      <c r="Y56" s="49">
        <f t="shared" si="6"/>
        <v>33</v>
      </c>
      <c r="Z56" s="57">
        <f>IF(Y56="","",IF(I$8="A",(RANK(Y56,Y$11:Y$363,1)+COUNTIF(Y$11:Y56,Y56)-1),(RANK(Y56,Y$11:Y$363)+COUNTIF(Y$11:Y56,Y56)-1)))</f>
        <v>14</v>
      </c>
      <c r="AA56" s="245" t="str">
        <f>IF(L56="","",VLOOKUP($L56,classifications!C:I,7,FALSE))</f>
        <v>Predominantly Rural</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33</v>
      </c>
      <c r="AK56" s="57">
        <f>IF(AJ56="","",IF(I$8="A",(RANK(AJ56,AJ$11:AJ$363,1)+COUNTIF(AJ$11:AJ56,AJ56)-1),(RANK(AJ56,AJ$11:AJ$363)+COUNTIF(AJ$11:AJ56,AJ56)-1)))</f>
        <v>46</v>
      </c>
      <c r="AL56" s="52">
        <f t="shared" si="19"/>
        <v>46</v>
      </c>
      <c r="AM56" s="31" t="str">
        <f t="shared" si="24"/>
        <v>Cheshire East</v>
      </c>
      <c r="AN56" s="31">
        <f t="shared" si="9"/>
        <v>33</v>
      </c>
      <c r="AP56" s="61" t="str">
        <f>IF(L56="","",VLOOKUP($L56,classifications!$C:$E,3,FALSE))</f>
        <v>North West</v>
      </c>
      <c r="AQ56" s="62">
        <f t="shared" si="10"/>
        <v>33</v>
      </c>
      <c r="AR56" s="57">
        <f>IF(AQ56="","",IF(I$8="A",(RANK(AQ56,AQ$11:AQ$363,1)+COUNTIF(AQ$11:AQ56,AQ56)-1),(RANK(AQ56,AQ$11:AQ$363)+COUNTIF(AQ$11:AQ56,AQ56)-1)))</f>
        <v>5</v>
      </c>
      <c r="AS56" s="52" t="str">
        <f t="shared" si="23"/>
        <v/>
      </c>
      <c r="AT56" s="57" t="str">
        <f t="shared" si="11"/>
        <v/>
      </c>
      <c r="AU56" s="62" t="str">
        <f t="shared" si="12"/>
        <v/>
      </c>
      <c r="AX56" s="44">
        <f>HLOOKUP($AX$9&amp;$AX$10,Data!$A$1:$ZZ$2000,(MATCH($C56,Data!$A$1:$A$2000,0)),FALSE)</f>
        <v>22</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8</v>
      </c>
      <c r="G57" s="105"/>
      <c r="H57" s="60" t="str">
        <f t="shared" si="2"/>
        <v/>
      </c>
      <c r="I57" s="112" t="str">
        <f>IF(H57="","",IF($I$8="A",(RANK(H57,H$11:H$363,1)+COUNTIF(H$11:H57,H57)-1),(RANK(H57,H$11:H$363)+COUNTIF(H$11:H57,H57)-1)))</f>
        <v/>
      </c>
      <c r="J57" s="58"/>
      <c r="K57" s="51">
        <f t="shared" si="13"/>
        <v>47</v>
      </c>
      <c r="L57" s="59" t="str">
        <f t="shared" si="14"/>
        <v>Cheshire West &amp; Chester</v>
      </c>
      <c r="M57" s="153">
        <f t="shared" si="20"/>
        <v>33</v>
      </c>
      <c r="N57" s="148">
        <f t="shared" si="21"/>
        <v>33</v>
      </c>
      <c r="O57" s="131" t="str">
        <f t="shared" si="3"/>
        <v/>
      </c>
      <c r="P57" s="131" t="str">
        <f t="shared" si="15"/>
        <v/>
      </c>
      <c r="Q57" s="131" t="str">
        <f t="shared" si="16"/>
        <v/>
      </c>
      <c r="R57" s="127">
        <f t="shared" si="17"/>
        <v>33</v>
      </c>
      <c r="S57" s="60" t="str">
        <f t="shared" si="4"/>
        <v>u</v>
      </c>
      <c r="T57" s="231" t="str">
        <f>IF(L57="","",VLOOKUP(L57,classifications!C:K,9,FALSE))</f>
        <v>Sparse</v>
      </c>
      <c r="U57" s="238">
        <f t="shared" si="26"/>
        <v>33</v>
      </c>
      <c r="V57" s="239">
        <f>IF(U57="","",IF($I$8="A",(RANK(U57,U$11:U$363)+COUNTIF(U$11:U57,U57)-1),(RANK(U57,U$11:U$363,1)+COUNTIF(U$11:U57,U57)-1)))</f>
        <v>4</v>
      </c>
      <c r="W57" s="240"/>
      <c r="X57" s="61" t="str">
        <f>IF(L57="","",VLOOKUP($L57,classifications!$C:$J,6,FALSE))</f>
        <v>Significant Rural</v>
      </c>
      <c r="Y57" s="49">
        <f t="shared" si="6"/>
        <v>33</v>
      </c>
      <c r="Z57" s="57">
        <f>IF(Y57="","",IF(I$8="A",(RANK(Y57,Y$11:Y$363,1)+COUNTIF(Y$11:Y57,Y57)-1),(RANK(Y57,Y$11:Y$363)+COUNTIF(Y$11:Y57,Y57)-1)))</f>
        <v>15</v>
      </c>
      <c r="AA57" s="245" t="str">
        <f>IF(L57="","",VLOOKUP($L57,classifications!C:I,7,FALSE))</f>
        <v>Significant Rural</v>
      </c>
      <c r="AB57" s="239">
        <f t="shared" si="7"/>
        <v>33</v>
      </c>
      <c r="AC57" s="239">
        <f>IF(AB57="","",IF($I$8="A",(RANK(AB57,AB$11:AB$363)+COUNTIF(AB$11:AB57,AB57)-1),(RANK(AB57,AB$11:AB$363,1)+COUNTIF(AB$11:AB57,AB57)-1)))</f>
        <v>1</v>
      </c>
      <c r="AD57" s="239"/>
      <c r="AE57" s="51" t="str">
        <f t="shared" si="25"/>
        <v/>
      </c>
      <c r="AG57" s="143"/>
      <c r="AH57" s="52"/>
      <c r="AI57" s="61" t="str">
        <f>IF(L57="","",VLOOKUP($L57,classifications!$C:$J,8,FALSE))</f>
        <v>Unitary</v>
      </c>
      <c r="AJ57" s="62">
        <f t="shared" si="0"/>
        <v>33</v>
      </c>
      <c r="AK57" s="57">
        <f>IF(AJ57="","",IF(I$8="A",(RANK(AJ57,AJ$11:AJ$363,1)+COUNTIF(AJ$11:AJ57,AJ57)-1),(RANK(AJ57,AJ$11:AJ$363)+COUNTIF(AJ$11:AJ57,AJ57)-1)))</f>
        <v>47</v>
      </c>
      <c r="AL57" s="52">
        <f t="shared" si="19"/>
        <v>47</v>
      </c>
      <c r="AM57" s="31" t="str">
        <f t="shared" si="24"/>
        <v>Cheshire West &amp; Chester</v>
      </c>
      <c r="AN57" s="31">
        <f t="shared" si="9"/>
        <v>33</v>
      </c>
      <c r="AP57" s="61" t="str">
        <f>IF(L57="","",VLOOKUP($L57,classifications!$C:$E,3,FALSE))</f>
        <v>North West</v>
      </c>
      <c r="AQ57" s="62">
        <f t="shared" si="10"/>
        <v>33</v>
      </c>
      <c r="AR57" s="57">
        <f>IF(AQ57="","",IF(I$8="A",(RANK(AQ57,AQ$11:AQ$363,1)+COUNTIF(AQ$11:AQ57,AQ57)-1),(RANK(AQ57,AQ$11:AQ$363)+COUNTIF(AQ$11:AQ57,AQ57)-1)))</f>
        <v>6</v>
      </c>
      <c r="AS57" s="52" t="str">
        <f t="shared" si="23"/>
        <v/>
      </c>
      <c r="AT57" s="57" t="str">
        <f t="shared" si="11"/>
        <v/>
      </c>
      <c r="AU57" s="62" t="str">
        <f t="shared" si="12"/>
        <v/>
      </c>
      <c r="AX57" s="44">
        <f>HLOOKUP($AX$9&amp;$AX$10,Data!$A$1:$ZZ$2000,(MATCH($C57,Data!$A$1:$A$2000,0)),FALSE)</f>
        <v>8</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17</v>
      </c>
      <c r="G58" s="105"/>
      <c r="H58" s="60" t="str">
        <f t="shared" si="2"/>
        <v/>
      </c>
      <c r="I58" s="112" t="str">
        <f>IF(H58="","",IF($I$8="A",(RANK(H58,H$11:H$363,1)+COUNTIF(H$11:H58,H58)-1),(RANK(H58,H$11:H$363)+COUNTIF(H$11:H58,H58)-1)))</f>
        <v/>
      </c>
      <c r="J58" s="58"/>
      <c r="K58" s="51">
        <f t="shared" si="13"/>
        <v>48</v>
      </c>
      <c r="L58" s="59" t="str">
        <f t="shared" si="14"/>
        <v>South Gloucestershire</v>
      </c>
      <c r="M58" s="153">
        <f t="shared" si="20"/>
        <v>33</v>
      </c>
      <c r="N58" s="148">
        <f t="shared" si="21"/>
        <v>33</v>
      </c>
      <c r="O58" s="131" t="str">
        <f t="shared" si="3"/>
        <v/>
      </c>
      <c r="P58" s="131" t="str">
        <f t="shared" si="15"/>
        <v/>
      </c>
      <c r="Q58" s="131" t="str">
        <f t="shared" si="16"/>
        <v/>
      </c>
      <c r="R58" s="127">
        <f t="shared" si="17"/>
        <v>33</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33</v>
      </c>
      <c r="AK58" s="57">
        <f>IF(AJ58="","",IF(I$8="A",(RANK(AJ58,AJ$11:AJ$363,1)+COUNTIF(AJ$11:AJ58,AJ58)-1),(RANK(AJ58,AJ$11:AJ$363)+COUNTIF(AJ$11:AJ58,AJ58)-1)))</f>
        <v>48</v>
      </c>
      <c r="AL58" s="52">
        <f t="shared" si="19"/>
        <v>48</v>
      </c>
      <c r="AM58" s="31" t="str">
        <f t="shared" si="24"/>
        <v>South Gloucestershire</v>
      </c>
      <c r="AN58" s="31">
        <f t="shared" si="9"/>
        <v>33</v>
      </c>
      <c r="AP58" s="61" t="str">
        <f>IF(L58="","",VLOOKUP($L58,classifications!$C:$E,3,FALSE))</f>
        <v>South West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17</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23</v>
      </c>
      <c r="G59" s="105"/>
      <c r="H59" s="60" t="str">
        <f t="shared" si="2"/>
        <v/>
      </c>
      <c r="I59" s="112" t="str">
        <f>IF(H59="","",IF($I$8="A",(RANK(H59,H$11:H$363,1)+COUNTIF(H$11:H59,H59)-1),(RANK(H59,H$11:H$363)+COUNTIF(H$11:H59,H59)-1)))</f>
        <v/>
      </c>
      <c r="J59" s="58"/>
      <c r="K59" s="51">
        <f t="shared" si="13"/>
        <v>49</v>
      </c>
      <c r="L59" s="59" t="str">
        <f t="shared" si="14"/>
        <v>North Lincolnshire</v>
      </c>
      <c r="M59" s="153">
        <f t="shared" si="20"/>
        <v>34</v>
      </c>
      <c r="N59" s="148">
        <f t="shared" si="21"/>
        <v>34</v>
      </c>
      <c r="O59" s="131" t="str">
        <f t="shared" si="3"/>
        <v/>
      </c>
      <c r="P59" s="131" t="str">
        <f t="shared" si="15"/>
        <v/>
      </c>
      <c r="Q59" s="131" t="str">
        <f t="shared" si="16"/>
        <v/>
      </c>
      <c r="R59" s="127">
        <f t="shared" si="17"/>
        <v>34</v>
      </c>
      <c r="S59" s="60" t="str">
        <f t="shared" si="4"/>
        <v/>
      </c>
      <c r="T59" s="231" t="str">
        <f>IF(L59="","",VLOOKUP(L59,classifications!C:K,9,FALSE))</f>
        <v>Sparse</v>
      </c>
      <c r="U59" s="238">
        <f t="shared" si="26"/>
        <v>34</v>
      </c>
      <c r="V59" s="239">
        <f>IF(U59="","",IF($I$8="A",(RANK(U59,U$11:U$363)+COUNTIF(U$11:U59,U59)-1),(RANK(U59,U$11:U$363,1)+COUNTIF(U$11:U59,U59)-1)))</f>
        <v>2</v>
      </c>
      <c r="W59" s="240"/>
      <c r="X59" s="61" t="str">
        <f>IF(L59="","",VLOOKUP($L59,classifications!$C:$J,6,FALSE))</f>
        <v>Rural-50</v>
      </c>
      <c r="Y59" s="49">
        <f t="shared" si="6"/>
        <v>34</v>
      </c>
      <c r="Z59" s="57">
        <f>IF(Y59="","",IF(I$8="A",(RANK(Y59,Y$11:Y$363,1)+COUNTIF(Y$11:Y59,Y59)-1),(RANK(Y59,Y$11:Y$363)+COUNTIF(Y$11:Y59,Y59)-1)))</f>
        <v>16</v>
      </c>
      <c r="AA59" s="245" t="str">
        <f>IF(L59="","",VLOOKUP($L59,classifications!C:I,7,FALSE))</f>
        <v>Predominantly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34</v>
      </c>
      <c r="AK59" s="57">
        <f>IF(AJ59="","",IF(I$8="A",(RANK(AJ59,AJ$11:AJ$363,1)+COUNTIF(AJ$11:AJ59,AJ59)-1),(RANK(AJ59,AJ$11:AJ$363)+COUNTIF(AJ$11:AJ59,AJ59)-1)))</f>
        <v>49</v>
      </c>
      <c r="AL59" s="52">
        <f t="shared" si="19"/>
        <v>49</v>
      </c>
      <c r="AM59" s="31" t="str">
        <f t="shared" si="24"/>
        <v>North Lincolnshire</v>
      </c>
      <c r="AN59" s="31">
        <f t="shared" si="9"/>
        <v>34</v>
      </c>
      <c r="AP59" s="61" t="str">
        <f>IF(L59="","",VLOOKUP($L59,classifications!$C:$E,3,FALSE))</f>
        <v>Yorkshire &amp; Humberside</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23</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21</v>
      </c>
      <c r="G60" s="105"/>
      <c r="H60" s="60" t="str">
        <f t="shared" si="2"/>
        <v/>
      </c>
      <c r="I60" s="112" t="str">
        <f>IF(H60="","",IF($I$8="A",(RANK(H60,H$11:H$363,1)+COUNTIF(H$11:H60,H60)-1),(RANK(H60,H$11:H$363)+COUNTIF(H$11:H60,H60)-1)))</f>
        <v/>
      </c>
      <c r="J60" s="58"/>
      <c r="K60" s="51">
        <f t="shared" si="13"/>
        <v>50</v>
      </c>
      <c r="L60" s="59" t="str">
        <f t="shared" si="14"/>
        <v>Nottingham</v>
      </c>
      <c r="M60" s="153">
        <f t="shared" si="20"/>
        <v>35</v>
      </c>
      <c r="N60" s="148">
        <f t="shared" si="21"/>
        <v>35</v>
      </c>
      <c r="O60" s="131" t="str">
        <f t="shared" si="3"/>
        <v/>
      </c>
      <c r="P60" s="131" t="str">
        <f t="shared" si="15"/>
        <v/>
      </c>
      <c r="Q60" s="131" t="str">
        <f t="shared" si="16"/>
        <v/>
      </c>
      <c r="R60" s="127">
        <f t="shared" si="17"/>
        <v>35</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Predominantly Urban</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35</v>
      </c>
      <c r="AK60" s="57">
        <f>IF(AJ60="","",IF(I$8="A",(RANK(AJ60,AJ$11:AJ$363,1)+COUNTIF(AJ$11:AJ60,AJ60)-1),(RANK(AJ60,AJ$11:AJ$363)+COUNTIF(AJ$11:AJ60,AJ60)-1)))</f>
        <v>50</v>
      </c>
      <c r="AL60" s="52">
        <f t="shared" si="19"/>
        <v>50</v>
      </c>
      <c r="AM60" s="31" t="str">
        <f t="shared" si="24"/>
        <v>Nottingham</v>
      </c>
      <c r="AN60" s="31">
        <f t="shared" si="9"/>
        <v>35</v>
      </c>
      <c r="AP60" s="61" t="str">
        <f>IF(L60="","",VLOOKUP($L60,classifications!$C:$E,3,FALSE))</f>
        <v>East Midlands</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21</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41</v>
      </c>
      <c r="G61" s="105"/>
      <c r="H61" s="60">
        <f t="shared" si="2"/>
        <v>41</v>
      </c>
      <c r="I61" s="112">
        <f>IF(H61="","",IF($I$8="A",(RANK(H61,H$11:H$363,1)+COUNTIF(H$11:H61,H61)-1),(RANK(H61,H$11:H$363)+COUNTIF(H$11:H61,H61)-1)))</f>
        <v>54</v>
      </c>
      <c r="J61" s="58"/>
      <c r="K61" s="51">
        <f t="shared" si="13"/>
        <v>51</v>
      </c>
      <c r="L61" s="59" t="str">
        <f t="shared" si="14"/>
        <v>Wokingham</v>
      </c>
      <c r="M61" s="153">
        <f t="shared" si="20"/>
        <v>36</v>
      </c>
      <c r="N61" s="148">
        <f t="shared" si="21"/>
        <v>36</v>
      </c>
      <c r="O61" s="131" t="str">
        <f t="shared" si="3"/>
        <v/>
      </c>
      <c r="P61" s="131" t="str">
        <f t="shared" si="15"/>
        <v/>
      </c>
      <c r="Q61" s="131" t="str">
        <f t="shared" si="16"/>
        <v/>
      </c>
      <c r="R61" s="127">
        <f t="shared" si="17"/>
        <v>36</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36</v>
      </c>
      <c r="AK61" s="57">
        <f>IF(AJ61="","",IF(I$8="A",(RANK(AJ61,AJ$11:AJ$363,1)+COUNTIF(AJ$11:AJ61,AJ61)-1),(RANK(AJ61,AJ$11:AJ$363)+COUNTIF(AJ$11:AJ61,AJ61)-1)))</f>
        <v>51</v>
      </c>
      <c r="AL61" s="52">
        <f t="shared" si="19"/>
        <v>51</v>
      </c>
      <c r="AM61" s="31" t="str">
        <f t="shared" si="24"/>
        <v>Wokingham</v>
      </c>
      <c r="AN61" s="31">
        <f t="shared" si="9"/>
        <v>36</v>
      </c>
      <c r="AP61" s="61" t="str">
        <f>IF(L61="","",VLOOKUP($L61,classifications!$C:$E,3,FALSE))</f>
        <v>South East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41</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25</v>
      </c>
      <c r="G62" s="105"/>
      <c r="H62" s="60" t="str">
        <f t="shared" si="2"/>
        <v/>
      </c>
      <c r="I62" s="112" t="str">
        <f>IF(H62="","",IF($I$8="A",(RANK(H62,H$11:H$363,1)+COUNTIF(H$11:H62,H62)-1),(RANK(H62,H$11:H$363)+COUNTIF(H$11:H62,H62)-1)))</f>
        <v/>
      </c>
      <c r="J62" s="58"/>
      <c r="K62" s="51">
        <f t="shared" si="13"/>
        <v>52</v>
      </c>
      <c r="L62" s="59" t="str">
        <f t="shared" si="14"/>
        <v>York</v>
      </c>
      <c r="M62" s="153">
        <f t="shared" si="20"/>
        <v>37</v>
      </c>
      <c r="N62" s="148">
        <f t="shared" si="21"/>
        <v>37</v>
      </c>
      <c r="O62" s="131" t="str">
        <f t="shared" si="3"/>
        <v/>
      </c>
      <c r="P62" s="131" t="str">
        <f t="shared" si="15"/>
        <v/>
      </c>
      <c r="Q62" s="131" t="str">
        <f t="shared" si="16"/>
        <v/>
      </c>
      <c r="R62" s="127">
        <f t="shared" si="17"/>
        <v>37</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Other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37</v>
      </c>
      <c r="AK62" s="57">
        <f>IF(AJ62="","",IF(I$8="A",(RANK(AJ62,AJ$11:AJ$363,1)+COUNTIF(AJ$11:AJ62,AJ62)-1),(RANK(AJ62,AJ$11:AJ$363)+COUNTIF(AJ$11:AJ62,AJ62)-1)))</f>
        <v>52</v>
      </c>
      <c r="AL62" s="52">
        <f t="shared" si="19"/>
        <v>52</v>
      </c>
      <c r="AM62" s="31" t="str">
        <f t="shared" si="24"/>
        <v>York</v>
      </c>
      <c r="AN62" s="31">
        <f t="shared" si="9"/>
        <v>37</v>
      </c>
      <c r="AP62" s="61" t="str">
        <f>IF(L62="","",VLOOKUP($L62,classifications!$C:$E,3,FALSE))</f>
        <v>Yorkshire &amp; Humberside</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25</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16</v>
      </c>
      <c r="G63" s="105"/>
      <c r="H63" s="60" t="str">
        <f t="shared" si="2"/>
        <v/>
      </c>
      <c r="I63" s="112" t="str">
        <f>IF(H63="","",IF($I$8="A",(RANK(H63,H$11:H$363,1)+COUNTIF(H$11:H63,H63)-1),(RANK(H63,H$11:H$363)+COUNTIF(H$11:H63,H63)-1)))</f>
        <v/>
      </c>
      <c r="J63" s="58"/>
      <c r="K63" s="51">
        <f t="shared" si="13"/>
        <v>53</v>
      </c>
      <c r="L63" s="59" t="str">
        <f t="shared" si="14"/>
        <v>Shropshire</v>
      </c>
      <c r="M63" s="153">
        <f t="shared" si="20"/>
        <v>39</v>
      </c>
      <c r="N63" s="148">
        <f t="shared" si="21"/>
        <v>39</v>
      </c>
      <c r="O63" s="131" t="str">
        <f t="shared" si="3"/>
        <v/>
      </c>
      <c r="P63" s="131" t="str">
        <f t="shared" si="15"/>
        <v/>
      </c>
      <c r="Q63" s="131" t="str">
        <f t="shared" si="16"/>
        <v/>
      </c>
      <c r="R63" s="127">
        <f t="shared" si="17"/>
        <v>39</v>
      </c>
      <c r="S63" s="60" t="str">
        <f t="shared" si="4"/>
        <v/>
      </c>
      <c r="T63" s="231" t="str">
        <f>IF(L63="","",VLOOKUP(L63,classifications!C:K,9,FALSE))</f>
        <v>Sparse</v>
      </c>
      <c r="U63" s="238">
        <f t="shared" si="26"/>
        <v>39</v>
      </c>
      <c r="V63" s="239">
        <f>IF(U63="","",IF($I$8="A",(RANK(U63,U$11:U$363)+COUNTIF(U$11:U63,U63)-1),(RANK(U63,U$11:U$363,1)+COUNTIF(U$11:U63,U63)-1)))</f>
        <v>1</v>
      </c>
      <c r="W63" s="240"/>
      <c r="X63" s="61" t="str">
        <f>IF(L63="","",VLOOKUP($L63,classifications!$C:$J,6,FALSE))</f>
        <v>Rural-50</v>
      </c>
      <c r="Y63" s="49">
        <f t="shared" si="6"/>
        <v>39</v>
      </c>
      <c r="Z63" s="57">
        <f>IF(Y63="","",IF(I$8="A",(RANK(Y63,Y$11:Y$363,1)+COUNTIF(Y$11:Y63,Y63)-1),(RANK(Y63,Y$11:Y$363)+COUNTIF(Y$11:Y63,Y63)-1)))</f>
        <v>17</v>
      </c>
      <c r="AA63" s="245" t="str">
        <f>IF(L63="","",VLOOKUP($L63,classifications!C:I,7,FALSE))</f>
        <v>Predominantly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39</v>
      </c>
      <c r="AK63" s="57">
        <f>IF(AJ63="","",IF(I$8="A",(RANK(AJ63,AJ$11:AJ$363,1)+COUNTIF(AJ$11:AJ63,AJ63)-1),(RANK(AJ63,AJ$11:AJ$363)+COUNTIF(AJ$11:AJ63,AJ63)-1)))</f>
        <v>53</v>
      </c>
      <c r="AL63" s="52">
        <f t="shared" si="19"/>
        <v>53</v>
      </c>
      <c r="AM63" s="31" t="str">
        <f t="shared" si="24"/>
        <v>Shropshire</v>
      </c>
      <c r="AN63" s="31">
        <f t="shared" si="9"/>
        <v>39</v>
      </c>
      <c r="AP63" s="61" t="str">
        <f>IF(L63="","",VLOOKUP($L63,classifications!$C:$E,3,FALSE))</f>
        <v>West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16</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18</v>
      </c>
      <c r="G64" s="105"/>
      <c r="H64" s="60" t="str">
        <f t="shared" si="2"/>
        <v/>
      </c>
      <c r="I64" s="112" t="str">
        <f>IF(H64="","",IF($I$8="A",(RANK(H64,H$11:H$363,1)+COUNTIF(H$11:H64,H64)-1),(RANK(H64,H$11:H$363)+COUNTIF(H$11:H64,H64)-1)))</f>
        <v/>
      </c>
      <c r="J64" s="58"/>
      <c r="K64" s="51">
        <f t="shared" si="13"/>
        <v>54</v>
      </c>
      <c r="L64" s="59" t="str">
        <f t="shared" si="14"/>
        <v>Central Bedfordshire</v>
      </c>
      <c r="M64" s="153">
        <f t="shared" si="20"/>
        <v>41</v>
      </c>
      <c r="N64" s="148">
        <f t="shared" si="21"/>
        <v>41</v>
      </c>
      <c r="O64" s="131" t="str">
        <f t="shared" si="3"/>
        <v/>
      </c>
      <c r="P64" s="131" t="str">
        <f t="shared" si="15"/>
        <v/>
      </c>
      <c r="Q64" s="131" t="str">
        <f t="shared" si="16"/>
        <v/>
      </c>
      <c r="R64" s="127">
        <f t="shared" si="17"/>
        <v>41</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Rural-50</v>
      </c>
      <c r="Y64" s="49">
        <f t="shared" si="6"/>
        <v>41</v>
      </c>
      <c r="Z64" s="57">
        <f>IF(Y64="","",IF(I$8="A",(RANK(Y64,Y$11:Y$363,1)+COUNTIF(Y$11:Y64,Y64)-1),(RANK(Y64,Y$11:Y$363)+COUNTIF(Y$11:Y64,Y64)-1)))</f>
        <v>18</v>
      </c>
      <c r="AA64" s="245" t="str">
        <f>IF(L64="","",VLOOKUP($L64,classifications!C:I,7,FALSE))</f>
        <v>Predominantly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41</v>
      </c>
      <c r="AK64" s="57">
        <f>IF(AJ64="","",IF(I$8="A",(RANK(AJ64,AJ$11:AJ$363,1)+COUNTIF(AJ$11:AJ64,AJ64)-1),(RANK(AJ64,AJ$11:AJ$363)+COUNTIF(AJ$11:AJ64,AJ64)-1)))</f>
        <v>54</v>
      </c>
      <c r="AL64" s="52">
        <f t="shared" si="19"/>
        <v>54</v>
      </c>
      <c r="AM64" s="31" t="str">
        <f t="shared" si="24"/>
        <v>Central Bedfordshire</v>
      </c>
      <c r="AN64" s="31">
        <f t="shared" si="9"/>
        <v>41</v>
      </c>
      <c r="AP64" s="61" t="str">
        <f>IF(L64="","",VLOOKUP($L64,classifications!$C:$E,3,FALSE))</f>
        <v>East of England</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18</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17</v>
      </c>
      <c r="G65" s="105"/>
      <c r="H65" s="60" t="str">
        <f t="shared" si="2"/>
        <v/>
      </c>
      <c r="I65" s="112" t="str">
        <f>IF(H65="","",IF($I$8="A",(RANK(H65,H$11:H$363,1)+COUNTIF(H$11:H65,H65)-1),(RANK(H65,H$11:H$363)+COUNTIF(H$11:H65,H65)-1)))</f>
        <v/>
      </c>
      <c r="J65" s="58"/>
      <c r="K65" s="51">
        <f t="shared" si="13"/>
        <v>55</v>
      </c>
      <c r="L65" s="59" t="str">
        <f t="shared" si="14"/>
        <v>Derby</v>
      </c>
      <c r="M65" s="153">
        <f t="shared" si="20"/>
        <v>46</v>
      </c>
      <c r="N65" s="148">
        <f t="shared" si="21"/>
        <v>46</v>
      </c>
      <c r="O65" s="131" t="str">
        <f t="shared" si="3"/>
        <v/>
      </c>
      <c r="P65" s="131" t="str">
        <f t="shared" si="15"/>
        <v/>
      </c>
      <c r="Q65" s="131" t="str">
        <f t="shared" si="16"/>
        <v/>
      </c>
      <c r="R65" s="127">
        <f t="shared" si="17"/>
        <v>46</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Other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46</v>
      </c>
      <c r="AK65" s="57">
        <f>IF(AJ65="","",IF(I$8="A",(RANK(AJ65,AJ$11:AJ$363,1)+COUNTIF(AJ$11:AJ65,AJ65)-1),(RANK(AJ65,AJ$11:AJ$363)+COUNTIF(AJ$11:AJ65,AJ65)-1)))</f>
        <v>55</v>
      </c>
      <c r="AL65" s="52">
        <f t="shared" si="19"/>
        <v>55</v>
      </c>
      <c r="AM65" s="31" t="str">
        <f t="shared" si="24"/>
        <v>Derby</v>
      </c>
      <c r="AN65" s="31">
        <f t="shared" si="9"/>
        <v>46</v>
      </c>
      <c r="AP65" s="61" t="str">
        <f>IF(L65="","",VLOOKUP($L65,classifications!$C:$E,3,FALSE))</f>
        <v>East Midlands</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17</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33</v>
      </c>
      <c r="G66" s="105"/>
      <c r="H66" s="60">
        <f t="shared" si="2"/>
        <v>33</v>
      </c>
      <c r="I66" s="112">
        <f>IF(H66="","",IF($I$8="A",(RANK(H66,H$11:H$363,1)+COUNTIF(H$11:H66,H66)-1),(RANK(H66,H$11:H$363)+COUNTIF(H$11:H66,H66)-1)))</f>
        <v>46</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33</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33</v>
      </c>
      <c r="G67" s="105"/>
      <c r="H67" s="60">
        <f t="shared" si="2"/>
        <v>33</v>
      </c>
      <c r="I67" s="112">
        <f>IF(H67="","",IF($I$8="A",(RANK(H67,H$11:H$363,1)+COUNTIF(H$11:H67,H67)-1),(RANK(H67,H$11:H$363)+COUNTIF(H$11:H67,H67)-1)))</f>
        <v>47</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33</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28</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28</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21</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21</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14</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14</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20</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20</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19</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19</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20</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20</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35</v>
      </c>
      <c r="G74" s="105"/>
      <c r="H74" s="60">
        <f t="shared" si="2"/>
        <v>35</v>
      </c>
      <c r="I74" s="112">
        <f>IF(H74="","",IF($I$8="A",(RANK(H74,H$11:H$363,1)+COUNTIF(H$11:H74,H74)-1),(RANK(H74,H$11:H$363)+COUNTIF(H$11:H74,H74)-1)))</f>
        <v>50</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35</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27</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27</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24</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24</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15</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15</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20</v>
      </c>
      <c r="G78" s="105"/>
      <c r="H78" s="60">
        <f t="shared" si="28"/>
        <v>20</v>
      </c>
      <c r="I78" s="112">
        <f>IF(H78="","",IF($I$8="A",(RANK(H78,H$11:H$363,1)+COUNTIF(H$11:H78,H78)-1),(RANK(H78,H$11:H$363)+COUNTIF(H$11:H78,H78)-1)))</f>
        <v>21</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20</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11</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11</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21</v>
      </c>
      <c r="G80" s="105"/>
      <c r="H80" s="60">
        <f t="shared" si="28"/>
        <v>21</v>
      </c>
      <c r="I80" s="112">
        <f>IF(H80="","",IF($I$8="A",(RANK(H80,H$11:H$363,1)+COUNTIF(H$11:H80,H80)-1),(RANK(H80,H$11:H$363)+COUNTIF(H$11:H80,H80)-1)))</f>
        <v>26</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21</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21</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21</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27</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27</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13</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13</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23</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23</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29</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29</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10</v>
      </c>
      <c r="G87" s="105"/>
      <c r="H87" s="60">
        <f t="shared" si="28"/>
        <v>10</v>
      </c>
      <c r="I87" s="112">
        <f>IF(H87="","",IF($I$8="A",(RANK(H87,H$11:H$363,1)+COUNTIF(H$11:H87,H87)-1),(RANK(H87,H$11:H$363)+COUNTIF(H$11:H87,H87)-1)))</f>
        <v>1</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10</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27</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27</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28</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28</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46</v>
      </c>
      <c r="G90" s="105"/>
      <c r="H90" s="60">
        <f t="shared" si="28"/>
        <v>46</v>
      </c>
      <c r="I90" s="112">
        <f>IF(H90="","",IF($I$8="A",(RANK(H90,H$11:H$363,1)+COUNTIF(H$11:H90,H90)-1),(RANK(H90,H$11:H$363)+COUNTIF(H$11:H90,H90)-1)))</f>
        <v>55</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46</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12</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12</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43</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43</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14</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14</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16</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16</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18</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18</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15</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15</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11</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11</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19</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19</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24</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24</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19</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19</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21</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21</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41</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41</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20</v>
      </c>
      <c r="G106" s="105"/>
      <c r="H106" s="60">
        <f t="shared" si="28"/>
        <v>20</v>
      </c>
      <c r="I106" s="112">
        <f>IF(H106="","",IF($I$8="A",(RANK(H106,H$11:H$363,1)+COUNTIF(H$11:H106,H106)-1),(RANK(H106,H$11:H$363)+COUNTIF(H$11:H106,H106)-1)))</f>
        <v>22</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20</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21</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21</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20</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20</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16</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16</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22</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22</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11</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11</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22</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22</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19</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19</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33</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33</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21</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21</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17</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17</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20</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20</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20</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20</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14</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14</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19</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19</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19</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19</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30</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30</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10</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10</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21</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21</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15</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15</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18</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18</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29</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29</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34</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34</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21</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21</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19</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19</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14</v>
      </c>
      <c r="G134" s="105"/>
      <c r="H134" s="60">
        <f t="shared" si="28"/>
        <v>14</v>
      </c>
      <c r="I134" s="112">
        <f>IF(H134="","",IF($I$8="A",(RANK(H134,H$11:H$363,1)+COUNTIF(H$11:H134,H134)-1),(RANK(H134,H$11:H$363)+COUNTIF(H$11:H134,H134)-1)))</f>
        <v>5</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14</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19</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19</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33</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33</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17</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17</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33</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33</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20</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20</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27</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27</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21</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21</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20</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20</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21</v>
      </c>
      <c r="G144" s="105"/>
      <c r="H144" s="60">
        <f t="shared" si="52"/>
        <v>21</v>
      </c>
      <c r="I144" s="112">
        <f>IF(H144="","",IF($I$8="A",(RANK(H144,H$11:H$363,1)+COUNTIF(H$11:H144,H144)-1),(RANK(H144,H$11:H$363)+COUNTIF(H$11:H144,H144)-1)))</f>
        <v>27</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21</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10</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10</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16</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16</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21</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21</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11</v>
      </c>
      <c r="G148" s="105"/>
      <c r="H148" s="60">
        <f t="shared" si="52"/>
        <v>11</v>
      </c>
      <c r="I148" s="112">
        <f>IF(H148="","",IF($I$8="A",(RANK(H148,H$11:H$363,1)+COUNTIF(H$11:H148,H148)-1),(RANK(H148,H$11:H$363)+COUNTIF(H$11:H148,H148)-1)))</f>
        <v>3</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11</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16</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16</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17</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17</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10</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10</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16</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16</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15</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15</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20</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20</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24</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24</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15</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15</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20</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20</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21</v>
      </c>
      <c r="G159" s="105"/>
      <c r="H159" s="60">
        <f t="shared" si="52"/>
        <v>21</v>
      </c>
      <c r="I159" s="112">
        <f>IF(H159="","",IF($I$8="A",(RANK(H159,H$11:H$363,1)+COUNTIF(H$11:H159,H159)-1),(RANK(H159,H$11:H$363)+COUNTIF(H$11:H159,H159)-1)))</f>
        <v>28</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21</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17</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17</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17</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17</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12</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12</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20</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20</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24</v>
      </c>
      <c r="G166" s="105"/>
      <c r="H166" s="60">
        <f t="shared" si="52"/>
        <v>24</v>
      </c>
      <c r="I166" s="112">
        <f>IF(H166="","",IF($I$8="A",(RANK(H166,H$11:H$363,1)+COUNTIF(H$11:H166,H166)-1),(RANK(H166,H$11:H$363)+COUNTIF(H$11:H166,H166)-1)))</f>
        <v>36</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24</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24</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24</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22</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22</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31</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31</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26</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26</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17</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17</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30</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30</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22</v>
      </c>
      <c r="G174" s="105"/>
      <c r="H174" s="60">
        <f t="shared" si="52"/>
        <v>22</v>
      </c>
      <c r="I174" s="112">
        <f>IF(H174="","",IF($I$8="A",(RANK(H174,H$11:H$363,1)+COUNTIF(H$11:H174,H174)-1),(RANK(H174,H$11:H$363)+COUNTIF(H$11:H174,H174)-1)))</f>
        <v>32</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22</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19</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19</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14</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14</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24</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24</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25</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25</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23</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23</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19</v>
      </c>
      <c r="G182" s="105"/>
      <c r="H182" s="60">
        <f t="shared" si="52"/>
        <v>19</v>
      </c>
      <c r="I182" s="112">
        <f>IF(H182="","",IF($I$8="A",(RANK(H182,H$11:H$363,1)+COUNTIF(H$11:H182,H182)-1),(RANK(H182,H$11:H$363)+COUNTIF(H$11:H182,H182)-1)))</f>
        <v>20</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19</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14</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14</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15</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15</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18</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18</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29</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29</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29</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29</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12</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12</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16</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16</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28</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28</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17</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17</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24</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24</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16</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16</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25</v>
      </c>
      <c r="G194" s="105"/>
      <c r="H194" s="60">
        <f t="shared" si="52"/>
        <v>25</v>
      </c>
      <c r="I194" s="112">
        <f>IF(H194="","",IF($I$8="A",(RANK(H194,H$11:H$363,1)+COUNTIF(H$11:H194,H194)-1),(RANK(H194,H$11:H$363)+COUNTIF(H$11:H194,H194)-1)))</f>
        <v>37</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25</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20</v>
      </c>
      <c r="G195" s="105"/>
      <c r="H195" s="60">
        <f t="shared" si="52"/>
        <v>20</v>
      </c>
      <c r="I195" s="112">
        <f>IF(H195="","",IF($I$8="A",(RANK(H195,H$11:H$363,1)+COUNTIF(H$11:H195,H195)-1),(RANK(H195,H$11:H$363)+COUNTIF(H$11:H195,H195)-1)))</f>
        <v>23</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20</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20</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20</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20</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20</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34</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34</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33</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33</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34</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34</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29</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29</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13</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13</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19</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19</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20</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20</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28</v>
      </c>
      <c r="G206" s="105"/>
      <c r="H206" s="60">
        <f t="shared" si="75"/>
        <v>28</v>
      </c>
      <c r="I206" s="112">
        <f>IF(H206="","",IF($I$8="A",(RANK(H206,H$11:H$363,1)+COUNTIF(H$11:H206,H206)-1),(RANK(H206,H$11:H$363)+COUNTIF(H$11:H206,H206)-1)))</f>
        <v>43</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28</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17</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17</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12</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12</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34</v>
      </c>
      <c r="G209" s="105"/>
      <c r="H209" s="60">
        <f t="shared" si="75"/>
        <v>34</v>
      </c>
      <c r="I209" s="112">
        <f>IF(H209="","",IF($I$8="A",(RANK(H209,H$11:H$363,1)+COUNTIF(H$11:H209,H209)-1),(RANK(H209,H$11:H$363)+COUNTIF(H$11:H209,H209)-1)))</f>
        <v>49</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34</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20</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20</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v>
      </c>
      <c r="G211" s="105"/>
      <c r="H211" s="60">
        <f t="shared" si="75"/>
        <v>20</v>
      </c>
      <c r="I211" s="112">
        <f>IF(H211="","",IF($I$8="A",(RANK(H211,H$11:H$363,1)+COUNTIF(H$11:H211,H211)-1),(RANK(H211,H$11:H$363)+COUNTIF(H$11:H211,H211)-1)))</f>
        <v>24</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20</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20</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19</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19</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16</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16</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25</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25</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16</v>
      </c>
      <c r="G218" s="105"/>
      <c r="H218" s="60">
        <f t="shared" si="75"/>
        <v>16</v>
      </c>
      <c r="I218" s="112">
        <f>IF(H218="","",IF($I$8="A",(RANK(H218,H$11:H$363,1)+COUNTIF(H$11:H218,H218)-1),(RANK(H218,H$11:H$363)+COUNTIF(H$11:H218,H218)-1)))</f>
        <v>11</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16</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20</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20</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14</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14</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14</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14</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30</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30</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14</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14</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30</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30</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27</v>
      </c>
      <c r="G227" s="105"/>
      <c r="H227" s="60">
        <f t="shared" si="75"/>
        <v>27</v>
      </c>
      <c r="I227" s="112">
        <f>IF(H227="","",IF($I$8="A",(RANK(H227,H$11:H$363,1)+COUNTIF(H$11:H227,H227)-1),(RANK(H227,H$11:H$363)+COUNTIF(H$11:H227,H227)-1)))</f>
        <v>39</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27</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10</v>
      </c>
      <c r="G228" s="105"/>
      <c r="H228" s="60">
        <f t="shared" si="75"/>
        <v>10</v>
      </c>
      <c r="I228" s="112">
        <f>IF(H228="","",IF($I$8="A",(RANK(H228,H$11:H$363,1)+COUNTIF(H$11:H228,H228)-1),(RANK(H228,H$11:H$363)+COUNTIF(H$11:H228,H228)-1)))</f>
        <v>2</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10</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23</v>
      </c>
      <c r="G229" s="105"/>
      <c r="H229" s="60">
        <f t="shared" si="75"/>
        <v>23</v>
      </c>
      <c r="I229" s="112">
        <f>IF(H229="","",IF($I$8="A",(RANK(H229,H$11:H$363,1)+COUNTIF(H$11:H229,H229)-1),(RANK(H229,H$11:H$363)+COUNTIF(H$11:H229,H229)-1)))</f>
        <v>33</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23</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27</v>
      </c>
      <c r="G230" s="105"/>
      <c r="H230" s="60">
        <f t="shared" si="75"/>
        <v>27</v>
      </c>
      <c r="I230" s="112">
        <f>IF(H230="","",IF($I$8="A",(RANK(H230,H$11:H$363,1)+COUNTIF(H$11:H230,H230)-1),(RANK(H230,H$11:H$363)+COUNTIF(H$11:H230,H230)-1)))</f>
        <v>40</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27</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15</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15</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21</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21</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15</v>
      </c>
      <c r="G233" s="105"/>
      <c r="H233" s="60">
        <f t="shared" si="75"/>
        <v>15</v>
      </c>
      <c r="I233" s="112">
        <f>IF(H233="","",IF($I$8="A",(RANK(H233,H$11:H$363,1)+COUNTIF(H$11:H233,H233)-1),(RANK(H233,H$11:H$363)+COUNTIF(H$11:H233,H233)-1)))</f>
        <v>6</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15</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26</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26</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27</v>
      </c>
      <c r="G235" s="105"/>
      <c r="H235" s="60">
        <f t="shared" si="75"/>
        <v>27</v>
      </c>
      <c r="I235" s="112">
        <f>IF(H235="","",IF($I$8="A",(RANK(H235,H$11:H$363,1)+COUNTIF(H$11:H235,H235)-1),(RANK(H235,H$11:H$363)+COUNTIF(H$11:H235,H235)-1)))</f>
        <v>41</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27</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14</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14</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20</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20</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24</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24</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19</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19</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24</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24</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27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27</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23</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23</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30</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30</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24</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24</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21</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21</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23</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23</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17</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17</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12</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12</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4</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4</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17</v>
      </c>
      <c r="G250" s="105"/>
      <c r="H250" s="60">
        <f t="shared" si="75"/>
        <v>17</v>
      </c>
      <c r="I250" s="112">
        <f>IF(H250="","",IF($I$8="A",(RANK(H250,H$11:H$363,1)+COUNTIF(H$11:H250,H250)-1),(RANK(H250,H$11:H$363)+COUNTIF(H$11:H250,H250)-1)))</f>
        <v>13</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17</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67</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67</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21</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21</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23</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23</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17</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17</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8</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8</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27</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27</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23</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23</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28</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28</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21</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21</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13</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13</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39</v>
      </c>
      <c r="G261" s="105"/>
      <c r="H261" s="60">
        <f t="shared" si="75"/>
        <v>39</v>
      </c>
      <c r="I261" s="112">
        <f>IF(H261="","",IF($I$8="A",(RANK(H261,H$11:H$363,1)+COUNTIF(H$11:H261,H261)-1),(RANK(H261,H$11:H$363)+COUNTIF(H$11:H261,H261)-1)))</f>
        <v>53</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39</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18</v>
      </c>
      <c r="G262" s="105"/>
      <c r="H262" s="60">
        <f t="shared" si="75"/>
        <v>18</v>
      </c>
      <c r="I262" s="112">
        <f>IF(H262="","",IF($I$8="A",(RANK(H262,H$11:H$363,1)+COUNTIF(H$11:H262,H262)-1),(RANK(H262,H$11:H$363)+COUNTIF(H$11:H262,H262)-1)))</f>
        <v>16</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18</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24</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24</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18</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18</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13</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13</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11</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11</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33</v>
      </c>
      <c r="G268" s="105"/>
      <c r="H268" s="60">
        <f t="shared" si="99"/>
        <v>33</v>
      </c>
      <c r="I268" s="112">
        <f>IF(H268="","",IF($I$8="A",(RANK(H268,H$11:H$363,1)+COUNTIF(H$11:H268,H268)-1),(RANK(H268,H$11:H$363)+COUNTIF(H$11:H268,H268)-1)))</f>
        <v>48</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33</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25</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25</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22</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22</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13</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13</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24</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24</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13</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13</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10</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10</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16</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16</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22</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22</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32</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32</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13</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13</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22</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22</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15</v>
      </c>
      <c r="G280" s="105"/>
      <c r="H280" s="60">
        <f t="shared" si="99"/>
        <v>15</v>
      </c>
      <c r="I280" s="112">
        <f>IF(H280="","",IF($I$8="A",(RANK(H280,H$11:H$363,1)+COUNTIF(H$11:H280,H280)-1),(RANK(H280,H$11:H$363)+COUNTIF(H$11:H280,H280)-1)))</f>
        <v>7</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15</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17</v>
      </c>
      <c r="G281" s="105"/>
      <c r="H281" s="60">
        <f t="shared" si="99"/>
        <v>17</v>
      </c>
      <c r="I281" s="112">
        <f>IF(H281="","",IF($I$8="A",(RANK(H281,H$11:H$363,1)+COUNTIF(H$11:H281,H281)-1),(RANK(H281,H$11:H$363)+COUNTIF(H$11:H281,H281)-1)))</f>
        <v>14</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17</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16</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16</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27</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27</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43</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43</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12</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12</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28</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28</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11</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11</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19</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19</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26</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26</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19</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19</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17</v>
      </c>
      <c r="G292" s="105"/>
      <c r="H292" s="60">
        <f t="shared" si="99"/>
        <v>17</v>
      </c>
      <c r="I292" s="112">
        <f>IF(H292="","",IF($I$8="A",(RANK(H292,H$11:H$363,1)+COUNTIF(H$11:H292,H292)-1),(RANK(H292,H$11:H$363)+COUNTIF(H$11:H292,H292)-1)))</f>
        <v>15</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17</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15</v>
      </c>
      <c r="G293" s="105"/>
      <c r="H293" s="60">
        <f t="shared" si="99"/>
        <v>15</v>
      </c>
      <c r="I293" s="112">
        <f>IF(H293="","",IF($I$8="A",(RANK(H293,H$11:H$363,1)+COUNTIF(H$11:H293,H293)-1),(RANK(H293,H$11:H$363)+COUNTIF(H$11:H293,H293)-1)))</f>
        <v>8</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15</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14</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14</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13</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13</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35</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35</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20</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20</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22</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22</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16</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16</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18</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18</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16</v>
      </c>
      <c r="G303" s="105"/>
      <c r="H303" s="60">
        <f t="shared" si="99"/>
        <v>16</v>
      </c>
      <c r="I303" s="112">
        <f>IF(H303="","",IF($I$8="A",(RANK(H303,H$11:H$363,1)+COUNTIF(H$11:H303,H303)-1),(RANK(H303,H$11:H$363)+COUNTIF(H$11:H303,H303)-1)))</f>
        <v>12</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16</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18</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18</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31</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31</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18</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18</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17</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17</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16</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16</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11</v>
      </c>
      <c r="G309" s="105"/>
      <c r="H309" s="60">
        <f t="shared" si="99"/>
        <v>11</v>
      </c>
      <c r="I309" s="112">
        <f>IF(H309="","",IF($I$8="A",(RANK(H309,H$11:H$363,1)+COUNTIF(H$11:H309,H309)-1),(RANK(H309,H$11:H$363)+COUNTIF(H$11:H309,H309)-1)))</f>
        <v>4</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11</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6</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6</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20</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20</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25</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25</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18</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18</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30</v>
      </c>
      <c r="G314" s="105"/>
      <c r="H314" s="60">
        <f t="shared" si="99"/>
        <v>30</v>
      </c>
      <c r="I314" s="112">
        <f>IF(H314="","",IF($I$8="A",(RANK(H314,H$11:H$363,1)+COUNTIF(H$11:H314,H314)-1),(RANK(H314,H$11:H$363)+COUNTIF(H$11:H314,H314)-1)))</f>
        <v>44</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30</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20</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20</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31</v>
      </c>
      <c r="G316" s="105"/>
      <c r="H316" s="60">
        <f t="shared" si="99"/>
        <v>31</v>
      </c>
      <c r="I316" s="112">
        <f>IF(H316="","",IF($I$8="A",(RANK(H316,H$11:H$363,1)+COUNTIF(H$11:H316,H316)-1),(RANK(H316,H$11:H$363)+COUNTIF(H$11:H316,H316)-1)))</f>
        <v>45</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31</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35</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35</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21</v>
      </c>
      <c r="G318" s="105"/>
      <c r="H318" s="60">
        <f t="shared" si="99"/>
        <v>21</v>
      </c>
      <c r="I318" s="112">
        <f>IF(H318="","",IF($I$8="A",(RANK(H318,H$11:H$363,1)+COUNTIF(H$11:H318,H318)-1),(RANK(H318,H$11:H$363)+COUNTIF(H$11:H318,H318)-1)))</f>
        <v>29</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21</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15</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15</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22</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22</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15</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15</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15</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15</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20</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20</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14</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14</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24</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24</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29</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29</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24</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24</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24</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24</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23</v>
      </c>
      <c r="G329" s="105"/>
      <c r="H329" s="60">
        <f t="shared" si="99"/>
        <v>23</v>
      </c>
      <c r="I329" s="112">
        <f>IF(H329="","",IF($I$8="A",(RANK(H329,H$11:H$363,1)+COUNTIF(H$11:H329,H329)-1),(RANK(H329,H$11:H$363)+COUNTIF(H$11:H329,H329)-1)))</f>
        <v>34</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23</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21</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21</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17</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17</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32</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32</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19</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19</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18</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18</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22</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22</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14</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14</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18</v>
      </c>
      <c r="G338" s="105"/>
      <c r="H338" s="60">
        <f t="shared" si="122"/>
        <v>18</v>
      </c>
      <c r="I338" s="112">
        <f>IF(H338="","",IF($I$8="A",(RANK(H338,H$11:H$363,1)+COUNTIF(H$11:H338,H338)-1),(RANK(H338,H$11:H$363)+COUNTIF(H$11:H338,H338)-1)))</f>
        <v>17</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18</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35</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35</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18</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18</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23</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23</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19</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19</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12</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12</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14</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14</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30</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30</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18</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18</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37</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37</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23</v>
      </c>
      <c r="G349" s="105"/>
      <c r="H349" s="60">
        <f t="shared" si="122"/>
        <v>23</v>
      </c>
      <c r="I349" s="112">
        <f>IF(H349="","",IF($I$8="A",(RANK(H349,H$11:H$363,1)+COUNTIF(H$11:H349,H349)-1),(RANK(H349,H$11:H$363)+COUNTIF(H$11:H349,H349)-1)))</f>
        <v>35</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23</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16</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16</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21</v>
      </c>
      <c r="G351" s="105"/>
      <c r="H351" s="60">
        <f t="shared" si="122"/>
        <v>21</v>
      </c>
      <c r="I351" s="112">
        <f>IF(H351="","",IF($I$8="A",(RANK(H351,H$11:H$363,1)+COUNTIF(H$11:H351,H351)-1),(RANK(H351,H$11:H$363)+COUNTIF(H$11:H351,H351)-1)))</f>
        <v>30</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21</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25</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25</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20</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20</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36</v>
      </c>
      <c r="G354" s="105"/>
      <c r="H354" s="60">
        <f t="shared" si="122"/>
        <v>36</v>
      </c>
      <c r="I354" s="112">
        <f>IF(H354="","",IF($I$8="A",(RANK(H354,H$11:H$363,1)+COUNTIF(H$11:H354,H354)-1),(RANK(H354,H$11:H$363)+COUNTIF(H$11:H354,H354)-1)))</f>
        <v>51</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36</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17</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17</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15</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15</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23</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23</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18</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18</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17</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17</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16</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16</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22</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22</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37</v>
      </c>
      <c r="G363" s="105"/>
      <c r="H363" s="60">
        <f t="shared" si="122"/>
        <v>37</v>
      </c>
      <c r="I363" s="112">
        <f>IF(H363="","",IF($I$8="A",(RANK(H363,H$11:H$363,1)+COUNTIF(H$11:H363,H363)-1),(RANK(H363,H$11:H$363)+COUNTIF(H$11:H363,H363)-1)))</f>
        <v>52</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37</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D3" sqref="D3"/>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898</v>
      </c>
      <c r="G2" s="6"/>
      <c r="H2" s="6"/>
    </row>
    <row r="3" spans="1:8" ht="15">
      <c r="A3" s="269" t="s">
        <v>897</v>
      </c>
      <c r="B3" t="s">
        <v>831</v>
      </c>
      <c r="C3" t="s">
        <v>831</v>
      </c>
      <c r="D3" t="s">
        <v>888</v>
      </c>
      <c r="F3" t="s">
        <v>899</v>
      </c>
      <c r="G3" s="6"/>
    </row>
    <row r="4" spans="1:8" ht="15">
      <c r="A4" s="269"/>
      <c r="F4" s="6" t="s">
        <v>900</v>
      </c>
      <c r="G4" s="6"/>
    </row>
    <row r="5" spans="1:8" ht="15">
      <c r="A5" s="269"/>
      <c r="B5" s="6"/>
      <c r="E5" s="6"/>
      <c r="F5" s="6" t="s">
        <v>901</v>
      </c>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C4" sqref="C4"/>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2013/14</v>
      </c>
      <c r="D1" s="188" t="str">
        <f t="shared" ref="D1:BO1" si="0">D4&amp;D5</f>
        <v>Housing Benefit - Change of CircumstancesQ1 2013/14</v>
      </c>
      <c r="E1" s="188" t="str">
        <f t="shared" si="0"/>
        <v>Housing Benefit - New ClaimsQ2 2013/14</v>
      </c>
      <c r="F1" s="188" t="str">
        <f t="shared" si="0"/>
        <v>Housing Benefit - Change of CircumstancesQ2 2013/14</v>
      </c>
      <c r="G1" s="188" t="str">
        <f t="shared" si="0"/>
        <v>Housing Benefit - New ClaimsQ3 2013/14</v>
      </c>
      <c r="H1" s="188" t="str">
        <f t="shared" si="0"/>
        <v>Housing Benefit - Change of CircumstancesQ3 2013/14</v>
      </c>
      <c r="I1" s="188" t="str">
        <f t="shared" si="0"/>
        <v>Housing Benefit - New ClaimsQ1-3 average 2013/14</v>
      </c>
      <c r="J1" s="188" t="str">
        <f t="shared" si="0"/>
        <v>Housing Benefit - Change of CircumstancesQ1-3 average 2013/14</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903</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896</v>
      </c>
      <c r="D4" s="269" t="s">
        <v>897</v>
      </c>
      <c r="E4" s="269" t="s">
        <v>896</v>
      </c>
      <c r="F4" s="269" t="s">
        <v>897</v>
      </c>
      <c r="G4" s="269" t="s">
        <v>896</v>
      </c>
      <c r="H4" s="269" t="s">
        <v>897</v>
      </c>
      <c r="I4" s="181" t="s">
        <v>896</v>
      </c>
      <c r="J4" s="183" t="s">
        <v>897</v>
      </c>
      <c r="K4" s="183"/>
      <c r="L4" s="179"/>
      <c r="M4" s="183"/>
      <c r="N4" s="179"/>
      <c r="O4" s="181"/>
      <c r="P4" s="181"/>
      <c r="Q4" s="181"/>
      <c r="R4" s="183"/>
      <c r="S4" s="183"/>
      <c r="T4" s="183"/>
      <c r="U4" s="181"/>
      <c r="V4" s="361"/>
      <c r="W4" s="361"/>
      <c r="X4" s="179"/>
      <c r="Y4" s="179"/>
    </row>
    <row r="5" spans="1:77" ht="30" customHeight="1">
      <c r="A5" s="359"/>
      <c r="B5" s="191" t="s">
        <v>369</v>
      </c>
      <c r="C5" s="269" t="s">
        <v>898</v>
      </c>
      <c r="D5" s="269" t="s">
        <v>898</v>
      </c>
      <c r="E5" s="269" t="s">
        <v>899</v>
      </c>
      <c r="F5" s="269" t="s">
        <v>899</v>
      </c>
      <c r="G5" s="269" t="s">
        <v>900</v>
      </c>
      <c r="H5" s="269" t="s">
        <v>900</v>
      </c>
      <c r="I5" s="182" t="s">
        <v>901</v>
      </c>
      <c r="J5" s="165" t="s">
        <v>901</v>
      </c>
      <c r="K5" s="165"/>
      <c r="L5" s="179"/>
      <c r="M5" s="165"/>
      <c r="N5" s="179"/>
      <c r="O5" s="182"/>
      <c r="P5" s="182"/>
      <c r="Q5" s="182"/>
      <c r="R5" s="165"/>
      <c r="S5" s="165"/>
      <c r="T5" s="165"/>
      <c r="U5" s="182"/>
      <c r="V5" s="362"/>
      <c r="W5" s="362"/>
      <c r="X5" s="179"/>
      <c r="Y5" s="179"/>
    </row>
    <row r="6" spans="1:77" ht="14.65" customHeight="1">
      <c r="A6" s="359"/>
      <c r="B6" s="191" t="s">
        <v>370</v>
      </c>
      <c r="C6" s="217" t="s">
        <v>902</v>
      </c>
      <c r="D6" s="217" t="s">
        <v>902</v>
      </c>
      <c r="E6" s="217" t="s">
        <v>902</v>
      </c>
      <c r="F6" s="217" t="s">
        <v>902</v>
      </c>
      <c r="G6" s="217" t="s">
        <v>902</v>
      </c>
      <c r="H6" s="217" t="s">
        <v>902</v>
      </c>
      <c r="I6" s="182" t="s">
        <v>902</v>
      </c>
      <c r="J6" s="165" t="s">
        <v>902</v>
      </c>
      <c r="K6" s="165"/>
      <c r="L6" s="179"/>
      <c r="M6" s="165"/>
      <c r="N6" s="179"/>
      <c r="O6" s="182"/>
      <c r="P6" s="182"/>
      <c r="Q6" s="182"/>
      <c r="R6" s="165"/>
      <c r="S6" s="165"/>
      <c r="T6" s="165"/>
      <c r="U6" s="181"/>
      <c r="V6" s="361"/>
      <c r="W6" s="361"/>
      <c r="X6" s="179"/>
      <c r="Y6" s="179"/>
    </row>
    <row r="7" spans="1:77" ht="14.65" customHeight="1">
      <c r="A7" s="186" t="s">
        <v>4</v>
      </c>
      <c r="B7" s="186"/>
      <c r="C7">
        <v>17</v>
      </c>
      <c r="D7">
        <v>14</v>
      </c>
      <c r="E7">
        <v>15</v>
      </c>
      <c r="F7">
        <v>8</v>
      </c>
      <c r="G7">
        <v>16</v>
      </c>
      <c r="H7">
        <v>11</v>
      </c>
      <c r="I7" s="202">
        <v>15.834978843441467</v>
      </c>
      <c r="J7" s="165">
        <v>10.348703522504893</v>
      </c>
      <c r="K7" s="165"/>
      <c r="L7" s="179"/>
      <c r="M7" s="165"/>
      <c r="N7" s="179"/>
      <c r="O7" s="202"/>
      <c r="P7" s="202"/>
      <c r="Q7" s="202"/>
      <c r="R7" s="165"/>
      <c r="S7" s="165"/>
      <c r="T7" s="165"/>
      <c r="U7" s="201"/>
      <c r="V7" s="166"/>
      <c r="W7" s="166"/>
      <c r="X7" s="179"/>
      <c r="Y7" s="179"/>
    </row>
    <row r="8" spans="1:77" ht="14.65" customHeight="1">
      <c r="A8" s="186" t="s">
        <v>6</v>
      </c>
      <c r="B8" s="186"/>
      <c r="C8">
        <v>20</v>
      </c>
      <c r="D8">
        <v>15</v>
      </c>
      <c r="E8">
        <v>22</v>
      </c>
      <c r="F8">
        <v>14</v>
      </c>
      <c r="G8">
        <v>23</v>
      </c>
      <c r="H8">
        <v>17</v>
      </c>
      <c r="I8" s="202">
        <v>21.762029746281716</v>
      </c>
      <c r="J8" s="165">
        <v>15.255459459459459</v>
      </c>
      <c r="K8" s="165"/>
      <c r="L8" s="179"/>
      <c r="M8" s="165"/>
      <c r="N8" s="179"/>
      <c r="O8" s="202"/>
      <c r="P8" s="202"/>
      <c r="Q8" s="202"/>
      <c r="R8" s="165"/>
      <c r="S8" s="165"/>
      <c r="T8" s="165"/>
      <c r="U8" s="201"/>
      <c r="V8" s="166"/>
      <c r="W8" s="166"/>
      <c r="X8" s="179"/>
      <c r="Y8" s="179"/>
    </row>
    <row r="9" spans="1:77" ht="14.65" customHeight="1">
      <c r="A9" s="186" t="s">
        <v>7</v>
      </c>
      <c r="B9" s="186"/>
      <c r="C9">
        <v>16</v>
      </c>
      <c r="D9">
        <v>7</v>
      </c>
      <c r="E9">
        <v>15</v>
      </c>
      <c r="F9">
        <v>7</v>
      </c>
      <c r="G9">
        <v>14</v>
      </c>
      <c r="H9">
        <v>6</v>
      </c>
      <c r="I9" s="202">
        <v>15.095953757225434</v>
      </c>
      <c r="J9" s="165">
        <v>6.7674461088783335</v>
      </c>
      <c r="K9" s="165"/>
      <c r="L9" s="179"/>
      <c r="M9" s="165"/>
      <c r="N9" s="179"/>
      <c r="O9" s="202"/>
      <c r="P9" s="202"/>
      <c r="Q9" s="202"/>
      <c r="R9" s="165"/>
      <c r="S9" s="165"/>
      <c r="T9" s="165"/>
      <c r="U9" s="201"/>
      <c r="V9" s="166"/>
      <c r="W9" s="166"/>
      <c r="X9" s="179"/>
      <c r="Y9" s="179"/>
    </row>
    <row r="10" spans="1:77" ht="14.65" customHeight="1">
      <c r="A10" s="186" t="s">
        <v>8</v>
      </c>
      <c r="B10" s="186"/>
      <c r="C10">
        <v>14</v>
      </c>
      <c r="D10">
        <v>6</v>
      </c>
      <c r="E10">
        <v>13</v>
      </c>
      <c r="F10">
        <v>6</v>
      </c>
      <c r="G10">
        <v>17</v>
      </c>
      <c r="H10">
        <v>5</v>
      </c>
      <c r="I10" s="202">
        <v>14.549496644295303</v>
      </c>
      <c r="J10" s="165">
        <v>5.7444663931520035</v>
      </c>
      <c r="K10" s="165"/>
      <c r="L10" s="179"/>
      <c r="M10" s="165"/>
      <c r="N10" s="179"/>
      <c r="O10" s="202"/>
      <c r="P10" s="202"/>
      <c r="Q10" s="202"/>
      <c r="R10" s="165"/>
      <c r="S10" s="165"/>
      <c r="T10" s="165"/>
      <c r="U10" s="201"/>
      <c r="V10" s="166"/>
      <c r="W10" s="166"/>
      <c r="X10" s="179"/>
      <c r="Y10" s="179"/>
    </row>
    <row r="11" spans="1:77" ht="14.65" customHeight="1">
      <c r="A11" s="186" t="s">
        <v>9</v>
      </c>
      <c r="B11" s="186"/>
      <c r="C11">
        <v>13</v>
      </c>
      <c r="D11">
        <v>11</v>
      </c>
      <c r="E11">
        <v>16</v>
      </c>
      <c r="F11">
        <v>29</v>
      </c>
      <c r="G11">
        <v>17</v>
      </c>
      <c r="H11">
        <v>31</v>
      </c>
      <c r="I11" s="202">
        <v>15.194305694305694</v>
      </c>
      <c r="J11" s="165">
        <v>24.608935388095574</v>
      </c>
      <c r="K11" s="165"/>
      <c r="L11" s="179"/>
      <c r="M11" s="165"/>
      <c r="N11" s="179"/>
      <c r="O11" s="202"/>
      <c r="P11" s="202"/>
      <c r="Q11" s="202"/>
      <c r="R11" s="165"/>
      <c r="S11" s="165"/>
      <c r="T11" s="165"/>
      <c r="U11" s="201"/>
      <c r="V11" s="166"/>
      <c r="W11" s="166"/>
      <c r="X11" s="179"/>
      <c r="Y11" s="179"/>
    </row>
    <row r="12" spans="1:77" ht="14.65" customHeight="1">
      <c r="A12" s="186" t="s">
        <v>10</v>
      </c>
      <c r="B12" s="186"/>
      <c r="C12">
        <v>25</v>
      </c>
      <c r="D12">
        <v>3</v>
      </c>
      <c r="E12">
        <v>27</v>
      </c>
      <c r="F12">
        <v>3</v>
      </c>
      <c r="G12">
        <v>27</v>
      </c>
      <c r="H12">
        <v>7</v>
      </c>
      <c r="I12" s="202">
        <v>26.26759002770083</v>
      </c>
      <c r="J12" s="165">
        <v>3.9055745960691053</v>
      </c>
      <c r="K12" s="165"/>
      <c r="L12" s="179"/>
      <c r="M12" s="165"/>
      <c r="N12" s="179"/>
      <c r="O12" s="202"/>
      <c r="P12" s="202"/>
      <c r="Q12" s="202"/>
      <c r="R12" s="165"/>
      <c r="S12" s="165"/>
      <c r="T12" s="165"/>
      <c r="U12" s="201"/>
      <c r="V12" s="166"/>
      <c r="W12" s="166"/>
      <c r="X12" s="179"/>
      <c r="Y12" s="179"/>
    </row>
    <row r="13" spans="1:77" ht="14.65" customHeight="1">
      <c r="A13" s="186" t="s">
        <v>11</v>
      </c>
      <c r="B13" s="186"/>
      <c r="C13">
        <v>21</v>
      </c>
      <c r="D13">
        <v>5</v>
      </c>
      <c r="E13">
        <v>22</v>
      </c>
      <c r="F13">
        <v>6</v>
      </c>
      <c r="G13">
        <v>19</v>
      </c>
      <c r="H13">
        <v>5</v>
      </c>
      <c r="I13" s="202">
        <v>20.51396942540854</v>
      </c>
      <c r="J13" s="165">
        <v>5.5769643205303181</v>
      </c>
      <c r="K13" s="165"/>
      <c r="L13" s="179"/>
      <c r="M13" s="165"/>
      <c r="N13" s="179"/>
      <c r="O13" s="202"/>
      <c r="P13" s="202"/>
      <c r="Q13" s="202"/>
      <c r="R13" s="165"/>
      <c r="S13" s="165"/>
      <c r="T13" s="165"/>
      <c r="U13" s="201"/>
      <c r="V13" s="166"/>
      <c r="W13" s="166"/>
      <c r="X13" s="179"/>
      <c r="Y13" s="179"/>
    </row>
    <row r="14" spans="1:77" ht="14.65" customHeight="1">
      <c r="A14" s="186" t="s">
        <v>12</v>
      </c>
      <c r="B14" s="186"/>
      <c r="C14">
        <v>24</v>
      </c>
      <c r="D14">
        <v>9</v>
      </c>
      <c r="E14">
        <v>25</v>
      </c>
      <c r="F14">
        <v>9</v>
      </c>
      <c r="G14">
        <v>22</v>
      </c>
      <c r="H14">
        <v>8</v>
      </c>
      <c r="I14" s="202">
        <v>23.866601752677703</v>
      </c>
      <c r="J14" s="165">
        <v>9.0099558773616923</v>
      </c>
      <c r="K14" s="165"/>
      <c r="L14" s="179"/>
      <c r="M14" s="165"/>
      <c r="N14" s="179"/>
      <c r="O14" s="202"/>
      <c r="P14" s="202"/>
      <c r="Q14" s="202"/>
      <c r="R14" s="165"/>
      <c r="S14" s="165"/>
      <c r="T14" s="165"/>
      <c r="U14" s="202"/>
      <c r="V14" s="204"/>
      <c r="W14" s="204"/>
      <c r="X14" s="179"/>
      <c r="Y14" s="179"/>
    </row>
    <row r="15" spans="1:77" ht="14.65" customHeight="1">
      <c r="A15" s="186" t="s">
        <v>341</v>
      </c>
      <c r="B15" s="186"/>
      <c r="C15">
        <v>29</v>
      </c>
      <c r="D15">
        <v>15</v>
      </c>
      <c r="E15">
        <v>23</v>
      </c>
      <c r="F15">
        <v>15</v>
      </c>
      <c r="G15">
        <v>24</v>
      </c>
      <c r="H15">
        <v>14</v>
      </c>
      <c r="I15" s="202">
        <v>25.514006224988883</v>
      </c>
      <c r="J15" s="165">
        <v>14.744929938615348</v>
      </c>
      <c r="K15" s="165"/>
      <c r="L15" s="179"/>
      <c r="M15" s="165"/>
      <c r="N15" s="179"/>
      <c r="O15" s="202"/>
      <c r="P15" s="202"/>
      <c r="Q15" s="202"/>
      <c r="R15" s="165"/>
      <c r="S15" s="165"/>
      <c r="T15" s="165"/>
      <c r="U15" s="201"/>
      <c r="V15" s="166"/>
      <c r="W15" s="166"/>
      <c r="X15" s="179"/>
      <c r="Y15" s="179"/>
    </row>
    <row r="16" spans="1:77" ht="14.65" customHeight="1">
      <c r="A16" s="186" t="s">
        <v>197</v>
      </c>
      <c r="B16" s="186"/>
      <c r="C16">
        <v>5</v>
      </c>
      <c r="D16">
        <v>6</v>
      </c>
      <c r="E16">
        <v>4</v>
      </c>
      <c r="F16">
        <v>5</v>
      </c>
      <c r="G16">
        <v>7</v>
      </c>
      <c r="H16">
        <v>7</v>
      </c>
      <c r="I16" s="202">
        <v>5.1580049148994265</v>
      </c>
      <c r="J16" s="165">
        <v>5.9569175117120325</v>
      </c>
      <c r="K16" s="165"/>
      <c r="L16" s="179"/>
      <c r="M16" s="165"/>
      <c r="N16" s="179"/>
      <c r="O16" s="202"/>
      <c r="P16" s="202"/>
      <c r="Q16" s="202"/>
      <c r="R16" s="165"/>
      <c r="S16" s="165"/>
      <c r="T16" s="165"/>
      <c r="U16" s="201"/>
      <c r="V16" s="166"/>
      <c r="W16" s="166"/>
      <c r="X16" s="179"/>
      <c r="Y16" s="179"/>
    </row>
    <row r="17" spans="1:25" ht="14.65" customHeight="1">
      <c r="A17" s="186" t="s">
        <v>223</v>
      </c>
      <c r="B17" s="186"/>
      <c r="C17">
        <v>23</v>
      </c>
      <c r="D17">
        <v>12</v>
      </c>
      <c r="E17">
        <v>22</v>
      </c>
      <c r="F17">
        <v>13</v>
      </c>
      <c r="G17">
        <v>20</v>
      </c>
      <c r="H17">
        <v>12</v>
      </c>
      <c r="I17" s="201">
        <v>21.634947768281101</v>
      </c>
      <c r="J17" s="199">
        <v>12.383252026813603</v>
      </c>
      <c r="K17" s="199"/>
      <c r="L17" s="179"/>
      <c r="M17" s="199"/>
      <c r="N17" s="179"/>
      <c r="O17" s="201"/>
      <c r="P17" s="201"/>
      <c r="Q17" s="201"/>
      <c r="R17" s="199"/>
      <c r="S17" s="199"/>
      <c r="T17" s="199"/>
      <c r="U17" s="201"/>
      <c r="V17" s="166"/>
      <c r="W17" s="166"/>
      <c r="X17" s="179"/>
      <c r="Y17" s="179"/>
    </row>
    <row r="18" spans="1:25" ht="14.65" customHeight="1">
      <c r="A18" s="186" t="s">
        <v>13</v>
      </c>
      <c r="B18" s="186"/>
      <c r="C18">
        <v>19</v>
      </c>
      <c r="D18">
        <v>7</v>
      </c>
      <c r="E18">
        <v>20</v>
      </c>
      <c r="F18">
        <v>7</v>
      </c>
      <c r="G18">
        <v>19</v>
      </c>
      <c r="H18">
        <v>7</v>
      </c>
      <c r="I18" s="202">
        <v>19.045863309352519</v>
      </c>
      <c r="J18" s="165">
        <v>6.6525810695766578</v>
      </c>
      <c r="K18" s="165"/>
      <c r="L18" s="179"/>
      <c r="M18" s="165"/>
      <c r="N18" s="179"/>
      <c r="O18" s="202"/>
      <c r="P18" s="202"/>
      <c r="Q18" s="202"/>
      <c r="R18" s="165"/>
      <c r="S18" s="165"/>
      <c r="T18" s="165"/>
      <c r="U18" s="201"/>
      <c r="V18" s="166"/>
      <c r="W18" s="166"/>
      <c r="X18" s="179"/>
      <c r="Y18" s="179"/>
    </row>
    <row r="19" spans="1:25" ht="14.65" customHeight="1">
      <c r="A19" s="186" t="s">
        <v>14</v>
      </c>
      <c r="B19" s="186"/>
      <c r="C19">
        <v>17</v>
      </c>
      <c r="D19">
        <v>12</v>
      </c>
      <c r="E19">
        <v>21</v>
      </c>
      <c r="F19">
        <v>15</v>
      </c>
      <c r="G19">
        <v>24</v>
      </c>
      <c r="H19">
        <v>9</v>
      </c>
      <c r="I19" s="202">
        <v>20.495287617809556</v>
      </c>
      <c r="J19" s="165">
        <v>12.285632293858811</v>
      </c>
      <c r="K19" s="165"/>
      <c r="L19" s="179"/>
      <c r="M19" s="165"/>
      <c r="N19" s="179"/>
      <c r="O19" s="202"/>
      <c r="P19" s="202"/>
      <c r="Q19" s="202"/>
      <c r="R19" s="165"/>
      <c r="S19" s="165"/>
      <c r="T19" s="165"/>
      <c r="U19" s="201"/>
      <c r="V19" s="166"/>
      <c r="W19" s="166"/>
      <c r="X19" s="179"/>
      <c r="Y19" s="179"/>
    </row>
    <row r="20" spans="1:25" ht="14.65" customHeight="1">
      <c r="A20" s="186" t="s">
        <v>346</v>
      </c>
      <c r="B20" s="186"/>
      <c r="C20">
        <v>14</v>
      </c>
      <c r="D20">
        <v>11</v>
      </c>
      <c r="E20">
        <v>25</v>
      </c>
      <c r="F20">
        <v>9</v>
      </c>
      <c r="G20">
        <v>20</v>
      </c>
      <c r="H20">
        <v>11</v>
      </c>
      <c r="I20" s="202">
        <v>18.130044843049326</v>
      </c>
      <c r="J20" s="165">
        <v>10.073371805441056</v>
      </c>
      <c r="K20" s="165"/>
      <c r="L20" s="179"/>
      <c r="M20" s="165"/>
      <c r="N20" s="179"/>
      <c r="O20" s="202"/>
      <c r="P20" s="202"/>
      <c r="Q20" s="202"/>
      <c r="R20" s="165"/>
      <c r="S20" s="165"/>
      <c r="T20" s="165"/>
      <c r="U20" s="201"/>
      <c r="V20" s="166"/>
      <c r="W20" s="166"/>
      <c r="X20" s="179"/>
      <c r="Y20" s="179"/>
    </row>
    <row r="21" spans="1:25" ht="14.65" customHeight="1">
      <c r="A21" s="186" t="s">
        <v>15</v>
      </c>
      <c r="B21" s="186"/>
      <c r="C21">
        <v>46</v>
      </c>
      <c r="D21">
        <v>15</v>
      </c>
      <c r="E21">
        <v>39</v>
      </c>
      <c r="F21">
        <v>11</v>
      </c>
      <c r="G21">
        <v>17</v>
      </c>
      <c r="H21">
        <v>7</v>
      </c>
      <c r="I21" s="202">
        <v>34.235383833248605</v>
      </c>
      <c r="J21" s="165">
        <v>11.607160253287871</v>
      </c>
      <c r="K21" s="165"/>
      <c r="L21" s="179"/>
      <c r="M21" s="165"/>
      <c r="N21" s="179"/>
      <c r="O21" s="202"/>
      <c r="P21" s="202"/>
      <c r="Q21" s="202"/>
      <c r="R21" s="165"/>
      <c r="S21" s="165"/>
      <c r="T21" s="165"/>
      <c r="U21" s="201"/>
      <c r="V21" s="166"/>
      <c r="W21" s="166"/>
      <c r="X21" s="179"/>
      <c r="Y21" s="179"/>
    </row>
    <row r="22" spans="1:25" ht="14.65" customHeight="1">
      <c r="A22" s="186" t="s">
        <v>259</v>
      </c>
      <c r="B22" s="186"/>
      <c r="C22" t="s">
        <v>3</v>
      </c>
      <c r="D22" t="s">
        <v>3</v>
      </c>
      <c r="E22">
        <v>18</v>
      </c>
      <c r="F22">
        <v>6</v>
      </c>
      <c r="G22">
        <v>16</v>
      </c>
      <c r="H22">
        <v>7</v>
      </c>
      <c r="I22" s="202" t="s">
        <v>3</v>
      </c>
      <c r="J22" s="165" t="s">
        <v>3</v>
      </c>
      <c r="K22" s="165"/>
      <c r="L22" s="179"/>
      <c r="M22" s="165"/>
      <c r="N22" s="179"/>
      <c r="O22" s="202"/>
      <c r="P22" s="202"/>
      <c r="Q22" s="202"/>
      <c r="R22" s="165"/>
      <c r="S22" s="165"/>
      <c r="T22" s="165"/>
      <c r="U22" s="201"/>
      <c r="V22" s="166"/>
      <c r="W22" s="166"/>
      <c r="X22" s="179"/>
      <c r="Y22" s="179"/>
    </row>
    <row r="23" spans="1:25" ht="14.65" customHeight="1">
      <c r="A23" s="186" t="s">
        <v>260</v>
      </c>
      <c r="B23" s="186"/>
      <c r="C23">
        <v>20</v>
      </c>
      <c r="D23">
        <v>14</v>
      </c>
      <c r="E23">
        <v>19</v>
      </c>
      <c r="F23">
        <v>17</v>
      </c>
      <c r="G23">
        <v>19</v>
      </c>
      <c r="H23">
        <v>13</v>
      </c>
      <c r="I23" s="202">
        <v>19.166989664082688</v>
      </c>
      <c r="J23" s="165">
        <v>14.724693745970342</v>
      </c>
      <c r="K23" s="165"/>
      <c r="L23" s="179"/>
      <c r="M23" s="165"/>
      <c r="N23" s="179"/>
      <c r="O23" s="202"/>
      <c r="P23" s="202"/>
      <c r="Q23" s="202"/>
      <c r="R23" s="165"/>
      <c r="S23" s="165"/>
      <c r="T23" s="165"/>
      <c r="U23" s="201"/>
      <c r="V23" s="166"/>
      <c r="W23" s="166"/>
      <c r="X23" s="179"/>
      <c r="Y23" s="179"/>
    </row>
    <row r="24" spans="1:25" ht="14.65" customHeight="1">
      <c r="A24" s="186" t="s">
        <v>198</v>
      </c>
      <c r="B24" s="186"/>
      <c r="C24">
        <v>22</v>
      </c>
      <c r="D24">
        <v>21</v>
      </c>
      <c r="E24">
        <v>25</v>
      </c>
      <c r="F24">
        <v>21</v>
      </c>
      <c r="G24">
        <v>21</v>
      </c>
      <c r="H24">
        <v>22</v>
      </c>
      <c r="I24" s="202">
        <v>22.767753001715267</v>
      </c>
      <c r="J24" s="165">
        <v>21.599395150402334</v>
      </c>
      <c r="K24" s="165"/>
      <c r="L24" s="179"/>
      <c r="M24" s="165"/>
      <c r="N24" s="179"/>
      <c r="O24" s="202"/>
      <c r="P24" s="202"/>
      <c r="Q24" s="202"/>
      <c r="R24" s="165"/>
      <c r="S24" s="165"/>
      <c r="T24" s="165"/>
      <c r="U24" s="201"/>
      <c r="V24" s="166"/>
      <c r="W24" s="166"/>
      <c r="X24" s="179"/>
      <c r="Y24" s="179"/>
    </row>
    <row r="25" spans="1:25" ht="14.65" customHeight="1">
      <c r="A25" s="186" t="s">
        <v>224</v>
      </c>
      <c r="B25" s="186"/>
      <c r="C25">
        <v>26</v>
      </c>
      <c r="D25">
        <v>8</v>
      </c>
      <c r="E25">
        <v>24</v>
      </c>
      <c r="F25">
        <v>7</v>
      </c>
      <c r="G25">
        <v>21</v>
      </c>
      <c r="H25">
        <v>7</v>
      </c>
      <c r="I25" s="202">
        <v>23.563678997655128</v>
      </c>
      <c r="J25" s="165">
        <v>7.4017925637516626</v>
      </c>
      <c r="K25" s="165"/>
      <c r="L25" s="179"/>
      <c r="M25" s="165"/>
      <c r="N25" s="179"/>
      <c r="O25" s="202"/>
      <c r="P25" s="202"/>
      <c r="Q25" s="202"/>
      <c r="R25" s="165"/>
      <c r="S25" s="165"/>
      <c r="T25" s="165"/>
      <c r="U25" s="201"/>
      <c r="V25" s="166"/>
      <c r="W25" s="166"/>
      <c r="X25" s="179"/>
      <c r="Y25" s="179"/>
    </row>
    <row r="26" spans="1:25" ht="14.65" customHeight="1">
      <c r="A26" s="186" t="s">
        <v>16</v>
      </c>
      <c r="B26" s="186"/>
      <c r="C26">
        <v>28</v>
      </c>
      <c r="D26">
        <v>7</v>
      </c>
      <c r="E26">
        <v>36</v>
      </c>
      <c r="F26">
        <v>10</v>
      </c>
      <c r="G26">
        <v>27</v>
      </c>
      <c r="H26">
        <v>6</v>
      </c>
      <c r="I26" s="202">
        <v>29.998682476943348</v>
      </c>
      <c r="J26" s="165">
        <v>7.9285518751710926</v>
      </c>
      <c r="K26" s="165"/>
      <c r="L26" s="179"/>
      <c r="M26" s="165"/>
      <c r="N26" s="179"/>
      <c r="O26" s="202"/>
      <c r="P26" s="202"/>
      <c r="Q26" s="202"/>
      <c r="R26" s="165"/>
      <c r="S26" s="165"/>
      <c r="T26" s="165"/>
      <c r="U26" s="201"/>
      <c r="V26" s="166"/>
      <c r="W26" s="166"/>
      <c r="X26" s="179"/>
      <c r="Y26" s="179"/>
    </row>
    <row r="27" spans="1:25" ht="14.65" customHeight="1">
      <c r="A27" s="186" t="s">
        <v>261</v>
      </c>
      <c r="B27" s="186"/>
      <c r="C27">
        <v>19</v>
      </c>
      <c r="D27">
        <v>11</v>
      </c>
      <c r="E27">
        <v>21</v>
      </c>
      <c r="F27">
        <v>12</v>
      </c>
      <c r="G27">
        <v>22</v>
      </c>
      <c r="H27">
        <v>16</v>
      </c>
      <c r="I27" s="202">
        <v>20.655364238410595</v>
      </c>
      <c r="J27" s="165">
        <v>12.689917127071823</v>
      </c>
      <c r="K27" s="165"/>
      <c r="L27" s="179"/>
      <c r="M27" s="165"/>
      <c r="N27" s="179"/>
      <c r="O27" s="202"/>
      <c r="P27" s="202"/>
      <c r="Q27" s="202"/>
      <c r="R27" s="165"/>
      <c r="S27" s="165"/>
      <c r="T27" s="165"/>
      <c r="U27" s="201"/>
      <c r="V27" s="166"/>
      <c r="W27" s="166"/>
      <c r="X27" s="179"/>
      <c r="Y27" s="179"/>
    </row>
    <row r="28" spans="1:25" ht="14.65" customHeight="1">
      <c r="A28" s="186" t="s">
        <v>262</v>
      </c>
      <c r="B28" s="186"/>
      <c r="C28">
        <v>19</v>
      </c>
      <c r="D28">
        <v>23</v>
      </c>
      <c r="E28">
        <v>22</v>
      </c>
      <c r="F28">
        <v>25</v>
      </c>
      <c r="G28">
        <v>21</v>
      </c>
      <c r="H28">
        <v>32</v>
      </c>
      <c r="I28" s="202">
        <v>20.67929203539823</v>
      </c>
      <c r="J28" s="165">
        <v>26.310705741626794</v>
      </c>
      <c r="K28" s="165"/>
      <c r="L28" s="179"/>
      <c r="M28" s="165"/>
      <c r="N28" s="179"/>
      <c r="O28" s="202"/>
      <c r="P28" s="202"/>
      <c r="Q28" s="202"/>
      <c r="R28" s="165"/>
      <c r="S28" s="165"/>
      <c r="T28" s="165"/>
      <c r="U28" s="201"/>
      <c r="V28" s="166"/>
      <c r="W28" s="166"/>
      <c r="X28" s="179"/>
      <c r="Y28" s="179"/>
    </row>
    <row r="29" spans="1:25" ht="14.65" customHeight="1">
      <c r="A29" s="186" t="s">
        <v>17</v>
      </c>
      <c r="B29" s="186"/>
      <c r="C29">
        <v>25</v>
      </c>
      <c r="D29">
        <v>11</v>
      </c>
      <c r="E29">
        <v>18</v>
      </c>
      <c r="F29">
        <v>10</v>
      </c>
      <c r="G29">
        <v>16</v>
      </c>
      <c r="H29">
        <v>10</v>
      </c>
      <c r="I29" s="202">
        <v>19.907539118065433</v>
      </c>
      <c r="J29" s="165">
        <v>10.230191256830601</v>
      </c>
      <c r="K29" s="165"/>
      <c r="L29" s="179"/>
      <c r="M29" s="165"/>
      <c r="N29" s="179"/>
      <c r="O29" s="202"/>
      <c r="P29" s="202"/>
      <c r="Q29" s="202"/>
      <c r="R29" s="165"/>
      <c r="S29" s="165"/>
      <c r="T29" s="165"/>
      <c r="U29" s="201"/>
      <c r="V29" s="166"/>
      <c r="W29" s="166"/>
      <c r="X29" s="179"/>
      <c r="Y29" s="179"/>
    </row>
    <row r="30" spans="1:25" ht="14.65" customHeight="1">
      <c r="A30" s="186" t="s">
        <v>225</v>
      </c>
      <c r="B30" s="186"/>
      <c r="C30">
        <v>26</v>
      </c>
      <c r="D30">
        <v>14</v>
      </c>
      <c r="E30">
        <v>24</v>
      </c>
      <c r="F30">
        <v>14</v>
      </c>
      <c r="G30">
        <v>22</v>
      </c>
      <c r="H30">
        <v>13</v>
      </c>
      <c r="I30" s="202">
        <v>23.825549670999841</v>
      </c>
      <c r="J30" s="165">
        <v>13.91079740054448</v>
      </c>
      <c r="K30" s="165"/>
      <c r="L30" s="179"/>
      <c r="M30" s="165"/>
      <c r="N30" s="179"/>
      <c r="O30" s="202"/>
      <c r="P30" s="202"/>
      <c r="Q30" s="202"/>
      <c r="R30" s="165"/>
      <c r="S30" s="165"/>
      <c r="T30" s="165"/>
      <c r="U30" s="201"/>
      <c r="V30" s="166"/>
      <c r="W30" s="166"/>
      <c r="X30" s="179"/>
      <c r="Y30" s="179"/>
    </row>
    <row r="31" spans="1:25" ht="14.65" customHeight="1">
      <c r="A31" s="186" t="s">
        <v>18</v>
      </c>
      <c r="B31" s="186"/>
      <c r="C31">
        <v>24</v>
      </c>
      <c r="D31" t="s">
        <v>3</v>
      </c>
      <c r="E31">
        <v>8</v>
      </c>
      <c r="F31">
        <v>16</v>
      </c>
      <c r="G31">
        <v>4</v>
      </c>
      <c r="H31">
        <v>10</v>
      </c>
      <c r="I31" s="202">
        <v>11.133058984910837</v>
      </c>
      <c r="J31" s="165" t="s">
        <v>3</v>
      </c>
      <c r="K31" s="165"/>
      <c r="L31" s="179"/>
      <c r="M31" s="165"/>
      <c r="N31" s="179"/>
      <c r="O31" s="202"/>
      <c r="P31" s="202"/>
      <c r="Q31" s="202"/>
      <c r="R31" s="165"/>
      <c r="S31" s="165"/>
      <c r="T31" s="165"/>
      <c r="U31" s="202"/>
      <c r="V31" s="204"/>
      <c r="W31" s="204"/>
      <c r="X31" s="179"/>
      <c r="Y31" s="179"/>
    </row>
    <row r="32" spans="1:25" ht="14.65" customHeight="1">
      <c r="A32" s="186" t="s">
        <v>263</v>
      </c>
      <c r="B32" s="186"/>
      <c r="C32">
        <v>18</v>
      </c>
      <c r="D32">
        <v>12</v>
      </c>
      <c r="E32">
        <v>19</v>
      </c>
      <c r="F32">
        <v>11</v>
      </c>
      <c r="G32">
        <v>16</v>
      </c>
      <c r="H32">
        <v>8</v>
      </c>
      <c r="I32" s="202">
        <v>17.326729231838719</v>
      </c>
      <c r="J32" s="165">
        <v>10.260420464211933</v>
      </c>
      <c r="K32" s="165"/>
      <c r="L32" s="179"/>
      <c r="M32" s="165"/>
      <c r="N32" s="179"/>
      <c r="O32" s="202"/>
      <c r="P32" s="202"/>
      <c r="Q32" s="202"/>
      <c r="R32" s="165"/>
      <c r="S32" s="165"/>
      <c r="T32" s="165"/>
      <c r="U32" s="201"/>
      <c r="V32" s="166"/>
      <c r="W32" s="166"/>
      <c r="X32" s="179"/>
      <c r="Y32" s="179"/>
    </row>
    <row r="33" spans="1:25" ht="14.65" customHeight="1">
      <c r="A33" s="186" t="s">
        <v>264</v>
      </c>
      <c r="B33" s="186"/>
      <c r="C33">
        <v>16</v>
      </c>
      <c r="D33">
        <v>8</v>
      </c>
      <c r="E33">
        <v>16</v>
      </c>
      <c r="F33">
        <v>10</v>
      </c>
      <c r="G33">
        <v>19</v>
      </c>
      <c r="H33">
        <v>12</v>
      </c>
      <c r="I33" s="202">
        <v>17.301380368098158</v>
      </c>
      <c r="J33" s="165">
        <v>9.5525852677449095</v>
      </c>
      <c r="K33" s="165"/>
      <c r="L33" s="179"/>
      <c r="M33" s="165"/>
      <c r="N33" s="179"/>
      <c r="O33" s="202"/>
      <c r="P33" s="202"/>
      <c r="Q33" s="202"/>
      <c r="R33" s="165"/>
      <c r="S33" s="165"/>
      <c r="T33" s="165"/>
      <c r="U33" s="201"/>
      <c r="V33" s="166"/>
      <c r="W33" s="166"/>
      <c r="X33" s="179"/>
      <c r="Y33" s="179"/>
    </row>
    <row r="34" spans="1:25" ht="14.65" customHeight="1">
      <c r="A34" s="186" t="s">
        <v>226</v>
      </c>
      <c r="B34" s="186"/>
      <c r="C34">
        <v>26</v>
      </c>
      <c r="D34">
        <v>23</v>
      </c>
      <c r="E34">
        <v>28</v>
      </c>
      <c r="F34">
        <v>17</v>
      </c>
      <c r="G34">
        <v>25</v>
      </c>
      <c r="H34">
        <v>18</v>
      </c>
      <c r="I34" s="202">
        <v>26.437001865355267</v>
      </c>
      <c r="J34" s="165">
        <v>20.020577700751012</v>
      </c>
      <c r="K34" s="165"/>
      <c r="L34" s="179"/>
      <c r="M34" s="165"/>
      <c r="N34" s="179"/>
      <c r="O34" s="202"/>
      <c r="P34" s="202"/>
      <c r="Q34" s="202"/>
      <c r="R34" s="165"/>
      <c r="S34" s="165"/>
      <c r="T34" s="165"/>
      <c r="U34" s="201"/>
      <c r="V34" s="166"/>
      <c r="W34" s="166"/>
      <c r="X34" s="179"/>
      <c r="Y34" s="179"/>
    </row>
    <row r="35" spans="1:25" ht="14.65" customHeight="1">
      <c r="A35" s="186" t="s">
        <v>19</v>
      </c>
      <c r="B35" s="186"/>
      <c r="C35">
        <v>12</v>
      </c>
      <c r="D35">
        <v>7</v>
      </c>
      <c r="E35">
        <v>18</v>
      </c>
      <c r="F35">
        <v>5</v>
      </c>
      <c r="G35">
        <v>16</v>
      </c>
      <c r="H35">
        <v>6</v>
      </c>
      <c r="I35" s="202">
        <v>14.796012980992119</v>
      </c>
      <c r="J35" s="165">
        <v>6.0574675946618992</v>
      </c>
      <c r="K35" s="165"/>
      <c r="L35" s="179"/>
      <c r="M35" s="165"/>
      <c r="N35" s="179"/>
      <c r="O35" s="202"/>
      <c r="P35" s="202"/>
      <c r="Q35" s="202"/>
      <c r="R35" s="165"/>
      <c r="S35" s="165"/>
      <c r="T35" s="165"/>
      <c r="U35" s="201"/>
      <c r="V35" s="166"/>
      <c r="W35" s="166"/>
      <c r="X35" s="179"/>
      <c r="Y35" s="179"/>
    </row>
    <row r="36" spans="1:25" ht="14.65" customHeight="1">
      <c r="A36" s="186" t="s">
        <v>20</v>
      </c>
      <c r="B36" s="186"/>
      <c r="C36">
        <v>18</v>
      </c>
      <c r="D36">
        <v>8</v>
      </c>
      <c r="E36">
        <v>22</v>
      </c>
      <c r="F36">
        <v>7</v>
      </c>
      <c r="G36">
        <v>15</v>
      </c>
      <c r="H36">
        <v>7</v>
      </c>
      <c r="I36" s="202">
        <v>18.335843373493976</v>
      </c>
      <c r="J36" s="165">
        <v>7.3665948275862068</v>
      </c>
      <c r="K36" s="165"/>
      <c r="L36" s="179"/>
      <c r="M36" s="165"/>
      <c r="N36" s="179"/>
      <c r="O36" s="202"/>
      <c r="P36" s="202"/>
      <c r="Q36" s="202"/>
      <c r="R36" s="165"/>
      <c r="S36" s="165"/>
      <c r="T36" s="165"/>
      <c r="U36" s="201"/>
      <c r="V36" s="166"/>
      <c r="W36" s="166"/>
      <c r="X36" s="179"/>
      <c r="Y36" s="179"/>
    </row>
    <row r="37" spans="1:25" ht="14.65" customHeight="1">
      <c r="A37" s="186" t="s">
        <v>199</v>
      </c>
      <c r="B37" s="186"/>
      <c r="C37">
        <v>15</v>
      </c>
      <c r="D37">
        <v>10</v>
      </c>
      <c r="E37">
        <v>14</v>
      </c>
      <c r="F37">
        <v>7</v>
      </c>
      <c r="G37">
        <v>14</v>
      </c>
      <c r="H37">
        <v>9</v>
      </c>
      <c r="I37" s="202">
        <v>14.272928176795579</v>
      </c>
      <c r="J37" s="165">
        <v>8.5948343038494777</v>
      </c>
      <c r="K37" s="165"/>
      <c r="L37" s="179"/>
      <c r="M37" s="165"/>
      <c r="N37" s="179"/>
      <c r="O37" s="202"/>
      <c r="P37" s="202"/>
      <c r="Q37" s="202"/>
      <c r="R37" s="165"/>
      <c r="S37" s="165"/>
      <c r="T37" s="165"/>
      <c r="U37" s="201"/>
      <c r="V37" s="166"/>
      <c r="W37" s="166"/>
      <c r="X37" s="179"/>
      <c r="Y37" s="179"/>
    </row>
    <row r="38" spans="1:25" ht="14.65" customHeight="1">
      <c r="A38" s="186" t="s">
        <v>21</v>
      </c>
      <c r="B38" s="186"/>
      <c r="C38">
        <v>16</v>
      </c>
      <c r="D38">
        <v>11</v>
      </c>
      <c r="E38">
        <v>17</v>
      </c>
      <c r="F38">
        <v>10</v>
      </c>
      <c r="G38">
        <v>16</v>
      </c>
      <c r="H38">
        <v>11</v>
      </c>
      <c r="I38" s="202">
        <v>16.176470588235293</v>
      </c>
      <c r="J38" s="165">
        <v>10.339138405132905</v>
      </c>
      <c r="K38" s="165"/>
      <c r="L38" s="179"/>
      <c r="M38" s="165"/>
      <c r="N38" s="179"/>
      <c r="O38" s="202"/>
      <c r="P38" s="202"/>
      <c r="Q38" s="202"/>
      <c r="R38" s="165"/>
      <c r="S38" s="165"/>
      <c r="T38" s="165"/>
      <c r="U38" s="201"/>
      <c r="V38" s="166"/>
      <c r="W38" s="166"/>
      <c r="X38" s="179"/>
      <c r="Y38" s="179"/>
    </row>
    <row r="39" spans="1:25" ht="14.65" customHeight="1">
      <c r="A39" s="186" t="s">
        <v>821</v>
      </c>
      <c r="B39" s="186"/>
      <c r="C39">
        <v>31</v>
      </c>
      <c r="D39">
        <v>10</v>
      </c>
      <c r="E39">
        <v>30</v>
      </c>
      <c r="F39">
        <v>11</v>
      </c>
      <c r="G39">
        <v>28</v>
      </c>
      <c r="H39">
        <v>14</v>
      </c>
      <c r="I39" s="202">
        <v>29.807726980038634</v>
      </c>
      <c r="J39" s="165">
        <v>11.228570375421588</v>
      </c>
      <c r="K39" s="165"/>
      <c r="L39" s="179"/>
      <c r="M39" s="165"/>
      <c r="N39" s="179"/>
      <c r="O39" s="202"/>
      <c r="P39" s="202"/>
      <c r="Q39" s="202"/>
      <c r="R39" s="165"/>
      <c r="S39" s="165"/>
      <c r="T39" s="165"/>
      <c r="U39" s="201"/>
      <c r="V39" s="166"/>
      <c r="W39" s="166"/>
      <c r="X39" s="179"/>
      <c r="Y39" s="179"/>
    </row>
    <row r="40" spans="1:25" ht="14.65" customHeight="1">
      <c r="A40" s="186" t="s">
        <v>825</v>
      </c>
      <c r="B40" s="186"/>
      <c r="C40">
        <v>24</v>
      </c>
      <c r="D40">
        <v>17</v>
      </c>
      <c r="E40">
        <v>28</v>
      </c>
      <c r="F40">
        <v>17</v>
      </c>
      <c r="G40">
        <v>27</v>
      </c>
      <c r="H40">
        <v>14</v>
      </c>
      <c r="I40" s="202">
        <v>26.819763714625882</v>
      </c>
      <c r="J40" s="165">
        <v>15.968081952145166</v>
      </c>
      <c r="K40" s="165"/>
      <c r="L40" s="179"/>
      <c r="M40" s="165"/>
      <c r="N40" s="179"/>
      <c r="O40" s="202"/>
      <c r="P40" s="202"/>
      <c r="Q40" s="202"/>
      <c r="R40" s="165"/>
      <c r="S40" s="165"/>
      <c r="T40" s="165"/>
      <c r="U40" s="201"/>
      <c r="V40" s="166"/>
      <c r="W40" s="166"/>
      <c r="X40" s="179"/>
      <c r="Y40" s="179"/>
    </row>
    <row r="41" spans="1:25" ht="14.65" customHeight="1">
      <c r="A41" s="186" t="s">
        <v>22</v>
      </c>
      <c r="B41" s="186"/>
      <c r="C41">
        <v>39</v>
      </c>
      <c r="D41">
        <v>16</v>
      </c>
      <c r="E41">
        <v>36</v>
      </c>
      <c r="F41">
        <v>22</v>
      </c>
      <c r="G41">
        <v>28</v>
      </c>
      <c r="H41">
        <v>12</v>
      </c>
      <c r="I41" s="202">
        <v>34.175925925925924</v>
      </c>
      <c r="J41" s="165">
        <v>16.839227842750457</v>
      </c>
      <c r="K41" s="165"/>
      <c r="L41" s="179"/>
      <c r="M41" s="165"/>
      <c r="N41" s="179"/>
      <c r="O41" s="202"/>
      <c r="P41" s="202"/>
      <c r="Q41" s="202"/>
      <c r="R41" s="165"/>
      <c r="S41" s="165"/>
      <c r="T41" s="165"/>
      <c r="U41" s="202"/>
      <c r="V41" s="204"/>
      <c r="W41" s="204"/>
      <c r="X41" s="179"/>
      <c r="Y41" s="179"/>
    </row>
    <row r="42" spans="1:25" ht="14.65" customHeight="1">
      <c r="A42" s="186" t="s">
        <v>200</v>
      </c>
      <c r="B42" s="186"/>
      <c r="C42">
        <v>30</v>
      </c>
      <c r="D42">
        <v>14</v>
      </c>
      <c r="E42">
        <v>26</v>
      </c>
      <c r="F42">
        <v>14</v>
      </c>
      <c r="G42">
        <v>26</v>
      </c>
      <c r="H42">
        <v>18</v>
      </c>
      <c r="I42" s="202">
        <v>27.419402985074626</v>
      </c>
      <c r="J42" s="165">
        <v>14.717809938424129</v>
      </c>
      <c r="K42" s="165"/>
      <c r="L42" s="179"/>
      <c r="M42" s="165"/>
      <c r="N42" s="179"/>
      <c r="O42" s="202"/>
      <c r="P42" s="202"/>
      <c r="Q42" s="202"/>
      <c r="R42" s="165"/>
      <c r="S42" s="165"/>
      <c r="T42" s="165"/>
      <c r="U42" s="201"/>
      <c r="V42" s="166"/>
      <c r="W42" s="166"/>
      <c r="X42" s="179"/>
      <c r="Y42" s="179"/>
    </row>
    <row r="43" spans="1:25" ht="14.65" customHeight="1">
      <c r="A43" s="186" t="s">
        <v>23</v>
      </c>
      <c r="B43" s="186"/>
      <c r="C43">
        <v>25</v>
      </c>
      <c r="D43">
        <v>17</v>
      </c>
      <c r="E43">
        <v>22</v>
      </c>
      <c r="F43">
        <v>18</v>
      </c>
      <c r="G43">
        <v>27</v>
      </c>
      <c r="H43">
        <v>35</v>
      </c>
      <c r="I43" s="202">
        <v>24.804556354916066</v>
      </c>
      <c r="J43" s="165">
        <v>23.017707150964814</v>
      </c>
      <c r="K43" s="165"/>
      <c r="L43" s="179"/>
      <c r="M43" s="165"/>
      <c r="N43" s="179"/>
      <c r="O43" s="202"/>
      <c r="P43" s="202"/>
      <c r="Q43" s="202"/>
      <c r="R43" s="165"/>
      <c r="S43" s="165"/>
      <c r="T43" s="165"/>
      <c r="U43" s="201"/>
      <c r="V43" s="166"/>
      <c r="W43" s="166"/>
      <c r="X43" s="179"/>
      <c r="Y43" s="179"/>
    </row>
    <row r="44" spans="1:25" ht="14.65" customHeight="1">
      <c r="A44" s="186" t="s">
        <v>24</v>
      </c>
      <c r="B44" s="186"/>
      <c r="C44">
        <v>25</v>
      </c>
      <c r="D44">
        <v>16</v>
      </c>
      <c r="E44">
        <v>23</v>
      </c>
      <c r="F44">
        <v>15</v>
      </c>
      <c r="G44">
        <v>22</v>
      </c>
      <c r="H44">
        <v>10</v>
      </c>
      <c r="I44" s="202">
        <v>23.576715497301464</v>
      </c>
      <c r="J44" s="165">
        <v>13.973852984706463</v>
      </c>
      <c r="K44" s="165"/>
      <c r="L44" s="179"/>
      <c r="M44" s="165"/>
      <c r="N44" s="179"/>
      <c r="O44" s="202"/>
      <c r="P44" s="202"/>
      <c r="Q44" s="202"/>
      <c r="R44" s="165"/>
      <c r="S44" s="165"/>
      <c r="T44" s="165"/>
      <c r="U44" s="202"/>
      <c r="V44" s="204"/>
      <c r="W44" s="204"/>
      <c r="X44" s="179"/>
      <c r="Y44" s="179"/>
    </row>
    <row r="45" spans="1:25" ht="14.65" customHeight="1">
      <c r="A45" s="186" t="s">
        <v>25</v>
      </c>
      <c r="B45" s="186"/>
      <c r="C45">
        <v>21</v>
      </c>
      <c r="D45">
        <v>11</v>
      </c>
      <c r="E45">
        <v>25</v>
      </c>
      <c r="F45">
        <v>12</v>
      </c>
      <c r="G45">
        <v>22</v>
      </c>
      <c r="H45">
        <v>12</v>
      </c>
      <c r="I45" s="202">
        <v>22.894064613072878</v>
      </c>
      <c r="J45" s="165">
        <v>11.890445730531018</v>
      </c>
      <c r="K45" s="165"/>
      <c r="L45" s="179"/>
      <c r="M45" s="165"/>
      <c r="N45" s="179"/>
      <c r="O45" s="202"/>
      <c r="P45" s="202"/>
      <c r="Q45" s="202"/>
      <c r="R45" s="165"/>
      <c r="S45" s="165"/>
      <c r="T45" s="165"/>
      <c r="U45" s="201"/>
      <c r="V45" s="166"/>
      <c r="W45" s="166"/>
      <c r="X45" s="179"/>
      <c r="Y45" s="179"/>
    </row>
    <row r="46" spans="1:25" ht="14.65" customHeight="1">
      <c r="A46" s="186" t="s">
        <v>26</v>
      </c>
      <c r="B46" s="186"/>
      <c r="C46">
        <v>21</v>
      </c>
      <c r="D46">
        <v>7</v>
      </c>
      <c r="E46">
        <v>21</v>
      </c>
      <c r="F46">
        <v>9</v>
      </c>
      <c r="G46">
        <v>20</v>
      </c>
      <c r="H46">
        <v>6</v>
      </c>
      <c r="I46" s="202">
        <v>20.608931552587645</v>
      </c>
      <c r="J46" s="165">
        <v>7.4315085459499626</v>
      </c>
      <c r="K46" s="165"/>
      <c r="L46" s="179"/>
      <c r="M46" s="165"/>
      <c r="N46" s="179"/>
      <c r="O46" s="202"/>
      <c r="P46" s="202"/>
      <c r="Q46" s="202"/>
      <c r="R46" s="165"/>
      <c r="S46" s="165"/>
      <c r="T46" s="165"/>
      <c r="U46" s="201"/>
      <c r="V46" s="166"/>
      <c r="W46" s="166"/>
      <c r="X46" s="179"/>
      <c r="Y46" s="179"/>
    </row>
    <row r="47" spans="1:25" ht="14.65" customHeight="1">
      <c r="A47" s="186" t="s">
        <v>227</v>
      </c>
      <c r="B47" s="186"/>
      <c r="C47">
        <v>22</v>
      </c>
      <c r="D47">
        <v>9</v>
      </c>
      <c r="E47">
        <v>24</v>
      </c>
      <c r="F47">
        <v>8</v>
      </c>
      <c r="G47">
        <v>25</v>
      </c>
      <c r="H47">
        <v>10</v>
      </c>
      <c r="I47" s="202">
        <v>23.485360063307834</v>
      </c>
      <c r="J47" s="165">
        <v>8.7337370319248411</v>
      </c>
      <c r="K47" s="165"/>
      <c r="L47" s="179"/>
      <c r="M47" s="165"/>
      <c r="N47" s="179"/>
      <c r="O47" s="202"/>
      <c r="P47" s="202"/>
      <c r="Q47" s="202"/>
      <c r="R47" s="165"/>
      <c r="S47" s="165"/>
      <c r="T47" s="165"/>
      <c r="U47" s="201"/>
      <c r="V47" s="166"/>
      <c r="W47" s="166"/>
      <c r="X47" s="179"/>
      <c r="Y47" s="179"/>
    </row>
    <row r="48" spans="1:25" ht="14.65" customHeight="1">
      <c r="A48" s="186" t="s">
        <v>228</v>
      </c>
      <c r="B48" s="186"/>
      <c r="C48">
        <v>13</v>
      </c>
      <c r="D48">
        <v>11</v>
      </c>
      <c r="E48">
        <v>12</v>
      </c>
      <c r="F48">
        <v>13</v>
      </c>
      <c r="G48">
        <v>15</v>
      </c>
      <c r="H48">
        <v>21</v>
      </c>
      <c r="I48" s="202">
        <v>13.623008371590602</v>
      </c>
      <c r="J48" s="165">
        <v>14.829541042168207</v>
      </c>
      <c r="K48" s="165"/>
      <c r="L48" s="179"/>
      <c r="M48" s="165"/>
      <c r="N48" s="179"/>
      <c r="O48" s="202"/>
      <c r="P48" s="202"/>
      <c r="Q48" s="202"/>
      <c r="R48" s="165"/>
      <c r="S48" s="165"/>
      <c r="T48" s="165"/>
      <c r="U48" s="201"/>
      <c r="V48" s="166"/>
      <c r="W48" s="166"/>
      <c r="X48" s="179"/>
      <c r="Y48" s="179"/>
    </row>
    <row r="49" spans="1:25" ht="14.65" customHeight="1">
      <c r="A49" s="186" t="s">
        <v>27</v>
      </c>
      <c r="B49" s="186"/>
      <c r="C49">
        <v>19</v>
      </c>
      <c r="D49">
        <v>7</v>
      </c>
      <c r="E49">
        <v>13</v>
      </c>
      <c r="F49">
        <v>5</v>
      </c>
      <c r="G49">
        <v>16</v>
      </c>
      <c r="H49">
        <v>7</v>
      </c>
      <c r="I49" s="202">
        <v>15.641849529780565</v>
      </c>
      <c r="J49" s="165">
        <v>6.4469451749949425</v>
      </c>
      <c r="K49" s="165"/>
      <c r="L49" s="179"/>
      <c r="M49" s="165"/>
      <c r="N49" s="179"/>
      <c r="O49" s="202"/>
      <c r="P49" s="202"/>
      <c r="Q49" s="202"/>
      <c r="R49" s="165"/>
      <c r="S49" s="165"/>
      <c r="T49" s="165"/>
      <c r="U49" s="201"/>
      <c r="V49" s="166"/>
      <c r="W49" s="166"/>
      <c r="X49" s="179"/>
      <c r="Y49" s="179"/>
    </row>
    <row r="50" spans="1:25" ht="14.65" customHeight="1">
      <c r="A50" s="186" t="s">
        <v>201</v>
      </c>
      <c r="B50" s="186"/>
      <c r="C50">
        <v>13</v>
      </c>
      <c r="D50">
        <v>7</v>
      </c>
      <c r="E50">
        <v>24</v>
      </c>
      <c r="F50">
        <v>5</v>
      </c>
      <c r="G50">
        <v>22</v>
      </c>
      <c r="H50">
        <v>5</v>
      </c>
      <c r="I50" s="202">
        <v>18.440591245025583</v>
      </c>
      <c r="J50" s="165">
        <v>6.0933787886858788</v>
      </c>
      <c r="K50" s="165"/>
      <c r="L50" s="179"/>
      <c r="M50" s="165"/>
      <c r="N50" s="179"/>
      <c r="O50" s="202"/>
      <c r="P50" s="202"/>
      <c r="Q50" s="202"/>
      <c r="R50" s="165"/>
      <c r="S50" s="165"/>
      <c r="T50" s="165"/>
      <c r="U50" s="201"/>
      <c r="V50" s="166"/>
      <c r="W50" s="166"/>
      <c r="X50" s="179"/>
      <c r="Y50" s="179"/>
    </row>
    <row r="51" spans="1:25" ht="14.65" customHeight="1">
      <c r="A51" s="186" t="s">
        <v>28</v>
      </c>
      <c r="B51" s="186"/>
      <c r="C51">
        <v>21</v>
      </c>
      <c r="D51">
        <v>11</v>
      </c>
      <c r="E51">
        <v>20</v>
      </c>
      <c r="F51">
        <v>9</v>
      </c>
      <c r="G51">
        <v>8</v>
      </c>
      <c r="H51">
        <v>5</v>
      </c>
      <c r="I51" s="202">
        <v>17.153992395437264</v>
      </c>
      <c r="J51" s="165">
        <v>8.5946598280283606</v>
      </c>
      <c r="K51" s="165"/>
      <c r="L51" s="179"/>
      <c r="M51" s="165"/>
      <c r="N51" s="179"/>
      <c r="O51" s="202"/>
      <c r="P51" s="202"/>
      <c r="Q51" s="202"/>
      <c r="R51" s="165"/>
      <c r="S51" s="165"/>
      <c r="T51" s="165"/>
      <c r="U51" s="201"/>
      <c r="V51" s="166"/>
      <c r="W51" s="166"/>
      <c r="X51" s="179"/>
      <c r="Y51" s="179"/>
    </row>
    <row r="52" spans="1:25" ht="14.65" customHeight="1">
      <c r="A52" s="186" t="s">
        <v>29</v>
      </c>
      <c r="B52" s="186"/>
      <c r="C52">
        <v>22</v>
      </c>
      <c r="D52">
        <v>7</v>
      </c>
      <c r="E52">
        <v>18</v>
      </c>
      <c r="F52">
        <v>6</v>
      </c>
      <c r="G52">
        <v>17</v>
      </c>
      <c r="H52">
        <v>6</v>
      </c>
      <c r="I52" s="202">
        <v>19.120561157387112</v>
      </c>
      <c r="J52" s="165">
        <v>6.2124974639886386</v>
      </c>
      <c r="K52" s="165"/>
      <c r="L52" s="179"/>
      <c r="M52" s="165"/>
      <c r="N52" s="179"/>
      <c r="O52" s="202"/>
      <c r="P52" s="202"/>
      <c r="Q52" s="202"/>
      <c r="R52" s="165"/>
      <c r="S52" s="165"/>
      <c r="T52" s="165"/>
      <c r="U52" s="201"/>
      <c r="V52" s="166"/>
      <c r="W52" s="166"/>
      <c r="X52" s="179"/>
      <c r="Y52" s="179"/>
    </row>
    <row r="53" spans="1:25" ht="14.65" customHeight="1">
      <c r="A53" s="186" t="s">
        <v>30</v>
      </c>
      <c r="B53" s="186"/>
      <c r="C53">
        <v>19</v>
      </c>
      <c r="D53">
        <v>7</v>
      </c>
      <c r="E53">
        <v>21</v>
      </c>
      <c r="F53">
        <v>12</v>
      </c>
      <c r="G53">
        <v>23</v>
      </c>
      <c r="H53">
        <v>15</v>
      </c>
      <c r="I53" s="202">
        <v>20.47326049453709</v>
      </c>
      <c r="J53" s="165">
        <v>10.3345426476264</v>
      </c>
      <c r="K53" s="165"/>
      <c r="L53" s="179"/>
      <c r="M53" s="165"/>
      <c r="N53" s="179"/>
      <c r="O53" s="202"/>
      <c r="P53" s="202"/>
      <c r="Q53" s="202"/>
      <c r="R53" s="165"/>
      <c r="S53" s="165"/>
      <c r="T53" s="165"/>
      <c r="U53" s="201"/>
      <c r="V53" s="166"/>
      <c r="W53" s="166"/>
      <c r="X53" s="179"/>
      <c r="Y53" s="179"/>
    </row>
    <row r="54" spans="1:25" ht="14.65" customHeight="1">
      <c r="A54" s="186" t="s">
        <v>31</v>
      </c>
      <c r="B54" s="186"/>
      <c r="C54">
        <v>21</v>
      </c>
      <c r="D54">
        <v>6</v>
      </c>
      <c r="E54">
        <v>22</v>
      </c>
      <c r="F54">
        <v>8</v>
      </c>
      <c r="G54">
        <v>21</v>
      </c>
      <c r="H54">
        <v>9</v>
      </c>
      <c r="I54" s="202">
        <v>21.542354235423542</v>
      </c>
      <c r="J54" s="165">
        <v>7.4190337138306344</v>
      </c>
      <c r="K54" s="165"/>
      <c r="L54" s="179"/>
      <c r="M54" s="165"/>
      <c r="N54" s="179"/>
      <c r="O54" s="202"/>
      <c r="P54" s="202"/>
      <c r="Q54" s="202"/>
      <c r="R54" s="165"/>
      <c r="S54" s="165"/>
      <c r="T54" s="165"/>
      <c r="U54" s="202"/>
      <c r="V54" s="204"/>
      <c r="W54" s="204"/>
      <c r="X54" s="179"/>
      <c r="Y54" s="179"/>
    </row>
    <row r="55" spans="1:25" ht="14.65" customHeight="1">
      <c r="A55" s="186" t="s">
        <v>304</v>
      </c>
      <c r="B55" s="186"/>
      <c r="C55">
        <v>32</v>
      </c>
      <c r="D55">
        <v>23</v>
      </c>
      <c r="E55">
        <v>36</v>
      </c>
      <c r="F55">
        <v>29</v>
      </c>
      <c r="G55">
        <v>41</v>
      </c>
      <c r="H55">
        <v>37</v>
      </c>
      <c r="I55" s="202">
        <v>36.117257499026103</v>
      </c>
      <c r="J55" s="165">
        <v>28.690687176057516</v>
      </c>
      <c r="K55" s="165"/>
      <c r="L55" s="179"/>
      <c r="M55" s="165"/>
      <c r="N55" s="179"/>
      <c r="O55" s="202"/>
      <c r="P55" s="202"/>
      <c r="Q55" s="202"/>
      <c r="R55" s="165"/>
      <c r="S55" s="165"/>
      <c r="T55" s="165"/>
      <c r="U55" s="201"/>
      <c r="V55" s="166"/>
      <c r="W55" s="166"/>
      <c r="X55" s="179"/>
      <c r="Y55" s="179"/>
    </row>
    <row r="56" spans="1:25" ht="14.65" customHeight="1">
      <c r="A56" s="186" t="s">
        <v>32</v>
      </c>
      <c r="B56" s="186"/>
      <c r="C56">
        <v>28</v>
      </c>
      <c r="D56">
        <v>33</v>
      </c>
      <c r="E56">
        <v>25</v>
      </c>
      <c r="F56">
        <v>21</v>
      </c>
      <c r="G56">
        <v>25</v>
      </c>
      <c r="H56">
        <v>11</v>
      </c>
      <c r="I56" s="202">
        <v>25.863894139886579</v>
      </c>
      <c r="J56" s="165">
        <v>21.951922186197315</v>
      </c>
      <c r="K56" s="165"/>
      <c r="L56" s="179"/>
      <c r="M56" s="165"/>
      <c r="N56" s="179"/>
      <c r="O56" s="202"/>
      <c r="P56" s="202"/>
      <c r="Q56" s="202"/>
      <c r="R56" s="165"/>
      <c r="S56" s="165"/>
      <c r="T56" s="165"/>
      <c r="U56" s="201"/>
      <c r="V56" s="166"/>
      <c r="W56" s="166"/>
      <c r="X56" s="179"/>
      <c r="Y56" s="179"/>
    </row>
    <row r="57" spans="1:25" ht="14.65" customHeight="1">
      <c r="A57" s="186" t="s">
        <v>33</v>
      </c>
      <c r="B57" s="186"/>
      <c r="C57">
        <v>19</v>
      </c>
      <c r="D57">
        <v>5</v>
      </c>
      <c r="E57">
        <v>16</v>
      </c>
      <c r="F57">
        <v>4</v>
      </c>
      <c r="G57">
        <v>16</v>
      </c>
      <c r="H57">
        <v>4</v>
      </c>
      <c r="I57" s="201">
        <v>17.057048820625344</v>
      </c>
      <c r="J57" s="199">
        <v>4.6094356717577014</v>
      </c>
      <c r="K57" s="199"/>
      <c r="L57" s="179"/>
      <c r="M57" s="199"/>
      <c r="N57" s="179"/>
      <c r="O57" s="201"/>
      <c r="P57" s="201"/>
      <c r="Q57" s="201"/>
      <c r="R57" s="199"/>
      <c r="S57" s="199"/>
      <c r="T57" s="199"/>
      <c r="U57" s="201"/>
      <c r="V57" s="166"/>
      <c r="W57" s="166"/>
      <c r="X57" s="179"/>
      <c r="Y57" s="179"/>
    </row>
    <row r="58" spans="1:25" ht="14.65" customHeight="1">
      <c r="A58" s="186" t="s">
        <v>34</v>
      </c>
      <c r="B58" s="186"/>
      <c r="C58">
        <v>19</v>
      </c>
      <c r="D58">
        <v>5</v>
      </c>
      <c r="E58">
        <v>20</v>
      </c>
      <c r="F58">
        <v>5</v>
      </c>
      <c r="G58">
        <v>18</v>
      </c>
      <c r="H58">
        <v>6</v>
      </c>
      <c r="I58" s="202">
        <v>18.99949924887331</v>
      </c>
      <c r="J58" s="165">
        <v>5.1499902477082111</v>
      </c>
      <c r="K58" s="165"/>
      <c r="L58" s="179"/>
      <c r="M58" s="165"/>
      <c r="N58" s="179"/>
      <c r="O58" s="202"/>
      <c r="P58" s="202"/>
      <c r="Q58" s="202"/>
      <c r="R58" s="165"/>
      <c r="S58" s="165"/>
      <c r="T58" s="165"/>
      <c r="U58" s="201"/>
      <c r="V58" s="166"/>
      <c r="W58" s="166"/>
      <c r="X58" s="179"/>
      <c r="Y58" s="179"/>
    </row>
    <row r="59" spans="1:25" ht="14.65" customHeight="1">
      <c r="A59" s="186" t="s">
        <v>35</v>
      </c>
      <c r="B59" s="186"/>
      <c r="C59">
        <v>15</v>
      </c>
      <c r="D59">
        <v>4</v>
      </c>
      <c r="E59">
        <v>19</v>
      </c>
      <c r="F59">
        <v>6</v>
      </c>
      <c r="G59">
        <v>17</v>
      </c>
      <c r="H59">
        <v>7</v>
      </c>
      <c r="I59" s="202">
        <v>16.830054644808744</v>
      </c>
      <c r="J59" s="165">
        <v>5.1858795372955724</v>
      </c>
      <c r="K59" s="165"/>
      <c r="L59" s="179"/>
      <c r="M59" s="165"/>
      <c r="N59" s="179"/>
      <c r="O59" s="202"/>
      <c r="P59" s="202"/>
      <c r="Q59" s="202"/>
      <c r="R59" s="165"/>
      <c r="S59" s="165"/>
      <c r="T59" s="165"/>
      <c r="U59" s="202"/>
      <c r="V59" s="204"/>
      <c r="W59" s="204"/>
      <c r="X59" s="179"/>
      <c r="Y59" s="179"/>
    </row>
    <row r="60" spans="1:25" ht="14.65" customHeight="1">
      <c r="A60" s="186" t="s">
        <v>305</v>
      </c>
      <c r="B60" s="186"/>
      <c r="C60">
        <v>23</v>
      </c>
      <c r="D60">
        <v>9</v>
      </c>
      <c r="E60">
        <v>28</v>
      </c>
      <c r="F60">
        <v>12</v>
      </c>
      <c r="G60">
        <v>33</v>
      </c>
      <c r="H60">
        <v>18</v>
      </c>
      <c r="I60" s="202">
        <v>28.191044776119401</v>
      </c>
      <c r="J60" s="165">
        <v>12.944878346671809</v>
      </c>
      <c r="K60" s="165"/>
      <c r="L60" s="179"/>
      <c r="M60" s="165"/>
      <c r="N60" s="179"/>
      <c r="O60" s="202"/>
      <c r="P60" s="202"/>
      <c r="Q60" s="202"/>
      <c r="R60" s="165"/>
      <c r="S60" s="165"/>
      <c r="T60" s="165"/>
      <c r="U60" s="202"/>
      <c r="V60" s="204"/>
      <c r="W60" s="204"/>
      <c r="X60" s="179"/>
      <c r="Y60" s="179"/>
    </row>
    <row r="61" spans="1:25" ht="14.65" customHeight="1">
      <c r="A61" s="186" t="s">
        <v>822</v>
      </c>
      <c r="B61" s="186"/>
      <c r="C61">
        <v>31</v>
      </c>
      <c r="D61">
        <v>15</v>
      </c>
      <c r="E61">
        <v>37</v>
      </c>
      <c r="F61">
        <v>17</v>
      </c>
      <c r="G61">
        <v>33</v>
      </c>
      <c r="H61">
        <v>20</v>
      </c>
      <c r="I61" s="202">
        <v>33.840017532325227</v>
      </c>
      <c r="J61" s="165">
        <v>17.351285306251985</v>
      </c>
      <c r="K61" s="165"/>
      <c r="L61" s="179"/>
      <c r="M61" s="165"/>
      <c r="N61" s="179"/>
      <c r="O61" s="202"/>
      <c r="P61" s="202"/>
      <c r="Q61" s="202"/>
      <c r="R61" s="165"/>
      <c r="S61" s="165"/>
      <c r="T61" s="165"/>
      <c r="U61" s="201"/>
      <c r="V61" s="166"/>
      <c r="W61" s="166"/>
      <c r="X61" s="179"/>
      <c r="Y61" s="179"/>
    </row>
    <row r="62" spans="1:25" ht="14.65" customHeight="1">
      <c r="A62" s="186" t="s">
        <v>36</v>
      </c>
      <c r="B62" s="186"/>
      <c r="C62">
        <v>24</v>
      </c>
      <c r="D62">
        <v>10</v>
      </c>
      <c r="E62">
        <v>29</v>
      </c>
      <c r="F62">
        <v>13</v>
      </c>
      <c r="G62">
        <v>28</v>
      </c>
      <c r="H62">
        <v>14</v>
      </c>
      <c r="I62" s="202">
        <v>27.108705665591891</v>
      </c>
      <c r="J62" s="165">
        <v>12.252977751142408</v>
      </c>
      <c r="K62" s="165"/>
      <c r="L62" s="179"/>
      <c r="M62" s="165"/>
      <c r="N62" s="179"/>
      <c r="O62" s="202"/>
      <c r="P62" s="202"/>
      <c r="Q62" s="202"/>
      <c r="R62" s="165"/>
      <c r="S62" s="165"/>
      <c r="T62" s="165"/>
      <c r="U62" s="201"/>
      <c r="V62" s="166"/>
      <c r="W62" s="166"/>
      <c r="X62" s="179"/>
      <c r="Y62" s="179"/>
    </row>
    <row r="63" spans="1:25" ht="14.65" customHeight="1">
      <c r="A63" s="186" t="s">
        <v>37</v>
      </c>
      <c r="B63" s="186"/>
      <c r="C63">
        <v>22</v>
      </c>
      <c r="D63">
        <v>6</v>
      </c>
      <c r="E63">
        <v>19</v>
      </c>
      <c r="F63">
        <v>6</v>
      </c>
      <c r="G63">
        <v>21</v>
      </c>
      <c r="H63">
        <v>7</v>
      </c>
      <c r="I63" s="202">
        <v>20.677932405566601</v>
      </c>
      <c r="J63" s="165">
        <v>6.4592311459353571</v>
      </c>
      <c r="K63" s="165"/>
      <c r="L63" s="179"/>
      <c r="M63" s="165"/>
      <c r="N63" s="179"/>
      <c r="O63" s="202"/>
      <c r="P63" s="202"/>
      <c r="Q63" s="202"/>
      <c r="R63" s="165"/>
      <c r="S63" s="165"/>
      <c r="T63" s="165"/>
      <c r="U63" s="201"/>
      <c r="V63" s="166"/>
      <c r="W63" s="166"/>
      <c r="X63" s="179"/>
      <c r="Y63" s="179"/>
    </row>
    <row r="64" spans="1:25" ht="14.65" customHeight="1">
      <c r="A64" s="186" t="s">
        <v>38</v>
      </c>
      <c r="B64" s="186"/>
      <c r="C64">
        <v>12</v>
      </c>
      <c r="D64">
        <v>2</v>
      </c>
      <c r="E64">
        <v>15</v>
      </c>
      <c r="F64">
        <v>3</v>
      </c>
      <c r="G64">
        <v>14</v>
      </c>
      <c r="H64">
        <v>3</v>
      </c>
      <c r="I64" s="202">
        <v>13.55895865237366</v>
      </c>
      <c r="J64" s="165">
        <v>2.8805874840357597</v>
      </c>
      <c r="K64" s="165"/>
      <c r="L64" s="179"/>
      <c r="M64" s="165"/>
      <c r="N64" s="179"/>
      <c r="O64" s="202"/>
      <c r="P64" s="202"/>
      <c r="Q64" s="202"/>
      <c r="R64" s="165"/>
      <c r="S64" s="165"/>
      <c r="T64" s="165"/>
      <c r="U64" s="201"/>
      <c r="V64" s="166"/>
      <c r="W64" s="166"/>
      <c r="X64" s="179"/>
      <c r="Y64" s="179"/>
    </row>
    <row r="65" spans="1:25" ht="14.65" customHeight="1">
      <c r="A65" s="186" t="s">
        <v>39</v>
      </c>
      <c r="B65" s="186"/>
      <c r="C65">
        <v>24</v>
      </c>
      <c r="D65">
        <v>9</v>
      </c>
      <c r="E65">
        <v>22</v>
      </c>
      <c r="F65">
        <v>9</v>
      </c>
      <c r="G65">
        <v>20</v>
      </c>
      <c r="H65">
        <v>9</v>
      </c>
      <c r="I65" s="202">
        <v>22.034353193773484</v>
      </c>
      <c r="J65" s="165">
        <v>9.0200657894736835</v>
      </c>
      <c r="K65" s="165"/>
      <c r="L65" s="179"/>
      <c r="M65" s="165"/>
      <c r="N65" s="179"/>
      <c r="O65" s="202"/>
      <c r="P65" s="202"/>
      <c r="Q65" s="202"/>
      <c r="R65" s="165"/>
      <c r="S65" s="165"/>
      <c r="T65" s="165"/>
      <c r="U65" s="201"/>
      <c r="V65" s="166"/>
      <c r="W65" s="166"/>
      <c r="X65" s="179"/>
      <c r="Y65" s="179"/>
    </row>
    <row r="66" spans="1:25" ht="14.65" customHeight="1">
      <c r="A66" s="186" t="s">
        <v>40</v>
      </c>
      <c r="B66" s="186"/>
      <c r="C66">
        <v>22</v>
      </c>
      <c r="D66">
        <v>10</v>
      </c>
      <c r="E66">
        <v>19</v>
      </c>
      <c r="F66">
        <v>9</v>
      </c>
      <c r="G66">
        <v>19</v>
      </c>
      <c r="H66">
        <v>11</v>
      </c>
      <c r="I66" s="202">
        <v>20.05913043478261</v>
      </c>
      <c r="J66" s="165">
        <v>9.8909774436090228</v>
      </c>
      <c r="K66" s="165"/>
      <c r="L66" s="179"/>
      <c r="M66" s="165"/>
      <c r="N66" s="179"/>
      <c r="O66" s="202"/>
      <c r="P66" s="202"/>
      <c r="Q66" s="202"/>
      <c r="R66" s="165"/>
      <c r="S66" s="165"/>
      <c r="T66" s="165"/>
      <c r="U66" s="201"/>
      <c r="V66" s="166"/>
      <c r="W66" s="166"/>
      <c r="X66" s="179"/>
      <c r="Y66" s="179"/>
    </row>
    <row r="67" spans="1:25" ht="14.65" customHeight="1">
      <c r="A67" s="186" t="s">
        <v>374</v>
      </c>
      <c r="B67" s="186"/>
      <c r="C67">
        <v>18</v>
      </c>
      <c r="D67">
        <v>8</v>
      </c>
      <c r="E67">
        <v>18</v>
      </c>
      <c r="F67">
        <v>7</v>
      </c>
      <c r="G67">
        <v>20</v>
      </c>
      <c r="H67">
        <v>5</v>
      </c>
      <c r="I67" s="202">
        <v>18.754807692307693</v>
      </c>
      <c r="J67" s="165">
        <v>5.8549130897481376</v>
      </c>
      <c r="K67" s="165"/>
      <c r="L67" s="179"/>
      <c r="M67" s="165"/>
      <c r="N67" s="179"/>
      <c r="O67" s="202"/>
      <c r="P67" s="202"/>
      <c r="Q67" s="202"/>
      <c r="R67" s="165"/>
      <c r="S67" s="165"/>
      <c r="T67" s="165"/>
      <c r="U67" s="201"/>
      <c r="V67" s="166"/>
      <c r="W67" s="166"/>
      <c r="X67" s="179"/>
      <c r="Y67" s="179"/>
    </row>
    <row r="68" spans="1:25" ht="14.65" customHeight="1">
      <c r="A68" s="186" t="s">
        <v>41</v>
      </c>
      <c r="B68" s="186"/>
      <c r="C68">
        <v>30</v>
      </c>
      <c r="D68">
        <v>14</v>
      </c>
      <c r="E68">
        <v>31</v>
      </c>
      <c r="F68">
        <v>17</v>
      </c>
      <c r="G68">
        <v>27</v>
      </c>
      <c r="H68">
        <v>17</v>
      </c>
      <c r="I68" s="202">
        <v>29.262232942798072</v>
      </c>
      <c r="J68" s="165">
        <v>15.701878319916762</v>
      </c>
      <c r="K68" s="165"/>
      <c r="L68" s="179"/>
      <c r="M68" s="165"/>
      <c r="N68" s="179"/>
      <c r="O68" s="202"/>
      <c r="P68" s="202"/>
      <c r="Q68" s="202"/>
      <c r="R68" s="165"/>
      <c r="S68" s="165"/>
      <c r="T68" s="165"/>
      <c r="U68" s="202"/>
      <c r="V68" s="204"/>
      <c r="W68" s="204"/>
      <c r="X68" s="179"/>
      <c r="Y68" s="179"/>
    </row>
    <row r="69" spans="1:25" ht="14.65" customHeight="1">
      <c r="A69" s="186" t="s">
        <v>42</v>
      </c>
      <c r="B69" s="186"/>
      <c r="C69">
        <v>24</v>
      </c>
      <c r="D69">
        <v>16</v>
      </c>
      <c r="E69">
        <v>22</v>
      </c>
      <c r="F69">
        <v>13</v>
      </c>
      <c r="G69">
        <v>24</v>
      </c>
      <c r="H69">
        <v>17</v>
      </c>
      <c r="I69" s="202">
        <v>23.091593475533248</v>
      </c>
      <c r="J69" s="165">
        <v>15.301340033500837</v>
      </c>
      <c r="K69" s="165"/>
      <c r="L69" s="179"/>
      <c r="M69" s="165"/>
      <c r="N69" s="179"/>
      <c r="O69" s="202"/>
      <c r="P69" s="202"/>
      <c r="Q69" s="202"/>
      <c r="R69" s="165"/>
      <c r="S69" s="165"/>
      <c r="T69" s="165"/>
      <c r="U69" s="201"/>
      <c r="V69" s="166"/>
      <c r="W69" s="166"/>
      <c r="X69" s="179"/>
      <c r="Y69" s="179"/>
    </row>
    <row r="70" spans="1:25" ht="14.65" customHeight="1">
      <c r="A70" s="186" t="s">
        <v>43</v>
      </c>
      <c r="B70" s="186"/>
      <c r="C70">
        <v>24</v>
      </c>
      <c r="D70">
        <v>11</v>
      </c>
      <c r="E70">
        <v>14</v>
      </c>
      <c r="F70">
        <v>5</v>
      </c>
      <c r="G70">
        <v>15</v>
      </c>
      <c r="H70">
        <v>7</v>
      </c>
      <c r="I70" s="202">
        <v>18.422261484098939</v>
      </c>
      <c r="J70" s="165">
        <v>7.2526200025876566</v>
      </c>
      <c r="K70" s="165"/>
      <c r="L70" s="179"/>
      <c r="M70" s="165"/>
      <c r="N70" s="179"/>
      <c r="O70" s="202"/>
      <c r="P70" s="202"/>
      <c r="Q70" s="202"/>
      <c r="R70" s="165"/>
      <c r="S70" s="165"/>
      <c r="T70" s="165"/>
      <c r="U70" s="201"/>
      <c r="V70" s="166"/>
      <c r="W70" s="166"/>
      <c r="X70" s="179"/>
      <c r="Y70" s="179"/>
    </row>
    <row r="71" spans="1:25" ht="14.65" customHeight="1">
      <c r="A71" s="186" t="s">
        <v>306</v>
      </c>
      <c r="B71" s="186"/>
      <c r="C71">
        <v>28</v>
      </c>
      <c r="D71">
        <v>15</v>
      </c>
      <c r="E71">
        <v>23</v>
      </c>
      <c r="F71">
        <v>11</v>
      </c>
      <c r="G71">
        <v>20</v>
      </c>
      <c r="H71">
        <v>11</v>
      </c>
      <c r="I71" s="202">
        <v>23.104853142436045</v>
      </c>
      <c r="J71" s="165">
        <v>12.378968798278924</v>
      </c>
      <c r="K71" s="165"/>
      <c r="L71" s="179"/>
      <c r="M71" s="165"/>
      <c r="N71" s="179"/>
      <c r="O71" s="202"/>
      <c r="P71" s="202"/>
      <c r="Q71" s="202"/>
      <c r="R71" s="165"/>
      <c r="S71" s="165"/>
      <c r="T71" s="165"/>
      <c r="U71" s="201"/>
      <c r="V71" s="166"/>
      <c r="W71" s="166"/>
      <c r="X71" s="179"/>
      <c r="Y71" s="179"/>
    </row>
    <row r="72" spans="1:25" ht="14.65" customHeight="1">
      <c r="A72" s="186" t="s">
        <v>44</v>
      </c>
      <c r="B72" s="186"/>
      <c r="C72">
        <v>11</v>
      </c>
      <c r="D72">
        <v>4</v>
      </c>
      <c r="E72">
        <v>12</v>
      </c>
      <c r="F72">
        <v>4</v>
      </c>
      <c r="G72">
        <v>11</v>
      </c>
      <c r="H72">
        <v>5</v>
      </c>
      <c r="I72" s="202">
        <v>11.174061433447099</v>
      </c>
      <c r="J72" s="165">
        <v>4.2037731685789934</v>
      </c>
      <c r="K72" s="165"/>
      <c r="L72" s="179"/>
      <c r="M72" s="165"/>
      <c r="N72" s="179"/>
      <c r="O72" s="202"/>
      <c r="P72" s="202"/>
      <c r="Q72" s="202"/>
      <c r="R72" s="165"/>
      <c r="S72" s="165"/>
      <c r="T72" s="165"/>
      <c r="U72" s="201"/>
      <c r="V72" s="166"/>
      <c r="W72" s="166"/>
      <c r="X72" s="179"/>
      <c r="Y72" s="179"/>
    </row>
    <row r="73" spans="1:25" ht="14.65" customHeight="1">
      <c r="A73" s="186" t="s">
        <v>267</v>
      </c>
      <c r="B73" s="186"/>
      <c r="C73">
        <v>20</v>
      </c>
      <c r="D73">
        <v>20</v>
      </c>
      <c r="E73">
        <v>21</v>
      </c>
      <c r="F73">
        <v>12</v>
      </c>
      <c r="G73">
        <v>21</v>
      </c>
      <c r="H73">
        <v>10</v>
      </c>
      <c r="I73" s="202">
        <v>20.800767359161519</v>
      </c>
      <c r="J73" s="165">
        <v>14.333216570012585</v>
      </c>
      <c r="K73" s="165"/>
      <c r="L73" s="179"/>
      <c r="M73" s="165"/>
      <c r="N73" s="179"/>
      <c r="O73" s="202"/>
      <c r="P73" s="202"/>
      <c r="Q73" s="202"/>
      <c r="R73" s="165"/>
      <c r="S73" s="165"/>
      <c r="T73" s="165"/>
      <c r="U73" s="201"/>
      <c r="V73" s="166"/>
      <c r="W73" s="166"/>
      <c r="X73" s="179"/>
      <c r="Y73" s="179"/>
    </row>
    <row r="74" spans="1:25" ht="14.65" customHeight="1">
      <c r="A74" s="186" t="s">
        <v>229</v>
      </c>
      <c r="B74" s="186"/>
      <c r="C74">
        <v>24</v>
      </c>
      <c r="D74">
        <v>16</v>
      </c>
      <c r="E74">
        <v>24</v>
      </c>
      <c r="F74">
        <v>22</v>
      </c>
      <c r="G74">
        <v>21</v>
      </c>
      <c r="H74">
        <v>18</v>
      </c>
      <c r="I74" s="202">
        <v>22.792495415432359</v>
      </c>
      <c r="J74" s="165">
        <v>19.230719159092551</v>
      </c>
      <c r="K74" s="165"/>
      <c r="L74" s="179"/>
      <c r="M74" s="165"/>
      <c r="N74" s="179"/>
      <c r="O74" s="202"/>
      <c r="P74" s="202"/>
      <c r="Q74" s="202"/>
      <c r="R74" s="165"/>
      <c r="S74" s="165"/>
      <c r="T74" s="165"/>
      <c r="U74" s="201"/>
      <c r="V74" s="166"/>
      <c r="W74" s="166"/>
      <c r="X74" s="179"/>
      <c r="Y74" s="179"/>
    </row>
    <row r="75" spans="1:25" ht="14.65" customHeight="1">
      <c r="A75" s="186" t="s">
        <v>45</v>
      </c>
      <c r="B75" s="186"/>
      <c r="C75">
        <v>24</v>
      </c>
      <c r="D75">
        <v>10</v>
      </c>
      <c r="E75">
        <v>24</v>
      </c>
      <c r="F75">
        <v>9</v>
      </c>
      <c r="G75">
        <v>27</v>
      </c>
      <c r="H75">
        <v>9</v>
      </c>
      <c r="I75" s="202">
        <v>25.080223880597014</v>
      </c>
      <c r="J75" s="165">
        <v>9.4720729142322977</v>
      </c>
      <c r="K75" s="165"/>
      <c r="L75" s="179"/>
      <c r="M75" s="165"/>
      <c r="N75" s="179"/>
      <c r="O75" s="202"/>
      <c r="P75" s="202"/>
      <c r="Q75" s="202"/>
      <c r="R75" s="165"/>
      <c r="S75" s="165"/>
      <c r="T75" s="165"/>
      <c r="U75" s="201"/>
      <c r="V75" s="166"/>
      <c r="W75" s="166"/>
      <c r="X75" s="179"/>
      <c r="Y75" s="179"/>
    </row>
    <row r="76" spans="1:25" ht="14.65" customHeight="1">
      <c r="A76" s="186" t="s">
        <v>46</v>
      </c>
      <c r="B76" s="186"/>
      <c r="C76">
        <v>13</v>
      </c>
      <c r="D76">
        <v>3</v>
      </c>
      <c r="E76">
        <v>14</v>
      </c>
      <c r="F76">
        <v>4</v>
      </c>
      <c r="G76">
        <v>13</v>
      </c>
      <c r="H76">
        <v>5</v>
      </c>
      <c r="I76" s="202">
        <v>13.182654402102497</v>
      </c>
      <c r="J76" s="165">
        <v>3.5859758017361578</v>
      </c>
      <c r="K76" s="165"/>
      <c r="L76" s="179"/>
      <c r="M76" s="165"/>
      <c r="N76" s="179"/>
      <c r="O76" s="202"/>
      <c r="P76" s="202"/>
      <c r="Q76" s="202"/>
      <c r="R76" s="165"/>
      <c r="S76" s="165"/>
      <c r="T76" s="165"/>
      <c r="U76" s="202"/>
      <c r="V76" s="204"/>
      <c r="W76" s="204"/>
      <c r="X76" s="179"/>
      <c r="Y76" s="179"/>
    </row>
    <row r="77" spans="1:25" ht="14.65" customHeight="1">
      <c r="A77" s="186" t="s">
        <v>202</v>
      </c>
      <c r="B77" s="186"/>
      <c r="C77">
        <v>27</v>
      </c>
      <c r="D77">
        <v>5</v>
      </c>
      <c r="E77">
        <v>24</v>
      </c>
      <c r="F77">
        <v>6</v>
      </c>
      <c r="G77">
        <v>23</v>
      </c>
      <c r="H77" t="s">
        <v>3</v>
      </c>
      <c r="I77" s="202">
        <v>24.974823065320802</v>
      </c>
      <c r="J77" s="165" t="s">
        <v>3</v>
      </c>
      <c r="K77" s="165"/>
      <c r="L77" s="179"/>
      <c r="M77" s="165"/>
      <c r="N77" s="179"/>
      <c r="O77" s="202"/>
      <c r="P77" s="202"/>
      <c r="Q77" s="202"/>
      <c r="R77" s="165"/>
      <c r="S77" s="165"/>
      <c r="T77" s="165"/>
      <c r="U77" s="202"/>
      <c r="V77" s="204"/>
      <c r="W77" s="204"/>
      <c r="X77" s="179"/>
      <c r="Y77" s="179"/>
    </row>
    <row r="78" spans="1:25" ht="14.65" customHeight="1">
      <c r="A78" s="186" t="s">
        <v>47</v>
      </c>
      <c r="B78" s="186"/>
      <c r="C78">
        <v>32</v>
      </c>
      <c r="D78">
        <v>10</v>
      </c>
      <c r="E78">
        <v>30</v>
      </c>
      <c r="F78">
        <v>13</v>
      </c>
      <c r="G78">
        <v>29</v>
      </c>
      <c r="H78">
        <v>15</v>
      </c>
      <c r="I78" s="202">
        <v>30.526290400385914</v>
      </c>
      <c r="J78" s="165">
        <v>12.420667159034958</v>
      </c>
      <c r="K78" s="165"/>
      <c r="L78" s="179"/>
      <c r="M78" s="165"/>
      <c r="N78" s="179"/>
      <c r="O78" s="202"/>
      <c r="P78" s="202"/>
      <c r="Q78" s="202"/>
      <c r="R78" s="165"/>
      <c r="S78" s="165"/>
      <c r="T78" s="165"/>
      <c r="U78" s="201"/>
      <c r="V78" s="166"/>
      <c r="W78" s="166"/>
      <c r="X78" s="179"/>
      <c r="Y78" s="179"/>
    </row>
    <row r="79" spans="1:25" ht="14.65" customHeight="1">
      <c r="A79" s="186" t="s">
        <v>265</v>
      </c>
      <c r="B79" s="186"/>
      <c r="C79">
        <v>9</v>
      </c>
      <c r="D79">
        <v>4</v>
      </c>
      <c r="E79">
        <v>11</v>
      </c>
      <c r="F79">
        <v>4</v>
      </c>
      <c r="G79">
        <v>10</v>
      </c>
      <c r="H79">
        <v>5</v>
      </c>
      <c r="I79" s="201">
        <v>9.7453703703703702</v>
      </c>
      <c r="J79" s="199">
        <v>4.2907075544569748</v>
      </c>
      <c r="K79" s="199"/>
      <c r="L79" s="179"/>
      <c r="M79" s="199"/>
      <c r="N79" s="179"/>
      <c r="O79" s="201"/>
      <c r="P79" s="201"/>
      <c r="Q79" s="201"/>
      <c r="R79" s="199"/>
      <c r="S79" s="199"/>
      <c r="T79" s="199"/>
      <c r="U79" s="201"/>
      <c r="V79" s="166"/>
      <c r="W79" s="166"/>
      <c r="X79" s="179"/>
      <c r="Y79" s="179"/>
    </row>
    <row r="80" spans="1:25" ht="14.65" customHeight="1">
      <c r="A80" s="186" t="s">
        <v>48</v>
      </c>
      <c r="B80" s="186"/>
      <c r="C80">
        <v>28</v>
      </c>
      <c r="D80">
        <v>22</v>
      </c>
      <c r="E80">
        <v>24</v>
      </c>
      <c r="F80">
        <v>13</v>
      </c>
      <c r="G80">
        <v>27</v>
      </c>
      <c r="H80">
        <v>14</v>
      </c>
      <c r="I80" s="202">
        <v>26.509331259720064</v>
      </c>
      <c r="J80" s="165">
        <v>16.304171570550544</v>
      </c>
      <c r="K80" s="165"/>
      <c r="L80" s="179"/>
      <c r="M80" s="165"/>
      <c r="N80" s="179"/>
      <c r="O80" s="202"/>
      <c r="P80" s="202"/>
      <c r="Q80" s="202"/>
      <c r="R80" s="165"/>
      <c r="S80" s="165"/>
      <c r="T80" s="165"/>
      <c r="U80" s="201"/>
      <c r="V80" s="166"/>
      <c r="W80" s="166"/>
      <c r="X80" s="179"/>
      <c r="Y80" s="179"/>
    </row>
    <row r="81" spans="1:25" ht="14.65" customHeight="1">
      <c r="A81" s="186" t="s">
        <v>49</v>
      </c>
      <c r="B81" s="186"/>
      <c r="C81">
        <v>31</v>
      </c>
      <c r="D81">
        <v>6</v>
      </c>
      <c r="E81">
        <v>31</v>
      </c>
      <c r="F81">
        <v>5</v>
      </c>
      <c r="G81">
        <v>28</v>
      </c>
      <c r="H81">
        <v>7</v>
      </c>
      <c r="I81" s="202">
        <v>30.150594451783356</v>
      </c>
      <c r="J81" s="165">
        <v>5.8639580004565168</v>
      </c>
      <c r="K81" s="165"/>
      <c r="L81" s="179"/>
      <c r="M81" s="165"/>
      <c r="N81" s="179"/>
      <c r="O81" s="202"/>
      <c r="P81" s="202"/>
      <c r="Q81" s="202"/>
      <c r="R81" s="165"/>
      <c r="S81" s="165"/>
      <c r="T81" s="165"/>
      <c r="U81" s="201"/>
      <c r="V81" s="166"/>
      <c r="W81" s="166"/>
      <c r="X81" s="179"/>
      <c r="Y81" s="179"/>
    </row>
    <row r="82" spans="1:25" ht="14.65" customHeight="1">
      <c r="A82" s="186" t="s">
        <v>266</v>
      </c>
      <c r="B82" s="186"/>
      <c r="C82">
        <v>34</v>
      </c>
      <c r="D82">
        <v>20</v>
      </c>
      <c r="E82">
        <v>47</v>
      </c>
      <c r="F82">
        <v>26</v>
      </c>
      <c r="G82">
        <v>46</v>
      </c>
      <c r="H82">
        <v>28</v>
      </c>
      <c r="I82" s="202">
        <v>41.596853490658802</v>
      </c>
      <c r="J82" s="165">
        <v>24.716486231199593</v>
      </c>
      <c r="K82" s="165"/>
      <c r="L82" s="179"/>
      <c r="M82" s="165"/>
      <c r="N82" s="179"/>
      <c r="O82" s="202"/>
      <c r="P82" s="202"/>
      <c r="Q82" s="202"/>
      <c r="R82" s="165"/>
      <c r="S82" s="165"/>
      <c r="T82" s="165"/>
      <c r="U82" s="201"/>
      <c r="V82" s="166"/>
      <c r="W82" s="166"/>
      <c r="X82" s="179"/>
      <c r="Y82" s="179"/>
    </row>
    <row r="83" spans="1:25" ht="14.65" customHeight="1">
      <c r="A83" s="186" t="s">
        <v>50</v>
      </c>
      <c r="B83" s="186"/>
      <c r="C83">
        <v>27</v>
      </c>
      <c r="D83">
        <v>8</v>
      </c>
      <c r="E83">
        <v>19</v>
      </c>
      <c r="F83">
        <v>5</v>
      </c>
      <c r="G83">
        <v>12</v>
      </c>
      <c r="H83">
        <v>3</v>
      </c>
      <c r="I83" s="202">
        <v>18.698259187620891</v>
      </c>
      <c r="J83" s="165">
        <v>5.5077096652877024</v>
      </c>
      <c r="K83" s="165"/>
      <c r="L83" s="179"/>
      <c r="M83" s="165"/>
      <c r="N83" s="179"/>
      <c r="O83" s="202"/>
      <c r="P83" s="202"/>
      <c r="Q83" s="202"/>
      <c r="R83" s="165"/>
      <c r="S83" s="165"/>
      <c r="T83" s="165"/>
      <c r="U83" s="201"/>
      <c r="V83" s="166"/>
      <c r="W83" s="166"/>
      <c r="X83" s="179"/>
      <c r="Y83" s="179"/>
    </row>
    <row r="84" spans="1:25" ht="14.65" customHeight="1">
      <c r="A84" s="186" t="s">
        <v>230</v>
      </c>
      <c r="B84" s="186"/>
      <c r="C84">
        <v>67</v>
      </c>
      <c r="D84">
        <v>11</v>
      </c>
      <c r="E84">
        <v>44</v>
      </c>
      <c r="F84">
        <v>10</v>
      </c>
      <c r="G84">
        <v>43</v>
      </c>
      <c r="H84">
        <v>10</v>
      </c>
      <c r="I84" s="202">
        <v>52.121362940275652</v>
      </c>
      <c r="J84" s="165">
        <v>10.197094697337345</v>
      </c>
      <c r="K84" s="165"/>
      <c r="L84" s="179"/>
      <c r="M84" s="165"/>
      <c r="N84" s="179"/>
      <c r="O84" s="202"/>
      <c r="P84" s="202"/>
      <c r="Q84" s="202"/>
      <c r="R84" s="165"/>
      <c r="S84" s="165"/>
      <c r="T84" s="165"/>
      <c r="U84" s="201"/>
      <c r="V84" s="166"/>
      <c r="W84" s="166"/>
      <c r="X84" s="179"/>
      <c r="Y84" s="179"/>
    </row>
    <row r="85" spans="1:25" ht="14.65" customHeight="1">
      <c r="A85" s="186" t="s">
        <v>51</v>
      </c>
      <c r="B85" s="186"/>
      <c r="C85">
        <v>12</v>
      </c>
      <c r="D85">
        <v>9</v>
      </c>
      <c r="E85">
        <v>13</v>
      </c>
      <c r="F85">
        <v>10</v>
      </c>
      <c r="G85">
        <v>14</v>
      </c>
      <c r="H85">
        <v>8</v>
      </c>
      <c r="I85" s="202">
        <v>12.938083121289228</v>
      </c>
      <c r="J85" s="165">
        <v>8.875171154723871</v>
      </c>
      <c r="K85" s="165"/>
      <c r="L85" s="179"/>
      <c r="M85" s="165"/>
      <c r="N85" s="179"/>
      <c r="O85" s="202"/>
      <c r="P85" s="202"/>
      <c r="Q85" s="202"/>
      <c r="R85" s="165"/>
      <c r="S85" s="165"/>
      <c r="T85" s="165"/>
      <c r="U85" s="201"/>
      <c r="V85" s="166"/>
      <c r="W85" s="166"/>
      <c r="X85" s="179"/>
      <c r="Y85" s="179"/>
    </row>
    <row r="86" spans="1:25" ht="14.65" customHeight="1">
      <c r="A86" s="186" t="s">
        <v>231</v>
      </c>
      <c r="B86" s="186"/>
      <c r="C86">
        <v>14</v>
      </c>
      <c r="D86">
        <v>17</v>
      </c>
      <c r="E86">
        <v>15</v>
      </c>
      <c r="F86">
        <v>19</v>
      </c>
      <c r="G86">
        <v>16</v>
      </c>
      <c r="H86">
        <v>22</v>
      </c>
      <c r="I86" s="202">
        <v>15.248661620823334</v>
      </c>
      <c r="J86" s="165">
        <v>19.44199487298998</v>
      </c>
      <c r="K86" s="165"/>
      <c r="L86" s="179"/>
      <c r="M86" s="165"/>
      <c r="N86" s="179"/>
      <c r="O86" s="202"/>
      <c r="P86" s="202"/>
      <c r="Q86" s="202"/>
      <c r="R86" s="165"/>
      <c r="S86" s="165"/>
      <c r="T86" s="165"/>
      <c r="U86" s="202"/>
      <c r="V86" s="204"/>
      <c r="W86" s="204"/>
      <c r="X86" s="179"/>
      <c r="Y86" s="179"/>
    </row>
    <row r="87" spans="1:25" ht="14.65" customHeight="1">
      <c r="A87" s="186" t="s">
        <v>203</v>
      </c>
      <c r="B87" s="186"/>
      <c r="C87">
        <v>24</v>
      </c>
      <c r="D87">
        <v>14</v>
      </c>
      <c r="E87">
        <v>22</v>
      </c>
      <c r="F87">
        <v>13</v>
      </c>
      <c r="G87">
        <v>18</v>
      </c>
      <c r="H87">
        <v>12</v>
      </c>
      <c r="I87" s="202">
        <v>21.138190954773869</v>
      </c>
      <c r="J87" s="165">
        <v>13.233712992175107</v>
      </c>
      <c r="K87" s="165"/>
      <c r="L87" s="179"/>
      <c r="M87" s="165"/>
      <c r="N87" s="179"/>
      <c r="O87" s="202"/>
      <c r="P87" s="202"/>
      <c r="Q87" s="202"/>
      <c r="R87" s="165"/>
      <c r="S87" s="165"/>
      <c r="T87" s="165"/>
      <c r="U87" s="201"/>
      <c r="V87" s="166"/>
      <c r="W87" s="166"/>
      <c r="X87" s="179"/>
      <c r="Y87" s="179"/>
    </row>
    <row r="88" spans="1:25" ht="14.65" customHeight="1">
      <c r="A88" s="186" t="s">
        <v>52</v>
      </c>
      <c r="B88" s="186"/>
      <c r="C88">
        <v>17</v>
      </c>
      <c r="D88">
        <v>8</v>
      </c>
      <c r="E88">
        <v>22</v>
      </c>
      <c r="F88">
        <v>8</v>
      </c>
      <c r="G88">
        <v>15</v>
      </c>
      <c r="H88">
        <v>7</v>
      </c>
      <c r="I88" s="202">
        <v>17.977202072538859</v>
      </c>
      <c r="J88" s="165">
        <v>7.6954360596475375</v>
      </c>
      <c r="K88" s="165"/>
      <c r="L88" s="179"/>
      <c r="M88" s="165"/>
      <c r="N88" s="179"/>
      <c r="O88" s="202"/>
      <c r="P88" s="202"/>
      <c r="Q88" s="202"/>
      <c r="R88" s="165"/>
      <c r="S88" s="165"/>
      <c r="T88" s="165"/>
      <c r="U88" s="201"/>
      <c r="V88" s="166"/>
      <c r="W88" s="166"/>
      <c r="X88" s="179"/>
      <c r="Y88" s="179"/>
    </row>
    <row r="89" spans="1:25" ht="14.65" customHeight="1">
      <c r="A89" s="186" t="s">
        <v>53</v>
      </c>
      <c r="B89" s="186"/>
      <c r="C89">
        <v>15</v>
      </c>
      <c r="D89">
        <v>7</v>
      </c>
      <c r="E89">
        <v>12</v>
      </c>
      <c r="F89">
        <v>6</v>
      </c>
      <c r="G89">
        <v>11</v>
      </c>
      <c r="H89">
        <v>5</v>
      </c>
      <c r="I89" s="202">
        <v>12.411464968152867</v>
      </c>
      <c r="J89" s="165">
        <v>5.8923516512725094</v>
      </c>
      <c r="K89" s="165"/>
      <c r="L89" s="179"/>
      <c r="M89" s="165"/>
      <c r="N89" s="179"/>
      <c r="O89" s="202"/>
      <c r="P89" s="202"/>
      <c r="Q89" s="202"/>
      <c r="R89" s="165"/>
      <c r="S89" s="165"/>
      <c r="T89" s="165"/>
      <c r="U89" s="201"/>
      <c r="V89" s="166"/>
      <c r="W89" s="166"/>
      <c r="X89" s="179"/>
      <c r="Y89" s="179"/>
    </row>
    <row r="90" spans="1:25" ht="14.65" customHeight="1">
      <c r="A90" s="186" t="s">
        <v>54</v>
      </c>
      <c r="B90" s="186"/>
      <c r="C90">
        <v>23</v>
      </c>
      <c r="D90">
        <v>11</v>
      </c>
      <c r="E90">
        <v>20</v>
      </c>
      <c r="F90">
        <v>10</v>
      </c>
      <c r="G90">
        <v>19</v>
      </c>
      <c r="H90">
        <v>11</v>
      </c>
      <c r="I90" s="202">
        <v>20.784075573549259</v>
      </c>
      <c r="J90" s="165">
        <v>10.780691092203508</v>
      </c>
      <c r="K90" s="165"/>
      <c r="L90" s="179"/>
      <c r="M90" s="165"/>
      <c r="N90" s="179"/>
      <c r="O90" s="202"/>
      <c r="P90" s="202"/>
      <c r="Q90" s="202"/>
      <c r="R90" s="165"/>
      <c r="S90" s="165"/>
      <c r="T90" s="165"/>
      <c r="U90" s="202"/>
      <c r="V90" s="204"/>
      <c r="W90" s="204"/>
      <c r="X90" s="179"/>
      <c r="Y90" s="179"/>
    </row>
    <row r="91" spans="1:25" ht="14.65" customHeight="1">
      <c r="A91" s="186" t="s">
        <v>55</v>
      </c>
      <c r="B91" s="186"/>
      <c r="C91">
        <v>26</v>
      </c>
      <c r="D91">
        <v>9</v>
      </c>
      <c r="E91">
        <v>20</v>
      </c>
      <c r="F91">
        <v>8</v>
      </c>
      <c r="G91">
        <v>24</v>
      </c>
      <c r="H91">
        <v>6</v>
      </c>
      <c r="I91" s="202">
        <v>23.588682432432432</v>
      </c>
      <c r="J91" s="165">
        <v>7.5689301416707373</v>
      </c>
      <c r="K91" s="165"/>
      <c r="L91" s="179"/>
      <c r="M91" s="165"/>
      <c r="N91" s="179"/>
      <c r="O91" s="202"/>
      <c r="P91" s="202"/>
      <c r="Q91" s="202"/>
      <c r="R91" s="165"/>
      <c r="S91" s="165"/>
      <c r="T91" s="165"/>
      <c r="U91" s="201"/>
      <c r="V91" s="166"/>
      <c r="W91" s="166"/>
      <c r="X91" s="179"/>
      <c r="Y91" s="179"/>
    </row>
    <row r="92" spans="1:25" ht="14.65" customHeight="1">
      <c r="A92" s="186" t="s">
        <v>56</v>
      </c>
      <c r="B92" s="186"/>
      <c r="C92">
        <v>29</v>
      </c>
      <c r="D92">
        <v>9</v>
      </c>
      <c r="E92">
        <v>25</v>
      </c>
      <c r="F92">
        <v>17</v>
      </c>
      <c r="G92">
        <v>19</v>
      </c>
      <c r="H92">
        <v>10</v>
      </c>
      <c r="I92" s="202">
        <v>24.404240282685514</v>
      </c>
      <c r="J92" s="165">
        <v>12.146105220228385</v>
      </c>
      <c r="K92" s="165"/>
      <c r="L92" s="179"/>
      <c r="M92" s="165"/>
      <c r="N92" s="179"/>
      <c r="O92" s="202"/>
      <c r="P92" s="202"/>
      <c r="Q92" s="202"/>
      <c r="R92" s="165"/>
      <c r="S92" s="165"/>
      <c r="T92" s="165"/>
      <c r="U92" s="201"/>
      <c r="V92" s="166"/>
      <c r="W92" s="166"/>
      <c r="X92" s="179"/>
      <c r="Y92" s="179"/>
    </row>
    <row r="93" spans="1:25" ht="14.65" customHeight="1">
      <c r="A93" s="186" t="s">
        <v>57</v>
      </c>
      <c r="B93" s="186"/>
      <c r="C93">
        <v>17</v>
      </c>
      <c r="D93">
        <v>21</v>
      </c>
      <c r="E93">
        <v>17</v>
      </c>
      <c r="F93">
        <v>18</v>
      </c>
      <c r="G93">
        <v>21</v>
      </c>
      <c r="H93">
        <v>14</v>
      </c>
      <c r="I93" s="202">
        <v>18.433233147273508</v>
      </c>
      <c r="J93" s="165">
        <v>17.770309254558043</v>
      </c>
      <c r="K93" s="165"/>
      <c r="L93" s="179"/>
      <c r="M93" s="165"/>
      <c r="N93" s="179"/>
      <c r="O93" s="202"/>
      <c r="P93" s="202"/>
      <c r="Q93" s="202"/>
      <c r="R93" s="165"/>
      <c r="S93" s="165"/>
      <c r="T93" s="165"/>
      <c r="U93" s="201"/>
      <c r="V93" s="166"/>
      <c r="W93" s="166"/>
      <c r="X93" s="179"/>
      <c r="Y93" s="179"/>
    </row>
    <row r="94" spans="1:25" ht="14.65" customHeight="1">
      <c r="A94" s="186" t="s">
        <v>58</v>
      </c>
      <c r="B94" s="186"/>
      <c r="C94">
        <v>30</v>
      </c>
      <c r="D94">
        <v>12</v>
      </c>
      <c r="E94">
        <v>42</v>
      </c>
      <c r="F94">
        <v>14</v>
      </c>
      <c r="G94">
        <v>41</v>
      </c>
      <c r="H94">
        <v>20</v>
      </c>
      <c r="I94" s="202">
        <v>36.822080291970806</v>
      </c>
      <c r="J94" s="165">
        <v>14.9402025397846</v>
      </c>
      <c r="K94" s="165"/>
      <c r="L94" s="179"/>
      <c r="M94" s="165"/>
      <c r="N94" s="179"/>
      <c r="O94" s="202"/>
      <c r="P94" s="202"/>
      <c r="Q94" s="202"/>
      <c r="R94" s="165"/>
      <c r="S94" s="165"/>
      <c r="T94" s="165"/>
      <c r="U94" s="201"/>
      <c r="V94" s="166"/>
      <c r="W94" s="166"/>
      <c r="X94" s="179"/>
      <c r="Y94" s="179"/>
    </row>
    <row r="95" spans="1:25" ht="14.65" customHeight="1">
      <c r="A95" s="186" t="s">
        <v>268</v>
      </c>
      <c r="B95" s="186"/>
      <c r="C95">
        <v>14</v>
      </c>
      <c r="D95">
        <v>8</v>
      </c>
      <c r="E95">
        <v>17</v>
      </c>
      <c r="F95">
        <v>8</v>
      </c>
      <c r="G95">
        <v>20</v>
      </c>
      <c r="H95">
        <v>10</v>
      </c>
      <c r="I95" s="202">
        <v>17.374217231699419</v>
      </c>
      <c r="J95" s="165">
        <v>8.6128108239882977</v>
      </c>
      <c r="K95" s="165"/>
      <c r="L95" s="179"/>
      <c r="M95" s="165"/>
      <c r="N95" s="179"/>
      <c r="O95" s="202"/>
      <c r="P95" s="202"/>
      <c r="Q95" s="202"/>
      <c r="R95" s="165"/>
      <c r="S95" s="165"/>
      <c r="T95" s="165"/>
      <c r="U95" s="201"/>
      <c r="V95" s="166"/>
      <c r="W95" s="166"/>
      <c r="X95" s="179"/>
      <c r="Y95" s="179"/>
    </row>
    <row r="96" spans="1:25" ht="14.65" customHeight="1">
      <c r="A96" s="186" t="s">
        <v>59</v>
      </c>
      <c r="B96" s="186"/>
      <c r="C96">
        <v>28</v>
      </c>
      <c r="D96">
        <v>10</v>
      </c>
      <c r="E96">
        <v>24</v>
      </c>
      <c r="F96">
        <v>12</v>
      </c>
      <c r="G96">
        <v>21</v>
      </c>
      <c r="H96">
        <v>10</v>
      </c>
      <c r="I96" s="202">
        <v>24.577826324412889</v>
      </c>
      <c r="J96" s="165">
        <v>10.534124404806892</v>
      </c>
      <c r="K96" s="165"/>
      <c r="L96" s="179"/>
      <c r="M96" s="165"/>
      <c r="N96" s="179"/>
      <c r="O96" s="202"/>
      <c r="P96" s="202"/>
      <c r="Q96" s="202"/>
      <c r="R96" s="165"/>
      <c r="S96" s="165"/>
      <c r="T96" s="165"/>
      <c r="U96" s="201"/>
      <c r="V96" s="166"/>
      <c r="W96" s="166"/>
      <c r="X96" s="179"/>
      <c r="Y96" s="179"/>
    </row>
    <row r="97" spans="1:25" ht="14.65" customHeight="1">
      <c r="A97" s="186" t="s">
        <v>60</v>
      </c>
      <c r="B97" s="186"/>
      <c r="C97">
        <v>22</v>
      </c>
      <c r="D97">
        <v>6</v>
      </c>
      <c r="E97">
        <v>21</v>
      </c>
      <c r="F97">
        <v>6</v>
      </c>
      <c r="G97">
        <v>20</v>
      </c>
      <c r="H97">
        <v>8</v>
      </c>
      <c r="I97" s="202">
        <v>21.10961145194274</v>
      </c>
      <c r="J97" s="165">
        <v>6.5642955581469309</v>
      </c>
      <c r="K97" s="165"/>
      <c r="L97" s="179"/>
      <c r="M97" s="165"/>
      <c r="N97" s="179"/>
      <c r="O97" s="202"/>
      <c r="P97" s="202"/>
      <c r="Q97" s="202"/>
      <c r="R97" s="165"/>
      <c r="S97" s="165"/>
      <c r="T97" s="165"/>
      <c r="U97" s="201"/>
      <c r="V97" s="166"/>
      <c r="W97" s="166"/>
      <c r="X97" s="179"/>
      <c r="Y97" s="179"/>
    </row>
    <row r="98" spans="1:25" ht="14.65" customHeight="1">
      <c r="A98" s="186" t="s">
        <v>61</v>
      </c>
      <c r="B98" s="186"/>
      <c r="C98">
        <v>17</v>
      </c>
      <c r="D98">
        <v>3</v>
      </c>
      <c r="E98">
        <v>14</v>
      </c>
      <c r="F98">
        <v>3</v>
      </c>
      <c r="G98">
        <v>16</v>
      </c>
      <c r="H98">
        <v>3</v>
      </c>
      <c r="I98" s="202">
        <v>15.339689265536723</v>
      </c>
      <c r="J98" s="165">
        <v>3.1177568257709685</v>
      </c>
      <c r="K98" s="165"/>
      <c r="L98" s="179"/>
      <c r="M98" s="165"/>
      <c r="N98" s="179"/>
      <c r="O98" s="202"/>
      <c r="P98" s="202"/>
      <c r="Q98" s="202"/>
      <c r="R98" s="165"/>
      <c r="S98" s="165"/>
      <c r="T98" s="165"/>
      <c r="U98" s="201"/>
      <c r="V98" s="166"/>
      <c r="W98" s="166"/>
      <c r="X98" s="179"/>
      <c r="Y98" s="179"/>
    </row>
    <row r="99" spans="1:25" ht="14.65" customHeight="1">
      <c r="A99" s="186" t="s">
        <v>62</v>
      </c>
      <c r="B99" s="186"/>
      <c r="C99">
        <v>29</v>
      </c>
      <c r="D99">
        <v>17</v>
      </c>
      <c r="E99">
        <v>21</v>
      </c>
      <c r="F99">
        <v>11</v>
      </c>
      <c r="G99">
        <v>22</v>
      </c>
      <c r="H99">
        <v>12</v>
      </c>
      <c r="I99" s="202">
        <v>24.204158790170133</v>
      </c>
      <c r="J99" s="165">
        <v>13.422516900676028</v>
      </c>
      <c r="K99" s="165"/>
      <c r="L99" s="179"/>
      <c r="M99" s="165"/>
      <c r="N99" s="179"/>
      <c r="O99" s="202"/>
      <c r="P99" s="202"/>
      <c r="Q99" s="202"/>
      <c r="R99" s="165"/>
      <c r="S99" s="165"/>
      <c r="T99" s="165"/>
      <c r="U99" s="201"/>
      <c r="V99" s="166"/>
      <c r="W99" s="166"/>
      <c r="X99" s="179"/>
      <c r="Y99" s="179"/>
    </row>
    <row r="100" spans="1:25" ht="14.65" customHeight="1">
      <c r="A100" s="186" t="s">
        <v>63</v>
      </c>
      <c r="B100" s="186"/>
      <c r="C100">
        <v>15</v>
      </c>
      <c r="D100">
        <v>9</v>
      </c>
      <c r="E100">
        <v>13</v>
      </c>
      <c r="F100">
        <v>12</v>
      </c>
      <c r="G100">
        <v>11</v>
      </c>
      <c r="H100">
        <v>7</v>
      </c>
      <c r="I100" s="202">
        <v>13.110659898477158</v>
      </c>
      <c r="J100" s="165">
        <v>9.3882978723404253</v>
      </c>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23</v>
      </c>
      <c r="D101">
        <v>7</v>
      </c>
      <c r="E101">
        <v>27</v>
      </c>
      <c r="F101">
        <v>7</v>
      </c>
      <c r="G101">
        <v>22</v>
      </c>
      <c r="H101">
        <v>8</v>
      </c>
      <c r="I101" s="202">
        <v>23.69736842105263</v>
      </c>
      <c r="J101" s="165">
        <v>7.5984634330655769</v>
      </c>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29</v>
      </c>
      <c r="D102">
        <v>10</v>
      </c>
      <c r="E102">
        <v>27</v>
      </c>
      <c r="F102">
        <v>8</v>
      </c>
      <c r="G102">
        <v>19</v>
      </c>
      <c r="H102">
        <v>8</v>
      </c>
      <c r="I102" s="202">
        <v>24.984389348025712</v>
      </c>
      <c r="J102" s="165">
        <v>8.6700688637481562</v>
      </c>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45</v>
      </c>
      <c r="D103">
        <v>8</v>
      </c>
      <c r="E103">
        <v>52</v>
      </c>
      <c r="F103">
        <v>15</v>
      </c>
      <c r="G103">
        <v>33</v>
      </c>
      <c r="H103">
        <v>19</v>
      </c>
      <c r="I103" s="202">
        <v>43.381355932203391</v>
      </c>
      <c r="J103" s="165">
        <v>13.91490329920364</v>
      </c>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18</v>
      </c>
      <c r="D104">
        <v>7</v>
      </c>
      <c r="E104">
        <v>20</v>
      </c>
      <c r="F104">
        <v>7</v>
      </c>
      <c r="G104">
        <v>21</v>
      </c>
      <c r="H104">
        <v>10</v>
      </c>
      <c r="I104" s="202">
        <v>19.463005780346819</v>
      </c>
      <c r="J104" s="165">
        <v>8.0555676935401639</v>
      </c>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18</v>
      </c>
      <c r="D105">
        <v>19</v>
      </c>
      <c r="E105">
        <v>19</v>
      </c>
      <c r="F105">
        <v>16</v>
      </c>
      <c r="G105">
        <v>17</v>
      </c>
      <c r="H105">
        <v>10</v>
      </c>
      <c r="I105" s="202">
        <v>18.244360902255639</v>
      </c>
      <c r="J105" s="165">
        <v>15.262629533678757</v>
      </c>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20</v>
      </c>
      <c r="D106">
        <v>6</v>
      </c>
      <c r="E106">
        <v>20</v>
      </c>
      <c r="F106">
        <v>5</v>
      </c>
      <c r="G106">
        <v>20</v>
      </c>
      <c r="H106">
        <v>6</v>
      </c>
      <c r="I106" s="202">
        <v>20.113508442776734</v>
      </c>
      <c r="J106" s="165">
        <v>5.8078495502861811</v>
      </c>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27</v>
      </c>
      <c r="D107">
        <v>9</v>
      </c>
      <c r="E107">
        <v>22</v>
      </c>
      <c r="F107">
        <v>8</v>
      </c>
      <c r="G107">
        <v>20</v>
      </c>
      <c r="H107">
        <v>7</v>
      </c>
      <c r="I107" s="202">
        <v>22.744161358811041</v>
      </c>
      <c r="J107" s="165">
        <v>7.918835424077888</v>
      </c>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16</v>
      </c>
      <c r="D108">
        <v>6</v>
      </c>
      <c r="E108">
        <v>21</v>
      </c>
      <c r="F108">
        <v>7</v>
      </c>
      <c r="G108">
        <v>14</v>
      </c>
      <c r="H108">
        <v>6</v>
      </c>
      <c r="I108" s="202">
        <v>16.835714285714285</v>
      </c>
      <c r="J108" s="165">
        <v>6.2904164115125534</v>
      </c>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10</v>
      </c>
      <c r="D109">
        <v>11</v>
      </c>
      <c r="E109">
        <v>20</v>
      </c>
      <c r="F109">
        <v>9</v>
      </c>
      <c r="G109">
        <v>19</v>
      </c>
      <c r="H109">
        <v>9</v>
      </c>
      <c r="I109" s="202">
        <v>15.048377219840784</v>
      </c>
      <c r="J109" s="165">
        <v>9.7873269302731689</v>
      </c>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18</v>
      </c>
      <c r="D110">
        <v>10</v>
      </c>
      <c r="E110">
        <v>19</v>
      </c>
      <c r="F110">
        <v>20</v>
      </c>
      <c r="G110">
        <v>19</v>
      </c>
      <c r="H110">
        <v>23</v>
      </c>
      <c r="I110" s="202">
        <v>18.64</v>
      </c>
      <c r="J110" s="165">
        <v>17.788815512153999</v>
      </c>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27</v>
      </c>
      <c r="D111">
        <v>8</v>
      </c>
      <c r="E111">
        <v>27</v>
      </c>
      <c r="F111">
        <v>10</v>
      </c>
      <c r="G111">
        <v>30</v>
      </c>
      <c r="H111">
        <v>9</v>
      </c>
      <c r="I111" s="202">
        <v>28.025072324011571</v>
      </c>
      <c r="J111" s="165">
        <v>8.9474881015335797</v>
      </c>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14</v>
      </c>
      <c r="D112">
        <v>4</v>
      </c>
      <c r="E112">
        <v>11</v>
      </c>
      <c r="F112">
        <v>3</v>
      </c>
      <c r="G112">
        <v>10</v>
      </c>
      <c r="H112">
        <v>3</v>
      </c>
      <c r="I112" s="202">
        <v>11.822631913541004</v>
      </c>
      <c r="J112" s="165">
        <v>3.2767172704043288</v>
      </c>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16</v>
      </c>
      <c r="D113">
        <v>12</v>
      </c>
      <c r="E113">
        <v>17</v>
      </c>
      <c r="F113">
        <v>8</v>
      </c>
      <c r="G113">
        <v>21</v>
      </c>
      <c r="H113">
        <v>8</v>
      </c>
      <c r="I113" s="202">
        <v>17.405156537753221</v>
      </c>
      <c r="J113" s="165">
        <v>9.4568733812246499</v>
      </c>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15</v>
      </c>
      <c r="D114">
        <v>8</v>
      </c>
      <c r="E114">
        <v>14</v>
      </c>
      <c r="F114">
        <v>5</v>
      </c>
      <c r="G114">
        <v>15</v>
      </c>
      <c r="H114">
        <v>8</v>
      </c>
      <c r="I114" s="202">
        <v>14.694763729246487</v>
      </c>
      <c r="J114" s="165">
        <v>6.994418039128993</v>
      </c>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29</v>
      </c>
      <c r="D115">
        <v>10</v>
      </c>
      <c r="E115">
        <v>27</v>
      </c>
      <c r="F115">
        <v>10</v>
      </c>
      <c r="G115">
        <v>18</v>
      </c>
      <c r="H115">
        <v>8</v>
      </c>
      <c r="I115" s="202">
        <v>24.374687343671837</v>
      </c>
      <c r="J115" s="165">
        <v>9.3264912678611935</v>
      </c>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25</v>
      </c>
      <c r="D116">
        <v>14</v>
      </c>
      <c r="E116">
        <v>29</v>
      </c>
      <c r="F116">
        <v>15</v>
      </c>
      <c r="G116">
        <v>29</v>
      </c>
      <c r="H116">
        <v>17</v>
      </c>
      <c r="I116" s="202">
        <v>27.672868741542626</v>
      </c>
      <c r="J116" s="165">
        <v>15.011040061212221</v>
      </c>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44</v>
      </c>
      <c r="D117">
        <v>25</v>
      </c>
      <c r="E117">
        <v>43</v>
      </c>
      <c r="F117">
        <v>39</v>
      </c>
      <c r="G117">
        <v>34</v>
      </c>
      <c r="H117">
        <v>54</v>
      </c>
      <c r="I117" s="202">
        <v>40.681729518855654</v>
      </c>
      <c r="J117" s="165">
        <v>38.877655012360627</v>
      </c>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19</v>
      </c>
      <c r="D118">
        <v>7</v>
      </c>
      <c r="E118">
        <v>18</v>
      </c>
      <c r="F118">
        <v>6</v>
      </c>
      <c r="G118">
        <v>21</v>
      </c>
      <c r="H118">
        <v>6</v>
      </c>
      <c r="I118" s="202">
        <v>19.310006138735421</v>
      </c>
      <c r="J118" s="165">
        <v>6.3522691949020826</v>
      </c>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19</v>
      </c>
      <c r="D119">
        <v>14</v>
      </c>
      <c r="E119">
        <v>21</v>
      </c>
      <c r="F119">
        <v>15</v>
      </c>
      <c r="G119">
        <v>19</v>
      </c>
      <c r="H119">
        <v>18</v>
      </c>
      <c r="I119" s="202">
        <v>19.615512235586895</v>
      </c>
      <c r="J119" s="165">
        <v>15.719092765230053</v>
      </c>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15</v>
      </c>
      <c r="D120">
        <v>3</v>
      </c>
      <c r="E120">
        <v>15</v>
      </c>
      <c r="F120">
        <v>3</v>
      </c>
      <c r="G120">
        <v>14</v>
      </c>
      <c r="H120">
        <v>3</v>
      </c>
      <c r="I120" s="201">
        <v>14.728548516439455</v>
      </c>
      <c r="J120" s="199">
        <v>3.1694184735760227</v>
      </c>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33</v>
      </c>
      <c r="D121">
        <v>17</v>
      </c>
      <c r="E121">
        <v>25</v>
      </c>
      <c r="F121">
        <v>21</v>
      </c>
      <c r="G121">
        <v>19</v>
      </c>
      <c r="H121">
        <v>12</v>
      </c>
      <c r="I121" s="202">
        <v>26.191278493557977</v>
      </c>
      <c r="J121" s="165">
        <v>17.276559422193039</v>
      </c>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27</v>
      </c>
      <c r="D122">
        <v>21</v>
      </c>
      <c r="E122">
        <v>29</v>
      </c>
      <c r="F122">
        <v>30</v>
      </c>
      <c r="G122">
        <v>33</v>
      </c>
      <c r="H122">
        <v>24</v>
      </c>
      <c r="I122" s="202">
        <v>29.43166520339479</v>
      </c>
      <c r="J122" s="165">
        <v>24.84086653415147</v>
      </c>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24</v>
      </c>
      <c r="D123">
        <v>14</v>
      </c>
      <c r="E123">
        <v>17</v>
      </c>
      <c r="F123">
        <v>9</v>
      </c>
      <c r="G123">
        <v>17</v>
      </c>
      <c r="H123">
        <v>9</v>
      </c>
      <c r="I123" s="202">
        <v>19.434359805510535</v>
      </c>
      <c r="J123" s="165">
        <v>10.515345982142858</v>
      </c>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46</v>
      </c>
      <c r="D124">
        <v>13</v>
      </c>
      <c r="E124">
        <v>46</v>
      </c>
      <c r="F124">
        <v>15</v>
      </c>
      <c r="G124">
        <v>33</v>
      </c>
      <c r="H124">
        <v>19</v>
      </c>
      <c r="I124" s="202">
        <v>41.046362784889169</v>
      </c>
      <c r="J124" s="165">
        <v>15.444855463008329</v>
      </c>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20</v>
      </c>
      <c r="D125">
        <v>15</v>
      </c>
      <c r="E125">
        <v>22</v>
      </c>
      <c r="F125">
        <v>11</v>
      </c>
      <c r="G125">
        <v>20</v>
      </c>
      <c r="H125">
        <v>13</v>
      </c>
      <c r="I125" s="202">
        <v>20.77685492801772</v>
      </c>
      <c r="J125" s="165">
        <v>13.122935899102847</v>
      </c>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26</v>
      </c>
      <c r="D126">
        <v>7</v>
      </c>
      <c r="E126">
        <v>26</v>
      </c>
      <c r="F126">
        <v>7</v>
      </c>
      <c r="G126">
        <v>27</v>
      </c>
      <c r="H126">
        <v>7</v>
      </c>
      <c r="I126" s="202">
        <v>26.305970149253731</v>
      </c>
      <c r="J126" s="165">
        <v>6.726556253569389</v>
      </c>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21</v>
      </c>
      <c r="D127">
        <v>9</v>
      </c>
      <c r="E127">
        <v>20</v>
      </c>
      <c r="F127">
        <v>8</v>
      </c>
      <c r="G127">
        <v>21</v>
      </c>
      <c r="H127">
        <v>11</v>
      </c>
      <c r="I127" s="202">
        <v>20.648584905660378</v>
      </c>
      <c r="J127" s="165">
        <v>9.1259549516533696</v>
      </c>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21</v>
      </c>
      <c r="D128">
        <v>8</v>
      </c>
      <c r="E128">
        <v>20</v>
      </c>
      <c r="F128">
        <v>14</v>
      </c>
      <c r="G128">
        <v>20</v>
      </c>
      <c r="H128">
        <v>11</v>
      </c>
      <c r="I128" s="202">
        <v>20.490530303030305</v>
      </c>
      <c r="J128" s="165">
        <v>10.71773612112473</v>
      </c>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19</v>
      </c>
      <c r="D129">
        <v>11</v>
      </c>
      <c r="E129">
        <v>19</v>
      </c>
      <c r="F129">
        <v>9</v>
      </c>
      <c r="G129">
        <v>21</v>
      </c>
      <c r="H129">
        <v>10</v>
      </c>
      <c r="I129" s="202">
        <v>19.727807971014492</v>
      </c>
      <c r="J129" s="165">
        <v>10.064564705882352</v>
      </c>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13</v>
      </c>
      <c r="D130">
        <v>5</v>
      </c>
      <c r="E130">
        <v>12</v>
      </c>
      <c r="F130">
        <v>4</v>
      </c>
      <c r="G130">
        <v>10</v>
      </c>
      <c r="H130">
        <v>5</v>
      </c>
      <c r="I130" s="202">
        <v>11.705307855626327</v>
      </c>
      <c r="J130" s="165">
        <v>4.7199638663053296</v>
      </c>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14</v>
      </c>
      <c r="D131">
        <v>8</v>
      </c>
      <c r="E131">
        <v>16</v>
      </c>
      <c r="F131">
        <v>8</v>
      </c>
      <c r="G131">
        <v>16</v>
      </c>
      <c r="H131">
        <v>7</v>
      </c>
      <c r="I131" s="202">
        <v>15.185444366689993</v>
      </c>
      <c r="J131" s="165">
        <v>7.5304567004741045</v>
      </c>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41</v>
      </c>
      <c r="D132">
        <v>19</v>
      </c>
      <c r="E132">
        <v>29</v>
      </c>
      <c r="F132">
        <v>13</v>
      </c>
      <c r="G132">
        <v>21</v>
      </c>
      <c r="H132">
        <v>15</v>
      </c>
      <c r="I132" s="202">
        <v>30.001769285208777</v>
      </c>
      <c r="J132" s="165">
        <v>15.652252923908485</v>
      </c>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11</v>
      </c>
      <c r="D133">
        <v>12</v>
      </c>
      <c r="E133">
        <v>13</v>
      </c>
      <c r="F133">
        <v>14</v>
      </c>
      <c r="G133">
        <v>11</v>
      </c>
      <c r="H133">
        <v>8</v>
      </c>
      <c r="I133" s="202">
        <v>11.965137614678898</v>
      </c>
      <c r="J133" s="165">
        <v>11.414323784143905</v>
      </c>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15</v>
      </c>
      <c r="D134">
        <v>7</v>
      </c>
      <c r="E134">
        <v>18</v>
      </c>
      <c r="F134">
        <v>8</v>
      </c>
      <c r="G134">
        <v>16</v>
      </c>
      <c r="H134">
        <v>7</v>
      </c>
      <c r="I134" s="202">
        <v>16.370103916866508</v>
      </c>
      <c r="J134" s="165">
        <v>7.2144700880655934</v>
      </c>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21</v>
      </c>
      <c r="D135">
        <v>8</v>
      </c>
      <c r="E135">
        <v>17</v>
      </c>
      <c r="F135">
        <v>7</v>
      </c>
      <c r="G135">
        <v>17</v>
      </c>
      <c r="H135">
        <v>8</v>
      </c>
      <c r="I135" s="202">
        <v>18.285256410256409</v>
      </c>
      <c r="J135" s="165">
        <v>7.6519780219780218</v>
      </c>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12</v>
      </c>
      <c r="D136">
        <v>7</v>
      </c>
      <c r="E136">
        <v>9</v>
      </c>
      <c r="F136">
        <v>7</v>
      </c>
      <c r="G136">
        <v>10</v>
      </c>
      <c r="H136">
        <v>9</v>
      </c>
      <c r="I136" s="202">
        <v>10.019679633867277</v>
      </c>
      <c r="J136" s="165">
        <v>7.8255889579418989</v>
      </c>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21</v>
      </c>
      <c r="D137">
        <v>13</v>
      </c>
      <c r="E137">
        <v>18</v>
      </c>
      <c r="F137">
        <v>10</v>
      </c>
      <c r="G137">
        <v>16</v>
      </c>
      <c r="H137">
        <v>9</v>
      </c>
      <c r="I137" s="202">
        <v>18.016201620162015</v>
      </c>
      <c r="J137" s="165">
        <v>10.675380228136882</v>
      </c>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18</v>
      </c>
      <c r="D138">
        <v>15</v>
      </c>
      <c r="E138">
        <v>16</v>
      </c>
      <c r="F138">
        <v>9</v>
      </c>
      <c r="G138">
        <v>15</v>
      </c>
      <c r="H138">
        <v>12</v>
      </c>
      <c r="I138" s="202">
        <v>16.537037037037038</v>
      </c>
      <c r="J138" s="165">
        <v>11.401264866905796</v>
      </c>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18</v>
      </c>
      <c r="D139">
        <v>7</v>
      </c>
      <c r="E139">
        <v>23</v>
      </c>
      <c r="F139">
        <v>7</v>
      </c>
      <c r="G139">
        <v>20</v>
      </c>
      <c r="H139">
        <v>8</v>
      </c>
      <c r="I139" s="202">
        <v>20.508084718742882</v>
      </c>
      <c r="J139" s="165">
        <v>7.3441410300725893</v>
      </c>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27</v>
      </c>
      <c r="D140">
        <v>9</v>
      </c>
      <c r="E140">
        <v>23</v>
      </c>
      <c r="F140">
        <v>6</v>
      </c>
      <c r="G140">
        <v>24</v>
      </c>
      <c r="H140">
        <v>8</v>
      </c>
      <c r="I140" s="202">
        <v>24.682755388940954</v>
      </c>
      <c r="J140" s="165">
        <v>7.5115668375640867</v>
      </c>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v>19</v>
      </c>
      <c r="F141">
        <v>7</v>
      </c>
      <c r="G141">
        <v>15</v>
      </c>
      <c r="H141">
        <v>5</v>
      </c>
      <c r="I141" s="202">
        <v>19.945766463752076</v>
      </c>
      <c r="J141" s="165">
        <v>7.375203472599023</v>
      </c>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23</v>
      </c>
      <c r="D142">
        <v>8</v>
      </c>
      <c r="E142">
        <v>21</v>
      </c>
      <c r="F142">
        <v>7</v>
      </c>
      <c r="G142">
        <v>20</v>
      </c>
      <c r="H142">
        <v>8</v>
      </c>
      <c r="I142" s="202">
        <v>21.427043335161819</v>
      </c>
      <c r="J142" s="165">
        <v>7.9312091763581325</v>
      </c>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22</v>
      </c>
      <c r="D143">
        <v>10</v>
      </c>
      <c r="E143">
        <v>24</v>
      </c>
      <c r="F143">
        <v>10</v>
      </c>
      <c r="G143">
        <v>21</v>
      </c>
      <c r="H143">
        <v>10</v>
      </c>
      <c r="I143" s="202">
        <v>22.345813204508858</v>
      </c>
      <c r="J143" s="165">
        <v>10.014712861888942</v>
      </c>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
        <v>3</v>
      </c>
      <c r="D144" t="s">
        <v>3</v>
      </c>
      <c r="E144" t="s">
        <v>3</v>
      </c>
      <c r="F144" t="s">
        <v>3</v>
      </c>
      <c r="G144" t="s">
        <v>3</v>
      </c>
      <c r="H144" t="s">
        <v>3</v>
      </c>
      <c r="I144" s="202" t="s">
        <v>3</v>
      </c>
      <c r="J144" s="165" t="s">
        <v>3</v>
      </c>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18</v>
      </c>
      <c r="D145">
        <v>5</v>
      </c>
      <c r="E145">
        <v>18</v>
      </c>
      <c r="F145">
        <v>4</v>
      </c>
      <c r="G145">
        <v>17</v>
      </c>
      <c r="H145">
        <v>5</v>
      </c>
      <c r="I145" s="202">
        <v>17.625461936437546</v>
      </c>
      <c r="J145" s="165">
        <v>4.7542322627541749</v>
      </c>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18</v>
      </c>
      <c r="D146">
        <v>7</v>
      </c>
      <c r="E146">
        <v>18</v>
      </c>
      <c r="F146">
        <v>5</v>
      </c>
      <c r="G146">
        <v>17</v>
      </c>
      <c r="H146">
        <v>4</v>
      </c>
      <c r="I146" s="202">
        <v>17.611479761114797</v>
      </c>
      <c r="J146" s="165">
        <v>5.5080134178158779</v>
      </c>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17</v>
      </c>
      <c r="D147">
        <v>9</v>
      </c>
      <c r="E147">
        <v>16</v>
      </c>
      <c r="F147">
        <v>8</v>
      </c>
      <c r="G147">
        <v>12</v>
      </c>
      <c r="H147">
        <v>7</v>
      </c>
      <c r="I147" s="202">
        <v>14.985638699924413</v>
      </c>
      <c r="J147" s="165">
        <v>8.3415369161225517</v>
      </c>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24</v>
      </c>
      <c r="D148">
        <v>14</v>
      </c>
      <c r="E148">
        <v>18</v>
      </c>
      <c r="F148">
        <v>17</v>
      </c>
      <c r="G148">
        <v>20</v>
      </c>
      <c r="H148">
        <v>11</v>
      </c>
      <c r="I148" s="202">
        <v>20.819665271966528</v>
      </c>
      <c r="J148" s="165">
        <v>13.973082955364333</v>
      </c>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29</v>
      </c>
      <c r="D149">
        <v>20</v>
      </c>
      <c r="E149">
        <v>26</v>
      </c>
      <c r="F149">
        <v>19</v>
      </c>
      <c r="G149">
        <v>24</v>
      </c>
      <c r="H149">
        <v>16</v>
      </c>
      <c r="I149" s="202">
        <v>26.200925390399075</v>
      </c>
      <c r="J149" s="165">
        <v>18.580243466607104</v>
      </c>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30</v>
      </c>
      <c r="D150">
        <v>9</v>
      </c>
      <c r="E150">
        <v>28</v>
      </c>
      <c r="F150">
        <v>5</v>
      </c>
      <c r="G150">
        <v>24</v>
      </c>
      <c r="H150">
        <v>8</v>
      </c>
      <c r="I150" s="202">
        <v>27.485272815065187</v>
      </c>
      <c r="J150" s="165">
        <v>7.0593673089621225</v>
      </c>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23</v>
      </c>
      <c r="D151">
        <v>8</v>
      </c>
      <c r="E151">
        <v>21</v>
      </c>
      <c r="F151">
        <v>8</v>
      </c>
      <c r="G151">
        <v>22</v>
      </c>
      <c r="H151">
        <v>11</v>
      </c>
      <c r="I151" s="201">
        <v>22.242599823655372</v>
      </c>
      <c r="J151" s="199">
        <v>8.701390441863218</v>
      </c>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28</v>
      </c>
      <c r="D152">
        <v>6</v>
      </c>
      <c r="E152">
        <v>28</v>
      </c>
      <c r="F152">
        <v>7</v>
      </c>
      <c r="G152">
        <v>31</v>
      </c>
      <c r="H152">
        <v>8</v>
      </c>
      <c r="I152" s="202">
        <v>29.210222905457339</v>
      </c>
      <c r="J152" s="165">
        <v>6.9293658231802562</v>
      </c>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26</v>
      </c>
      <c r="D153">
        <v>10</v>
      </c>
      <c r="E153">
        <v>26</v>
      </c>
      <c r="F153">
        <v>10</v>
      </c>
      <c r="G153">
        <v>26</v>
      </c>
      <c r="H153">
        <v>12</v>
      </c>
      <c r="I153" s="202">
        <v>26.059672291513817</v>
      </c>
      <c r="J153" s="165">
        <v>10.406714522737277</v>
      </c>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28</v>
      </c>
      <c r="D154">
        <v>14</v>
      </c>
      <c r="E154">
        <v>21</v>
      </c>
      <c r="F154">
        <v>12</v>
      </c>
      <c r="G154">
        <v>17</v>
      </c>
      <c r="H154">
        <v>10</v>
      </c>
      <c r="I154" s="202">
        <v>21.700472711645897</v>
      </c>
      <c r="J154" s="165">
        <v>12.574898340476976</v>
      </c>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32</v>
      </c>
      <c r="D155">
        <v>18</v>
      </c>
      <c r="E155">
        <v>26</v>
      </c>
      <c r="F155">
        <v>19</v>
      </c>
      <c r="G155">
        <v>30</v>
      </c>
      <c r="H155">
        <v>18</v>
      </c>
      <c r="I155" s="202">
        <v>29.225614246501976</v>
      </c>
      <c r="J155" s="165">
        <v>18.402588857385542</v>
      </c>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21</v>
      </c>
      <c r="D156">
        <v>18</v>
      </c>
      <c r="E156">
        <v>23</v>
      </c>
      <c r="F156">
        <v>18</v>
      </c>
      <c r="G156">
        <v>22</v>
      </c>
      <c r="H156">
        <v>19</v>
      </c>
      <c r="I156" s="202">
        <v>21.92151795429815</v>
      </c>
      <c r="J156" s="165">
        <v>18.305009522811066</v>
      </c>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19</v>
      </c>
      <c r="D157">
        <v>7</v>
      </c>
      <c r="E157">
        <v>22</v>
      </c>
      <c r="F157">
        <v>7</v>
      </c>
      <c r="G157">
        <v>19</v>
      </c>
      <c r="H157">
        <v>7</v>
      </c>
      <c r="I157" s="202">
        <v>19.787958115183248</v>
      </c>
      <c r="J157" s="165">
        <v>7.1453599306157853</v>
      </c>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16</v>
      </c>
      <c r="D158">
        <v>5</v>
      </c>
      <c r="E158">
        <v>14</v>
      </c>
      <c r="F158">
        <v>7</v>
      </c>
      <c r="G158">
        <v>14</v>
      </c>
      <c r="H158">
        <v>9</v>
      </c>
      <c r="I158" s="202">
        <v>14.497852888211664</v>
      </c>
      <c r="J158" s="165">
        <v>6.7523614704289754</v>
      </c>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27</v>
      </c>
      <c r="D159">
        <v>9</v>
      </c>
      <c r="E159">
        <v>24</v>
      </c>
      <c r="F159">
        <v>11</v>
      </c>
      <c r="G159">
        <v>24</v>
      </c>
      <c r="H159">
        <v>10</v>
      </c>
      <c r="I159" s="202">
        <v>25.233968804159446</v>
      </c>
      <c r="J159" s="165">
        <v>9.9785862558723917</v>
      </c>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16</v>
      </c>
      <c r="D160">
        <v>14</v>
      </c>
      <c r="E160">
        <v>25</v>
      </c>
      <c r="F160">
        <v>14</v>
      </c>
      <c r="G160">
        <v>25</v>
      </c>
      <c r="H160">
        <v>23</v>
      </c>
      <c r="I160" s="202">
        <v>21.946422018348624</v>
      </c>
      <c r="J160" s="165">
        <v>16.19001815772685</v>
      </c>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27</v>
      </c>
      <c r="D161">
        <v>12</v>
      </c>
      <c r="E161">
        <v>24</v>
      </c>
      <c r="F161">
        <v>10</v>
      </c>
      <c r="G161">
        <v>23</v>
      </c>
      <c r="H161">
        <v>11</v>
      </c>
      <c r="I161" s="202">
        <v>24.518806456389754</v>
      </c>
      <c r="J161" s="165">
        <v>11.193461319912331</v>
      </c>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
        <v>3</v>
      </c>
      <c r="D162" t="s">
        <v>3</v>
      </c>
      <c r="E162" t="s">
        <v>3</v>
      </c>
      <c r="F162" t="s">
        <v>3</v>
      </c>
      <c r="G162" t="s">
        <v>3</v>
      </c>
      <c r="H162" t="s">
        <v>3</v>
      </c>
      <c r="I162" s="202" t="s">
        <v>3</v>
      </c>
      <c r="J162" s="165" t="s">
        <v>3</v>
      </c>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23</v>
      </c>
      <c r="D163">
        <v>17</v>
      </c>
      <c r="E163">
        <v>22</v>
      </c>
      <c r="F163">
        <v>20</v>
      </c>
      <c r="G163">
        <v>19</v>
      </c>
      <c r="H163">
        <v>18</v>
      </c>
      <c r="I163" s="202">
        <v>21.317187867387727</v>
      </c>
      <c r="J163" s="165">
        <v>18.389228930498714</v>
      </c>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18</v>
      </c>
      <c r="D164">
        <v>10</v>
      </c>
      <c r="E164">
        <v>13</v>
      </c>
      <c r="F164">
        <v>7</v>
      </c>
      <c r="G164">
        <v>14</v>
      </c>
      <c r="H164">
        <v>10</v>
      </c>
      <c r="I164" s="202">
        <v>15.051347229283172</v>
      </c>
      <c r="J164" s="165">
        <v>8.9042673289681638</v>
      </c>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11</v>
      </c>
      <c r="D165">
        <v>12</v>
      </c>
      <c r="E165">
        <v>17</v>
      </c>
      <c r="F165">
        <v>12</v>
      </c>
      <c r="G165">
        <v>15</v>
      </c>
      <c r="H165">
        <v>10</v>
      </c>
      <c r="I165" s="202">
        <v>14.243460764587525</v>
      </c>
      <c r="J165" s="165">
        <v>11.477381470204437</v>
      </c>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22</v>
      </c>
      <c r="D166">
        <v>9</v>
      </c>
      <c r="E166">
        <v>19</v>
      </c>
      <c r="F166">
        <v>7</v>
      </c>
      <c r="G166">
        <v>18</v>
      </c>
      <c r="H166">
        <v>9</v>
      </c>
      <c r="I166" s="202">
        <v>19.563986409966024</v>
      </c>
      <c r="J166" s="165">
        <v>8.3854660347551349</v>
      </c>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28</v>
      </c>
      <c r="D167">
        <v>15</v>
      </c>
      <c r="E167">
        <v>27</v>
      </c>
      <c r="F167">
        <v>14</v>
      </c>
      <c r="G167">
        <v>29</v>
      </c>
      <c r="H167">
        <v>17</v>
      </c>
      <c r="I167" s="202">
        <v>27.996972257428531</v>
      </c>
      <c r="J167" s="165">
        <v>15.034808696525406</v>
      </c>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29</v>
      </c>
      <c r="D168">
        <v>12</v>
      </c>
      <c r="E168">
        <v>29</v>
      </c>
      <c r="F168">
        <v>15</v>
      </c>
      <c r="G168">
        <v>29</v>
      </c>
      <c r="H168">
        <v>17</v>
      </c>
      <c r="I168" s="202">
        <v>28.785801713586292</v>
      </c>
      <c r="J168" s="165">
        <v>14.24543220429533</v>
      </c>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33</v>
      </c>
      <c r="D169">
        <v>13</v>
      </c>
      <c r="E169">
        <v>28</v>
      </c>
      <c r="F169">
        <v>15</v>
      </c>
      <c r="G169">
        <v>30</v>
      </c>
      <c r="H169">
        <v>17</v>
      </c>
      <c r="I169" s="202">
        <v>30.36883336862164</v>
      </c>
      <c r="J169" s="165">
        <v>15.039850787007552</v>
      </c>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16</v>
      </c>
      <c r="D170">
        <v>14</v>
      </c>
      <c r="E170">
        <v>14</v>
      </c>
      <c r="F170">
        <v>10</v>
      </c>
      <c r="G170">
        <v>12</v>
      </c>
      <c r="H170">
        <v>10</v>
      </c>
      <c r="I170" s="202">
        <v>14.088180112570356</v>
      </c>
      <c r="J170" s="165">
        <v>10.880792927939995</v>
      </c>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16</v>
      </c>
      <c r="D171">
        <v>10</v>
      </c>
      <c r="E171">
        <v>20</v>
      </c>
      <c r="F171">
        <v>9</v>
      </c>
      <c r="G171">
        <v>16</v>
      </c>
      <c r="H171">
        <v>10</v>
      </c>
      <c r="I171" s="202">
        <v>17.328974535443908</v>
      </c>
      <c r="J171" s="165">
        <v>9.5825481707834648</v>
      </c>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26</v>
      </c>
      <c r="D172">
        <v>11</v>
      </c>
      <c r="E172">
        <v>34</v>
      </c>
      <c r="F172">
        <v>11</v>
      </c>
      <c r="G172">
        <v>28</v>
      </c>
      <c r="H172">
        <v>12</v>
      </c>
      <c r="I172" s="202">
        <v>29.069591118331978</v>
      </c>
      <c r="J172" s="165">
        <v>11.365587600549343</v>
      </c>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23</v>
      </c>
      <c r="D173">
        <v>10</v>
      </c>
      <c r="E173">
        <v>18</v>
      </c>
      <c r="F173">
        <v>10</v>
      </c>
      <c r="G173">
        <v>17</v>
      </c>
      <c r="H173">
        <v>7</v>
      </c>
      <c r="I173" s="202">
        <v>19.24867724867725</v>
      </c>
      <c r="J173" s="165">
        <v>9.1293418170439136</v>
      </c>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28</v>
      </c>
      <c r="D174">
        <v>11</v>
      </c>
      <c r="E174">
        <v>23</v>
      </c>
      <c r="F174">
        <v>8</v>
      </c>
      <c r="G174">
        <v>24</v>
      </c>
      <c r="H174">
        <v>9</v>
      </c>
      <c r="I174" s="202">
        <v>24.957128614157526</v>
      </c>
      <c r="J174" s="165">
        <v>9.281738631473246</v>
      </c>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17</v>
      </c>
      <c r="D175">
        <v>11</v>
      </c>
      <c r="E175">
        <v>16</v>
      </c>
      <c r="F175">
        <v>9</v>
      </c>
      <c r="G175">
        <v>16</v>
      </c>
      <c r="H175">
        <v>11</v>
      </c>
      <c r="I175" s="202">
        <v>16.352180936995154</v>
      </c>
      <c r="J175" s="165">
        <v>10.026757532281206</v>
      </c>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20</v>
      </c>
      <c r="D176">
        <v>5</v>
      </c>
      <c r="E176">
        <v>23</v>
      </c>
      <c r="F176">
        <v>6</v>
      </c>
      <c r="G176">
        <v>25</v>
      </c>
      <c r="H176">
        <v>8</v>
      </c>
      <c r="I176" s="202">
        <v>22.772127608539218</v>
      </c>
      <c r="J176" s="165">
        <v>6.122899884925201</v>
      </c>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21</v>
      </c>
      <c r="D177">
        <v>7</v>
      </c>
      <c r="E177">
        <v>24</v>
      </c>
      <c r="F177">
        <v>7</v>
      </c>
      <c r="G177">
        <v>20</v>
      </c>
      <c r="H177">
        <v>6</v>
      </c>
      <c r="I177" s="202">
        <v>21.781470292044311</v>
      </c>
      <c r="J177" s="165">
        <v>6.4147816553992323</v>
      </c>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24</v>
      </c>
      <c r="D178">
        <v>7</v>
      </c>
      <c r="E178">
        <v>19</v>
      </c>
      <c r="F178">
        <v>5</v>
      </c>
      <c r="G178">
        <v>20</v>
      </c>
      <c r="H178">
        <v>7</v>
      </c>
      <c r="I178" s="202">
        <v>21.222772277227723</v>
      </c>
      <c r="J178" s="165">
        <v>6.1748021108179421</v>
      </c>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18</v>
      </c>
      <c r="D179">
        <v>5</v>
      </c>
      <c r="E179">
        <v>17</v>
      </c>
      <c r="F179">
        <v>5</v>
      </c>
      <c r="G179">
        <v>20</v>
      </c>
      <c r="H179">
        <v>5</v>
      </c>
      <c r="I179" s="202">
        <v>18.166666666666668</v>
      </c>
      <c r="J179" s="165">
        <v>4.6954782540491786</v>
      </c>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41</v>
      </c>
      <c r="D180">
        <v>8</v>
      </c>
      <c r="E180">
        <v>40</v>
      </c>
      <c r="F180">
        <v>12</v>
      </c>
      <c r="G180">
        <v>34</v>
      </c>
      <c r="H180">
        <v>12</v>
      </c>
      <c r="I180" s="202">
        <v>38.113676731793959</v>
      </c>
      <c r="J180" s="165">
        <v>10.567804357763219</v>
      </c>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26</v>
      </c>
      <c r="D181">
        <v>8</v>
      </c>
      <c r="E181">
        <v>30</v>
      </c>
      <c r="F181">
        <v>9</v>
      </c>
      <c r="G181">
        <v>33</v>
      </c>
      <c r="H181">
        <v>10</v>
      </c>
      <c r="I181" s="202">
        <v>29.75307788075806</v>
      </c>
      <c r="J181" s="165">
        <v>8.839649818549141</v>
      </c>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29</v>
      </c>
      <c r="D182">
        <v>11</v>
      </c>
      <c r="E182">
        <v>38</v>
      </c>
      <c r="F182">
        <v>16</v>
      </c>
      <c r="G182">
        <v>34</v>
      </c>
      <c r="H182">
        <v>11</v>
      </c>
      <c r="I182" s="202">
        <v>33.733260751224826</v>
      </c>
      <c r="J182" s="165">
        <v>12.657930854192536</v>
      </c>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33</v>
      </c>
      <c r="D183">
        <v>11</v>
      </c>
      <c r="E183">
        <v>29</v>
      </c>
      <c r="F183">
        <v>8</v>
      </c>
      <c r="G183">
        <v>29</v>
      </c>
      <c r="H183">
        <v>8</v>
      </c>
      <c r="I183" s="202">
        <v>30.039677377390401</v>
      </c>
      <c r="J183" s="165">
        <v>9.2078453639955526</v>
      </c>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17</v>
      </c>
      <c r="D184">
        <v>5</v>
      </c>
      <c r="E184">
        <v>13</v>
      </c>
      <c r="F184">
        <v>6</v>
      </c>
      <c r="G184">
        <v>13</v>
      </c>
      <c r="H184">
        <v>9</v>
      </c>
      <c r="I184" s="202">
        <v>14.264354066985646</v>
      </c>
      <c r="J184" s="165">
        <v>6.6791275333662874</v>
      </c>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23</v>
      </c>
      <c r="D185">
        <v>11</v>
      </c>
      <c r="E185">
        <v>24</v>
      </c>
      <c r="F185">
        <v>11</v>
      </c>
      <c r="G185">
        <v>19</v>
      </c>
      <c r="H185">
        <v>12</v>
      </c>
      <c r="I185" s="202">
        <v>21.919554455445546</v>
      </c>
      <c r="J185" s="165">
        <v>11.180698498397165</v>
      </c>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22</v>
      </c>
      <c r="D186">
        <v>10</v>
      </c>
      <c r="E186">
        <v>22</v>
      </c>
      <c r="F186">
        <v>12</v>
      </c>
      <c r="G186">
        <v>20</v>
      </c>
      <c r="H186">
        <v>11</v>
      </c>
      <c r="I186" s="202">
        <v>21.578478964401295</v>
      </c>
      <c r="J186" s="165">
        <v>11.089396231605006</v>
      </c>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32</v>
      </c>
      <c r="D187">
        <v>20</v>
      </c>
      <c r="E187">
        <v>31</v>
      </c>
      <c r="F187">
        <v>15</v>
      </c>
      <c r="G187">
        <v>28</v>
      </c>
      <c r="H187">
        <v>15</v>
      </c>
      <c r="I187" s="202">
        <v>30.138510223953261</v>
      </c>
      <c r="J187" s="165">
        <v>16.463757183908047</v>
      </c>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25</v>
      </c>
      <c r="D188">
        <v>12</v>
      </c>
      <c r="E188">
        <v>28</v>
      </c>
      <c r="F188">
        <v>10</v>
      </c>
      <c r="G188">
        <v>17</v>
      </c>
      <c r="H188">
        <v>7</v>
      </c>
      <c r="I188" s="202">
        <v>23.968961625282166</v>
      </c>
      <c r="J188" s="165">
        <v>9.7067861715749046</v>
      </c>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13</v>
      </c>
      <c r="D189">
        <v>8</v>
      </c>
      <c r="E189">
        <v>11</v>
      </c>
      <c r="F189">
        <v>7</v>
      </c>
      <c r="G189">
        <v>12</v>
      </c>
      <c r="H189">
        <v>6</v>
      </c>
      <c r="I189" s="202">
        <v>11.941968040370059</v>
      </c>
      <c r="J189" s="165">
        <v>7.0786990564143748</v>
      </c>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40</v>
      </c>
      <c r="D190">
        <v>24</v>
      </c>
      <c r="E190">
        <v>37</v>
      </c>
      <c r="F190" t="s">
        <v>3</v>
      </c>
      <c r="G190">
        <v>34</v>
      </c>
      <c r="H190">
        <v>21</v>
      </c>
      <c r="I190" s="202">
        <v>37.073178594455193</v>
      </c>
      <c r="J190" s="165" t="s">
        <v>3</v>
      </c>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t="s">
        <v>3</v>
      </c>
      <c r="D191" t="s">
        <v>3</v>
      </c>
      <c r="E191">
        <v>21</v>
      </c>
      <c r="F191">
        <v>20</v>
      </c>
      <c r="G191">
        <v>20</v>
      </c>
      <c r="H191">
        <v>30</v>
      </c>
      <c r="I191" s="202" t="s">
        <v>3</v>
      </c>
      <c r="J191" s="165" t="s">
        <v>3</v>
      </c>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21</v>
      </c>
      <c r="D192">
        <v>7</v>
      </c>
      <c r="E192">
        <v>21</v>
      </c>
      <c r="F192">
        <v>7</v>
      </c>
      <c r="G192">
        <v>20</v>
      </c>
      <c r="H192">
        <v>8</v>
      </c>
      <c r="I192" s="202">
        <v>20.39987059204141</v>
      </c>
      <c r="J192" s="165">
        <v>6.9851486915854482</v>
      </c>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22</v>
      </c>
      <c r="D193">
        <v>19</v>
      </c>
      <c r="E193">
        <v>27</v>
      </c>
      <c r="F193">
        <v>18</v>
      </c>
      <c r="G193">
        <v>20</v>
      </c>
      <c r="H193">
        <v>9</v>
      </c>
      <c r="I193" s="202">
        <v>23.068718492968959</v>
      </c>
      <c r="J193" s="165">
        <v>15.922315117155263</v>
      </c>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19</v>
      </c>
      <c r="D194">
        <v>7</v>
      </c>
      <c r="E194">
        <v>17</v>
      </c>
      <c r="F194">
        <v>7</v>
      </c>
      <c r="G194">
        <v>19</v>
      </c>
      <c r="H194">
        <v>6</v>
      </c>
      <c r="I194" s="202">
        <v>18.522546419098145</v>
      </c>
      <c r="J194" s="165">
        <v>6.7595174682751056</v>
      </c>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23</v>
      </c>
      <c r="D195">
        <v>14</v>
      </c>
      <c r="E195">
        <v>19</v>
      </c>
      <c r="F195">
        <v>10</v>
      </c>
      <c r="G195">
        <v>16</v>
      </c>
      <c r="H195">
        <v>9</v>
      </c>
      <c r="I195" s="202">
        <v>19.229643183897529</v>
      </c>
      <c r="J195" s="165">
        <v>10.638580931263858</v>
      </c>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28</v>
      </c>
      <c r="D196">
        <v>13</v>
      </c>
      <c r="E196">
        <v>28</v>
      </c>
      <c r="F196">
        <v>9</v>
      </c>
      <c r="G196">
        <v>25</v>
      </c>
      <c r="H196">
        <v>13</v>
      </c>
      <c r="I196" s="202">
        <v>27.296189632255206</v>
      </c>
      <c r="J196" s="165">
        <v>11.195617187919103</v>
      </c>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20</v>
      </c>
      <c r="D197">
        <v>11</v>
      </c>
      <c r="E197">
        <v>20</v>
      </c>
      <c r="F197">
        <v>10</v>
      </c>
      <c r="G197">
        <v>16</v>
      </c>
      <c r="H197">
        <v>8</v>
      </c>
      <c r="I197" s="202">
        <v>18.642395772166765</v>
      </c>
      <c r="J197" s="165">
        <v>9.518533064951642</v>
      </c>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42</v>
      </c>
      <c r="D198">
        <v>16</v>
      </c>
      <c r="E198">
        <v>32</v>
      </c>
      <c r="F198">
        <v>25</v>
      </c>
      <c r="G198">
        <v>20</v>
      </c>
      <c r="H198">
        <v>12</v>
      </c>
      <c r="I198" s="202">
        <v>31.154631655725748</v>
      </c>
      <c r="J198" s="165">
        <v>17.717817258883247</v>
      </c>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50</v>
      </c>
      <c r="D199">
        <v>26</v>
      </c>
      <c r="E199">
        <v>44</v>
      </c>
      <c r="F199">
        <v>25</v>
      </c>
      <c r="G199">
        <v>35</v>
      </c>
      <c r="H199">
        <v>17</v>
      </c>
      <c r="I199" s="201">
        <v>42.671215074723847</v>
      </c>
      <c r="J199" s="199">
        <v>22.682565839204184</v>
      </c>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18</v>
      </c>
      <c r="D200">
        <v>11</v>
      </c>
      <c r="E200">
        <v>16</v>
      </c>
      <c r="F200">
        <v>12</v>
      </c>
      <c r="G200">
        <v>14</v>
      </c>
      <c r="H200">
        <v>9</v>
      </c>
      <c r="I200" s="202">
        <v>16.233131689157748</v>
      </c>
      <c r="J200" s="165">
        <v>10.468985168407979</v>
      </c>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14</v>
      </c>
      <c r="D201">
        <v>7</v>
      </c>
      <c r="E201">
        <v>15</v>
      </c>
      <c r="F201">
        <v>7</v>
      </c>
      <c r="G201">
        <v>14</v>
      </c>
      <c r="H201">
        <v>8</v>
      </c>
      <c r="I201" s="202">
        <v>14.24480712166172</v>
      </c>
      <c r="J201" s="165">
        <v>7.1629881154499149</v>
      </c>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28</v>
      </c>
      <c r="D202">
        <v>7</v>
      </c>
      <c r="E202">
        <v>24</v>
      </c>
      <c r="F202">
        <v>7</v>
      </c>
      <c r="G202">
        <v>30</v>
      </c>
      <c r="H202">
        <v>10</v>
      </c>
      <c r="I202" s="202">
        <v>27.412474391076714</v>
      </c>
      <c r="J202" s="165">
        <v>7.8783270869637869</v>
      </c>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24</v>
      </c>
      <c r="D203">
        <v>14</v>
      </c>
      <c r="E203">
        <v>18</v>
      </c>
      <c r="F203">
        <v>10</v>
      </c>
      <c r="G203">
        <v>14</v>
      </c>
      <c r="H203">
        <v>9</v>
      </c>
      <c r="I203" s="202">
        <v>19.2</v>
      </c>
      <c r="J203" s="165">
        <v>10.916324259544599</v>
      </c>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18</v>
      </c>
      <c r="D204">
        <v>8</v>
      </c>
      <c r="E204">
        <v>27</v>
      </c>
      <c r="F204">
        <v>8</v>
      </c>
      <c r="G204">
        <v>30</v>
      </c>
      <c r="H204">
        <v>11</v>
      </c>
      <c r="I204" s="202">
        <v>25.675151515151516</v>
      </c>
      <c r="J204" s="165">
        <v>8.779295954768795</v>
      </c>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38</v>
      </c>
      <c r="D205">
        <v>28</v>
      </c>
      <c r="E205">
        <v>32</v>
      </c>
      <c r="F205">
        <v>37</v>
      </c>
      <c r="G205">
        <v>27</v>
      </c>
      <c r="H205">
        <v>40</v>
      </c>
      <c r="I205" s="202">
        <v>32.197221589615118</v>
      </c>
      <c r="J205" s="165">
        <v>35.174965986394561</v>
      </c>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14</v>
      </c>
      <c r="D206">
        <v>11</v>
      </c>
      <c r="E206">
        <v>12</v>
      </c>
      <c r="F206">
        <v>9</v>
      </c>
      <c r="G206">
        <v>10</v>
      </c>
      <c r="H206">
        <v>9</v>
      </c>
      <c r="I206" s="202">
        <v>12.107810588852001</v>
      </c>
      <c r="J206" s="165">
        <v>9.811071755027422</v>
      </c>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20</v>
      </c>
      <c r="D207">
        <v>15</v>
      </c>
      <c r="E207">
        <v>20</v>
      </c>
      <c r="F207">
        <v>17</v>
      </c>
      <c r="G207">
        <v>23</v>
      </c>
      <c r="H207">
        <v>16</v>
      </c>
      <c r="I207" s="202">
        <v>21.10955816050496</v>
      </c>
      <c r="J207" s="165">
        <v>15.96403944061352</v>
      </c>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31</v>
      </c>
      <c r="D208">
        <v>14</v>
      </c>
      <c r="E208">
        <v>30</v>
      </c>
      <c r="F208">
        <v>12</v>
      </c>
      <c r="G208">
        <v>27</v>
      </c>
      <c r="H208">
        <v>11</v>
      </c>
      <c r="I208" s="228">
        <v>29.354806934594169</v>
      </c>
      <c r="J208" s="228">
        <v>12.244857700150723</v>
      </c>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20</v>
      </c>
      <c r="D209">
        <v>16</v>
      </c>
      <c r="E209">
        <v>22</v>
      </c>
      <c r="F209">
        <v>12</v>
      </c>
      <c r="G209">
        <v>15</v>
      </c>
      <c r="H209">
        <v>12</v>
      </c>
      <c r="I209" s="202">
        <v>18.842603102534998</v>
      </c>
      <c r="J209" s="165">
        <v>13.456003719632687</v>
      </c>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29</v>
      </c>
      <c r="D210">
        <v>10</v>
      </c>
      <c r="E210">
        <v>19</v>
      </c>
      <c r="F210">
        <v>9</v>
      </c>
      <c r="G210">
        <v>21</v>
      </c>
      <c r="H210">
        <v>9</v>
      </c>
      <c r="I210" s="202">
        <v>23.219801980198021</v>
      </c>
      <c r="J210" s="165">
        <v>9.041015625</v>
      </c>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21</v>
      </c>
      <c r="D211">
        <v>16</v>
      </c>
      <c r="E211">
        <v>18</v>
      </c>
      <c r="F211">
        <v>17</v>
      </c>
      <c r="G211">
        <v>15</v>
      </c>
      <c r="H211">
        <v>14</v>
      </c>
      <c r="I211" s="202">
        <v>17.769645868465432</v>
      </c>
      <c r="J211" s="165">
        <v>15.805088354268682</v>
      </c>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27</v>
      </c>
      <c r="D212">
        <v>5</v>
      </c>
      <c r="E212">
        <v>28</v>
      </c>
      <c r="F212">
        <v>5</v>
      </c>
      <c r="G212">
        <v>26</v>
      </c>
      <c r="H212">
        <v>6</v>
      </c>
      <c r="I212" s="202">
        <v>26.917738659444822</v>
      </c>
      <c r="J212" s="165">
        <v>5.3216247505973344</v>
      </c>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26</v>
      </c>
      <c r="D213">
        <v>11</v>
      </c>
      <c r="E213">
        <v>25</v>
      </c>
      <c r="F213">
        <v>9</v>
      </c>
      <c r="G213">
        <v>27</v>
      </c>
      <c r="H213">
        <v>13</v>
      </c>
      <c r="I213" s="202">
        <v>25.676966292134832</v>
      </c>
      <c r="J213" s="165">
        <v>10.702077398735497</v>
      </c>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11</v>
      </c>
      <c r="D214">
        <v>6</v>
      </c>
      <c r="E214">
        <v>18</v>
      </c>
      <c r="F214">
        <v>6</v>
      </c>
      <c r="G214">
        <v>14</v>
      </c>
      <c r="H214">
        <v>7</v>
      </c>
      <c r="I214" s="202">
        <v>13.573529411764707</v>
      </c>
      <c r="J214" s="165">
        <v>6.1363747057391018</v>
      </c>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27</v>
      </c>
      <c r="D215">
        <v>7</v>
      </c>
      <c r="E215">
        <v>20</v>
      </c>
      <c r="F215">
        <v>6</v>
      </c>
      <c r="G215">
        <v>20</v>
      </c>
      <c r="H215">
        <v>8</v>
      </c>
      <c r="I215" s="202">
        <v>22.409981048641818</v>
      </c>
      <c r="J215" s="165">
        <v>6.8298549939016127</v>
      </c>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24</v>
      </c>
      <c r="D216">
        <v>8</v>
      </c>
      <c r="E216">
        <v>20</v>
      </c>
      <c r="F216">
        <v>7</v>
      </c>
      <c r="G216">
        <v>24</v>
      </c>
      <c r="H216">
        <v>9</v>
      </c>
      <c r="I216" s="202">
        <v>22.612903225806452</v>
      </c>
      <c r="J216" s="165">
        <v>7.8360812425328552</v>
      </c>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19</v>
      </c>
      <c r="D217">
        <v>8</v>
      </c>
      <c r="E217">
        <v>19</v>
      </c>
      <c r="F217">
        <v>9</v>
      </c>
      <c r="G217">
        <v>19</v>
      </c>
      <c r="H217">
        <v>7</v>
      </c>
      <c r="I217" s="202">
        <v>19.104207436399218</v>
      </c>
      <c r="J217" s="165">
        <v>7.9723858206467382</v>
      </c>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36</v>
      </c>
      <c r="D218">
        <v>20</v>
      </c>
      <c r="E218">
        <v>40</v>
      </c>
      <c r="F218">
        <v>21</v>
      </c>
      <c r="G218">
        <v>24</v>
      </c>
      <c r="H218">
        <v>13</v>
      </c>
      <c r="I218" s="202">
        <v>34.46875</v>
      </c>
      <c r="J218" s="165">
        <v>19.299662352279121</v>
      </c>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23</v>
      </c>
      <c r="D219">
        <v>21</v>
      </c>
      <c r="E219">
        <v>27</v>
      </c>
      <c r="F219">
        <v>20</v>
      </c>
      <c r="G219">
        <v>27</v>
      </c>
      <c r="H219">
        <v>22</v>
      </c>
      <c r="I219" s="202">
        <v>25.63008379317392</v>
      </c>
      <c r="J219" s="165">
        <v>21.202507771296847</v>
      </c>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21</v>
      </c>
      <c r="D220">
        <v>13</v>
      </c>
      <c r="E220">
        <v>25</v>
      </c>
      <c r="F220">
        <v>14</v>
      </c>
      <c r="G220">
        <v>23</v>
      </c>
      <c r="H220">
        <v>14</v>
      </c>
      <c r="I220" s="202">
        <v>22.627199999999998</v>
      </c>
      <c r="J220" s="165">
        <v>13.572944774239971</v>
      </c>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25</v>
      </c>
      <c r="D221">
        <v>6</v>
      </c>
      <c r="E221">
        <v>26</v>
      </c>
      <c r="F221">
        <v>9</v>
      </c>
      <c r="G221">
        <v>30</v>
      </c>
      <c r="H221">
        <v>12</v>
      </c>
      <c r="I221" s="202">
        <v>27.319967266775777</v>
      </c>
      <c r="J221" s="165">
        <v>8.143340611353711</v>
      </c>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20</v>
      </c>
      <c r="D222">
        <v>12</v>
      </c>
      <c r="E222">
        <v>21</v>
      </c>
      <c r="F222">
        <v>16</v>
      </c>
      <c r="G222">
        <v>24</v>
      </c>
      <c r="H222">
        <v>17</v>
      </c>
      <c r="I222" s="202">
        <v>21.940018744142456</v>
      </c>
      <c r="J222" s="165">
        <v>14.660323932495187</v>
      </c>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19</v>
      </c>
      <c r="D223">
        <v>8</v>
      </c>
      <c r="E223">
        <v>19</v>
      </c>
      <c r="F223">
        <v>9</v>
      </c>
      <c r="G223">
        <v>21</v>
      </c>
      <c r="H223">
        <v>10</v>
      </c>
      <c r="I223" s="202">
        <v>20.071761548241277</v>
      </c>
      <c r="J223" s="165">
        <v>8.9503507825148407</v>
      </c>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22</v>
      </c>
      <c r="D224">
        <v>11</v>
      </c>
      <c r="E224">
        <v>23</v>
      </c>
      <c r="F224">
        <v>11</v>
      </c>
      <c r="G224">
        <v>23</v>
      </c>
      <c r="H224">
        <v>13</v>
      </c>
      <c r="I224" s="202">
        <v>22.441937624419378</v>
      </c>
      <c r="J224" s="165">
        <v>11.802521842732327</v>
      </c>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15</v>
      </c>
      <c r="D225">
        <v>3</v>
      </c>
      <c r="E225">
        <v>16</v>
      </c>
      <c r="F225">
        <v>4</v>
      </c>
      <c r="G225">
        <v>17</v>
      </c>
      <c r="H225">
        <v>4</v>
      </c>
      <c r="I225" s="202">
        <v>16.137430167597767</v>
      </c>
      <c r="J225" s="165">
        <v>3.6795129447925286</v>
      </c>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12</v>
      </c>
      <c r="D226">
        <v>4</v>
      </c>
      <c r="E226">
        <v>12</v>
      </c>
      <c r="F226">
        <v>4</v>
      </c>
      <c r="G226">
        <v>12</v>
      </c>
      <c r="H226">
        <v>5</v>
      </c>
      <c r="I226" s="202">
        <v>12.105113636363637</v>
      </c>
      <c r="J226" s="165">
        <v>4.6187489950152756</v>
      </c>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v>5</v>
      </c>
      <c r="F227">
        <v>1</v>
      </c>
      <c r="G227">
        <v>4</v>
      </c>
      <c r="H227">
        <v>2</v>
      </c>
      <c r="I227" s="202">
        <v>5.0621921182266014</v>
      </c>
      <c r="J227" s="165">
        <v>1.478732139924454</v>
      </c>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21</v>
      </c>
      <c r="D228">
        <v>8</v>
      </c>
      <c r="E228">
        <v>20</v>
      </c>
      <c r="F228">
        <v>9</v>
      </c>
      <c r="G228">
        <v>17</v>
      </c>
      <c r="H228">
        <v>9</v>
      </c>
      <c r="I228" s="202">
        <v>19.451388888888889</v>
      </c>
      <c r="J228" s="165">
        <v>8.4467805519053876</v>
      </c>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58</v>
      </c>
      <c r="D229">
        <v>11</v>
      </c>
      <c r="E229">
        <v>68</v>
      </c>
      <c r="F229">
        <v>19</v>
      </c>
      <c r="G229">
        <v>67</v>
      </c>
      <c r="H229">
        <v>16</v>
      </c>
      <c r="I229" s="202">
        <v>65.280130293159615</v>
      </c>
      <c r="J229" s="165">
        <v>15.550952630658976</v>
      </c>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30</v>
      </c>
      <c r="D230">
        <v>12</v>
      </c>
      <c r="E230">
        <v>24</v>
      </c>
      <c r="F230">
        <v>10</v>
      </c>
      <c r="G230">
        <v>21</v>
      </c>
      <c r="H230">
        <v>9</v>
      </c>
      <c r="I230" s="202">
        <v>25.331722054380666</v>
      </c>
      <c r="J230" s="165">
        <v>10.28442630108278</v>
      </c>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24</v>
      </c>
      <c r="D231">
        <v>9</v>
      </c>
      <c r="E231">
        <v>22</v>
      </c>
      <c r="F231">
        <v>8</v>
      </c>
      <c r="G231">
        <v>23</v>
      </c>
      <c r="H231">
        <v>10</v>
      </c>
      <c r="I231" s="202">
        <v>23.090485968514717</v>
      </c>
      <c r="J231" s="165">
        <v>8.867205242445781</v>
      </c>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17</v>
      </c>
      <c r="D232">
        <v>6</v>
      </c>
      <c r="E232">
        <v>20</v>
      </c>
      <c r="F232">
        <v>8</v>
      </c>
      <c r="G232">
        <v>17</v>
      </c>
      <c r="H232">
        <v>9</v>
      </c>
      <c r="I232" s="202">
        <v>18.035265504661531</v>
      </c>
      <c r="J232" s="165">
        <v>7.7142975859060128</v>
      </c>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9</v>
      </c>
      <c r="D233">
        <v>7</v>
      </c>
      <c r="E233">
        <v>10</v>
      </c>
      <c r="F233">
        <v>6</v>
      </c>
      <c r="G233">
        <v>8</v>
      </c>
      <c r="H233">
        <v>6</v>
      </c>
      <c r="I233" s="201">
        <v>9.1730252552391196</v>
      </c>
      <c r="J233" s="199">
        <v>6.3656665296615973</v>
      </c>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22</v>
      </c>
      <c r="D234">
        <v>27</v>
      </c>
      <c r="E234">
        <v>20</v>
      </c>
      <c r="F234">
        <v>27</v>
      </c>
      <c r="G234">
        <v>27</v>
      </c>
      <c r="H234">
        <v>26</v>
      </c>
      <c r="I234" s="202">
        <v>22.811859603226509</v>
      </c>
      <c r="J234" s="165">
        <v>26.635397449266062</v>
      </c>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25</v>
      </c>
      <c r="D235">
        <v>7</v>
      </c>
      <c r="E235">
        <v>20</v>
      </c>
      <c r="F235">
        <v>6</v>
      </c>
      <c r="G235">
        <v>23</v>
      </c>
      <c r="H235">
        <v>7</v>
      </c>
      <c r="I235" s="202">
        <v>22.512419503219871</v>
      </c>
      <c r="J235" s="165">
        <v>6.64951768488746</v>
      </c>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29</v>
      </c>
      <c r="D236">
        <v>17</v>
      </c>
      <c r="E236">
        <v>26</v>
      </c>
      <c r="F236">
        <v>14</v>
      </c>
      <c r="G236">
        <v>28</v>
      </c>
      <c r="H236">
        <v>13</v>
      </c>
      <c r="I236" s="202">
        <v>27.415990730011586</v>
      </c>
      <c r="J236" s="165">
        <v>14.798028785982478</v>
      </c>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23</v>
      </c>
      <c r="D237">
        <v>19</v>
      </c>
      <c r="E237">
        <v>20</v>
      </c>
      <c r="F237">
        <v>15</v>
      </c>
      <c r="G237">
        <v>21</v>
      </c>
      <c r="H237">
        <v>15</v>
      </c>
      <c r="I237" s="202">
        <v>21.429835410522308</v>
      </c>
      <c r="J237" s="165">
        <v>16.158182941284494</v>
      </c>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12</v>
      </c>
      <c r="D238">
        <v>5</v>
      </c>
      <c r="E238">
        <v>11</v>
      </c>
      <c r="F238">
        <v>4</v>
      </c>
      <c r="G238">
        <v>13</v>
      </c>
      <c r="H238">
        <v>6</v>
      </c>
      <c r="I238" s="202">
        <v>11.84376564847271</v>
      </c>
      <c r="J238" s="165">
        <v>4.9691417976337631</v>
      </c>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40</v>
      </c>
      <c r="D239">
        <v>15</v>
      </c>
      <c r="E239">
        <v>41</v>
      </c>
      <c r="F239">
        <v>13</v>
      </c>
      <c r="G239">
        <v>39</v>
      </c>
      <c r="H239">
        <v>12</v>
      </c>
      <c r="I239" s="202">
        <v>40.225194132873163</v>
      </c>
      <c r="J239" s="165">
        <v>13.504506134858302</v>
      </c>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23</v>
      </c>
      <c r="D240">
        <v>11</v>
      </c>
      <c r="E240">
        <v>21</v>
      </c>
      <c r="F240">
        <v>11</v>
      </c>
      <c r="G240">
        <v>18</v>
      </c>
      <c r="H240">
        <v>11</v>
      </c>
      <c r="I240" s="202">
        <v>20.827222924568058</v>
      </c>
      <c r="J240" s="165">
        <v>11.27256666947085</v>
      </c>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28</v>
      </c>
      <c r="D241">
        <v>9</v>
      </c>
      <c r="E241">
        <v>33</v>
      </c>
      <c r="F241">
        <v>15</v>
      </c>
      <c r="G241">
        <v>24</v>
      </c>
      <c r="H241">
        <v>10</v>
      </c>
      <c r="I241" s="202">
        <v>28.533072236727588</v>
      </c>
      <c r="J241" s="165">
        <v>11.60473372781065</v>
      </c>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13</v>
      </c>
      <c r="D242">
        <v>7</v>
      </c>
      <c r="E242">
        <v>19</v>
      </c>
      <c r="F242">
        <v>11</v>
      </c>
      <c r="G242">
        <v>18</v>
      </c>
      <c r="H242">
        <v>11</v>
      </c>
      <c r="I242" s="202">
        <v>16.743718592964825</v>
      </c>
      <c r="J242" s="165">
        <v>9.55852624714705</v>
      </c>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13</v>
      </c>
      <c r="D243">
        <v>11</v>
      </c>
      <c r="E243">
        <v>13</v>
      </c>
      <c r="F243">
        <v>10</v>
      </c>
      <c r="G243">
        <v>13</v>
      </c>
      <c r="H243">
        <v>11</v>
      </c>
      <c r="I243" s="202">
        <v>13.167267483777938</v>
      </c>
      <c r="J243" s="165">
        <v>10.691747002116154</v>
      </c>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18</v>
      </c>
      <c r="D244">
        <v>15</v>
      </c>
      <c r="E244">
        <v>16</v>
      </c>
      <c r="F244">
        <v>17</v>
      </c>
      <c r="G244">
        <v>11</v>
      </c>
      <c r="H244">
        <v>15</v>
      </c>
      <c r="I244" s="202">
        <v>15.079881656804734</v>
      </c>
      <c r="J244" s="165">
        <v>15.905326379010589</v>
      </c>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35</v>
      </c>
      <c r="D245">
        <v>11</v>
      </c>
      <c r="E245">
        <v>30</v>
      </c>
      <c r="F245">
        <v>10</v>
      </c>
      <c r="G245">
        <v>33</v>
      </c>
      <c r="H245">
        <v>13</v>
      </c>
      <c r="I245" s="202">
        <v>32.448965024982158</v>
      </c>
      <c r="J245" s="165">
        <v>11.350634989779849</v>
      </c>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35</v>
      </c>
      <c r="D246">
        <v>14</v>
      </c>
      <c r="E246">
        <v>33</v>
      </c>
      <c r="F246">
        <v>11</v>
      </c>
      <c r="G246">
        <v>25</v>
      </c>
      <c r="H246">
        <v>7</v>
      </c>
      <c r="I246" s="202">
        <v>30.41796875</v>
      </c>
      <c r="J246" s="165">
        <v>10.113260781942765</v>
      </c>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19</v>
      </c>
      <c r="D247">
        <v>20</v>
      </c>
      <c r="E247">
        <v>18</v>
      </c>
      <c r="F247">
        <v>16</v>
      </c>
      <c r="G247">
        <v>22</v>
      </c>
      <c r="H247">
        <v>13</v>
      </c>
      <c r="I247" s="202">
        <v>19.949696444058976</v>
      </c>
      <c r="J247" s="165">
        <v>16.480998298355075</v>
      </c>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16</v>
      </c>
      <c r="D248">
        <v>5</v>
      </c>
      <c r="E248">
        <v>13</v>
      </c>
      <c r="F248">
        <v>5</v>
      </c>
      <c r="G248">
        <v>13</v>
      </c>
      <c r="H248">
        <v>4</v>
      </c>
      <c r="I248" s="202">
        <v>13.791203235591507</v>
      </c>
      <c r="J248" s="165">
        <v>4.9255056520420979</v>
      </c>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31</v>
      </c>
      <c r="D249">
        <v>14</v>
      </c>
      <c r="E249">
        <v>28</v>
      </c>
      <c r="F249">
        <v>9</v>
      </c>
      <c r="G249">
        <v>24</v>
      </c>
      <c r="H249">
        <v>14</v>
      </c>
      <c r="I249" s="202">
        <v>27.634554973821988</v>
      </c>
      <c r="J249" s="165">
        <v>12.255620419823625</v>
      </c>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11</v>
      </c>
      <c r="D250">
        <v>6</v>
      </c>
      <c r="E250">
        <v>13</v>
      </c>
      <c r="F250">
        <v>5</v>
      </c>
      <c r="G250">
        <v>13</v>
      </c>
      <c r="H250">
        <v>6</v>
      </c>
      <c r="I250" s="202">
        <v>12.019260400616332</v>
      </c>
      <c r="J250" s="165">
        <v>5.6234127674378156</v>
      </c>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8</v>
      </c>
      <c r="D251">
        <v>5</v>
      </c>
      <c r="E251">
        <v>9</v>
      </c>
      <c r="F251">
        <v>4</v>
      </c>
      <c r="G251">
        <v>10</v>
      </c>
      <c r="H251">
        <v>3</v>
      </c>
      <c r="I251" s="202">
        <v>8.9182948490230913</v>
      </c>
      <c r="J251" s="165">
        <v>3.8548543689320387</v>
      </c>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10</v>
      </c>
      <c r="D252">
        <v>7</v>
      </c>
      <c r="E252">
        <v>13</v>
      </c>
      <c r="F252" t="s">
        <v>3</v>
      </c>
      <c r="G252">
        <v>16</v>
      </c>
      <c r="H252">
        <v>6</v>
      </c>
      <c r="I252" s="202">
        <v>12.93970893970894</v>
      </c>
      <c r="J252" s="165" t="s">
        <v>3</v>
      </c>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25</v>
      </c>
      <c r="D253">
        <v>13</v>
      </c>
      <c r="E253">
        <v>23</v>
      </c>
      <c r="F253">
        <v>13</v>
      </c>
      <c r="G253">
        <v>22</v>
      </c>
      <c r="H253">
        <v>11</v>
      </c>
      <c r="I253" s="202">
        <v>23.316289262235209</v>
      </c>
      <c r="J253" s="165">
        <v>12.161432835820895</v>
      </c>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51</v>
      </c>
      <c r="D254">
        <v>9</v>
      </c>
      <c r="E254">
        <v>41</v>
      </c>
      <c r="F254">
        <v>8</v>
      </c>
      <c r="G254">
        <v>32</v>
      </c>
      <c r="H254">
        <v>8</v>
      </c>
      <c r="I254" s="202">
        <v>41.374562427071176</v>
      </c>
      <c r="J254" s="165">
        <v>8.4545306521208179</v>
      </c>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14</v>
      </c>
      <c r="D255">
        <v>5</v>
      </c>
      <c r="E255">
        <v>18</v>
      </c>
      <c r="F255">
        <v>7</v>
      </c>
      <c r="G255">
        <v>13</v>
      </c>
      <c r="H255">
        <v>4</v>
      </c>
      <c r="I255" s="202">
        <v>14.49891774891775</v>
      </c>
      <c r="J255" s="165">
        <v>5.435058661145618</v>
      </c>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29</v>
      </c>
      <c r="D256">
        <v>16</v>
      </c>
      <c r="E256">
        <v>24</v>
      </c>
      <c r="F256">
        <v>18</v>
      </c>
      <c r="G256">
        <v>22</v>
      </c>
      <c r="H256">
        <v>14</v>
      </c>
      <c r="I256" s="202">
        <v>24.953154112323663</v>
      </c>
      <c r="J256" s="165">
        <v>16.061428688591814</v>
      </c>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15</v>
      </c>
      <c r="D257">
        <v>14</v>
      </c>
      <c r="E257">
        <v>14</v>
      </c>
      <c r="F257">
        <v>7</v>
      </c>
      <c r="G257">
        <v>15</v>
      </c>
      <c r="H257">
        <v>10</v>
      </c>
      <c r="I257" s="202">
        <v>14.686013489527866</v>
      </c>
      <c r="J257" s="165">
        <v>9.9804650576595879</v>
      </c>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26</v>
      </c>
      <c r="D258">
        <v>11</v>
      </c>
      <c r="E258">
        <v>16</v>
      </c>
      <c r="F258">
        <v>9</v>
      </c>
      <c r="G258">
        <v>17</v>
      </c>
      <c r="H258">
        <v>11</v>
      </c>
      <c r="I258" s="202">
        <v>19.700521548174581</v>
      </c>
      <c r="J258" s="165">
        <v>10.56861203331586</v>
      </c>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28</v>
      </c>
      <c r="D259">
        <v>9</v>
      </c>
      <c r="E259">
        <v>24</v>
      </c>
      <c r="F259">
        <v>11</v>
      </c>
      <c r="G259">
        <v>16</v>
      </c>
      <c r="H259">
        <v>11</v>
      </c>
      <c r="I259" s="202">
        <v>22.865239450563049</v>
      </c>
      <c r="J259" s="165">
        <v>10.011138935358845</v>
      </c>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28</v>
      </c>
      <c r="D260">
        <v>13</v>
      </c>
      <c r="E260">
        <v>28</v>
      </c>
      <c r="F260">
        <v>10</v>
      </c>
      <c r="G260">
        <v>27</v>
      </c>
      <c r="H260">
        <v>15</v>
      </c>
      <c r="I260" s="202">
        <v>27.39077458659704</v>
      </c>
      <c r="J260" s="165">
        <v>12.261288305190744</v>
      </c>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43</v>
      </c>
      <c r="D261">
        <v>25</v>
      </c>
      <c r="E261">
        <v>39</v>
      </c>
      <c r="F261">
        <v>16</v>
      </c>
      <c r="G261">
        <v>43</v>
      </c>
      <c r="H261">
        <v>15</v>
      </c>
      <c r="I261" s="202">
        <v>41.608211551844121</v>
      </c>
      <c r="J261" s="165">
        <v>17.475614004528829</v>
      </c>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15</v>
      </c>
      <c r="D262">
        <v>6</v>
      </c>
      <c r="E262">
        <v>17</v>
      </c>
      <c r="F262">
        <v>7</v>
      </c>
      <c r="G262">
        <v>12</v>
      </c>
      <c r="H262">
        <v>5</v>
      </c>
      <c r="I262" s="202">
        <v>14.396994364433313</v>
      </c>
      <c r="J262" s="165">
        <v>5.8102407002188183</v>
      </c>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25</v>
      </c>
      <c r="D263">
        <v>11</v>
      </c>
      <c r="E263">
        <v>27</v>
      </c>
      <c r="F263">
        <v>11</v>
      </c>
      <c r="G263">
        <v>28</v>
      </c>
      <c r="H263">
        <v>13</v>
      </c>
      <c r="I263" s="202">
        <v>27.030576030576032</v>
      </c>
      <c r="J263" s="165">
        <v>11.808745733788395</v>
      </c>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19</v>
      </c>
      <c r="D264">
        <v>19</v>
      </c>
      <c r="E264">
        <v>15</v>
      </c>
      <c r="F264">
        <v>7</v>
      </c>
      <c r="G264">
        <v>11</v>
      </c>
      <c r="H264">
        <v>5</v>
      </c>
      <c r="I264" s="202">
        <v>15.50076103500761</v>
      </c>
      <c r="J264" s="165">
        <v>11.099310236714219</v>
      </c>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26</v>
      </c>
      <c r="D265">
        <v>8</v>
      </c>
      <c r="E265">
        <v>17</v>
      </c>
      <c r="F265">
        <v>9</v>
      </c>
      <c r="G265">
        <v>19</v>
      </c>
      <c r="H265">
        <v>9</v>
      </c>
      <c r="I265" s="202">
        <v>20.356258596973866</v>
      </c>
      <c r="J265" s="165">
        <v>8.6468298109010018</v>
      </c>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44</v>
      </c>
      <c r="D266">
        <v>23</v>
      </c>
      <c r="E266">
        <v>33</v>
      </c>
      <c r="F266">
        <v>24</v>
      </c>
      <c r="G266">
        <v>26</v>
      </c>
      <c r="H266">
        <v>13</v>
      </c>
      <c r="I266" s="202">
        <v>34.041692987997472</v>
      </c>
      <c r="J266" s="165">
        <v>19.98635679337599</v>
      </c>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14</v>
      </c>
      <c r="D267">
        <v>15</v>
      </c>
      <c r="E267">
        <v>25</v>
      </c>
      <c r="F267">
        <v>12</v>
      </c>
      <c r="G267">
        <v>19</v>
      </c>
      <c r="H267">
        <v>11</v>
      </c>
      <c r="I267" s="202">
        <v>18.301532830016015</v>
      </c>
      <c r="J267" s="165">
        <v>12.390835384392645</v>
      </c>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17</v>
      </c>
      <c r="D268">
        <v>9</v>
      </c>
      <c r="E268">
        <v>18</v>
      </c>
      <c r="F268">
        <v>10</v>
      </c>
      <c r="G268">
        <v>17</v>
      </c>
      <c r="H268">
        <v>10</v>
      </c>
      <c r="I268" s="202">
        <v>17.593774118857731</v>
      </c>
      <c r="J268" s="165">
        <v>9.5207024327372327</v>
      </c>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15</v>
      </c>
      <c r="D269">
        <v>11</v>
      </c>
      <c r="E269">
        <v>15</v>
      </c>
      <c r="F269">
        <v>15</v>
      </c>
      <c r="G269">
        <v>15</v>
      </c>
      <c r="H269">
        <v>16</v>
      </c>
      <c r="I269" s="202">
        <v>14.876534903280067</v>
      </c>
      <c r="J269" s="165">
        <v>13.534691151919866</v>
      </c>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22</v>
      </c>
      <c r="D270">
        <v>15</v>
      </c>
      <c r="E270">
        <v>17</v>
      </c>
      <c r="F270">
        <v>10</v>
      </c>
      <c r="G270">
        <v>14</v>
      </c>
      <c r="H270">
        <v>6</v>
      </c>
      <c r="I270" s="202">
        <v>17.717410323709537</v>
      </c>
      <c r="J270" s="165">
        <v>10.660788910406687</v>
      </c>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17</v>
      </c>
      <c r="D271">
        <v>13</v>
      </c>
      <c r="E271">
        <v>14</v>
      </c>
      <c r="F271">
        <v>6</v>
      </c>
      <c r="G271">
        <v>13</v>
      </c>
      <c r="H271">
        <v>7</v>
      </c>
      <c r="I271" s="202">
        <v>14.78061607813674</v>
      </c>
      <c r="J271" s="165">
        <v>8.8224806940604434</v>
      </c>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35</v>
      </c>
      <c r="D272">
        <v>14</v>
      </c>
      <c r="E272">
        <v>36</v>
      </c>
      <c r="F272">
        <v>9</v>
      </c>
      <c r="G272">
        <v>35</v>
      </c>
      <c r="H272">
        <v>10</v>
      </c>
      <c r="I272" s="202">
        <v>35.229040622299053</v>
      </c>
      <c r="J272" s="165">
        <v>11.513650913199021</v>
      </c>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11</v>
      </c>
      <c r="D273">
        <v>13</v>
      </c>
      <c r="E273">
        <v>23</v>
      </c>
      <c r="F273">
        <v>10</v>
      </c>
      <c r="G273">
        <v>20</v>
      </c>
      <c r="H273">
        <v>10</v>
      </c>
      <c r="I273" s="202">
        <v>16.93088255541787</v>
      </c>
      <c r="J273" s="165">
        <v>11.16461437504825</v>
      </c>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24</v>
      </c>
      <c r="D274">
        <v>10</v>
      </c>
      <c r="E274">
        <v>31</v>
      </c>
      <c r="F274">
        <v>13</v>
      </c>
      <c r="G274">
        <v>22</v>
      </c>
      <c r="H274">
        <v>8</v>
      </c>
      <c r="I274" s="202">
        <v>25.752179327521795</v>
      </c>
      <c r="J274" s="165">
        <v>10.644229217110572</v>
      </c>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18</v>
      </c>
      <c r="D275">
        <v>7</v>
      </c>
      <c r="E275">
        <v>16</v>
      </c>
      <c r="F275">
        <v>8</v>
      </c>
      <c r="G275">
        <v>16</v>
      </c>
      <c r="H275">
        <v>9</v>
      </c>
      <c r="I275" s="202">
        <v>16.5554276946682</v>
      </c>
      <c r="J275" s="165">
        <v>7.8640251422206306</v>
      </c>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23</v>
      </c>
      <c r="D276">
        <v>12</v>
      </c>
      <c r="E276">
        <v>17</v>
      </c>
      <c r="F276">
        <v>8</v>
      </c>
      <c r="G276">
        <v>18</v>
      </c>
      <c r="H276">
        <v>7</v>
      </c>
      <c r="I276" s="202">
        <v>19.661103979460847</v>
      </c>
      <c r="J276" s="165">
        <v>8.9909105405836396</v>
      </c>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16</v>
      </c>
      <c r="D277">
        <v>7</v>
      </c>
      <c r="E277">
        <v>16</v>
      </c>
      <c r="F277">
        <v>6</v>
      </c>
      <c r="G277">
        <v>16</v>
      </c>
      <c r="H277">
        <v>7</v>
      </c>
      <c r="I277" s="202">
        <v>15.894512771996215</v>
      </c>
      <c r="J277" s="165">
        <v>6.4134199134199132</v>
      </c>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33</v>
      </c>
      <c r="D278">
        <v>24</v>
      </c>
      <c r="E278">
        <v>26</v>
      </c>
      <c r="F278">
        <v>20</v>
      </c>
      <c r="G278">
        <v>18</v>
      </c>
      <c r="H278">
        <v>18</v>
      </c>
      <c r="I278" s="202">
        <v>25.808186333276247</v>
      </c>
      <c r="J278" s="165">
        <v>20.852772251210631</v>
      </c>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32</v>
      </c>
      <c r="D279">
        <v>13</v>
      </c>
      <c r="E279">
        <v>36</v>
      </c>
      <c r="F279">
        <v>16</v>
      </c>
      <c r="G279">
        <v>31</v>
      </c>
      <c r="H279">
        <v>17</v>
      </c>
      <c r="I279" s="202">
        <v>32.827121332275972</v>
      </c>
      <c r="J279" s="165">
        <v>14.963281550905123</v>
      </c>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v>20</v>
      </c>
      <c r="F280">
        <v>8</v>
      </c>
      <c r="G280">
        <v>18</v>
      </c>
      <c r="H280">
        <v>8</v>
      </c>
      <c r="I280" s="202">
        <v>20.001173708920188</v>
      </c>
      <c r="J280" s="165">
        <v>9.017742625053442</v>
      </c>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10</v>
      </c>
      <c r="D281">
        <v>6</v>
      </c>
      <c r="E281">
        <v>14</v>
      </c>
      <c r="F281">
        <v>6</v>
      </c>
      <c r="G281">
        <v>17</v>
      </c>
      <c r="H281">
        <v>6</v>
      </c>
      <c r="I281" s="202">
        <v>13.135070140280561</v>
      </c>
      <c r="J281" s="165">
        <v>5.9448044522375545</v>
      </c>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16</v>
      </c>
      <c r="D282">
        <v>8</v>
      </c>
      <c r="E282">
        <v>20</v>
      </c>
      <c r="F282">
        <v>8</v>
      </c>
      <c r="G282">
        <v>16</v>
      </c>
      <c r="H282">
        <v>8</v>
      </c>
      <c r="I282" s="202">
        <v>17.445040214477213</v>
      </c>
      <c r="J282" s="165">
        <v>8.1360992361062436</v>
      </c>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14</v>
      </c>
      <c r="D283">
        <v>9</v>
      </c>
      <c r="E283">
        <v>11</v>
      </c>
      <c r="F283">
        <v>7</v>
      </c>
      <c r="G283">
        <v>11</v>
      </c>
      <c r="H283">
        <v>6</v>
      </c>
      <c r="I283" s="202">
        <v>12.15971873430437</v>
      </c>
      <c r="J283" s="165">
        <v>7.6642495982440328</v>
      </c>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v>
      </c>
      <c r="D284">
        <v>5</v>
      </c>
      <c r="E284">
        <v>5</v>
      </c>
      <c r="F284">
        <v>3</v>
      </c>
      <c r="G284">
        <v>6</v>
      </c>
      <c r="H284">
        <v>2</v>
      </c>
      <c r="I284" s="202">
        <v>6.0117603822124215</v>
      </c>
      <c r="J284" s="165">
        <v>3.5641673995895631</v>
      </c>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20</v>
      </c>
      <c r="D285">
        <v>9</v>
      </c>
      <c r="E285">
        <v>19</v>
      </c>
      <c r="F285">
        <v>9</v>
      </c>
      <c r="G285">
        <v>20</v>
      </c>
      <c r="H285">
        <v>12</v>
      </c>
      <c r="I285" s="202">
        <v>19.437549721559268</v>
      </c>
      <c r="J285" s="165">
        <v>10.028546029237456</v>
      </c>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28</v>
      </c>
      <c r="D286">
        <v>20</v>
      </c>
      <c r="E286">
        <v>28</v>
      </c>
      <c r="F286">
        <v>14</v>
      </c>
      <c r="G286">
        <v>25</v>
      </c>
      <c r="H286">
        <v>18</v>
      </c>
      <c r="I286" s="202">
        <v>27.001222493887532</v>
      </c>
      <c r="J286" s="165">
        <v>17.250766230147672</v>
      </c>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11</v>
      </c>
      <c r="D287">
        <v>7</v>
      </c>
      <c r="E287">
        <v>16</v>
      </c>
      <c r="F287">
        <v>8</v>
      </c>
      <c r="G287">
        <v>18</v>
      </c>
      <c r="H287">
        <v>8</v>
      </c>
      <c r="I287" s="202">
        <v>14.956542732979237</v>
      </c>
      <c r="J287" s="165">
        <v>7.734744939876018</v>
      </c>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21</v>
      </c>
      <c r="D288">
        <v>19</v>
      </c>
      <c r="E288">
        <v>18</v>
      </c>
      <c r="F288">
        <v>22</v>
      </c>
      <c r="G288">
        <v>20</v>
      </c>
      <c r="H288">
        <v>15</v>
      </c>
      <c r="I288" s="202">
        <v>19.541775456919058</v>
      </c>
      <c r="J288" s="165">
        <v>19.135104364326377</v>
      </c>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28</v>
      </c>
      <c r="D289">
        <v>9</v>
      </c>
      <c r="E289">
        <v>23</v>
      </c>
      <c r="F289">
        <v>8</v>
      </c>
      <c r="G289">
        <v>31</v>
      </c>
      <c r="H289">
        <v>11</v>
      </c>
      <c r="I289" s="202">
        <v>26.718673218673217</v>
      </c>
      <c r="J289" s="165">
        <v>9.039267126475691</v>
      </c>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36</v>
      </c>
      <c r="D290">
        <v>11</v>
      </c>
      <c r="E290">
        <v>43</v>
      </c>
      <c r="F290">
        <v>13</v>
      </c>
      <c r="G290">
        <v>35</v>
      </c>
      <c r="H290">
        <v>14</v>
      </c>
      <c r="I290" s="202">
        <v>37.789350039154264</v>
      </c>
      <c r="J290" s="165">
        <v>12.209161762366788</v>
      </c>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18</v>
      </c>
      <c r="D291">
        <v>10</v>
      </c>
      <c r="E291">
        <v>23</v>
      </c>
      <c r="F291">
        <v>8</v>
      </c>
      <c r="G291">
        <v>21</v>
      </c>
      <c r="H291">
        <v>9</v>
      </c>
      <c r="I291" s="202">
        <v>20.619459158070811</v>
      </c>
      <c r="J291" s="165">
        <v>8.7608349497698388</v>
      </c>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15</v>
      </c>
      <c r="D292">
        <v>5</v>
      </c>
      <c r="E292">
        <v>15</v>
      </c>
      <c r="F292">
        <v>6</v>
      </c>
      <c r="G292">
        <v>15</v>
      </c>
      <c r="H292">
        <v>7</v>
      </c>
      <c r="I292" s="202">
        <v>15.173275862068966</v>
      </c>
      <c r="J292" s="165">
        <v>5.9354410201912859</v>
      </c>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25</v>
      </c>
      <c r="D293">
        <v>6</v>
      </c>
      <c r="E293">
        <v>24</v>
      </c>
      <c r="F293">
        <v>4</v>
      </c>
      <c r="G293">
        <v>22</v>
      </c>
      <c r="H293">
        <v>5</v>
      </c>
      <c r="I293" s="202">
        <v>23.651217712177122</v>
      </c>
      <c r="J293" s="165">
        <v>5.1758481445456423</v>
      </c>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13</v>
      </c>
      <c r="D294">
        <v>10</v>
      </c>
      <c r="E294">
        <v>22</v>
      </c>
      <c r="F294">
        <v>13</v>
      </c>
      <c r="G294">
        <v>15</v>
      </c>
      <c r="H294">
        <v>15</v>
      </c>
      <c r="I294" s="202">
        <v>16.425032594524119</v>
      </c>
      <c r="J294" s="165">
        <v>12.604463973247269</v>
      </c>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20</v>
      </c>
      <c r="D295">
        <v>10</v>
      </c>
      <c r="E295">
        <v>13</v>
      </c>
      <c r="F295">
        <v>6</v>
      </c>
      <c r="G295">
        <v>15</v>
      </c>
      <c r="H295">
        <v>9</v>
      </c>
      <c r="I295" s="202">
        <v>16.1255230125523</v>
      </c>
      <c r="J295" s="165">
        <v>8.4147249707415686</v>
      </c>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21</v>
      </c>
      <c r="D296">
        <v>7</v>
      </c>
      <c r="E296">
        <v>25</v>
      </c>
      <c r="F296">
        <v>7</v>
      </c>
      <c r="G296">
        <v>20</v>
      </c>
      <c r="H296">
        <v>6</v>
      </c>
      <c r="I296" s="202">
        <v>21.94574780058651</v>
      </c>
      <c r="J296" s="165">
        <v>6.3710683649597089</v>
      </c>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11</v>
      </c>
      <c r="D297">
        <v>7</v>
      </c>
      <c r="E297">
        <v>12</v>
      </c>
      <c r="F297">
        <v>6</v>
      </c>
      <c r="G297">
        <v>14</v>
      </c>
      <c r="H297">
        <v>8</v>
      </c>
      <c r="I297" s="202">
        <v>12.196342637151107</v>
      </c>
      <c r="J297" s="165">
        <v>6.949974079834111</v>
      </c>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26</v>
      </c>
      <c r="D298">
        <v>14</v>
      </c>
      <c r="E298">
        <v>23</v>
      </c>
      <c r="F298">
        <v>12</v>
      </c>
      <c r="G298">
        <v>24</v>
      </c>
      <c r="H298">
        <v>14</v>
      </c>
      <c r="I298" s="202">
        <v>24.027939638428208</v>
      </c>
      <c r="J298" s="165">
        <v>13.434809788823664</v>
      </c>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35</v>
      </c>
      <c r="D299">
        <v>10</v>
      </c>
      <c r="E299">
        <v>34</v>
      </c>
      <c r="F299">
        <v>11</v>
      </c>
      <c r="G299">
        <v>29</v>
      </c>
      <c r="H299">
        <v>11</v>
      </c>
      <c r="I299" s="202">
        <v>32.696268388948688</v>
      </c>
      <c r="J299" s="165">
        <v>10.897550616469424</v>
      </c>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49</v>
      </c>
      <c r="D300">
        <v>21</v>
      </c>
      <c r="E300">
        <v>36</v>
      </c>
      <c r="F300">
        <v>23</v>
      </c>
      <c r="G300">
        <v>24</v>
      </c>
      <c r="H300">
        <v>15</v>
      </c>
      <c r="I300" s="202">
        <v>36.49162516976007</v>
      </c>
      <c r="J300" s="165">
        <v>19.764605810986257</v>
      </c>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24</v>
      </c>
      <c r="D301">
        <v>16</v>
      </c>
      <c r="E301">
        <v>22</v>
      </c>
      <c r="F301">
        <v>13</v>
      </c>
      <c r="G301">
        <v>24</v>
      </c>
      <c r="H301">
        <v>15</v>
      </c>
      <c r="I301" s="201">
        <v>23.397420147420146</v>
      </c>
      <c r="J301" s="199">
        <v>14.926707249584947</v>
      </c>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29</v>
      </c>
      <c r="D302">
        <v>12</v>
      </c>
      <c r="E302">
        <v>31</v>
      </c>
      <c r="F302">
        <v>13</v>
      </c>
      <c r="G302">
        <v>23</v>
      </c>
      <c r="H302">
        <v>11</v>
      </c>
      <c r="I302" s="202">
        <v>27.609718353450944</v>
      </c>
      <c r="J302" s="165">
        <v>12.015679536057563</v>
      </c>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25</v>
      </c>
      <c r="D303">
        <v>10</v>
      </c>
      <c r="E303">
        <v>23</v>
      </c>
      <c r="F303">
        <v>6</v>
      </c>
      <c r="G303">
        <v>21</v>
      </c>
      <c r="H303">
        <v>5</v>
      </c>
      <c r="I303" s="202">
        <v>22.846643109540636</v>
      </c>
      <c r="J303" s="165">
        <v>6.9817082058009037</v>
      </c>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20</v>
      </c>
      <c r="D304">
        <v>63</v>
      </c>
      <c r="E304">
        <v>16</v>
      </c>
      <c r="F304">
        <v>24</v>
      </c>
      <c r="G304">
        <v>17</v>
      </c>
      <c r="H304">
        <v>15</v>
      </c>
      <c r="I304" s="202">
        <v>17.569723277265329</v>
      </c>
      <c r="J304" s="165">
        <v>35.402063825721385</v>
      </c>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35</v>
      </c>
      <c r="D305">
        <v>29</v>
      </c>
      <c r="E305">
        <v>36</v>
      </c>
      <c r="F305">
        <v>24</v>
      </c>
      <c r="G305">
        <v>32</v>
      </c>
      <c r="H305">
        <v>14</v>
      </c>
      <c r="I305" s="202">
        <v>34.108500640751814</v>
      </c>
      <c r="J305" s="165">
        <v>23.473371466651859</v>
      </c>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18</v>
      </c>
      <c r="D306">
        <v>9</v>
      </c>
      <c r="E306">
        <v>12</v>
      </c>
      <c r="F306">
        <v>7</v>
      </c>
      <c r="G306">
        <v>19</v>
      </c>
      <c r="H306">
        <v>8</v>
      </c>
      <c r="I306" s="202">
        <v>15.88824101068999</v>
      </c>
      <c r="J306" s="165">
        <v>8.2629762562120384</v>
      </c>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34</v>
      </c>
      <c r="D307">
        <v>18</v>
      </c>
      <c r="E307">
        <v>27</v>
      </c>
      <c r="F307">
        <v>19</v>
      </c>
      <c r="G307">
        <v>18</v>
      </c>
      <c r="H307">
        <v>13</v>
      </c>
      <c r="I307" s="202">
        <v>26.123123123123122</v>
      </c>
      <c r="J307" s="165">
        <v>17.131254687667418</v>
      </c>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25</v>
      </c>
      <c r="D308">
        <v>14</v>
      </c>
      <c r="E308">
        <v>21</v>
      </c>
      <c r="F308">
        <v>15</v>
      </c>
      <c r="G308">
        <v>22</v>
      </c>
      <c r="H308">
        <v>15</v>
      </c>
      <c r="I308" s="202">
        <v>22.600687285223369</v>
      </c>
      <c r="J308" s="165">
        <v>14.648128957973517</v>
      </c>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12</v>
      </c>
      <c r="D309">
        <v>8</v>
      </c>
      <c r="E309">
        <v>11</v>
      </c>
      <c r="F309">
        <v>6</v>
      </c>
      <c r="G309">
        <v>14</v>
      </c>
      <c r="H309">
        <v>7</v>
      </c>
      <c r="I309" s="202">
        <v>12.130198915009041</v>
      </c>
      <c r="J309" s="165">
        <v>7.0637887678122384</v>
      </c>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19</v>
      </c>
      <c r="D310">
        <v>7</v>
      </c>
      <c r="E310">
        <v>19</v>
      </c>
      <c r="F310">
        <v>7</v>
      </c>
      <c r="G310">
        <v>18</v>
      </c>
      <c r="H310">
        <v>9</v>
      </c>
      <c r="I310" s="202">
        <v>18.670160295930948</v>
      </c>
      <c r="J310" s="165">
        <v>7.7564925145126793</v>
      </c>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29</v>
      </c>
      <c r="D311">
        <v>10</v>
      </c>
      <c r="E311">
        <v>26</v>
      </c>
      <c r="F311">
        <v>13</v>
      </c>
      <c r="G311">
        <v>35</v>
      </c>
      <c r="H311">
        <v>16</v>
      </c>
      <c r="I311" s="202">
        <v>30.154947916666668</v>
      </c>
      <c r="J311" s="165">
        <v>13.015551768214742</v>
      </c>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28</v>
      </c>
      <c r="D312">
        <v>12</v>
      </c>
      <c r="E312">
        <v>18</v>
      </c>
      <c r="F312">
        <v>8</v>
      </c>
      <c r="G312">
        <v>18</v>
      </c>
      <c r="H312">
        <v>9</v>
      </c>
      <c r="I312" s="202">
        <v>21.819334389857371</v>
      </c>
      <c r="J312" s="165">
        <v>9.4704751441911554</v>
      </c>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31</v>
      </c>
      <c r="D313">
        <v>10</v>
      </c>
      <c r="E313">
        <v>24</v>
      </c>
      <c r="F313">
        <v>9</v>
      </c>
      <c r="G313">
        <v>23</v>
      </c>
      <c r="H313">
        <v>10</v>
      </c>
      <c r="I313" s="202">
        <v>25.835535976505138</v>
      </c>
      <c r="J313" s="165">
        <v>9.3980479869865796</v>
      </c>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16</v>
      </c>
      <c r="D314">
        <v>7</v>
      </c>
      <c r="E314">
        <v>19</v>
      </c>
      <c r="F314">
        <v>6</v>
      </c>
      <c r="G314">
        <v>19</v>
      </c>
      <c r="H314">
        <v>7</v>
      </c>
      <c r="I314" s="202">
        <v>18.034119106699752</v>
      </c>
      <c r="J314" s="165">
        <v>6.4549002217294902</v>
      </c>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16</v>
      </c>
      <c r="D315">
        <v>5</v>
      </c>
      <c r="E315">
        <v>15</v>
      </c>
      <c r="F315">
        <v>5</v>
      </c>
      <c r="G315">
        <v>12</v>
      </c>
      <c r="H315">
        <v>4</v>
      </c>
      <c r="I315" s="202">
        <v>14.552092609082814</v>
      </c>
      <c r="J315" s="165">
        <v>4.7668639053254438</v>
      </c>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22</v>
      </c>
      <c r="D316">
        <v>8</v>
      </c>
      <c r="E316">
        <v>18</v>
      </c>
      <c r="F316">
        <v>6</v>
      </c>
      <c r="G316">
        <v>14</v>
      </c>
      <c r="H316">
        <v>6</v>
      </c>
      <c r="I316" s="202">
        <v>18.159592529711375</v>
      </c>
      <c r="J316" s="165">
        <v>6.7233881641141995</v>
      </c>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31</v>
      </c>
      <c r="D317">
        <v>18</v>
      </c>
      <c r="E317">
        <v>29</v>
      </c>
      <c r="F317">
        <v>19</v>
      </c>
      <c r="G317">
        <v>30</v>
      </c>
      <c r="H317">
        <v>15</v>
      </c>
      <c r="I317" s="202">
        <v>29.9015401540154</v>
      </c>
      <c r="J317" s="165">
        <v>17.230686666487777</v>
      </c>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28</v>
      </c>
      <c r="D318">
        <v>13</v>
      </c>
      <c r="E318">
        <v>18</v>
      </c>
      <c r="F318">
        <v>8</v>
      </c>
      <c r="G318">
        <v>18</v>
      </c>
      <c r="H318">
        <v>9</v>
      </c>
      <c r="I318" s="202">
        <v>21.662650602409638</v>
      </c>
      <c r="J318" s="165">
        <v>9.9565602052552418</v>
      </c>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35</v>
      </c>
      <c r="D319">
        <v>10</v>
      </c>
      <c r="E319">
        <v>39</v>
      </c>
      <c r="F319">
        <v>14</v>
      </c>
      <c r="G319">
        <v>37</v>
      </c>
      <c r="H319">
        <v>15</v>
      </c>
      <c r="I319" s="202">
        <v>37.090383224873463</v>
      </c>
      <c r="J319" s="165">
        <v>12.462282669657879</v>
      </c>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33</v>
      </c>
      <c r="D320">
        <v>10</v>
      </c>
      <c r="E320">
        <v>27</v>
      </c>
      <c r="F320">
        <v>9</v>
      </c>
      <c r="G320">
        <v>23</v>
      </c>
      <c r="H320">
        <v>8</v>
      </c>
      <c r="I320" s="202">
        <v>27.676882196634189</v>
      </c>
      <c r="J320" s="165">
        <v>8.8342757587798388</v>
      </c>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19</v>
      </c>
      <c r="D321">
        <v>5</v>
      </c>
      <c r="E321">
        <v>18</v>
      </c>
      <c r="F321">
        <v>5</v>
      </c>
      <c r="G321">
        <v>16</v>
      </c>
      <c r="H321">
        <v>4</v>
      </c>
      <c r="I321" s="202">
        <v>17.496356275303643</v>
      </c>
      <c r="J321" s="165">
        <v>4.735039553280596</v>
      </c>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24</v>
      </c>
      <c r="D322">
        <v>12</v>
      </c>
      <c r="E322">
        <v>20</v>
      </c>
      <c r="F322">
        <v>9</v>
      </c>
      <c r="G322">
        <v>21</v>
      </c>
      <c r="H322">
        <v>10</v>
      </c>
      <c r="I322" s="202">
        <v>21.774956217162874</v>
      </c>
      <c r="J322" s="165">
        <v>10.46354358785196</v>
      </c>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22</v>
      </c>
      <c r="D323">
        <v>11</v>
      </c>
      <c r="E323">
        <v>25</v>
      </c>
      <c r="F323">
        <v>19</v>
      </c>
      <c r="G323">
        <v>25</v>
      </c>
      <c r="H323">
        <v>22</v>
      </c>
      <c r="I323" s="202">
        <v>24.196910441924128</v>
      </c>
      <c r="J323" s="165">
        <v>17.378786504625431</v>
      </c>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24</v>
      </c>
      <c r="D324">
        <v>13</v>
      </c>
      <c r="E324">
        <v>21</v>
      </c>
      <c r="F324">
        <v>7</v>
      </c>
      <c r="G324">
        <v>20</v>
      </c>
      <c r="H324">
        <v>8</v>
      </c>
      <c r="I324" s="202">
        <v>21.800637958532697</v>
      </c>
      <c r="J324" s="165">
        <v>9.240772349050566</v>
      </c>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26</v>
      </c>
      <c r="D325">
        <v>8</v>
      </c>
      <c r="E325">
        <v>32</v>
      </c>
      <c r="F325">
        <v>9</v>
      </c>
      <c r="G325">
        <v>36</v>
      </c>
      <c r="H325">
        <v>16</v>
      </c>
      <c r="I325" s="202">
        <v>31.280041797283175</v>
      </c>
      <c r="J325" s="165">
        <v>10.647477744807121</v>
      </c>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27</v>
      </c>
      <c r="D326">
        <v>20</v>
      </c>
      <c r="E326">
        <v>21</v>
      </c>
      <c r="F326">
        <v>18</v>
      </c>
      <c r="G326">
        <v>17</v>
      </c>
      <c r="H326">
        <v>18</v>
      </c>
      <c r="I326" s="202">
        <v>21.433593152987925</v>
      </c>
      <c r="J326" s="165">
        <v>18.738841939179114</v>
      </c>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20</v>
      </c>
      <c r="D327">
        <v>9</v>
      </c>
      <c r="E327">
        <v>19</v>
      </c>
      <c r="F327">
        <v>8</v>
      </c>
      <c r="G327">
        <v>15</v>
      </c>
      <c r="H327">
        <v>9</v>
      </c>
      <c r="I327" s="202">
        <v>17.838056680161944</v>
      </c>
      <c r="J327" s="165">
        <v>8.5840364369446718</v>
      </c>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25</v>
      </c>
      <c r="D328">
        <v>12</v>
      </c>
      <c r="E328">
        <v>26</v>
      </c>
      <c r="F328">
        <v>12</v>
      </c>
      <c r="G328">
        <v>23</v>
      </c>
      <c r="H328">
        <v>14</v>
      </c>
      <c r="I328" s="202">
        <v>24.369447453954496</v>
      </c>
      <c r="J328" s="165">
        <v>12.174336283185841</v>
      </c>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25</v>
      </c>
      <c r="D329">
        <v>10</v>
      </c>
      <c r="E329">
        <v>21</v>
      </c>
      <c r="F329">
        <v>8</v>
      </c>
      <c r="G329">
        <v>18</v>
      </c>
      <c r="H329">
        <v>9</v>
      </c>
      <c r="I329" s="202">
        <v>21.338571428571427</v>
      </c>
      <c r="J329" s="165">
        <v>8.9850246099067963</v>
      </c>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16</v>
      </c>
      <c r="D330">
        <v>12</v>
      </c>
      <c r="E330">
        <v>16</v>
      </c>
      <c r="F330">
        <v>10</v>
      </c>
      <c r="G330">
        <v>17</v>
      </c>
      <c r="H330">
        <v>13</v>
      </c>
      <c r="I330" s="202">
        <v>16.011143695014663</v>
      </c>
      <c r="J330" s="165">
        <v>11.55789695501001</v>
      </c>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14</v>
      </c>
      <c r="D331">
        <v>3</v>
      </c>
      <c r="E331">
        <v>17</v>
      </c>
      <c r="F331">
        <v>3</v>
      </c>
      <c r="G331">
        <v>16</v>
      </c>
      <c r="H331">
        <v>3</v>
      </c>
      <c r="I331" s="202">
        <v>15.847058823529412</v>
      </c>
      <c r="J331" s="165">
        <v>3.2876239278155284</v>
      </c>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18</v>
      </c>
      <c r="D332">
        <v>6</v>
      </c>
      <c r="E332">
        <v>21</v>
      </c>
      <c r="F332">
        <v>6</v>
      </c>
      <c r="G332">
        <v>22</v>
      </c>
      <c r="H332">
        <v>6</v>
      </c>
      <c r="I332" s="202">
        <v>20.256550883607556</v>
      </c>
      <c r="J332" s="165">
        <v>5.7925580189290811</v>
      </c>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37</v>
      </c>
      <c r="D333">
        <v>11</v>
      </c>
      <c r="E333">
        <v>42</v>
      </c>
      <c r="F333">
        <v>15</v>
      </c>
      <c r="G333">
        <v>37</v>
      </c>
      <c r="H333">
        <v>14</v>
      </c>
      <c r="I333" s="202">
        <v>38.677639046538026</v>
      </c>
      <c r="J333" s="165">
        <v>13.415409016629818</v>
      </c>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948C77-A8A8-4C0B-9C2F-7F9CC0641552}">
  <ds:schemaRefs>
    <ds:schemaRef ds:uri="http://schemas.microsoft.com/sharepoint/v3/contenttype/forms"/>
  </ds:schemaRefs>
</ds:datastoreItem>
</file>

<file path=customXml/itemProps2.xml><?xml version="1.0" encoding="utf-8"?>
<ds:datastoreItem xmlns:ds="http://schemas.openxmlformats.org/officeDocument/2006/customXml" ds:itemID="{9F840326-FC21-41AC-8C8B-DF7C95E0D5BA}">
  <ds:schemaRefs>
    <ds:schemaRef ds:uri="http://schemas.microsoft.com/office/2006/documentManagement/types"/>
    <ds:schemaRef ds:uri="http://schemas.microsoft.com/office/2006/metadata/properties"/>
    <ds:schemaRef ds:uri="http://purl.org/dc/terms/"/>
    <ds:schemaRef ds:uri="c0c43d4d-b7da-4a2b-8f97-25182fb94a41"/>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6311764-A2F6-4219-B2B1-3213A08C73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