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mc:AlternateContent xmlns:mc="http://schemas.openxmlformats.org/markup-compatibility/2006">
    <mc:Choice Requires="x15">
      <x15ac:absPath xmlns:x15ac="http://schemas.microsoft.com/office/spreadsheetml/2010/11/ac" url="https://ruralservicesnetwork-my.sharepoint.com/personal/richard_inman_sparse_gov_uk/Documents/RSN Shared Documents/12. Work areas/Daniel Worth/Cloud Folder/290920/"/>
    </mc:Choice>
  </mc:AlternateContent>
  <xr:revisionPtr revIDLastSave="8" documentId="8_{A56CBCF3-DF85-47D9-A6F7-424AC9E458B3}" xr6:coauthVersionLast="45" xr6:coauthVersionMax="45" xr10:uidLastSave="{A1C86414-F1EC-4FEB-8A14-594B0CD15F18}"/>
  <workbookProtection workbookAlgorithmName="SHA-512" workbookHashValue="0wyN5xW5zXOycnlMoxZJsfW7oq/aXqd8G08Zm5RN2/K+m33Zb4/Grjjs3jAUhYpiW54jFBgDgsj4KnMTMHHMJQ==" workbookSaltValue="PK9XFBVaA/zHljOoNr4Dwg==" workbookSpinCount="100000" lockStructure="1"/>
  <bookViews>
    <workbookView xWindow="30345" yWindow="450" windowWidth="23685" windowHeight="20160" tabRatio="599" xr2:uid="{00000000-000D-0000-FFFF-FFFF00000000}"/>
  </bookViews>
  <sheets>
    <sheet name="Profile" sheetId="8" r:id="rId1"/>
    <sheet name="Filtered Data" sheetId="16" state="veryHidden" r:id="rId2"/>
    <sheet name="Indicator info" sheetId="31" state="veryHidden" r:id="rId3"/>
    <sheet name="Data" sheetId="34" state="veryHidden" r:id="rId4"/>
    <sheet name="classifications" sheetId="11" state="veryHidden" r:id="rId5"/>
    <sheet name="Families" sheetId="24" state="veryHidden" r:id="rId6"/>
    <sheet name="Guide" sheetId="35" state="veryHidden" r:id="rId7"/>
    <sheet name="check list" sheetId="37" state="veryHidden" r:id="rId8"/>
  </sheets>
  <externalReferences>
    <externalReference r:id="rId9"/>
  </externalReferences>
  <definedNames>
    <definedName name="__123Graph_A" hidden="1">[1]Data!$AN$5:$AN$381</definedName>
    <definedName name="__123Graph_X" hidden="1">[1]Data!$AW$5:$AW$381</definedName>
    <definedName name="_Fill" hidden="1">[1]Data!$BA$395:$CU$395</definedName>
    <definedName name="_xlnm._FilterDatabase" localSheetId="4" hidden="1">classifications!$A$1:$L$359</definedName>
    <definedName name="_xlnm._FilterDatabase" localSheetId="3" hidden="1">Data!$A$1:$BY$333</definedName>
    <definedName name="_xlnm._FilterDatabase" localSheetId="1" hidden="1">'Filtered Data'!$A$10:$J$363</definedName>
    <definedName name="_Key1" hidden="1">'[1]07Model'!$A$65</definedName>
    <definedName name="_Order1" hidden="1">0</definedName>
    <definedName name="_Sort" localSheetId="3" hidden="1">#REF!</definedName>
    <definedName name="_Sort" localSheetId="5" hidden="1">'[1]07Model'!$A$65:$D$66</definedName>
    <definedName name="_Sort" hidden="1">#REF!</definedName>
    <definedName name="Authorities">OFFSET('Filtered Data'!$B$11,0,0,(COUNTA('Filtered Data'!$A:$A)-COUNTIF('Filtered Data'!$B:$B,0))-1,1)</definedName>
    <definedName name="Authorities1">'Filtered Data'!$B$11:$B$22</definedName>
    <definedName name="BotQuart">OFFSET('Filtered Data'!$R$11,0,0,COUNT('Filtered Data'!$M$11:$M$500),1)</definedName>
    <definedName name="fred" hidden="1">'[1]07Model'!$L$6:$L$20</definedName>
    <definedName name="Indicators">OFFSET('Indicator info'!$A$2,0,0,COUNTA('Indicator info'!$A:$A)-1,1)</definedName>
    <definedName name="MarkData">OFFSET('Filtered Data'!$N$11,0,0,COUNT('Filtered Data'!$N$11:$N$500),1)</definedName>
    <definedName name="Marker">OFFSET('Filtered Data'!$S$11,0,0,COUNT('Filtered Data'!$M$11:$M$500),1)</definedName>
    <definedName name="SecQuart">OFFSET('Filtered Data'!$P$11,0,0,COUNT('Filtered Data'!$M$11:$M$500),1)</definedName>
    <definedName name="ThirdQuart">OFFSET('Filtered Data'!$Q$11,0,0,COUNT('Filtered Data'!$M$11:$M$500),1)</definedName>
    <definedName name="TopQuart">OFFSET('Filtered Data'!$O$11,0,0,COUNT('Filtered Data'!$M$11:$M$500),1)</definedName>
    <definedName name="Years">OFFSET('Indicator info'!$F$2,0,0,COUNTA('Indicator info'!$F:$F)-1,1)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68" i="16" l="1"/>
  <c r="I368" i="16" s="1"/>
  <c r="H367" i="16"/>
  <c r="I367" i="16" s="1"/>
  <c r="H366" i="16"/>
  <c r="I366" i="16" s="1"/>
  <c r="H365" i="16"/>
  <c r="I365" i="16" s="1"/>
  <c r="H364" i="16"/>
  <c r="I364" i="16" s="1"/>
  <c r="H363" i="16"/>
  <c r="I363" i="16" s="1"/>
  <c r="H361" i="16"/>
  <c r="I361" i="16" s="1"/>
  <c r="H360" i="16"/>
  <c r="I360" i="16" s="1"/>
  <c r="H359" i="16"/>
  <c r="I359" i="16" s="1"/>
  <c r="H358" i="16"/>
  <c r="I358" i="16" s="1"/>
  <c r="H357" i="16"/>
  <c r="I357" i="16" s="1"/>
  <c r="H356" i="16"/>
  <c r="I356" i="16" s="1"/>
  <c r="H355" i="16"/>
  <c r="I355" i="16" s="1"/>
  <c r="H354" i="16"/>
  <c r="I354" i="16" s="1"/>
  <c r="H353" i="16"/>
  <c r="I353" i="16" s="1"/>
  <c r="H352" i="16"/>
  <c r="I352" i="16" s="1"/>
  <c r="H351" i="16"/>
  <c r="I351" i="16" s="1"/>
  <c r="H349" i="16"/>
  <c r="I349" i="16" s="1"/>
  <c r="H348" i="16"/>
  <c r="I348" i="16" s="1"/>
  <c r="H347" i="16"/>
  <c r="I347" i="16" s="1"/>
  <c r="H346" i="16"/>
  <c r="I346" i="16" s="1"/>
  <c r="H345" i="16"/>
  <c r="I345" i="16" s="1"/>
  <c r="H344" i="16"/>
  <c r="I344" i="16" s="1"/>
  <c r="H343" i="16"/>
  <c r="I343" i="16" s="1"/>
  <c r="H342" i="16"/>
  <c r="I342" i="16" s="1"/>
  <c r="H341" i="16"/>
  <c r="I341" i="16" s="1"/>
  <c r="H340" i="16"/>
  <c r="I340" i="16" s="1"/>
  <c r="H339" i="16"/>
  <c r="I339" i="16" s="1"/>
  <c r="H338" i="16"/>
  <c r="I338" i="16" s="1"/>
  <c r="H337" i="16"/>
  <c r="I337" i="16" s="1"/>
  <c r="H336" i="16"/>
  <c r="I336" i="16" s="1"/>
  <c r="H334" i="16"/>
  <c r="I334" i="16" s="1"/>
  <c r="H333" i="16"/>
  <c r="I333" i="16" s="1"/>
  <c r="H332" i="16"/>
  <c r="I332" i="16" s="1"/>
  <c r="H331" i="16"/>
  <c r="I331" i="16" s="1"/>
  <c r="H330" i="16"/>
  <c r="I330" i="16" s="1"/>
  <c r="H329" i="16"/>
  <c r="I329" i="16" s="1"/>
  <c r="H328" i="16"/>
  <c r="I328" i="16" s="1"/>
  <c r="H327" i="16"/>
  <c r="I327" i="16" s="1"/>
  <c r="H326" i="16"/>
  <c r="I326" i="16" s="1"/>
  <c r="H325" i="16"/>
  <c r="I325" i="16" s="1"/>
  <c r="H324" i="16"/>
  <c r="I324" i="16" s="1"/>
  <c r="H323" i="16"/>
  <c r="I323" i="16" s="1"/>
  <c r="H322" i="16"/>
  <c r="I322" i="16" s="1"/>
  <c r="H321" i="16"/>
  <c r="I321" i="16" s="1"/>
  <c r="H320" i="16"/>
  <c r="I320" i="16" s="1"/>
  <c r="H319" i="16"/>
  <c r="I319" i="16" s="1"/>
  <c r="H318" i="16"/>
  <c r="I318" i="16" s="1"/>
  <c r="H317" i="16"/>
  <c r="I317" i="16" s="1"/>
  <c r="H316" i="16"/>
  <c r="I316" i="16" s="1"/>
  <c r="H315" i="16"/>
  <c r="I315" i="16" s="1"/>
  <c r="H314" i="16"/>
  <c r="I314" i="16" s="1"/>
  <c r="H313" i="16"/>
  <c r="I313" i="16" s="1"/>
  <c r="H312" i="16"/>
  <c r="I312" i="16" s="1"/>
  <c r="H311" i="16"/>
  <c r="I311" i="16" s="1"/>
  <c r="H310" i="16"/>
  <c r="I310" i="16" s="1"/>
  <c r="H309" i="16"/>
  <c r="I309" i="16" s="1"/>
  <c r="H308" i="16"/>
  <c r="I308" i="16" s="1"/>
  <c r="H307" i="16"/>
  <c r="I307" i="16" s="1"/>
  <c r="H306" i="16"/>
  <c r="I306" i="16" s="1"/>
  <c r="H305" i="16"/>
  <c r="I305" i="16" s="1"/>
  <c r="H303" i="16"/>
  <c r="I303" i="16" s="1"/>
  <c r="H302" i="16"/>
  <c r="I302" i="16" s="1"/>
  <c r="H300" i="16"/>
  <c r="I300" i="16" s="1"/>
  <c r="H299" i="16"/>
  <c r="I299" i="16" s="1"/>
  <c r="H298" i="16"/>
  <c r="I298" i="16" s="1"/>
  <c r="H297" i="16"/>
  <c r="I297" i="16" s="1"/>
  <c r="H296" i="16"/>
  <c r="I296" i="16" s="1"/>
  <c r="H295" i="16"/>
  <c r="I295" i="16" s="1"/>
  <c r="H294" i="16"/>
  <c r="I294" i="16" s="1"/>
  <c r="H292" i="16"/>
  <c r="I292" i="16" s="1"/>
  <c r="H291" i="16"/>
  <c r="I291" i="16" s="1"/>
  <c r="H290" i="16"/>
  <c r="I290" i="16" s="1"/>
  <c r="H289" i="16"/>
  <c r="I289" i="16" s="1"/>
  <c r="H288" i="16"/>
  <c r="I288" i="16" s="1"/>
  <c r="H287" i="16"/>
  <c r="I287" i="16" s="1"/>
  <c r="H286" i="16"/>
  <c r="I286" i="16" s="1"/>
  <c r="H285" i="16"/>
  <c r="I285" i="16" s="1"/>
  <c r="H284" i="16"/>
  <c r="I284" i="16" s="1"/>
  <c r="H283" i="16"/>
  <c r="I283" i="16" s="1"/>
  <c r="H282" i="16"/>
  <c r="I282" i="16" s="1"/>
  <c r="H281" i="16"/>
  <c r="I281" i="16" s="1"/>
  <c r="H280" i="16"/>
  <c r="I280" i="16" s="1"/>
  <c r="H279" i="16"/>
  <c r="I279" i="16" s="1"/>
  <c r="H278" i="16"/>
  <c r="I278" i="16" s="1"/>
  <c r="H277" i="16"/>
  <c r="I277" i="16" s="1"/>
  <c r="H276" i="16"/>
  <c r="I276" i="16" s="1"/>
  <c r="H275" i="16"/>
  <c r="I275" i="16" s="1"/>
  <c r="H274" i="16"/>
  <c r="I274" i="16" s="1"/>
  <c r="H273" i="16"/>
  <c r="I273" i="16" s="1"/>
  <c r="H272" i="16"/>
  <c r="I272" i="16" s="1"/>
  <c r="H271" i="16"/>
  <c r="I271" i="16" s="1"/>
  <c r="H270" i="16"/>
  <c r="I270" i="16" s="1"/>
  <c r="H269" i="16"/>
  <c r="I269" i="16" s="1"/>
  <c r="H267" i="16"/>
  <c r="I267" i="16" s="1"/>
  <c r="H266" i="16"/>
  <c r="I266" i="16" s="1"/>
  <c r="H265" i="16"/>
  <c r="I265" i="16" s="1"/>
  <c r="H264" i="16"/>
  <c r="I264" i="16" s="1"/>
  <c r="H263" i="16"/>
  <c r="I263" i="16" s="1"/>
  <c r="H262" i="16"/>
  <c r="I262" i="16" s="1"/>
  <c r="H261" i="16"/>
  <c r="I261" i="16" s="1"/>
  <c r="H260" i="16"/>
  <c r="I260" i="16" s="1"/>
  <c r="H259" i="16"/>
  <c r="I259" i="16" s="1"/>
  <c r="H258" i="16"/>
  <c r="I258" i="16" s="1"/>
  <c r="H257" i="16"/>
  <c r="I257" i="16" s="1"/>
  <c r="H256" i="16"/>
  <c r="I256" i="16" s="1"/>
  <c r="H255" i="16"/>
  <c r="I255" i="16" s="1"/>
  <c r="H254" i="16"/>
  <c r="I254" i="16" s="1"/>
  <c r="H253" i="16"/>
  <c r="I253" i="16" s="1"/>
  <c r="H252" i="16"/>
  <c r="I252" i="16" s="1"/>
  <c r="H251" i="16"/>
  <c r="I251" i="16" s="1"/>
  <c r="H250" i="16"/>
  <c r="I250" i="16" s="1"/>
  <c r="H249" i="16"/>
  <c r="I249" i="16" s="1"/>
  <c r="H248" i="16"/>
  <c r="I248" i="16" s="1"/>
  <c r="H247" i="16"/>
  <c r="I247" i="16" s="1"/>
  <c r="H246" i="16"/>
  <c r="I246" i="16" s="1"/>
  <c r="H245" i="16"/>
  <c r="I245" i="16" s="1"/>
  <c r="H244" i="16"/>
  <c r="I244" i="16" s="1"/>
  <c r="H243" i="16"/>
  <c r="I243" i="16" s="1"/>
  <c r="H242" i="16"/>
  <c r="I242" i="16" s="1"/>
  <c r="H241" i="16"/>
  <c r="I241" i="16" s="1"/>
  <c r="H240" i="16"/>
  <c r="I240" i="16" s="1"/>
  <c r="H239" i="16"/>
  <c r="I239" i="16" s="1"/>
  <c r="H238" i="16"/>
  <c r="I238" i="16" s="1"/>
  <c r="H237" i="16"/>
  <c r="I237" i="16" s="1"/>
  <c r="H236" i="16"/>
  <c r="I236" i="16" s="1"/>
  <c r="H235" i="16"/>
  <c r="I235" i="16" s="1"/>
  <c r="H234" i="16"/>
  <c r="I234" i="16" s="1"/>
  <c r="H233" i="16"/>
  <c r="I233" i="16" s="1"/>
  <c r="H232" i="16"/>
  <c r="I232" i="16" s="1"/>
  <c r="H231" i="16"/>
  <c r="I231" i="16" s="1"/>
  <c r="H230" i="16"/>
  <c r="I230" i="16" s="1"/>
  <c r="H228" i="16"/>
  <c r="I228" i="16" s="1"/>
  <c r="H227" i="16"/>
  <c r="I227" i="16" s="1"/>
  <c r="H226" i="16"/>
  <c r="I226" i="16" s="1"/>
  <c r="H225" i="16"/>
  <c r="I225" i="16" s="1"/>
  <c r="H223" i="16"/>
  <c r="I223" i="16" s="1"/>
  <c r="H222" i="16"/>
  <c r="I222" i="16" s="1"/>
  <c r="H221" i="16"/>
  <c r="I221" i="16" s="1"/>
  <c r="H219" i="16"/>
  <c r="I219" i="16" s="1"/>
  <c r="H217" i="16"/>
  <c r="I217" i="16" s="1"/>
  <c r="H216" i="16"/>
  <c r="I216" i="16" s="1"/>
  <c r="H215" i="16"/>
  <c r="I215" i="16" s="1"/>
  <c r="H214" i="16"/>
  <c r="I214" i="16" s="1"/>
  <c r="H213" i="16"/>
  <c r="I213" i="16" s="1"/>
  <c r="H212" i="16"/>
  <c r="I212" i="16" s="1"/>
  <c r="H211" i="16"/>
  <c r="I211" i="16" s="1"/>
  <c r="H210" i="16"/>
  <c r="I210" i="16" s="1"/>
  <c r="H209" i="16"/>
  <c r="I209" i="16" s="1"/>
  <c r="H208" i="16"/>
  <c r="I208" i="16" s="1"/>
  <c r="H207" i="16"/>
  <c r="I207" i="16" s="1"/>
  <c r="H206" i="16"/>
  <c r="I206" i="16" s="1"/>
  <c r="H204" i="16"/>
  <c r="I204" i="16" s="1"/>
  <c r="H203" i="16"/>
  <c r="I203" i="16" s="1"/>
  <c r="H202" i="16"/>
  <c r="I202" i="16" s="1"/>
  <c r="H201" i="16"/>
  <c r="I201" i="16" s="1"/>
  <c r="H200" i="16"/>
  <c r="I200" i="16" s="1"/>
  <c r="H199" i="16"/>
  <c r="I199" i="16" s="1"/>
  <c r="H198" i="16"/>
  <c r="I198" i="16" s="1"/>
  <c r="H197" i="16"/>
  <c r="I197" i="16" s="1"/>
  <c r="H196" i="16"/>
  <c r="I196" i="16" s="1"/>
  <c r="H195" i="16"/>
  <c r="I195" i="16" s="1"/>
  <c r="H194" i="16"/>
  <c r="I194" i="16" s="1"/>
  <c r="H193" i="16"/>
  <c r="I193" i="16" s="1"/>
  <c r="H192" i="16"/>
  <c r="I192" i="16" s="1"/>
  <c r="H191" i="16"/>
  <c r="I191" i="16" s="1"/>
  <c r="H190" i="16"/>
  <c r="I190" i="16" s="1"/>
  <c r="H189" i="16"/>
  <c r="I189" i="16" s="1"/>
  <c r="H188" i="16"/>
  <c r="I188" i="16" s="1"/>
  <c r="H187" i="16"/>
  <c r="I187" i="16" s="1"/>
  <c r="H186" i="16"/>
  <c r="I186" i="16" s="1"/>
  <c r="H185" i="16"/>
  <c r="I185" i="16" s="1"/>
  <c r="H184" i="16"/>
  <c r="I184" i="16" s="1"/>
  <c r="H183" i="16"/>
  <c r="I183" i="16" s="1"/>
  <c r="H181" i="16"/>
  <c r="I181" i="16" s="1"/>
  <c r="H180" i="16"/>
  <c r="I180" i="16" s="1"/>
  <c r="H179" i="16"/>
  <c r="I179" i="16" s="1"/>
  <c r="H178" i="16"/>
  <c r="I178" i="16" s="1"/>
  <c r="H176" i="16"/>
  <c r="I176" i="16" s="1"/>
  <c r="H175" i="16"/>
  <c r="I175" i="16" s="1"/>
  <c r="H174" i="16"/>
  <c r="I174" i="16" s="1"/>
  <c r="H172" i="16"/>
  <c r="I172" i="16" s="1"/>
  <c r="H171" i="16"/>
  <c r="I171" i="16" s="1"/>
  <c r="H170" i="16"/>
  <c r="I170" i="16" s="1"/>
  <c r="H169" i="16"/>
  <c r="I169" i="16" s="1"/>
  <c r="H168" i="16"/>
  <c r="I168" i="16" s="1"/>
  <c r="H167" i="16"/>
  <c r="I167" i="16" s="1"/>
  <c r="H166" i="16"/>
  <c r="I166" i="16" s="1"/>
  <c r="H164" i="16"/>
  <c r="I164" i="16" s="1"/>
  <c r="H163" i="16"/>
  <c r="I163" i="16" s="1"/>
  <c r="H162" i="16"/>
  <c r="I162" i="16" s="1"/>
  <c r="H161" i="16"/>
  <c r="I161" i="16" s="1"/>
  <c r="H160" i="16"/>
  <c r="I160" i="16" s="1"/>
  <c r="H159" i="16"/>
  <c r="I159" i="16" s="1"/>
  <c r="H158" i="16"/>
  <c r="I158" i="16" s="1"/>
  <c r="H157" i="16"/>
  <c r="I157" i="16" s="1"/>
  <c r="H156" i="16"/>
  <c r="I156" i="16" s="1"/>
  <c r="H155" i="16"/>
  <c r="I155" i="16" s="1"/>
  <c r="H154" i="16"/>
  <c r="I154" i="16" s="1"/>
  <c r="H153" i="16"/>
  <c r="I153" i="16" s="1"/>
  <c r="H152" i="16"/>
  <c r="I152" i="16" s="1"/>
  <c r="H150" i="16"/>
  <c r="I150" i="16" s="1"/>
  <c r="H149" i="16"/>
  <c r="I149" i="16" s="1"/>
  <c r="H148" i="16"/>
  <c r="I148" i="16" s="1"/>
  <c r="H147" i="16"/>
  <c r="I147" i="16" s="1"/>
  <c r="H146" i="16"/>
  <c r="I146" i="16" s="1"/>
  <c r="H145" i="16"/>
  <c r="I145" i="16" s="1"/>
  <c r="H144" i="16"/>
  <c r="I144" i="16" s="1"/>
  <c r="H143" i="16"/>
  <c r="I143" i="16" s="1"/>
  <c r="H142" i="16"/>
  <c r="I142" i="16" s="1"/>
  <c r="H141" i="16"/>
  <c r="I141" i="16" s="1"/>
  <c r="H140" i="16"/>
  <c r="I140" i="16" s="1"/>
  <c r="H138" i="16"/>
  <c r="I138" i="16" s="1"/>
  <c r="H137" i="16"/>
  <c r="I137" i="16" s="1"/>
  <c r="H136" i="16"/>
  <c r="I136" i="16" s="1"/>
  <c r="H135" i="16"/>
  <c r="I135" i="16" s="1"/>
  <c r="H134" i="16"/>
  <c r="I134" i="16" s="1"/>
  <c r="H133" i="16"/>
  <c r="I133" i="16" s="1"/>
  <c r="H132" i="16"/>
  <c r="I132" i="16" s="1"/>
  <c r="H131" i="16"/>
  <c r="I131" i="16" s="1"/>
  <c r="H130" i="16"/>
  <c r="I130" i="16" s="1"/>
  <c r="H128" i="16"/>
  <c r="I128" i="16" s="1"/>
  <c r="H127" i="16"/>
  <c r="I127" i="16" s="1"/>
  <c r="H126" i="16"/>
  <c r="I126" i="16" s="1"/>
  <c r="H125" i="16"/>
  <c r="I125" i="16" s="1"/>
  <c r="H124" i="16"/>
  <c r="I124" i="16" s="1"/>
  <c r="H123" i="16"/>
  <c r="I123" i="16" s="1"/>
  <c r="H122" i="16"/>
  <c r="I122" i="16" s="1"/>
  <c r="H121" i="16"/>
  <c r="I121" i="16" s="1"/>
  <c r="H120" i="16"/>
  <c r="I120" i="16" s="1"/>
  <c r="H118" i="16"/>
  <c r="I118" i="16" s="1"/>
  <c r="H117" i="16"/>
  <c r="I117" i="16" s="1"/>
  <c r="H116" i="16"/>
  <c r="I116" i="16" s="1"/>
  <c r="H115" i="16"/>
  <c r="I115" i="16" s="1"/>
  <c r="H114" i="16"/>
  <c r="I114" i="16" s="1"/>
  <c r="H113" i="16"/>
  <c r="I113" i="16" s="1"/>
  <c r="H112" i="16"/>
  <c r="I112" i="16" s="1"/>
  <c r="H111" i="16"/>
  <c r="I111" i="16" s="1"/>
  <c r="H109" i="16"/>
  <c r="I109" i="16" s="1"/>
  <c r="H108" i="16"/>
  <c r="I108" i="16" s="1"/>
  <c r="H107" i="16"/>
  <c r="I107" i="16" s="1"/>
  <c r="H106" i="16"/>
  <c r="I106" i="16" s="1"/>
  <c r="H105" i="16"/>
  <c r="I105" i="16" s="1"/>
  <c r="H104" i="16"/>
  <c r="I104" i="16" s="1"/>
  <c r="H103" i="16"/>
  <c r="I103" i="16" s="1"/>
  <c r="H102" i="16"/>
  <c r="I102" i="16" s="1"/>
  <c r="H101" i="16"/>
  <c r="I101" i="16" s="1"/>
  <c r="H100" i="16"/>
  <c r="I100" i="16" s="1"/>
  <c r="H99" i="16"/>
  <c r="I99" i="16" s="1"/>
  <c r="H98" i="16"/>
  <c r="I98" i="16" s="1"/>
  <c r="H97" i="16"/>
  <c r="I97" i="16" s="1"/>
  <c r="H96" i="16"/>
  <c r="I96" i="16" s="1"/>
  <c r="H95" i="16"/>
  <c r="I95" i="16" s="1"/>
  <c r="H93" i="16"/>
  <c r="I93" i="16" s="1"/>
  <c r="H91" i="16"/>
  <c r="I91" i="16" s="1"/>
  <c r="H89" i="16"/>
  <c r="I89" i="16" s="1"/>
  <c r="H88" i="16"/>
  <c r="I88" i="16" s="1"/>
  <c r="H87" i="16"/>
  <c r="I87" i="16" s="1"/>
  <c r="H86" i="16"/>
  <c r="I86" i="16" s="1"/>
  <c r="H85" i="16"/>
  <c r="I85" i="16" s="1"/>
  <c r="H83" i="16"/>
  <c r="I83" i="16" s="1"/>
  <c r="H82" i="16"/>
  <c r="I82" i="16" s="1"/>
  <c r="H81" i="16"/>
  <c r="I81" i="16" s="1"/>
  <c r="H80" i="16"/>
  <c r="I80" i="16" s="1"/>
  <c r="H79" i="16"/>
  <c r="I79" i="16" s="1"/>
  <c r="H78" i="16"/>
  <c r="I78" i="16" s="1"/>
  <c r="H77" i="16"/>
  <c r="I77" i="16" s="1"/>
  <c r="H76" i="16"/>
  <c r="I76" i="16" s="1"/>
  <c r="H75" i="16"/>
  <c r="I75" i="16" s="1"/>
  <c r="H74" i="16"/>
  <c r="I74" i="16" s="1"/>
  <c r="H73" i="16"/>
  <c r="I73" i="16" s="1"/>
  <c r="H72" i="16"/>
  <c r="I72" i="16" s="1"/>
  <c r="H71" i="16"/>
  <c r="I71" i="16" s="1"/>
  <c r="H70" i="16"/>
  <c r="I70" i="16" s="1"/>
  <c r="H69" i="16"/>
  <c r="I69" i="16" s="1"/>
  <c r="H68" i="16"/>
  <c r="I68" i="16" s="1"/>
  <c r="H67" i="16"/>
  <c r="I67" i="16" s="1"/>
  <c r="H66" i="16"/>
  <c r="I66" i="16" s="1"/>
  <c r="H65" i="16"/>
  <c r="I65" i="16" s="1"/>
  <c r="H64" i="16"/>
  <c r="I64" i="16" s="1"/>
  <c r="H63" i="16"/>
  <c r="I63" i="16" s="1"/>
  <c r="H62" i="16"/>
  <c r="I62" i="16" s="1"/>
  <c r="H61" i="16"/>
  <c r="I61" i="16" s="1"/>
  <c r="H60" i="16"/>
  <c r="I60" i="16" s="1"/>
  <c r="H59" i="16"/>
  <c r="I59" i="16" s="1"/>
  <c r="H58" i="16"/>
  <c r="I58" i="16" s="1"/>
  <c r="H57" i="16"/>
  <c r="I57" i="16" s="1"/>
  <c r="H55" i="16"/>
  <c r="I55" i="16" s="1"/>
  <c r="H54" i="16"/>
  <c r="I54" i="16" s="1"/>
  <c r="H53" i="16"/>
  <c r="I53" i="16" s="1"/>
  <c r="H52" i="16"/>
  <c r="I52" i="16" s="1"/>
  <c r="H50" i="16"/>
  <c r="I50" i="16" s="1"/>
  <c r="H49" i="16"/>
  <c r="I49" i="16" s="1"/>
  <c r="H48" i="16"/>
  <c r="I48" i="16" s="1"/>
  <c r="H47" i="16"/>
  <c r="I47" i="16" s="1"/>
  <c r="H46" i="16"/>
  <c r="I46" i="16" s="1"/>
  <c r="H45" i="16"/>
  <c r="I45" i="16" s="1"/>
  <c r="H44" i="16"/>
  <c r="I44" i="16" s="1"/>
  <c r="H43" i="16"/>
  <c r="I43" i="16" s="1"/>
  <c r="H42" i="16"/>
  <c r="I42" i="16" s="1"/>
  <c r="H41" i="16"/>
  <c r="I41" i="16" s="1"/>
  <c r="H40" i="16"/>
  <c r="I40" i="16" s="1"/>
  <c r="H39" i="16"/>
  <c r="I39" i="16" s="1"/>
  <c r="H38" i="16"/>
  <c r="I38" i="16" s="1"/>
  <c r="H37" i="16"/>
  <c r="I37" i="16" s="1"/>
  <c r="H36" i="16"/>
  <c r="I36" i="16" s="1"/>
  <c r="H35" i="16"/>
  <c r="I35" i="16" s="1"/>
  <c r="H34" i="16"/>
  <c r="I34" i="16" s="1"/>
  <c r="H33" i="16"/>
  <c r="I33" i="16" s="1"/>
  <c r="H32" i="16"/>
  <c r="I32" i="16" s="1"/>
  <c r="H31" i="16"/>
  <c r="I31" i="16" s="1"/>
  <c r="H30" i="16"/>
  <c r="I30" i="16" s="1"/>
  <c r="H29" i="16"/>
  <c r="I29" i="16" s="1"/>
  <c r="H28" i="16"/>
  <c r="I28" i="16" s="1"/>
  <c r="H27" i="16"/>
  <c r="I27" i="16" s="1"/>
  <c r="H26" i="16"/>
  <c r="I26" i="16" s="1"/>
  <c r="H25" i="16"/>
  <c r="I25" i="16" s="1"/>
  <c r="H24" i="16"/>
  <c r="I24" i="16" s="1"/>
  <c r="H23" i="16"/>
  <c r="I23" i="16" s="1"/>
  <c r="H22" i="16"/>
  <c r="I22" i="16" s="1"/>
  <c r="H21" i="16"/>
  <c r="I21" i="16" s="1"/>
  <c r="H20" i="16"/>
  <c r="I20" i="16" s="1"/>
  <c r="H19" i="16"/>
  <c r="I19" i="16" s="1"/>
  <c r="H18" i="16"/>
  <c r="I18" i="16" s="1"/>
  <c r="H17" i="16"/>
  <c r="I17" i="16" s="1"/>
  <c r="H16" i="16"/>
  <c r="I16" i="16" s="1"/>
  <c r="H15" i="16"/>
  <c r="I15" i="16" s="1"/>
  <c r="H14" i="16"/>
  <c r="I14" i="16" s="1"/>
  <c r="H13" i="16"/>
  <c r="I13" i="16" s="1"/>
  <c r="H12" i="16"/>
  <c r="H11" i="16"/>
  <c r="I11" i="16" s="1"/>
  <c r="D364" i="16"/>
  <c r="E364" i="16"/>
  <c r="Y364" i="16"/>
  <c r="D365" i="16"/>
  <c r="E365" i="16"/>
  <c r="Y365" i="16"/>
  <c r="D366" i="16"/>
  <c r="E366" i="16"/>
  <c r="Y366" i="16"/>
  <c r="D367" i="16"/>
  <c r="E367" i="16"/>
  <c r="Y367" i="16"/>
  <c r="D368" i="16"/>
  <c r="E368" i="16"/>
  <c r="Y368" i="16"/>
  <c r="B364" i="16"/>
  <c r="B365" i="16"/>
  <c r="B366" i="16"/>
  <c r="B367" i="16"/>
  <c r="B368" i="16"/>
  <c r="A368" i="16"/>
  <c r="A367" i="16"/>
  <c r="A366" i="16"/>
  <c r="A365" i="16"/>
  <c r="A364" i="16"/>
  <c r="B340" i="11"/>
  <c r="A340" i="11"/>
  <c r="B260" i="11"/>
  <c r="A260" i="11"/>
  <c r="B100" i="11"/>
  <c r="A100" i="11"/>
  <c r="B86" i="11"/>
  <c r="A86" i="11"/>
  <c r="B28" i="11"/>
  <c r="A28" i="11"/>
  <c r="I12" i="16" l="1"/>
  <c r="B91" i="8"/>
  <c r="U90" i="8"/>
  <c r="E90" i="8"/>
  <c r="B90" i="8"/>
  <c r="B88" i="8"/>
  <c r="B38" i="8"/>
  <c r="Y363" i="16"/>
  <c r="Y362" i="16"/>
  <c r="Y361" i="16"/>
  <c r="Y360" i="16"/>
  <c r="Y359" i="16"/>
  <c r="Y358" i="16"/>
  <c r="Y357" i="16"/>
  <c r="Y356" i="16"/>
  <c r="Y355" i="16"/>
  <c r="Y354" i="16"/>
  <c r="Y353" i="16"/>
  <c r="Y352" i="16"/>
  <c r="Y351" i="16"/>
  <c r="Y350" i="16"/>
  <c r="Y349" i="16"/>
  <c r="Y348" i="16"/>
  <c r="Y347" i="16"/>
  <c r="Y346" i="16"/>
  <c r="Y345" i="16"/>
  <c r="Y344" i="16"/>
  <c r="Y343" i="16"/>
  <c r="Y342" i="16"/>
  <c r="Y341" i="16"/>
  <c r="Y340" i="16"/>
  <c r="Y339" i="16"/>
  <c r="Y338" i="16"/>
  <c r="Y337" i="16"/>
  <c r="Y336" i="16"/>
  <c r="Y335" i="16"/>
  <c r="Y334" i="16"/>
  <c r="Y333" i="16"/>
  <c r="Y332" i="16"/>
  <c r="Y331" i="16"/>
  <c r="Y330" i="16"/>
  <c r="Y329" i="16"/>
  <c r="Y328" i="16"/>
  <c r="Y327" i="16"/>
  <c r="Y326" i="16"/>
  <c r="Y325" i="16"/>
  <c r="Y324" i="16"/>
  <c r="Y323" i="16"/>
  <c r="Y322" i="16"/>
  <c r="Y321" i="16"/>
  <c r="Y320" i="16"/>
  <c r="Y319" i="16"/>
  <c r="Y318" i="16"/>
  <c r="Y317" i="16"/>
  <c r="Y316" i="16"/>
  <c r="Y315" i="16"/>
  <c r="Y314" i="16"/>
  <c r="Y313" i="16"/>
  <c r="Y312" i="16"/>
  <c r="Y311" i="16"/>
  <c r="Y310" i="16"/>
  <c r="Y309" i="16"/>
  <c r="Y308" i="16"/>
  <c r="Y307" i="16"/>
  <c r="Y306" i="16"/>
  <c r="Y305" i="16"/>
  <c r="Y304" i="16"/>
  <c r="Y303" i="16"/>
  <c r="Y302" i="16"/>
  <c r="Y301" i="16"/>
  <c r="Y300" i="16"/>
  <c r="Y299" i="16"/>
  <c r="Y298" i="16"/>
  <c r="Y297" i="16"/>
  <c r="Y296" i="16"/>
  <c r="Y295" i="16"/>
  <c r="Y294" i="16"/>
  <c r="Y293" i="16"/>
  <c r="Y292" i="16"/>
  <c r="Y291" i="16"/>
  <c r="Y290" i="16"/>
  <c r="Y289" i="16"/>
  <c r="Y288" i="16"/>
  <c r="Y287" i="16"/>
  <c r="Y286" i="16"/>
  <c r="Y285" i="16"/>
  <c r="Y284" i="16"/>
  <c r="Y283" i="16"/>
  <c r="Y282" i="16"/>
  <c r="Y281" i="16"/>
  <c r="Y280" i="16"/>
  <c r="Y279" i="16"/>
  <c r="Y278" i="16"/>
  <c r="Y277" i="16"/>
  <c r="Y276" i="16"/>
  <c r="Y275" i="16"/>
  <c r="Y274" i="16"/>
  <c r="Y273" i="16"/>
  <c r="Y272" i="16"/>
  <c r="Y271" i="16"/>
  <c r="Y270" i="16"/>
  <c r="Y269" i="16"/>
  <c r="Y268" i="16"/>
  <c r="Y267" i="16"/>
  <c r="Y266" i="16"/>
  <c r="Y265" i="16"/>
  <c r="Y264" i="16"/>
  <c r="Y263" i="16"/>
  <c r="Y262" i="16"/>
  <c r="Y261" i="16"/>
  <c r="Y260" i="16"/>
  <c r="Y259" i="16"/>
  <c r="Y258" i="16"/>
  <c r="Y257" i="16"/>
  <c r="Y256" i="16"/>
  <c r="Y255" i="16"/>
  <c r="Y254" i="16"/>
  <c r="Y253" i="16"/>
  <c r="Y252" i="16"/>
  <c r="Y251" i="16"/>
  <c r="Y250" i="16"/>
  <c r="Y249" i="16"/>
  <c r="Y248" i="16"/>
  <c r="Y247" i="16"/>
  <c r="Y246" i="16"/>
  <c r="Y245" i="16"/>
  <c r="Y244" i="16"/>
  <c r="Y243" i="16"/>
  <c r="Y242" i="16"/>
  <c r="Y241" i="16"/>
  <c r="Y240" i="16"/>
  <c r="Y239" i="16"/>
  <c r="Y238" i="16"/>
  <c r="Y237" i="16"/>
  <c r="Y236" i="16"/>
  <c r="Y235" i="16"/>
  <c r="Y234" i="16"/>
  <c r="Y233" i="16"/>
  <c r="Y232" i="16"/>
  <c r="Y231" i="16"/>
  <c r="Y230" i="16"/>
  <c r="Y229" i="16"/>
  <c r="Y228" i="16"/>
  <c r="Y227" i="16"/>
  <c r="Y226" i="16"/>
  <c r="Y225" i="16"/>
  <c r="Y224" i="16"/>
  <c r="Y223" i="16"/>
  <c r="Y222" i="16"/>
  <c r="Y221" i="16"/>
  <c r="Y220" i="16"/>
  <c r="Y219" i="16"/>
  <c r="Y218" i="16"/>
  <c r="Y217" i="16"/>
  <c r="Y216" i="16"/>
  <c r="Y215" i="16"/>
  <c r="Y214" i="16"/>
  <c r="Y213" i="16"/>
  <c r="Y212" i="16"/>
  <c r="Y211" i="16"/>
  <c r="Y210" i="16"/>
  <c r="Y209" i="16"/>
  <c r="Y208" i="16"/>
  <c r="Y207" i="16"/>
  <c r="Y206" i="16"/>
  <c r="Y205" i="16"/>
  <c r="Y204" i="16"/>
  <c r="Y203" i="16"/>
  <c r="Y202" i="16"/>
  <c r="Y201" i="16"/>
  <c r="Y200" i="16"/>
  <c r="Y199" i="16"/>
  <c r="Y198" i="16"/>
  <c r="Y197" i="16"/>
  <c r="Y196" i="16"/>
  <c r="Y195" i="16"/>
  <c r="Y194" i="16"/>
  <c r="Y193" i="16"/>
  <c r="Y192" i="16"/>
  <c r="Y191" i="16"/>
  <c r="Y190" i="16"/>
  <c r="Y189" i="16"/>
  <c r="Y188" i="16"/>
  <c r="Y187" i="16"/>
  <c r="Y186" i="16"/>
  <c r="Y185" i="16"/>
  <c r="Y184" i="16"/>
  <c r="Y183" i="16"/>
  <c r="Y182" i="16"/>
  <c r="Y181" i="16"/>
  <c r="Y180" i="16"/>
  <c r="Y179" i="16"/>
  <c r="Y178" i="16"/>
  <c r="Y177" i="16"/>
  <c r="Y176" i="16"/>
  <c r="Y175" i="16"/>
  <c r="Y174" i="16"/>
  <c r="Y173" i="16"/>
  <c r="Y172" i="16"/>
  <c r="Y171" i="16"/>
  <c r="Y170" i="16"/>
  <c r="Y169" i="16"/>
  <c r="Y168" i="16"/>
  <c r="Y167" i="16"/>
  <c r="Y166" i="16"/>
  <c r="Y165" i="16"/>
  <c r="Y164" i="16"/>
  <c r="Y163" i="16"/>
  <c r="Y162" i="16"/>
  <c r="Y161" i="16"/>
  <c r="Y160" i="16"/>
  <c r="Y159" i="16"/>
  <c r="Y158" i="16"/>
  <c r="Y157" i="16"/>
  <c r="Y156" i="16"/>
  <c r="Y155" i="16"/>
  <c r="Y154" i="16"/>
  <c r="Y153" i="16"/>
  <c r="Y152" i="16"/>
  <c r="Y151" i="16"/>
  <c r="Y150" i="16"/>
  <c r="Y149" i="16"/>
  <c r="Y148" i="16"/>
  <c r="Y147" i="16"/>
  <c r="Y146" i="16"/>
  <c r="Y145" i="16"/>
  <c r="Y144" i="16"/>
  <c r="Y143" i="16"/>
  <c r="Y142" i="16"/>
  <c r="Y141" i="16"/>
  <c r="Y140" i="16"/>
  <c r="Y139" i="16"/>
  <c r="Y138" i="16"/>
  <c r="Y137" i="16"/>
  <c r="Y136" i="16"/>
  <c r="Y135" i="16"/>
  <c r="Y134" i="16"/>
  <c r="Y133" i="16"/>
  <c r="Y132" i="16"/>
  <c r="Y131" i="16"/>
  <c r="Y130" i="16"/>
  <c r="Y129" i="16"/>
  <c r="Y128" i="16"/>
  <c r="Y127" i="16"/>
  <c r="Y126" i="16"/>
  <c r="Y125" i="16"/>
  <c r="Y124" i="16"/>
  <c r="Y123" i="16"/>
  <c r="Y122" i="16"/>
  <c r="Y121" i="16"/>
  <c r="Y120" i="16"/>
  <c r="Y119" i="16"/>
  <c r="Y118" i="16"/>
  <c r="Y117" i="16"/>
  <c r="Y116" i="16"/>
  <c r="Y115" i="16"/>
  <c r="Y114" i="16"/>
  <c r="Y113" i="16"/>
  <c r="Y112" i="16"/>
  <c r="Y111" i="16"/>
  <c r="Y110" i="16"/>
  <c r="Y109" i="16"/>
  <c r="Y108" i="16"/>
  <c r="Y107" i="16"/>
  <c r="Y106" i="16"/>
  <c r="Y105" i="16"/>
  <c r="Y104" i="16"/>
  <c r="Y103" i="16"/>
  <c r="Y102" i="16"/>
  <c r="Y101" i="16"/>
  <c r="Y100" i="16"/>
  <c r="Y99" i="16"/>
  <c r="Y98" i="16"/>
  <c r="Y97" i="16"/>
  <c r="Y96" i="16"/>
  <c r="Y95" i="16"/>
  <c r="Y94" i="16"/>
  <c r="Y93" i="16"/>
  <c r="Y92" i="16"/>
  <c r="Y91" i="16"/>
  <c r="Y90" i="16"/>
  <c r="Y89" i="16"/>
  <c r="Y88" i="16"/>
  <c r="Y87" i="16"/>
  <c r="Y86" i="16"/>
  <c r="Y85" i="16"/>
  <c r="Y84" i="16"/>
  <c r="Y83" i="16"/>
  <c r="Y82" i="16"/>
  <c r="Y81" i="16"/>
  <c r="Y80" i="16"/>
  <c r="Y79" i="16"/>
  <c r="Y78" i="16"/>
  <c r="Y77" i="16"/>
  <c r="Y76" i="16"/>
  <c r="Y75" i="16"/>
  <c r="Y74" i="16"/>
  <c r="Y73" i="16"/>
  <c r="Y72" i="16"/>
  <c r="Y71" i="16"/>
  <c r="Y70" i="16"/>
  <c r="Y69" i="16"/>
  <c r="Y68" i="16"/>
  <c r="Y67" i="16"/>
  <c r="Y66" i="16"/>
  <c r="Y65" i="16"/>
  <c r="Y64" i="16"/>
  <c r="Y63" i="16"/>
  <c r="Y62" i="16"/>
  <c r="Y61" i="16"/>
  <c r="Y60" i="16"/>
  <c r="Y59" i="16"/>
  <c r="Y58" i="16"/>
  <c r="Y57" i="16"/>
  <c r="Y56" i="16"/>
  <c r="Y55" i="16"/>
  <c r="Y54" i="16"/>
  <c r="Y53" i="16"/>
  <c r="Y52" i="16"/>
  <c r="Y51" i="16"/>
  <c r="Y50" i="16"/>
  <c r="Y49" i="16"/>
  <c r="Y48" i="16"/>
  <c r="Y47" i="16"/>
  <c r="Y46" i="16"/>
  <c r="Y45" i="16"/>
  <c r="Y44" i="16"/>
  <c r="Y43" i="16"/>
  <c r="Y42" i="16"/>
  <c r="Y41" i="16"/>
  <c r="Y40" i="16"/>
  <c r="Y39" i="16"/>
  <c r="Y38" i="16"/>
  <c r="Y37" i="16"/>
  <c r="Y36" i="16"/>
  <c r="Y35" i="16"/>
  <c r="Y34" i="16"/>
  <c r="Y33" i="16"/>
  <c r="Y32" i="16"/>
  <c r="Y31" i="16"/>
  <c r="Y30" i="16"/>
  <c r="Y29" i="16"/>
  <c r="Y28" i="16"/>
  <c r="Y27" i="16"/>
  <c r="Y26" i="16"/>
  <c r="Y25" i="16"/>
  <c r="Y24" i="16"/>
  <c r="Y23" i="16"/>
  <c r="Y22" i="16"/>
  <c r="Y21" i="16"/>
  <c r="Y20" i="16"/>
  <c r="Y19" i="16"/>
  <c r="Y18" i="16"/>
  <c r="Y17" i="16"/>
  <c r="Y16" i="16"/>
  <c r="Y15" i="16"/>
  <c r="Y14" i="16"/>
  <c r="Y13" i="16"/>
  <c r="Y12" i="16"/>
  <c r="Y11" i="16"/>
  <c r="M1" i="11"/>
  <c r="Z34" i="16" l="1"/>
  <c r="Z46" i="16"/>
  <c r="Z70" i="16"/>
  <c r="Z106" i="16"/>
  <c r="Z22" i="16"/>
  <c r="Z94" i="16"/>
  <c r="Z202" i="16"/>
  <c r="Z334" i="16"/>
  <c r="Z11" i="16"/>
  <c r="Z59" i="16"/>
  <c r="Z71" i="16"/>
  <c r="Z83" i="16"/>
  <c r="Z95" i="16"/>
  <c r="Z107" i="16"/>
  <c r="Z119" i="16"/>
  <c r="Z131" i="16"/>
  <c r="Z143" i="16"/>
  <c r="Z155" i="16"/>
  <c r="Z167" i="16"/>
  <c r="Z179" i="16"/>
  <c r="Z191" i="16"/>
  <c r="Z203" i="16"/>
  <c r="Z215" i="16"/>
  <c r="Z227" i="16"/>
  <c r="Z239" i="16"/>
  <c r="Z251" i="16"/>
  <c r="Z263" i="16"/>
  <c r="Z275" i="16"/>
  <c r="Z287" i="16"/>
  <c r="Z299" i="16"/>
  <c r="Z311" i="16"/>
  <c r="Z323" i="16"/>
  <c r="Z335" i="16"/>
  <c r="Z347" i="16"/>
  <c r="Z359" i="16"/>
  <c r="Z48" i="16"/>
  <c r="Z60" i="16"/>
  <c r="Z72" i="16"/>
  <c r="Z84" i="16"/>
  <c r="Z96" i="16"/>
  <c r="Z108" i="16"/>
  <c r="Z120" i="16"/>
  <c r="Z132" i="16"/>
  <c r="Z144" i="16"/>
  <c r="Z156" i="16"/>
  <c r="Z168" i="16"/>
  <c r="Z180" i="16"/>
  <c r="Z192" i="16"/>
  <c r="Z204" i="16"/>
  <c r="Z216" i="16"/>
  <c r="Z228" i="16"/>
  <c r="Z240" i="16"/>
  <c r="Z252" i="16"/>
  <c r="Z264" i="16"/>
  <c r="Z276" i="16"/>
  <c r="Z288" i="16"/>
  <c r="Z300" i="16"/>
  <c r="Z312" i="16"/>
  <c r="Z324" i="16"/>
  <c r="Z336" i="16"/>
  <c r="Z348" i="16"/>
  <c r="Z360" i="16"/>
  <c r="Z25" i="16"/>
  <c r="Z85" i="16"/>
  <c r="Z109" i="16"/>
  <c r="Z121" i="16"/>
  <c r="Z133" i="16"/>
  <c r="Z145" i="16"/>
  <c r="Z157" i="16"/>
  <c r="Z169" i="16"/>
  <c r="Z181" i="16"/>
  <c r="Z193" i="16"/>
  <c r="Z205" i="16"/>
  <c r="Z217" i="16"/>
  <c r="Z229" i="16"/>
  <c r="Z241" i="16"/>
  <c r="Z253" i="16"/>
  <c r="Z265" i="16"/>
  <c r="Z277" i="16"/>
  <c r="Z289" i="16"/>
  <c r="Z301" i="16"/>
  <c r="Z313" i="16"/>
  <c r="Z325" i="16"/>
  <c r="Z337" i="16"/>
  <c r="Z349" i="16"/>
  <c r="Z361" i="16"/>
  <c r="Z58" i="16"/>
  <c r="Z142" i="16"/>
  <c r="Z238" i="16"/>
  <c r="Z298" i="16"/>
  <c r="Z346" i="16"/>
  <c r="Z35" i="16"/>
  <c r="Z62" i="16"/>
  <c r="Z110" i="16"/>
  <c r="Z146" i="16"/>
  <c r="Z170" i="16"/>
  <c r="Z182" i="16"/>
  <c r="Z194" i="16"/>
  <c r="Z206" i="16"/>
  <c r="Z218" i="16"/>
  <c r="Z230" i="16"/>
  <c r="Z242" i="16"/>
  <c r="Z254" i="16"/>
  <c r="Z266" i="16"/>
  <c r="Z278" i="16"/>
  <c r="Z290" i="16"/>
  <c r="Z302" i="16"/>
  <c r="Z314" i="16"/>
  <c r="Z326" i="16"/>
  <c r="Z338" i="16"/>
  <c r="Z350" i="16"/>
  <c r="Z362" i="16"/>
  <c r="Z12" i="16"/>
  <c r="Z13" i="16"/>
  <c r="Z73" i="16"/>
  <c r="Z26" i="16"/>
  <c r="Z74" i="16"/>
  <c r="Z98" i="16"/>
  <c r="Z134" i="16"/>
  <c r="Z15" i="16"/>
  <c r="Z39" i="16"/>
  <c r="Z63" i="16"/>
  <c r="Z75" i="16"/>
  <c r="Z87" i="16"/>
  <c r="Z99" i="16"/>
  <c r="Z111" i="16"/>
  <c r="Z123" i="16"/>
  <c r="Z135" i="16"/>
  <c r="Z147" i="16"/>
  <c r="Z159" i="16"/>
  <c r="Z171" i="16"/>
  <c r="Z183" i="16"/>
  <c r="Z195" i="16"/>
  <c r="Z207" i="16"/>
  <c r="Z219" i="16"/>
  <c r="Z231" i="16"/>
  <c r="Z243" i="16"/>
  <c r="Z255" i="16"/>
  <c r="Z267" i="16"/>
  <c r="Z279" i="16"/>
  <c r="Z291" i="16"/>
  <c r="Z303" i="16"/>
  <c r="Z315" i="16"/>
  <c r="Z327" i="16"/>
  <c r="Z339" i="16"/>
  <c r="Z351" i="16"/>
  <c r="Z363" i="16"/>
  <c r="Z366" i="16"/>
  <c r="Z190" i="16"/>
  <c r="Z47" i="16"/>
  <c r="Z36" i="16"/>
  <c r="Z37" i="16"/>
  <c r="Z61" i="16"/>
  <c r="Z14" i="16"/>
  <c r="Z50" i="16"/>
  <c r="Z86" i="16"/>
  <c r="Z122" i="16"/>
  <c r="Z158" i="16"/>
  <c r="Z27" i="16"/>
  <c r="Z51" i="16"/>
  <c r="Z16" i="16"/>
  <c r="Z28" i="16"/>
  <c r="Z40" i="16"/>
  <c r="Z52" i="16"/>
  <c r="Z64" i="16"/>
  <c r="Z76" i="16"/>
  <c r="Z88" i="16"/>
  <c r="Z100" i="16"/>
  <c r="Z112" i="16"/>
  <c r="Z124" i="16"/>
  <c r="Z136" i="16"/>
  <c r="Z148" i="16"/>
  <c r="Z160" i="16"/>
  <c r="Z172" i="16"/>
  <c r="Z184" i="16"/>
  <c r="Z196" i="16"/>
  <c r="Z208" i="16"/>
  <c r="Z220" i="16"/>
  <c r="Z232" i="16"/>
  <c r="Z244" i="16"/>
  <c r="Z256" i="16"/>
  <c r="Z268" i="16"/>
  <c r="Z280" i="16"/>
  <c r="Z292" i="16"/>
  <c r="Z304" i="16"/>
  <c r="Z316" i="16"/>
  <c r="Z328" i="16"/>
  <c r="Z340" i="16"/>
  <c r="Z352" i="16"/>
  <c r="Z367" i="16"/>
  <c r="Z166" i="16"/>
  <c r="Z358" i="16"/>
  <c r="Z23" i="16"/>
  <c r="Z24" i="16"/>
  <c r="Z49" i="16"/>
  <c r="Z97" i="16"/>
  <c r="Z38" i="16"/>
  <c r="Z17" i="16"/>
  <c r="Z29" i="16"/>
  <c r="Z41" i="16"/>
  <c r="Z53" i="16"/>
  <c r="Z65" i="16"/>
  <c r="Z77" i="16"/>
  <c r="Z89" i="16"/>
  <c r="Z101" i="16"/>
  <c r="Z113" i="16"/>
  <c r="Z125" i="16"/>
  <c r="Z137" i="16"/>
  <c r="Z149" i="16"/>
  <c r="Z161" i="16"/>
  <c r="Z173" i="16"/>
  <c r="Z185" i="16"/>
  <c r="Z197" i="16"/>
  <c r="Z209" i="16"/>
  <c r="Z221" i="16"/>
  <c r="Z233" i="16"/>
  <c r="Z245" i="16"/>
  <c r="Z257" i="16"/>
  <c r="Z269" i="16"/>
  <c r="Z281" i="16"/>
  <c r="Z293" i="16"/>
  <c r="Z305" i="16"/>
  <c r="Z317" i="16"/>
  <c r="Z329" i="16"/>
  <c r="Z341" i="16"/>
  <c r="Z353" i="16"/>
  <c r="Z365" i="16"/>
  <c r="Z130" i="16"/>
  <c r="Z226" i="16"/>
  <c r="Z262" i="16"/>
  <c r="Z310" i="16"/>
  <c r="Z18" i="16"/>
  <c r="Z30" i="16"/>
  <c r="Z42" i="16"/>
  <c r="Z54" i="16"/>
  <c r="Z66" i="16"/>
  <c r="Z78" i="16"/>
  <c r="Z90" i="16"/>
  <c r="Z102" i="16"/>
  <c r="Z114" i="16"/>
  <c r="Z126" i="16"/>
  <c r="Z138" i="16"/>
  <c r="Z150" i="16"/>
  <c r="Z162" i="16"/>
  <c r="Z174" i="16"/>
  <c r="Z186" i="16"/>
  <c r="Z198" i="16"/>
  <c r="Z210" i="16"/>
  <c r="Z222" i="16"/>
  <c r="Z234" i="16"/>
  <c r="Z246" i="16"/>
  <c r="Z258" i="16"/>
  <c r="Z270" i="16"/>
  <c r="Z282" i="16"/>
  <c r="Z294" i="16"/>
  <c r="Z306" i="16"/>
  <c r="Z318" i="16"/>
  <c r="Z330" i="16"/>
  <c r="Z342" i="16"/>
  <c r="Z354" i="16"/>
  <c r="Z368" i="16"/>
  <c r="Z364" i="16"/>
  <c r="Z118" i="16"/>
  <c r="Z214" i="16"/>
  <c r="Z274" i="16"/>
  <c r="Z322" i="16"/>
  <c r="Z19" i="16"/>
  <c r="Z31" i="16"/>
  <c r="Z43" i="16"/>
  <c r="Z55" i="16"/>
  <c r="Z67" i="16"/>
  <c r="Z79" i="16"/>
  <c r="Z91" i="16"/>
  <c r="Z103" i="16"/>
  <c r="Z115" i="16"/>
  <c r="Z127" i="16"/>
  <c r="Z139" i="16"/>
  <c r="Z151" i="16"/>
  <c r="Z163" i="16"/>
  <c r="Z175" i="16"/>
  <c r="Z187" i="16"/>
  <c r="Z199" i="16"/>
  <c r="Z211" i="16"/>
  <c r="Z223" i="16"/>
  <c r="Z235" i="16"/>
  <c r="Z247" i="16"/>
  <c r="Z259" i="16"/>
  <c r="Z271" i="16"/>
  <c r="Z283" i="16"/>
  <c r="Z295" i="16"/>
  <c r="Z307" i="16"/>
  <c r="Z319" i="16"/>
  <c r="Z331" i="16"/>
  <c r="Z343" i="16"/>
  <c r="Z355" i="16"/>
  <c r="Z82" i="16"/>
  <c r="Z178" i="16"/>
  <c r="Z286" i="16"/>
  <c r="Z20" i="16"/>
  <c r="Z32" i="16"/>
  <c r="Z44" i="16"/>
  <c r="Z56" i="16"/>
  <c r="Z68" i="16"/>
  <c r="Z80" i="16"/>
  <c r="Z92" i="16"/>
  <c r="Z104" i="16"/>
  <c r="Z116" i="16"/>
  <c r="Z128" i="16"/>
  <c r="Z140" i="16"/>
  <c r="Z152" i="16"/>
  <c r="Z164" i="16"/>
  <c r="Z176" i="16"/>
  <c r="Z188" i="16"/>
  <c r="Z200" i="16"/>
  <c r="Z212" i="16"/>
  <c r="Z224" i="16"/>
  <c r="Z236" i="16"/>
  <c r="Z248" i="16"/>
  <c r="Z260" i="16"/>
  <c r="Z272" i="16"/>
  <c r="Z284" i="16"/>
  <c r="Z296" i="16"/>
  <c r="Z308" i="16"/>
  <c r="Z320" i="16"/>
  <c r="Z332" i="16"/>
  <c r="Z344" i="16"/>
  <c r="Z356" i="16"/>
  <c r="Z154" i="16"/>
  <c r="Z250" i="16"/>
  <c r="Z21" i="16"/>
  <c r="Z33" i="16"/>
  <c r="Z45" i="16"/>
  <c r="Z57" i="16"/>
  <c r="Z69" i="16"/>
  <c r="Z81" i="16"/>
  <c r="Z93" i="16"/>
  <c r="Z105" i="16"/>
  <c r="Z117" i="16"/>
  <c r="Z129" i="16"/>
  <c r="Z141" i="16"/>
  <c r="Z153" i="16"/>
  <c r="Z165" i="16"/>
  <c r="Z177" i="16"/>
  <c r="Z189" i="16"/>
  <c r="Z201" i="16"/>
  <c r="Z213" i="16"/>
  <c r="Z225" i="16"/>
  <c r="Z237" i="16"/>
  <c r="Z249" i="16"/>
  <c r="Z261" i="16"/>
  <c r="Z273" i="16"/>
  <c r="Z285" i="16"/>
  <c r="Z297" i="16"/>
  <c r="Z309" i="16"/>
  <c r="Z321" i="16"/>
  <c r="Z333" i="16"/>
  <c r="Z345" i="16"/>
  <c r="Z357" i="16"/>
  <c r="AF12" i="16"/>
  <c r="K9" i="16"/>
  <c r="W14" i="8" l="1"/>
  <c r="D1" i="34" l="1"/>
  <c r="E1" i="34"/>
  <c r="F1" i="34"/>
  <c r="G1" i="34"/>
  <c r="H1" i="34"/>
  <c r="I1" i="34"/>
  <c r="J1" i="34"/>
  <c r="K1" i="34"/>
  <c r="L1" i="34"/>
  <c r="M1" i="34"/>
  <c r="N1" i="34"/>
  <c r="O1" i="34"/>
  <c r="P1" i="34"/>
  <c r="Q1" i="34"/>
  <c r="R1" i="34"/>
  <c r="S1" i="34"/>
  <c r="T1" i="34"/>
  <c r="U1" i="34"/>
  <c r="V1" i="34"/>
  <c r="W1" i="34"/>
  <c r="X1" i="34"/>
  <c r="Y1" i="34"/>
  <c r="Z1" i="34"/>
  <c r="AA1" i="34"/>
  <c r="AB1" i="34"/>
  <c r="AC1" i="34"/>
  <c r="AD1" i="34"/>
  <c r="AE1" i="34"/>
  <c r="AF1" i="34"/>
  <c r="AG1" i="34"/>
  <c r="AH1" i="34"/>
  <c r="AI1" i="34"/>
  <c r="AJ1" i="34"/>
  <c r="AK1" i="34"/>
  <c r="AL1" i="34"/>
  <c r="AM1" i="34"/>
  <c r="AN1" i="34"/>
  <c r="AO1" i="34"/>
  <c r="AP1" i="34"/>
  <c r="AQ1" i="34"/>
  <c r="AR1" i="34"/>
  <c r="AS1" i="34"/>
  <c r="AT1" i="34"/>
  <c r="AU1" i="34"/>
  <c r="AV1" i="34"/>
  <c r="AW1" i="34"/>
  <c r="AX1" i="34"/>
  <c r="AY1" i="34"/>
  <c r="AZ1" i="34"/>
  <c r="BA1" i="34"/>
  <c r="BB1" i="34"/>
  <c r="BC1" i="34"/>
  <c r="BD1" i="34"/>
  <c r="BE1" i="34"/>
  <c r="BF1" i="34"/>
  <c r="BG1" i="34"/>
  <c r="BH1" i="34"/>
  <c r="BI1" i="34"/>
  <c r="BJ1" i="34"/>
  <c r="BK1" i="34"/>
  <c r="BL1" i="34"/>
  <c r="BM1" i="34"/>
  <c r="BN1" i="34"/>
  <c r="BO1" i="34"/>
  <c r="BP1" i="34"/>
  <c r="BQ1" i="34"/>
  <c r="BR1" i="34"/>
  <c r="BS1" i="34"/>
  <c r="BT1" i="34"/>
  <c r="BU1" i="34"/>
  <c r="BV1" i="34"/>
  <c r="BW1" i="34"/>
  <c r="BX1" i="34"/>
  <c r="BY1" i="34"/>
  <c r="C1" i="34"/>
  <c r="B3" i="8"/>
  <c r="A365" i="24" l="1"/>
  <c r="A364" i="24"/>
  <c r="A363" i="24"/>
  <c r="A362" i="24"/>
  <c r="A361" i="24"/>
  <c r="A360" i="24"/>
  <c r="A359" i="24"/>
  <c r="A358" i="24"/>
  <c r="A357" i="24"/>
  <c r="A356" i="24"/>
  <c r="A355" i="24"/>
  <c r="A354" i="24"/>
  <c r="A353" i="24"/>
  <c r="A352" i="24"/>
  <c r="A351" i="24"/>
  <c r="A350" i="24"/>
  <c r="A349" i="24"/>
  <c r="A348" i="24"/>
  <c r="A347" i="24"/>
  <c r="A346" i="24"/>
  <c r="A345" i="24"/>
  <c r="A344" i="24"/>
  <c r="A343" i="24"/>
  <c r="A342" i="24"/>
  <c r="A341" i="24"/>
  <c r="A340" i="24"/>
  <c r="A339" i="24"/>
  <c r="A338" i="24"/>
  <c r="A337" i="24"/>
  <c r="A336" i="24"/>
  <c r="A335" i="24"/>
  <c r="A334" i="24"/>
  <c r="A333" i="24"/>
  <c r="A332" i="24"/>
  <c r="A331" i="24"/>
  <c r="A330" i="24"/>
  <c r="A329" i="24"/>
  <c r="A328" i="24"/>
  <c r="A327" i="24"/>
  <c r="A326" i="24"/>
  <c r="A325" i="24"/>
  <c r="A324" i="24"/>
  <c r="A323" i="24"/>
  <c r="A322" i="24"/>
  <c r="A321" i="24"/>
  <c r="A320" i="24"/>
  <c r="A319" i="24"/>
  <c r="A318" i="24"/>
  <c r="A317" i="24"/>
  <c r="A316" i="24"/>
  <c r="A315" i="24"/>
  <c r="A314" i="24"/>
  <c r="A313" i="24"/>
  <c r="A312" i="24"/>
  <c r="A311" i="24"/>
  <c r="A310" i="24"/>
  <c r="A309" i="24"/>
  <c r="A308" i="24"/>
  <c r="A307" i="24"/>
  <c r="A306" i="24"/>
  <c r="A305" i="24"/>
  <c r="A304" i="24"/>
  <c r="A303" i="24"/>
  <c r="A302" i="24"/>
  <c r="A301" i="24"/>
  <c r="A300" i="24"/>
  <c r="A299" i="24"/>
  <c r="A298" i="24"/>
  <c r="A297" i="24"/>
  <c r="A296" i="24"/>
  <c r="A295" i="24"/>
  <c r="A294" i="24"/>
  <c r="A293" i="24"/>
  <c r="A292" i="24"/>
  <c r="A291" i="24"/>
  <c r="A290" i="24"/>
  <c r="A289" i="24"/>
  <c r="A288" i="24"/>
  <c r="A287" i="24"/>
  <c r="A286" i="24"/>
  <c r="A285" i="24"/>
  <c r="A284" i="24"/>
  <c r="A283" i="24"/>
  <c r="A282" i="24"/>
  <c r="A281" i="24"/>
  <c r="A280" i="24"/>
  <c r="A279" i="24"/>
  <c r="A278" i="24"/>
  <c r="A277" i="24"/>
  <c r="A276" i="24"/>
  <c r="A275" i="24"/>
  <c r="A274" i="24"/>
  <c r="A273" i="24"/>
  <c r="A272" i="24"/>
  <c r="A271" i="24"/>
  <c r="A270" i="24"/>
  <c r="A269" i="24"/>
  <c r="A268" i="24"/>
  <c r="A267" i="24"/>
  <c r="A266" i="24"/>
  <c r="A265" i="24"/>
  <c r="A264" i="24"/>
  <c r="A263" i="24"/>
  <c r="A262" i="24"/>
  <c r="A261" i="24"/>
  <c r="A260" i="24"/>
  <c r="A259" i="24"/>
  <c r="A258" i="24"/>
  <c r="A257" i="24"/>
  <c r="A256" i="24"/>
  <c r="A255" i="24"/>
  <c r="A254" i="24"/>
  <c r="A253" i="24"/>
  <c r="A252" i="24"/>
  <c r="A251" i="24"/>
  <c r="A250" i="24"/>
  <c r="A249" i="24"/>
  <c r="A248" i="24"/>
  <c r="A247" i="24"/>
  <c r="A246" i="24"/>
  <c r="A245" i="24"/>
  <c r="A244" i="24"/>
  <c r="A243" i="24"/>
  <c r="A242" i="24"/>
  <c r="A241" i="24"/>
  <c r="A240" i="24"/>
  <c r="A239" i="24"/>
  <c r="A238" i="24"/>
  <c r="A237" i="24"/>
  <c r="A236" i="24"/>
  <c r="A235" i="24"/>
  <c r="A234" i="24"/>
  <c r="A233" i="24"/>
  <c r="A232" i="24"/>
  <c r="A231" i="24"/>
  <c r="A230" i="24"/>
  <c r="A229" i="24"/>
  <c r="A228" i="24"/>
  <c r="A227" i="24"/>
  <c r="A226" i="24"/>
  <c r="A225" i="24"/>
  <c r="A224" i="24"/>
  <c r="A223" i="24"/>
  <c r="A222" i="24"/>
  <c r="A221" i="24"/>
  <c r="A220" i="24"/>
  <c r="A219" i="24"/>
  <c r="A218" i="24"/>
  <c r="A217" i="24"/>
  <c r="A216" i="24"/>
  <c r="A215" i="24"/>
  <c r="A214" i="24"/>
  <c r="A213" i="24"/>
  <c r="A212" i="24"/>
  <c r="A211" i="24"/>
  <c r="A210" i="24"/>
  <c r="A209" i="24"/>
  <c r="A208" i="24"/>
  <c r="A207" i="24"/>
  <c r="A206" i="24"/>
  <c r="A205" i="24"/>
  <c r="A204" i="24"/>
  <c r="A203" i="24"/>
  <c r="A202" i="24"/>
  <c r="A201" i="24"/>
  <c r="A200" i="24"/>
  <c r="A199" i="24"/>
  <c r="A198" i="24"/>
  <c r="A197" i="24"/>
  <c r="A196" i="24"/>
  <c r="A195" i="24"/>
  <c r="A194" i="24"/>
  <c r="A193" i="24"/>
  <c r="A192" i="24"/>
  <c r="A191" i="24"/>
  <c r="A190" i="24"/>
  <c r="A189" i="24"/>
  <c r="A188" i="24"/>
  <c r="A187" i="24"/>
  <c r="A186" i="24"/>
  <c r="A185" i="24"/>
  <c r="A184" i="24"/>
  <c r="A183" i="24"/>
  <c r="A182" i="24"/>
  <c r="A181" i="24"/>
  <c r="A180" i="24"/>
  <c r="A179" i="24"/>
  <c r="A178" i="24"/>
  <c r="A177" i="24"/>
  <c r="A176" i="24"/>
  <c r="A175" i="24"/>
  <c r="A174" i="24"/>
  <c r="A173" i="24"/>
  <c r="A172" i="24"/>
  <c r="A171" i="24"/>
  <c r="A170" i="24"/>
  <c r="A169" i="24"/>
  <c r="A168" i="24"/>
  <c r="A167" i="24"/>
  <c r="A166" i="24"/>
  <c r="A165" i="24"/>
  <c r="A162" i="24"/>
  <c r="A161" i="24"/>
  <c r="A160" i="24"/>
  <c r="A159" i="24"/>
  <c r="A158" i="24"/>
  <c r="A157" i="24"/>
  <c r="A156" i="24"/>
  <c r="A155" i="24"/>
  <c r="A154" i="24"/>
  <c r="A153" i="24"/>
  <c r="A152" i="24"/>
  <c r="A151" i="24"/>
  <c r="A150" i="24"/>
  <c r="A149" i="24"/>
  <c r="A148" i="24"/>
  <c r="A147" i="24"/>
  <c r="A146" i="24"/>
  <c r="A145" i="24"/>
  <c r="A144" i="24"/>
  <c r="A143" i="24"/>
  <c r="A142" i="24"/>
  <c r="A141" i="24"/>
  <c r="A140" i="24"/>
  <c r="A139" i="24"/>
  <c r="A138" i="24"/>
  <c r="A137" i="24"/>
  <c r="A136" i="24"/>
  <c r="A133" i="24"/>
  <c r="A132" i="24"/>
  <c r="A131" i="24"/>
  <c r="A130" i="24"/>
  <c r="A129" i="24"/>
  <c r="A128" i="24"/>
  <c r="A127" i="24"/>
  <c r="A126" i="24"/>
  <c r="A125" i="24"/>
  <c r="A124" i="24"/>
  <c r="A123" i="24"/>
  <c r="A122" i="24"/>
  <c r="A121" i="24"/>
  <c r="A120" i="24"/>
  <c r="A119" i="24"/>
  <c r="A118" i="24"/>
  <c r="A117" i="24"/>
  <c r="A116" i="24"/>
  <c r="A115" i="24"/>
  <c r="A114" i="24"/>
  <c r="A113" i="24"/>
  <c r="A112" i="24"/>
  <c r="A111" i="24"/>
  <c r="A110" i="24"/>
  <c r="A109" i="24"/>
  <c r="A108" i="24"/>
  <c r="A107" i="24"/>
  <c r="A106" i="24"/>
  <c r="A105" i="24"/>
  <c r="A104" i="24"/>
  <c r="A103" i="24"/>
  <c r="A102" i="24"/>
  <c r="A101" i="24"/>
  <c r="A100" i="24"/>
  <c r="A99" i="24"/>
  <c r="A98" i="24"/>
  <c r="A97" i="24"/>
  <c r="A96" i="24"/>
  <c r="A95" i="24"/>
  <c r="A94" i="24"/>
  <c r="A93" i="24"/>
  <c r="A92" i="24"/>
  <c r="A91" i="24"/>
  <c r="A90" i="24"/>
  <c r="A89" i="24"/>
  <c r="A88" i="24"/>
  <c r="A87" i="24"/>
  <c r="A86" i="24"/>
  <c r="A85" i="24"/>
  <c r="A84" i="24"/>
  <c r="A83" i="24"/>
  <c r="A82" i="24"/>
  <c r="A81" i="24"/>
  <c r="A80" i="24"/>
  <c r="A79" i="24"/>
  <c r="A78"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7" i="24"/>
  <c r="A36" i="24"/>
  <c r="A35" i="24"/>
  <c r="A34" i="24"/>
  <c r="A33" i="24"/>
  <c r="A32" i="24"/>
  <c r="A31" i="24"/>
  <c r="A30" i="24"/>
  <c r="A29" i="24"/>
  <c r="A28" i="24"/>
  <c r="A27" i="24"/>
  <c r="A26" i="24"/>
  <c r="A25" i="24"/>
  <c r="A24" i="24"/>
  <c r="A23" i="24"/>
  <c r="A22" i="24"/>
  <c r="A21" i="24"/>
  <c r="A20" i="24"/>
  <c r="A19" i="24"/>
  <c r="A18" i="24"/>
  <c r="A17" i="24"/>
  <c r="A16" i="24"/>
  <c r="A15" i="24"/>
  <c r="A14" i="24"/>
  <c r="A13" i="24"/>
  <c r="A12" i="24"/>
  <c r="A11" i="24"/>
  <c r="A10" i="24"/>
  <c r="A9" i="24"/>
  <c r="A8" i="24"/>
  <c r="A7" i="24"/>
  <c r="A6" i="24"/>
  <c r="A359" i="11"/>
  <c r="A358" i="11"/>
  <c r="A357" i="11"/>
  <c r="A356" i="11"/>
  <c r="A355" i="11"/>
  <c r="A354" i="11"/>
  <c r="J353" i="11"/>
  <c r="A353" i="11"/>
  <c r="A352" i="11"/>
  <c r="J351" i="11"/>
  <c r="A351" i="11"/>
  <c r="A350" i="11"/>
  <c r="A349" i="11"/>
  <c r="J348" i="11"/>
  <c r="A348" i="11"/>
  <c r="A347" i="11"/>
  <c r="A346" i="11"/>
  <c r="A345" i="11"/>
  <c r="J344" i="11"/>
  <c r="A344" i="11"/>
  <c r="A343" i="11"/>
  <c r="J342" i="11"/>
  <c r="A342" i="11"/>
  <c r="J341" i="11"/>
  <c r="A341" i="11"/>
  <c r="A339" i="11"/>
  <c r="A338" i="11"/>
  <c r="A337" i="11"/>
  <c r="A336" i="11"/>
  <c r="A335" i="11"/>
  <c r="A334" i="11"/>
  <c r="A333" i="11"/>
  <c r="A332" i="11"/>
  <c r="A331" i="11"/>
  <c r="A330" i="11"/>
  <c r="A329" i="11"/>
  <c r="A328" i="11"/>
  <c r="A327" i="11"/>
  <c r="J326" i="11"/>
  <c r="A326" i="11"/>
  <c r="A325" i="11"/>
  <c r="A324" i="11"/>
  <c r="J323" i="11"/>
  <c r="A323" i="11"/>
  <c r="J322" i="11"/>
  <c r="A322" i="11"/>
  <c r="J321" i="11"/>
  <c r="A321" i="11"/>
  <c r="J320" i="11"/>
  <c r="A320" i="11"/>
  <c r="A319" i="11"/>
  <c r="A318" i="11"/>
  <c r="A317" i="11"/>
  <c r="J316" i="11"/>
  <c r="A316" i="11"/>
  <c r="J315" i="11"/>
  <c r="A315" i="11"/>
  <c r="A314" i="11"/>
  <c r="A313" i="11"/>
  <c r="A312" i="11"/>
  <c r="A311" i="11"/>
  <c r="A310" i="11"/>
  <c r="A309" i="11"/>
  <c r="A308" i="11"/>
  <c r="A307" i="11"/>
  <c r="A306" i="11"/>
  <c r="A305" i="11"/>
  <c r="A304" i="11"/>
  <c r="A303" i="11"/>
  <c r="A302" i="11"/>
  <c r="A301" i="11"/>
  <c r="J300" i="11"/>
  <c r="A300" i="11"/>
  <c r="A299" i="11"/>
  <c r="A298" i="11"/>
  <c r="J297" i="11"/>
  <c r="A297" i="11"/>
  <c r="A296" i="11"/>
  <c r="J295" i="11"/>
  <c r="A295" i="11"/>
  <c r="J294" i="11"/>
  <c r="A294" i="11"/>
  <c r="A293" i="11"/>
  <c r="J292" i="11"/>
  <c r="A292" i="11"/>
  <c r="A291" i="11"/>
  <c r="A290" i="11"/>
  <c r="A289" i="11"/>
  <c r="A288" i="11"/>
  <c r="J287" i="11"/>
  <c r="A287" i="11"/>
  <c r="A286" i="11"/>
  <c r="A285" i="11"/>
  <c r="J284" i="11"/>
  <c r="A284" i="11"/>
  <c r="A283" i="11"/>
  <c r="J282" i="11"/>
  <c r="A282" i="11"/>
  <c r="A281" i="11"/>
  <c r="A280" i="11"/>
  <c r="A279" i="11"/>
  <c r="J278" i="11"/>
  <c r="A278" i="11"/>
  <c r="A277" i="11"/>
  <c r="A276" i="11"/>
  <c r="J275" i="11"/>
  <c r="A275" i="11"/>
  <c r="A274" i="11"/>
  <c r="A273" i="11"/>
  <c r="A272" i="11"/>
  <c r="A271" i="11"/>
  <c r="A270" i="11"/>
  <c r="A269" i="11"/>
  <c r="A268" i="11"/>
  <c r="A267" i="11"/>
  <c r="A266" i="11"/>
  <c r="A265" i="11"/>
  <c r="A264" i="11"/>
  <c r="A263" i="11"/>
  <c r="A262" i="11"/>
  <c r="A261" i="11"/>
  <c r="J259" i="11"/>
  <c r="A259" i="11"/>
  <c r="J258" i="11"/>
  <c r="A258" i="11"/>
  <c r="A257" i="11"/>
  <c r="A256" i="11"/>
  <c r="A255" i="11"/>
  <c r="J254" i="11"/>
  <c r="A254" i="11"/>
  <c r="A253" i="11"/>
  <c r="A252" i="11"/>
  <c r="J251" i="11"/>
  <c r="A251" i="11"/>
  <c r="A250" i="11"/>
  <c r="A249" i="11"/>
  <c r="J248" i="11"/>
  <c r="A248" i="11"/>
  <c r="J247" i="11"/>
  <c r="A247" i="11"/>
  <c r="A246" i="11"/>
  <c r="A245" i="11"/>
  <c r="A244" i="11"/>
  <c r="A243" i="11"/>
  <c r="A242" i="11"/>
  <c r="A241" i="11"/>
  <c r="J240" i="11"/>
  <c r="A240" i="11"/>
  <c r="A239" i="11"/>
  <c r="A238" i="11"/>
  <c r="A237" i="11"/>
  <c r="J236" i="11"/>
  <c r="A236" i="11"/>
  <c r="A235" i="11"/>
  <c r="J234" i="11"/>
  <c r="A234" i="11"/>
  <c r="A233" i="11"/>
  <c r="A232" i="11"/>
  <c r="A231" i="11"/>
  <c r="A230" i="11"/>
  <c r="J229" i="11"/>
  <c r="A229" i="11"/>
  <c r="A228" i="11"/>
  <c r="A227" i="11"/>
  <c r="A226" i="11"/>
  <c r="A225" i="11"/>
  <c r="A224" i="11"/>
  <c r="A223" i="11"/>
  <c r="A222" i="11"/>
  <c r="A221" i="11"/>
  <c r="J220" i="11"/>
  <c r="A220" i="11"/>
  <c r="A219" i="11"/>
  <c r="J218" i="11"/>
  <c r="A218" i="11"/>
  <c r="A217" i="11"/>
  <c r="A216" i="11"/>
  <c r="J215" i="11"/>
  <c r="A215" i="11"/>
  <c r="A214" i="11"/>
  <c r="A213" i="11"/>
  <c r="A212" i="11"/>
  <c r="J211" i="11"/>
  <c r="A211" i="11"/>
  <c r="A210" i="11"/>
  <c r="J209" i="11"/>
  <c r="A209" i="11"/>
  <c r="A208" i="11"/>
  <c r="A207" i="11"/>
  <c r="J206" i="11"/>
  <c r="A206" i="11"/>
  <c r="A205" i="11"/>
  <c r="A204" i="11"/>
  <c r="A203" i="11"/>
  <c r="A202" i="11"/>
  <c r="A201" i="11"/>
  <c r="A200" i="11"/>
  <c r="A199" i="11"/>
  <c r="A198" i="11"/>
  <c r="A197" i="11"/>
  <c r="J196" i="11"/>
  <c r="A196" i="11"/>
  <c r="J195" i="11"/>
  <c r="A195" i="11"/>
  <c r="A194" i="11"/>
  <c r="J193" i="11"/>
  <c r="A193" i="11"/>
  <c r="A192" i="11"/>
  <c r="A191" i="11"/>
  <c r="A190" i="11"/>
  <c r="A189" i="11"/>
  <c r="A188" i="11"/>
  <c r="A187" i="11"/>
  <c r="A186" i="11"/>
  <c r="A185" i="11"/>
  <c r="J184" i="11"/>
  <c r="A184" i="11"/>
  <c r="A183" i="11"/>
  <c r="A182" i="11"/>
  <c r="A181" i="11"/>
  <c r="A180" i="11"/>
  <c r="J179" i="11"/>
  <c r="A179" i="11"/>
  <c r="A178" i="11"/>
  <c r="A177" i="11"/>
  <c r="A176" i="11"/>
  <c r="A175" i="11"/>
  <c r="J174" i="11"/>
  <c r="A174" i="11"/>
  <c r="J173" i="11"/>
  <c r="A173" i="11"/>
  <c r="A172" i="11"/>
  <c r="A171" i="11"/>
  <c r="J170" i="11"/>
  <c r="A170" i="11"/>
  <c r="A169" i="11"/>
  <c r="J168" i="11"/>
  <c r="A168" i="11"/>
  <c r="A167" i="11"/>
  <c r="J166" i="11"/>
  <c r="A166" i="11"/>
  <c r="A165" i="11"/>
  <c r="J164" i="11"/>
  <c r="A164" i="11"/>
  <c r="J163" i="11"/>
  <c r="A163" i="11"/>
  <c r="J162" i="11"/>
  <c r="A162" i="11"/>
  <c r="J161" i="11"/>
  <c r="A161" i="11"/>
  <c r="J160" i="11"/>
  <c r="A160" i="11"/>
  <c r="A159" i="11"/>
  <c r="A158" i="11"/>
  <c r="A157" i="11"/>
  <c r="J156" i="11"/>
  <c r="A156" i="11"/>
  <c r="J155" i="11"/>
  <c r="A155" i="11"/>
  <c r="J154" i="11"/>
  <c r="A154" i="11"/>
  <c r="A153" i="11"/>
  <c r="A152" i="11"/>
  <c r="A151" i="11"/>
  <c r="A150" i="11"/>
  <c r="A149" i="11"/>
  <c r="J148" i="11"/>
  <c r="A148" i="11"/>
  <c r="A147" i="11"/>
  <c r="A146" i="11"/>
  <c r="J145" i="11"/>
  <c r="A145" i="11"/>
  <c r="A144" i="11"/>
  <c r="A143" i="11"/>
  <c r="J142" i="11"/>
  <c r="A142" i="11"/>
  <c r="A141" i="11"/>
  <c r="J140" i="11"/>
  <c r="A140" i="11"/>
  <c r="A139" i="11"/>
  <c r="A138" i="11"/>
  <c r="A137" i="11"/>
  <c r="A136" i="11"/>
  <c r="J135" i="11"/>
  <c r="A135" i="11"/>
  <c r="A134" i="11"/>
  <c r="A133" i="11"/>
  <c r="J132" i="11"/>
  <c r="A132" i="11"/>
  <c r="A131" i="11"/>
  <c r="J130" i="11"/>
  <c r="A130" i="11"/>
  <c r="J129" i="11"/>
  <c r="A129" i="11"/>
  <c r="A128" i="11"/>
  <c r="A127" i="11"/>
  <c r="J126" i="11"/>
  <c r="A126" i="11"/>
  <c r="A125" i="11"/>
  <c r="J124" i="11"/>
  <c r="A124" i="11"/>
  <c r="A123" i="11"/>
  <c r="A122" i="11"/>
  <c r="A121" i="11"/>
  <c r="J120" i="11"/>
  <c r="A120" i="11"/>
  <c r="A119" i="11"/>
  <c r="A118" i="11"/>
  <c r="J117" i="11"/>
  <c r="A117" i="11"/>
  <c r="A116" i="11"/>
  <c r="A115" i="11"/>
  <c r="A114" i="11"/>
  <c r="A113" i="11"/>
  <c r="A112" i="11"/>
  <c r="A111" i="11"/>
  <c r="J110" i="11"/>
  <c r="A110" i="11"/>
  <c r="A109" i="11"/>
  <c r="A108" i="11"/>
  <c r="A107" i="11"/>
  <c r="J106" i="11"/>
  <c r="A106" i="11"/>
  <c r="A105" i="11"/>
  <c r="A104" i="11"/>
  <c r="A103" i="11"/>
  <c r="A102" i="11"/>
  <c r="J101" i="11"/>
  <c r="A101" i="11"/>
  <c r="A99" i="11"/>
  <c r="A98" i="11"/>
  <c r="A97" i="11"/>
  <c r="A96" i="11"/>
  <c r="A95" i="11"/>
  <c r="A94" i="11"/>
  <c r="A93" i="11"/>
  <c r="A92" i="11"/>
  <c r="A91" i="11"/>
  <c r="J90" i="11"/>
  <c r="A90" i="11"/>
  <c r="J89" i="11"/>
  <c r="A89" i="11"/>
  <c r="A88" i="11"/>
  <c r="A87" i="11"/>
  <c r="J85" i="11"/>
  <c r="A85" i="11"/>
  <c r="J84" i="11"/>
  <c r="A84" i="11"/>
  <c r="J83" i="11"/>
  <c r="A83" i="11"/>
  <c r="A82" i="11"/>
  <c r="J81" i="11"/>
  <c r="A81" i="11"/>
  <c r="A80" i="11"/>
  <c r="A79" i="11"/>
  <c r="A78" i="11"/>
  <c r="A77" i="11"/>
  <c r="A76" i="11"/>
  <c r="J75" i="11"/>
  <c r="A75" i="11"/>
  <c r="J74" i="11"/>
  <c r="A74" i="11"/>
  <c r="A73" i="11"/>
  <c r="A72" i="11"/>
  <c r="J71" i="11"/>
  <c r="A71" i="11"/>
  <c r="A70" i="11"/>
  <c r="A69" i="11"/>
  <c r="A68" i="11"/>
  <c r="A67" i="11"/>
  <c r="A66" i="11"/>
  <c r="J65" i="11"/>
  <c r="A65" i="11"/>
  <c r="A64" i="11"/>
  <c r="A63" i="11"/>
  <c r="A62" i="11"/>
  <c r="A61" i="11"/>
  <c r="A60" i="11"/>
  <c r="A59" i="11"/>
  <c r="A58" i="11"/>
  <c r="A57" i="11"/>
  <c r="A56" i="11"/>
  <c r="A55" i="11"/>
  <c r="A54" i="11"/>
  <c r="A53" i="11"/>
  <c r="A52" i="11"/>
  <c r="A51" i="11"/>
  <c r="A50" i="11"/>
  <c r="A49" i="11"/>
  <c r="J48" i="11"/>
  <c r="A48" i="11"/>
  <c r="J47" i="11"/>
  <c r="A47" i="11"/>
  <c r="A46" i="11"/>
  <c r="J45" i="11"/>
  <c r="A45" i="11"/>
  <c r="J44" i="11"/>
  <c r="A44" i="11"/>
  <c r="A43" i="11"/>
  <c r="J42" i="11"/>
  <c r="A42" i="11"/>
  <c r="A41" i="11"/>
  <c r="A40" i="11"/>
  <c r="A39" i="11"/>
  <c r="J38" i="11"/>
  <c r="A38" i="11"/>
  <c r="A37" i="11"/>
  <c r="A36" i="11"/>
  <c r="A35" i="11"/>
  <c r="A34" i="11"/>
  <c r="J33" i="11"/>
  <c r="A33" i="11"/>
  <c r="A32" i="11"/>
  <c r="A31" i="11"/>
  <c r="J30" i="11"/>
  <c r="A30" i="11"/>
  <c r="A29" i="11"/>
  <c r="A27" i="11"/>
  <c r="A26" i="11"/>
  <c r="J25" i="11"/>
  <c r="A25" i="11"/>
  <c r="A24" i="11"/>
  <c r="A23" i="11"/>
  <c r="A22" i="11"/>
  <c r="A21" i="11"/>
  <c r="J20" i="11"/>
  <c r="A20" i="11"/>
  <c r="J19" i="11"/>
  <c r="A19" i="11"/>
  <c r="A18" i="11"/>
  <c r="A17" i="11"/>
  <c r="A16" i="11"/>
  <c r="A15" i="11"/>
  <c r="A14" i="11"/>
  <c r="A13" i="11"/>
  <c r="J12" i="11"/>
  <c r="A12" i="11"/>
  <c r="J11" i="11"/>
  <c r="A11" i="11"/>
  <c r="J10" i="11"/>
  <c r="A10" i="11"/>
  <c r="B9" i="11"/>
  <c r="A9" i="11"/>
  <c r="B8" i="11"/>
  <c r="A8" i="11"/>
  <c r="B7" i="11"/>
  <c r="A7" i="11"/>
  <c r="B6" i="11"/>
  <c r="A6" i="11"/>
  <c r="B5" i="11"/>
  <c r="A5" i="11"/>
  <c r="B4" i="11"/>
  <c r="A4" i="11"/>
  <c r="B3" i="11"/>
  <c r="A3" i="11"/>
  <c r="B2" i="11"/>
  <c r="A2" i="11"/>
  <c r="E363" i="16"/>
  <c r="D363" i="16"/>
  <c r="A363" i="16"/>
  <c r="E362" i="16"/>
  <c r="D362" i="16"/>
  <c r="A362" i="16"/>
  <c r="E361" i="16"/>
  <c r="D361" i="16"/>
  <c r="A361" i="16"/>
  <c r="E360" i="16"/>
  <c r="D360" i="16"/>
  <c r="A360" i="16"/>
  <c r="E359" i="16"/>
  <c r="D359" i="16"/>
  <c r="A359" i="16"/>
  <c r="E358" i="16"/>
  <c r="D358" i="16"/>
  <c r="A358" i="16"/>
  <c r="E357" i="16"/>
  <c r="D357" i="16"/>
  <c r="A357" i="16"/>
  <c r="E356" i="16"/>
  <c r="D356" i="16"/>
  <c r="A356" i="16"/>
  <c r="E355" i="16"/>
  <c r="D355" i="16"/>
  <c r="A355" i="16"/>
  <c r="E354" i="16"/>
  <c r="D354" i="16"/>
  <c r="A354" i="16"/>
  <c r="E353" i="16"/>
  <c r="D353" i="16"/>
  <c r="A353" i="16"/>
  <c r="E352" i="16"/>
  <c r="D352" i="16"/>
  <c r="A352" i="16"/>
  <c r="E351" i="16"/>
  <c r="D351" i="16"/>
  <c r="A351" i="16"/>
  <c r="E350" i="16"/>
  <c r="D350" i="16"/>
  <c r="A350" i="16"/>
  <c r="E349" i="16"/>
  <c r="D349" i="16"/>
  <c r="A349" i="16"/>
  <c r="E348" i="16"/>
  <c r="D348" i="16"/>
  <c r="A348" i="16"/>
  <c r="E347" i="16"/>
  <c r="D347" i="16"/>
  <c r="A347" i="16"/>
  <c r="E346" i="16"/>
  <c r="D346" i="16"/>
  <c r="A346" i="16"/>
  <c r="E345" i="16"/>
  <c r="D345" i="16"/>
  <c r="A345" i="16"/>
  <c r="E344" i="16"/>
  <c r="D344" i="16"/>
  <c r="A344" i="16"/>
  <c r="E343" i="16"/>
  <c r="D343" i="16"/>
  <c r="A343" i="16"/>
  <c r="E342" i="16"/>
  <c r="D342" i="16"/>
  <c r="A342" i="16"/>
  <c r="E341" i="16"/>
  <c r="D341" i="16"/>
  <c r="A341" i="16"/>
  <c r="E340" i="16"/>
  <c r="D340" i="16"/>
  <c r="A340" i="16"/>
  <c r="E339" i="16"/>
  <c r="D339" i="16"/>
  <c r="A339" i="16"/>
  <c r="E338" i="16"/>
  <c r="D338" i="16"/>
  <c r="A338" i="16"/>
  <c r="E337" i="16"/>
  <c r="D337" i="16"/>
  <c r="A337" i="16"/>
  <c r="E336" i="16"/>
  <c r="D336" i="16"/>
  <c r="A336" i="16"/>
  <c r="E335" i="16"/>
  <c r="D335" i="16"/>
  <c r="A335" i="16"/>
  <c r="E334" i="16"/>
  <c r="D334" i="16"/>
  <c r="A334" i="16"/>
  <c r="E333" i="16"/>
  <c r="D333" i="16"/>
  <c r="A333" i="16"/>
  <c r="E332" i="16"/>
  <c r="D332" i="16"/>
  <c r="A332" i="16"/>
  <c r="E331" i="16"/>
  <c r="D331" i="16"/>
  <c r="A331" i="16"/>
  <c r="E330" i="16"/>
  <c r="D330" i="16"/>
  <c r="A330" i="16"/>
  <c r="E329" i="16"/>
  <c r="D329" i="16"/>
  <c r="A329" i="16"/>
  <c r="E328" i="16"/>
  <c r="D328" i="16"/>
  <c r="A328" i="16"/>
  <c r="E327" i="16"/>
  <c r="D327" i="16"/>
  <c r="A327" i="16"/>
  <c r="E326" i="16"/>
  <c r="D326" i="16"/>
  <c r="A326" i="16"/>
  <c r="E325" i="16"/>
  <c r="D325" i="16"/>
  <c r="A325" i="16"/>
  <c r="E324" i="16"/>
  <c r="D324" i="16"/>
  <c r="A324" i="16"/>
  <c r="E323" i="16"/>
  <c r="D323" i="16"/>
  <c r="A323" i="16"/>
  <c r="E322" i="16"/>
  <c r="D322" i="16"/>
  <c r="A322" i="16"/>
  <c r="E321" i="16"/>
  <c r="D321" i="16"/>
  <c r="A321" i="16"/>
  <c r="E320" i="16"/>
  <c r="D320" i="16"/>
  <c r="A320" i="16"/>
  <c r="E319" i="16"/>
  <c r="D319" i="16"/>
  <c r="A319" i="16"/>
  <c r="E318" i="16"/>
  <c r="D318" i="16"/>
  <c r="A318" i="16"/>
  <c r="E317" i="16"/>
  <c r="D317" i="16"/>
  <c r="A317" i="16"/>
  <c r="E316" i="16"/>
  <c r="D316" i="16"/>
  <c r="A316" i="16"/>
  <c r="E315" i="16"/>
  <c r="D315" i="16"/>
  <c r="A315" i="16"/>
  <c r="E314" i="16"/>
  <c r="D314" i="16"/>
  <c r="A314" i="16"/>
  <c r="E313" i="16"/>
  <c r="D313" i="16"/>
  <c r="A313" i="16"/>
  <c r="E312" i="16"/>
  <c r="D312" i="16"/>
  <c r="A312" i="16"/>
  <c r="E311" i="16"/>
  <c r="D311" i="16"/>
  <c r="A311" i="16"/>
  <c r="E310" i="16"/>
  <c r="D310" i="16"/>
  <c r="A310" i="16"/>
  <c r="E309" i="16"/>
  <c r="D309" i="16"/>
  <c r="A309" i="16"/>
  <c r="E308" i="16"/>
  <c r="D308" i="16"/>
  <c r="A308" i="16"/>
  <c r="E307" i="16"/>
  <c r="D307" i="16"/>
  <c r="A307" i="16"/>
  <c r="E306" i="16"/>
  <c r="D306" i="16"/>
  <c r="A306" i="16"/>
  <c r="E305" i="16"/>
  <c r="D305" i="16"/>
  <c r="A305" i="16"/>
  <c r="E304" i="16"/>
  <c r="D304" i="16"/>
  <c r="A304" i="16"/>
  <c r="E303" i="16"/>
  <c r="D303" i="16"/>
  <c r="A303" i="16"/>
  <c r="E302" i="16"/>
  <c r="D302" i="16"/>
  <c r="A302" i="16"/>
  <c r="E301" i="16"/>
  <c r="D301" i="16"/>
  <c r="A301" i="16"/>
  <c r="E300" i="16"/>
  <c r="D300" i="16"/>
  <c r="A300" i="16"/>
  <c r="E299" i="16"/>
  <c r="D299" i="16"/>
  <c r="A299" i="16"/>
  <c r="E298" i="16"/>
  <c r="D298" i="16"/>
  <c r="A298" i="16"/>
  <c r="E297" i="16"/>
  <c r="D297" i="16"/>
  <c r="A297" i="16"/>
  <c r="E296" i="16"/>
  <c r="D296" i="16"/>
  <c r="A296" i="16"/>
  <c r="E295" i="16"/>
  <c r="D295" i="16"/>
  <c r="A295" i="16"/>
  <c r="E294" i="16"/>
  <c r="D294" i="16"/>
  <c r="A294" i="16"/>
  <c r="E293" i="16"/>
  <c r="D293" i="16"/>
  <c r="A293" i="16"/>
  <c r="E292" i="16"/>
  <c r="D292" i="16"/>
  <c r="A292" i="16"/>
  <c r="E291" i="16"/>
  <c r="D291" i="16"/>
  <c r="A291" i="16"/>
  <c r="E290" i="16"/>
  <c r="D290" i="16"/>
  <c r="A290" i="16"/>
  <c r="E289" i="16"/>
  <c r="D289" i="16"/>
  <c r="A289" i="16"/>
  <c r="E288" i="16"/>
  <c r="D288" i="16"/>
  <c r="A288" i="16"/>
  <c r="E287" i="16"/>
  <c r="D287" i="16"/>
  <c r="A287" i="16"/>
  <c r="E286" i="16"/>
  <c r="D286" i="16"/>
  <c r="A286" i="16"/>
  <c r="E285" i="16"/>
  <c r="D285" i="16"/>
  <c r="A285" i="16"/>
  <c r="E284" i="16"/>
  <c r="D284" i="16"/>
  <c r="A284" i="16"/>
  <c r="E283" i="16"/>
  <c r="D283" i="16"/>
  <c r="A283" i="16"/>
  <c r="E282" i="16"/>
  <c r="D282" i="16"/>
  <c r="A282" i="16"/>
  <c r="E281" i="16"/>
  <c r="D281" i="16"/>
  <c r="A281" i="16"/>
  <c r="E280" i="16"/>
  <c r="D280" i="16"/>
  <c r="A280" i="16"/>
  <c r="E279" i="16"/>
  <c r="D279" i="16"/>
  <c r="A279" i="16"/>
  <c r="E278" i="16"/>
  <c r="D278" i="16"/>
  <c r="A278" i="16"/>
  <c r="E277" i="16"/>
  <c r="D277" i="16"/>
  <c r="A277" i="16"/>
  <c r="E276" i="16"/>
  <c r="D276" i="16"/>
  <c r="A276" i="16"/>
  <c r="E275" i="16"/>
  <c r="D275" i="16"/>
  <c r="A275" i="16"/>
  <c r="E274" i="16"/>
  <c r="D274" i="16"/>
  <c r="A274" i="16"/>
  <c r="E273" i="16"/>
  <c r="D273" i="16"/>
  <c r="A273" i="16"/>
  <c r="E272" i="16"/>
  <c r="D272" i="16"/>
  <c r="A272" i="16"/>
  <c r="E271" i="16"/>
  <c r="D271" i="16"/>
  <c r="A271" i="16"/>
  <c r="E270" i="16"/>
  <c r="D270" i="16"/>
  <c r="A270" i="16"/>
  <c r="E269" i="16"/>
  <c r="D269" i="16"/>
  <c r="A269" i="16"/>
  <c r="E268" i="16"/>
  <c r="D268" i="16"/>
  <c r="A268" i="16"/>
  <c r="E267" i="16"/>
  <c r="D267" i="16"/>
  <c r="A267" i="16"/>
  <c r="E266" i="16"/>
  <c r="D266" i="16"/>
  <c r="A266" i="16"/>
  <c r="E265" i="16"/>
  <c r="D265" i="16"/>
  <c r="A265" i="16"/>
  <c r="E264" i="16"/>
  <c r="D264" i="16"/>
  <c r="A264" i="16"/>
  <c r="E263" i="16"/>
  <c r="D263" i="16"/>
  <c r="A263" i="16"/>
  <c r="E262" i="16"/>
  <c r="D262" i="16"/>
  <c r="A262" i="16"/>
  <c r="E261" i="16"/>
  <c r="D261" i="16"/>
  <c r="A261" i="16"/>
  <c r="E260" i="16"/>
  <c r="D260" i="16"/>
  <c r="A260" i="16"/>
  <c r="E259" i="16"/>
  <c r="D259" i="16"/>
  <c r="A259" i="16"/>
  <c r="E258" i="16"/>
  <c r="D258" i="16"/>
  <c r="A258" i="16"/>
  <c r="E257" i="16"/>
  <c r="D257" i="16"/>
  <c r="A257" i="16"/>
  <c r="E256" i="16"/>
  <c r="D256" i="16"/>
  <c r="A256" i="16"/>
  <c r="E255" i="16"/>
  <c r="D255" i="16"/>
  <c r="A255" i="16"/>
  <c r="E254" i="16"/>
  <c r="D254" i="16"/>
  <c r="A254" i="16"/>
  <c r="E253" i="16"/>
  <c r="D253" i="16"/>
  <c r="A253" i="16"/>
  <c r="E252" i="16"/>
  <c r="D252" i="16"/>
  <c r="A252" i="16"/>
  <c r="E251" i="16"/>
  <c r="D251" i="16"/>
  <c r="A251" i="16"/>
  <c r="E250" i="16"/>
  <c r="D250" i="16"/>
  <c r="A250" i="16"/>
  <c r="E249" i="16"/>
  <c r="D249" i="16"/>
  <c r="A249" i="16"/>
  <c r="E248" i="16"/>
  <c r="D248" i="16"/>
  <c r="A248" i="16"/>
  <c r="E247" i="16"/>
  <c r="D247" i="16"/>
  <c r="A247" i="16"/>
  <c r="E246" i="16"/>
  <c r="D246" i="16"/>
  <c r="A246" i="16"/>
  <c r="E245" i="16"/>
  <c r="D245" i="16"/>
  <c r="A245" i="16"/>
  <c r="E244" i="16"/>
  <c r="D244" i="16"/>
  <c r="A244" i="16"/>
  <c r="E243" i="16"/>
  <c r="D243" i="16"/>
  <c r="A243" i="16"/>
  <c r="E242" i="16"/>
  <c r="D242" i="16"/>
  <c r="A242" i="16"/>
  <c r="E241" i="16"/>
  <c r="D241" i="16"/>
  <c r="A241" i="16"/>
  <c r="E240" i="16"/>
  <c r="D240" i="16"/>
  <c r="A240" i="16"/>
  <c r="E239" i="16"/>
  <c r="D239" i="16"/>
  <c r="A239" i="16"/>
  <c r="E238" i="16"/>
  <c r="D238" i="16"/>
  <c r="A238" i="16"/>
  <c r="E237" i="16"/>
  <c r="D237" i="16"/>
  <c r="A237" i="16"/>
  <c r="E236" i="16"/>
  <c r="D236" i="16"/>
  <c r="A236" i="16"/>
  <c r="E235" i="16"/>
  <c r="D235" i="16"/>
  <c r="A235" i="16"/>
  <c r="E234" i="16"/>
  <c r="D234" i="16"/>
  <c r="A234" i="16"/>
  <c r="E233" i="16"/>
  <c r="D233" i="16"/>
  <c r="A233" i="16"/>
  <c r="E232" i="16"/>
  <c r="D232" i="16"/>
  <c r="A232" i="16"/>
  <c r="E231" i="16"/>
  <c r="D231" i="16"/>
  <c r="A231" i="16"/>
  <c r="E230" i="16"/>
  <c r="D230" i="16"/>
  <c r="A230" i="16"/>
  <c r="E229" i="16"/>
  <c r="D229" i="16"/>
  <c r="A229" i="16"/>
  <c r="E228" i="16"/>
  <c r="D228" i="16"/>
  <c r="A228" i="16"/>
  <c r="E227" i="16"/>
  <c r="D227" i="16"/>
  <c r="A227" i="16"/>
  <c r="E226" i="16"/>
  <c r="D226" i="16"/>
  <c r="A226" i="16"/>
  <c r="E225" i="16"/>
  <c r="D225" i="16"/>
  <c r="A225" i="16"/>
  <c r="E224" i="16"/>
  <c r="D224" i="16"/>
  <c r="A224" i="16"/>
  <c r="E223" i="16"/>
  <c r="D223" i="16"/>
  <c r="A223" i="16"/>
  <c r="E222" i="16"/>
  <c r="D222" i="16"/>
  <c r="A222" i="16"/>
  <c r="E221" i="16"/>
  <c r="D221" i="16"/>
  <c r="A221" i="16"/>
  <c r="E220" i="16"/>
  <c r="D220" i="16"/>
  <c r="A220" i="16"/>
  <c r="E219" i="16"/>
  <c r="D219" i="16"/>
  <c r="A219" i="16"/>
  <c r="E218" i="16"/>
  <c r="D218" i="16"/>
  <c r="A218" i="16"/>
  <c r="E217" i="16"/>
  <c r="D217" i="16"/>
  <c r="A217" i="16"/>
  <c r="E216" i="16"/>
  <c r="D216" i="16"/>
  <c r="A216" i="16"/>
  <c r="E215" i="16"/>
  <c r="D215" i="16"/>
  <c r="A215" i="16"/>
  <c r="E214" i="16"/>
  <c r="D214" i="16"/>
  <c r="A214" i="16"/>
  <c r="E213" i="16"/>
  <c r="D213" i="16"/>
  <c r="A213" i="16"/>
  <c r="E212" i="16"/>
  <c r="D212" i="16"/>
  <c r="A212" i="16"/>
  <c r="E211" i="16"/>
  <c r="D211" i="16"/>
  <c r="A211" i="16"/>
  <c r="E210" i="16"/>
  <c r="D210" i="16"/>
  <c r="A210" i="16"/>
  <c r="E209" i="16"/>
  <c r="D209" i="16"/>
  <c r="A209" i="16"/>
  <c r="E208" i="16"/>
  <c r="D208" i="16"/>
  <c r="A208" i="16"/>
  <c r="E207" i="16"/>
  <c r="D207" i="16"/>
  <c r="A207" i="16"/>
  <c r="E206" i="16"/>
  <c r="D206" i="16"/>
  <c r="A206" i="16"/>
  <c r="E205" i="16"/>
  <c r="D205" i="16"/>
  <c r="A205" i="16"/>
  <c r="E204" i="16"/>
  <c r="D204" i="16"/>
  <c r="A204" i="16"/>
  <c r="E203" i="16"/>
  <c r="D203" i="16"/>
  <c r="A203" i="16"/>
  <c r="E202" i="16"/>
  <c r="D202" i="16"/>
  <c r="A202" i="16"/>
  <c r="E201" i="16"/>
  <c r="D201" i="16"/>
  <c r="A201" i="16"/>
  <c r="E200" i="16"/>
  <c r="D200" i="16"/>
  <c r="A200" i="16"/>
  <c r="E199" i="16"/>
  <c r="D199" i="16"/>
  <c r="A199" i="16"/>
  <c r="E198" i="16"/>
  <c r="D198" i="16"/>
  <c r="A198" i="16"/>
  <c r="E197" i="16"/>
  <c r="D197" i="16"/>
  <c r="A197" i="16"/>
  <c r="E196" i="16"/>
  <c r="D196" i="16"/>
  <c r="A196" i="16"/>
  <c r="E195" i="16"/>
  <c r="D195" i="16"/>
  <c r="A195" i="16"/>
  <c r="E194" i="16"/>
  <c r="D194" i="16"/>
  <c r="A194" i="16"/>
  <c r="E193" i="16"/>
  <c r="D193" i="16"/>
  <c r="A193" i="16"/>
  <c r="E192" i="16"/>
  <c r="D192" i="16"/>
  <c r="A192" i="16"/>
  <c r="E191" i="16"/>
  <c r="D191" i="16"/>
  <c r="A191" i="16"/>
  <c r="E190" i="16"/>
  <c r="D190" i="16"/>
  <c r="A190" i="16"/>
  <c r="E189" i="16"/>
  <c r="D189" i="16"/>
  <c r="A189" i="16"/>
  <c r="E188" i="16"/>
  <c r="D188" i="16"/>
  <c r="A188" i="16"/>
  <c r="E187" i="16"/>
  <c r="D187" i="16"/>
  <c r="A187" i="16"/>
  <c r="E186" i="16"/>
  <c r="D186" i="16"/>
  <c r="A186" i="16"/>
  <c r="E185" i="16"/>
  <c r="D185" i="16"/>
  <c r="A185" i="16"/>
  <c r="E184" i="16"/>
  <c r="D184" i="16"/>
  <c r="A184" i="16"/>
  <c r="E183" i="16"/>
  <c r="D183" i="16"/>
  <c r="A183" i="16"/>
  <c r="E182" i="16"/>
  <c r="D182" i="16"/>
  <c r="A182" i="16"/>
  <c r="E181" i="16"/>
  <c r="D181" i="16"/>
  <c r="A181" i="16"/>
  <c r="E180" i="16"/>
  <c r="D180" i="16"/>
  <c r="A180" i="16"/>
  <c r="E179" i="16"/>
  <c r="D179" i="16"/>
  <c r="A179" i="16"/>
  <c r="E178" i="16"/>
  <c r="D178" i="16"/>
  <c r="A178" i="16"/>
  <c r="E177" i="16"/>
  <c r="D177" i="16"/>
  <c r="A177" i="16"/>
  <c r="E176" i="16"/>
  <c r="D176" i="16"/>
  <c r="A176" i="16"/>
  <c r="E175" i="16"/>
  <c r="D175" i="16"/>
  <c r="A175" i="16"/>
  <c r="E174" i="16"/>
  <c r="D174" i="16"/>
  <c r="A174" i="16"/>
  <c r="E173" i="16"/>
  <c r="D173" i="16"/>
  <c r="A173" i="16"/>
  <c r="E172" i="16"/>
  <c r="D172" i="16"/>
  <c r="A172" i="16"/>
  <c r="E171" i="16"/>
  <c r="D171" i="16"/>
  <c r="A171" i="16"/>
  <c r="E170" i="16"/>
  <c r="D170" i="16"/>
  <c r="A170" i="16"/>
  <c r="E169" i="16"/>
  <c r="D169" i="16"/>
  <c r="A169" i="16"/>
  <c r="E168" i="16"/>
  <c r="D168" i="16"/>
  <c r="A168" i="16"/>
  <c r="E167" i="16"/>
  <c r="D167" i="16"/>
  <c r="A167" i="16"/>
  <c r="E166" i="16"/>
  <c r="D166" i="16"/>
  <c r="A166" i="16"/>
  <c r="E165" i="16"/>
  <c r="D165" i="16"/>
  <c r="A165" i="16"/>
  <c r="E164" i="16"/>
  <c r="D164" i="16"/>
  <c r="A164" i="16"/>
  <c r="E163" i="16"/>
  <c r="D163" i="16"/>
  <c r="A163" i="16"/>
  <c r="E162" i="16"/>
  <c r="D162" i="16"/>
  <c r="A162" i="16"/>
  <c r="E161" i="16"/>
  <c r="D161" i="16"/>
  <c r="A161" i="16"/>
  <c r="E160" i="16"/>
  <c r="D160" i="16"/>
  <c r="A160" i="16"/>
  <c r="E159" i="16"/>
  <c r="D159" i="16"/>
  <c r="A159" i="16"/>
  <c r="E158" i="16"/>
  <c r="D158" i="16"/>
  <c r="A158" i="16"/>
  <c r="E157" i="16"/>
  <c r="D157" i="16"/>
  <c r="A157" i="16"/>
  <c r="E156" i="16"/>
  <c r="D156" i="16"/>
  <c r="A156" i="16"/>
  <c r="E155" i="16"/>
  <c r="D155" i="16"/>
  <c r="A155" i="16"/>
  <c r="E154" i="16"/>
  <c r="D154" i="16"/>
  <c r="A154" i="16"/>
  <c r="E153" i="16"/>
  <c r="D153" i="16"/>
  <c r="A153" i="16"/>
  <c r="E152" i="16"/>
  <c r="D152" i="16"/>
  <c r="A152" i="16"/>
  <c r="E151" i="16"/>
  <c r="D151" i="16"/>
  <c r="A151" i="16"/>
  <c r="E150" i="16"/>
  <c r="D150" i="16"/>
  <c r="A150" i="16"/>
  <c r="E149" i="16"/>
  <c r="D149" i="16"/>
  <c r="A149" i="16"/>
  <c r="E148" i="16"/>
  <c r="D148" i="16"/>
  <c r="A148" i="16"/>
  <c r="E147" i="16"/>
  <c r="D147" i="16"/>
  <c r="A147" i="16"/>
  <c r="E146" i="16"/>
  <c r="D146" i="16"/>
  <c r="A146" i="16"/>
  <c r="E145" i="16"/>
  <c r="D145" i="16"/>
  <c r="A145" i="16"/>
  <c r="E144" i="16"/>
  <c r="D144" i="16"/>
  <c r="A144" i="16"/>
  <c r="E143" i="16"/>
  <c r="D143" i="16"/>
  <c r="A143" i="16"/>
  <c r="E142" i="16"/>
  <c r="D142" i="16"/>
  <c r="A142" i="16"/>
  <c r="E141" i="16"/>
  <c r="D141" i="16"/>
  <c r="A141" i="16"/>
  <c r="E140" i="16"/>
  <c r="D140" i="16"/>
  <c r="A140" i="16"/>
  <c r="E139" i="16"/>
  <c r="D139" i="16"/>
  <c r="A139" i="16"/>
  <c r="E138" i="16"/>
  <c r="D138" i="16"/>
  <c r="A138" i="16"/>
  <c r="E137" i="16"/>
  <c r="D137" i="16"/>
  <c r="A137" i="16"/>
  <c r="E136" i="16"/>
  <c r="D136" i="16"/>
  <c r="A136" i="16"/>
  <c r="E135" i="16"/>
  <c r="D135" i="16"/>
  <c r="A135" i="16"/>
  <c r="E134" i="16"/>
  <c r="D134" i="16"/>
  <c r="A134" i="16"/>
  <c r="E133" i="16"/>
  <c r="D133" i="16"/>
  <c r="A133" i="16"/>
  <c r="E132" i="16"/>
  <c r="D132" i="16"/>
  <c r="A132" i="16"/>
  <c r="E131" i="16"/>
  <c r="D131" i="16"/>
  <c r="A131" i="16"/>
  <c r="E130" i="16"/>
  <c r="D130" i="16"/>
  <c r="A130" i="16"/>
  <c r="E129" i="16"/>
  <c r="D129" i="16"/>
  <c r="A129" i="16"/>
  <c r="E128" i="16"/>
  <c r="D128" i="16"/>
  <c r="A128" i="16"/>
  <c r="E127" i="16"/>
  <c r="D127" i="16"/>
  <c r="A127" i="16"/>
  <c r="E126" i="16"/>
  <c r="D126" i="16"/>
  <c r="A126" i="16"/>
  <c r="E125" i="16"/>
  <c r="D125" i="16"/>
  <c r="A125" i="16"/>
  <c r="E124" i="16"/>
  <c r="D124" i="16"/>
  <c r="A124" i="16"/>
  <c r="E123" i="16"/>
  <c r="D123" i="16"/>
  <c r="A123" i="16"/>
  <c r="E122" i="16"/>
  <c r="D122" i="16"/>
  <c r="A122" i="16"/>
  <c r="E121" i="16"/>
  <c r="D121" i="16"/>
  <c r="A121" i="16"/>
  <c r="E120" i="16"/>
  <c r="D120" i="16"/>
  <c r="A120" i="16"/>
  <c r="E119" i="16"/>
  <c r="D119" i="16"/>
  <c r="A119" i="16"/>
  <c r="E118" i="16"/>
  <c r="D118" i="16"/>
  <c r="A118" i="16"/>
  <c r="E117" i="16"/>
  <c r="D117" i="16"/>
  <c r="A117" i="16"/>
  <c r="E116" i="16"/>
  <c r="D116" i="16"/>
  <c r="A116" i="16"/>
  <c r="E115" i="16"/>
  <c r="D115" i="16"/>
  <c r="A115" i="16"/>
  <c r="E114" i="16"/>
  <c r="D114" i="16"/>
  <c r="A114" i="16"/>
  <c r="E113" i="16"/>
  <c r="D113" i="16"/>
  <c r="A113" i="16"/>
  <c r="E112" i="16"/>
  <c r="D112" i="16"/>
  <c r="A112" i="16"/>
  <c r="E111" i="16"/>
  <c r="D111" i="16"/>
  <c r="A111" i="16"/>
  <c r="E110" i="16"/>
  <c r="D110" i="16"/>
  <c r="A110" i="16"/>
  <c r="E109" i="16"/>
  <c r="D109" i="16"/>
  <c r="A109" i="16"/>
  <c r="E108" i="16"/>
  <c r="D108" i="16"/>
  <c r="A108" i="16"/>
  <c r="E107" i="16"/>
  <c r="D107" i="16"/>
  <c r="A107" i="16"/>
  <c r="E106" i="16"/>
  <c r="D106" i="16"/>
  <c r="A106" i="16"/>
  <c r="E105" i="16"/>
  <c r="D105" i="16"/>
  <c r="A105" i="16"/>
  <c r="E104" i="16"/>
  <c r="D104" i="16"/>
  <c r="A104" i="16"/>
  <c r="E103" i="16"/>
  <c r="D103" i="16"/>
  <c r="A103" i="16"/>
  <c r="E102" i="16"/>
  <c r="D102" i="16"/>
  <c r="A102" i="16"/>
  <c r="E101" i="16"/>
  <c r="D101" i="16"/>
  <c r="A101" i="16"/>
  <c r="E100" i="16"/>
  <c r="D100" i="16"/>
  <c r="A100" i="16"/>
  <c r="E99" i="16"/>
  <c r="D99" i="16"/>
  <c r="A99" i="16"/>
  <c r="E98" i="16"/>
  <c r="D98" i="16"/>
  <c r="A98" i="16"/>
  <c r="E97" i="16"/>
  <c r="D97" i="16"/>
  <c r="A97" i="16"/>
  <c r="E96" i="16"/>
  <c r="D96" i="16"/>
  <c r="A96" i="16"/>
  <c r="E95" i="16"/>
  <c r="D95" i="16"/>
  <c r="A95" i="16"/>
  <c r="E94" i="16"/>
  <c r="D94" i="16"/>
  <c r="A94" i="16"/>
  <c r="E93" i="16"/>
  <c r="D93" i="16"/>
  <c r="A93" i="16"/>
  <c r="E92" i="16"/>
  <c r="D92" i="16"/>
  <c r="A92" i="16"/>
  <c r="E91" i="16"/>
  <c r="D91" i="16"/>
  <c r="A91" i="16"/>
  <c r="E90" i="16"/>
  <c r="D90" i="16"/>
  <c r="A90" i="16"/>
  <c r="E89" i="16"/>
  <c r="D89" i="16"/>
  <c r="A89" i="16"/>
  <c r="E88" i="16"/>
  <c r="D88" i="16"/>
  <c r="A88" i="16"/>
  <c r="E87" i="16"/>
  <c r="D87" i="16"/>
  <c r="A87" i="16"/>
  <c r="E86" i="16"/>
  <c r="D86" i="16"/>
  <c r="A86" i="16"/>
  <c r="E85" i="16"/>
  <c r="D85" i="16"/>
  <c r="A85" i="16"/>
  <c r="E84" i="16"/>
  <c r="D84" i="16"/>
  <c r="A84" i="16"/>
  <c r="E83" i="16"/>
  <c r="D83" i="16"/>
  <c r="A83" i="16"/>
  <c r="E82" i="16"/>
  <c r="D82" i="16"/>
  <c r="A82" i="16"/>
  <c r="E81" i="16"/>
  <c r="D81" i="16"/>
  <c r="A81" i="16"/>
  <c r="E80" i="16"/>
  <c r="D80" i="16"/>
  <c r="A80" i="16"/>
  <c r="E79" i="16"/>
  <c r="D79" i="16"/>
  <c r="A79" i="16"/>
  <c r="E78" i="16"/>
  <c r="D78" i="16"/>
  <c r="A78" i="16"/>
  <c r="E77" i="16"/>
  <c r="D77" i="16"/>
  <c r="A77" i="16"/>
  <c r="E76" i="16"/>
  <c r="D76" i="16"/>
  <c r="A76" i="16"/>
  <c r="E75" i="16"/>
  <c r="D75" i="16"/>
  <c r="A75" i="16"/>
  <c r="E74" i="16"/>
  <c r="D74" i="16"/>
  <c r="A74" i="16"/>
  <c r="E73" i="16"/>
  <c r="D73" i="16"/>
  <c r="A73" i="16"/>
  <c r="E72" i="16"/>
  <c r="D72" i="16"/>
  <c r="A72" i="16"/>
  <c r="E71" i="16"/>
  <c r="D71" i="16"/>
  <c r="A71" i="16"/>
  <c r="E70" i="16"/>
  <c r="D70" i="16"/>
  <c r="A70" i="16"/>
  <c r="E69" i="16"/>
  <c r="D69" i="16"/>
  <c r="A69" i="16"/>
  <c r="E68" i="16"/>
  <c r="D68" i="16"/>
  <c r="A68" i="16"/>
  <c r="E67" i="16"/>
  <c r="D67" i="16"/>
  <c r="A67" i="16"/>
  <c r="E66" i="16"/>
  <c r="D66" i="16"/>
  <c r="A66" i="16"/>
  <c r="E65" i="16"/>
  <c r="D65" i="16"/>
  <c r="A65" i="16"/>
  <c r="E64" i="16"/>
  <c r="D64" i="16"/>
  <c r="A64" i="16"/>
  <c r="E63" i="16"/>
  <c r="D63" i="16"/>
  <c r="A63" i="16"/>
  <c r="E62" i="16"/>
  <c r="D62" i="16"/>
  <c r="A62" i="16"/>
  <c r="E61" i="16"/>
  <c r="D61" i="16"/>
  <c r="A61" i="16"/>
  <c r="E60" i="16"/>
  <c r="D60" i="16"/>
  <c r="A60" i="16"/>
  <c r="E59" i="16"/>
  <c r="D59" i="16"/>
  <c r="A59" i="16"/>
  <c r="E58" i="16"/>
  <c r="D58" i="16"/>
  <c r="A58" i="16"/>
  <c r="E57" i="16"/>
  <c r="D57" i="16"/>
  <c r="A57" i="16"/>
  <c r="E56" i="16"/>
  <c r="D56" i="16"/>
  <c r="A56" i="16"/>
  <c r="E55" i="16"/>
  <c r="D55" i="16"/>
  <c r="A55" i="16"/>
  <c r="E54" i="16"/>
  <c r="D54" i="16"/>
  <c r="A54" i="16"/>
  <c r="E53" i="16"/>
  <c r="D53" i="16"/>
  <c r="A53" i="16"/>
  <c r="E52" i="16"/>
  <c r="D52" i="16"/>
  <c r="A52" i="16"/>
  <c r="E51" i="16"/>
  <c r="D51" i="16"/>
  <c r="A51" i="16"/>
  <c r="E50" i="16"/>
  <c r="D50" i="16"/>
  <c r="A50" i="16"/>
  <c r="E49" i="16"/>
  <c r="D49" i="16"/>
  <c r="A49" i="16"/>
  <c r="E48" i="16"/>
  <c r="D48" i="16"/>
  <c r="A48" i="16"/>
  <c r="E47" i="16"/>
  <c r="D47" i="16"/>
  <c r="A47" i="16"/>
  <c r="E46" i="16"/>
  <c r="D46" i="16"/>
  <c r="A46" i="16"/>
  <c r="E45" i="16"/>
  <c r="D45" i="16"/>
  <c r="A45" i="16"/>
  <c r="E44" i="16"/>
  <c r="D44" i="16"/>
  <c r="A44" i="16"/>
  <c r="E43" i="16"/>
  <c r="D43" i="16"/>
  <c r="A43" i="16"/>
  <c r="E42" i="16"/>
  <c r="D42" i="16"/>
  <c r="A42" i="16"/>
  <c r="E41" i="16"/>
  <c r="D41" i="16"/>
  <c r="A41" i="16"/>
  <c r="E40" i="16"/>
  <c r="D40" i="16"/>
  <c r="A40" i="16"/>
  <c r="E39" i="16"/>
  <c r="D39" i="16"/>
  <c r="A39" i="16"/>
  <c r="E38" i="16"/>
  <c r="D38" i="16"/>
  <c r="A38" i="16"/>
  <c r="E37" i="16"/>
  <c r="D37" i="16"/>
  <c r="A37" i="16"/>
  <c r="E36" i="16"/>
  <c r="D36" i="16"/>
  <c r="A36" i="16"/>
  <c r="AE35" i="16"/>
  <c r="AE36" i="16" s="1"/>
  <c r="AE37" i="16" s="1"/>
  <c r="AE38" i="16" s="1"/>
  <c r="AE39" i="16" s="1"/>
  <c r="AE40" i="16" s="1"/>
  <c r="AE41" i="16" s="1"/>
  <c r="AE42" i="16" s="1"/>
  <c r="AE43" i="16" s="1"/>
  <c r="AE44" i="16" s="1"/>
  <c r="AE45" i="16" s="1"/>
  <c r="AE46" i="16" s="1"/>
  <c r="AE47" i="16" s="1"/>
  <c r="AE48" i="16" s="1"/>
  <c r="AE49" i="16" s="1"/>
  <c r="AE50" i="16" s="1"/>
  <c r="AE51" i="16" s="1"/>
  <c r="AE52" i="16" s="1"/>
  <c r="AE53" i="16" s="1"/>
  <c r="AE54" i="16" s="1"/>
  <c r="AE55" i="16" s="1"/>
  <c r="AE56" i="16" s="1"/>
  <c r="AE57" i="16" s="1"/>
  <c r="AE58" i="16" s="1"/>
  <c r="AE59" i="16" s="1"/>
  <c r="AE60" i="16" s="1"/>
  <c r="AE61" i="16" s="1"/>
  <c r="AE62" i="16" s="1"/>
  <c r="AE63" i="16" s="1"/>
  <c r="AE64" i="16" s="1"/>
  <c r="AE65" i="16" s="1"/>
  <c r="AE66" i="16" s="1"/>
  <c r="AE67" i="16" s="1"/>
  <c r="AE68" i="16" s="1"/>
  <c r="AE69" i="16" s="1"/>
  <c r="AE70" i="16" s="1"/>
  <c r="AE71" i="16" s="1"/>
  <c r="AE72" i="16" s="1"/>
  <c r="AE73" i="16" s="1"/>
  <c r="AE74" i="16" s="1"/>
  <c r="AE75" i="16" s="1"/>
  <c r="AE76" i="16" s="1"/>
  <c r="AE77" i="16" s="1"/>
  <c r="AE78" i="16" s="1"/>
  <c r="AE79" i="16" s="1"/>
  <c r="AE80" i="16" s="1"/>
  <c r="AE81" i="16" s="1"/>
  <c r="AE82" i="16" s="1"/>
  <c r="AE83" i="16" s="1"/>
  <c r="AE84" i="16" s="1"/>
  <c r="AE85" i="16" s="1"/>
  <c r="AE86" i="16" s="1"/>
  <c r="AE87" i="16" s="1"/>
  <c r="AE88" i="16" s="1"/>
  <c r="AE89" i="16" s="1"/>
  <c r="AE90" i="16" s="1"/>
  <c r="AE91" i="16" s="1"/>
  <c r="AE92" i="16" s="1"/>
  <c r="AE93" i="16" s="1"/>
  <c r="AE94" i="16" s="1"/>
  <c r="AE95" i="16" s="1"/>
  <c r="AE96" i="16" s="1"/>
  <c r="AE97" i="16" s="1"/>
  <c r="AE98" i="16" s="1"/>
  <c r="AE99" i="16" s="1"/>
  <c r="AE100" i="16" s="1"/>
  <c r="AE101" i="16" s="1"/>
  <c r="AE102" i="16" s="1"/>
  <c r="AE103" i="16" s="1"/>
  <c r="AE104" i="16" s="1"/>
  <c r="AE105" i="16" s="1"/>
  <c r="AE106" i="16" s="1"/>
  <c r="AE107" i="16" s="1"/>
  <c r="AE108" i="16" s="1"/>
  <c r="AE109" i="16" s="1"/>
  <c r="AE110" i="16" s="1"/>
  <c r="AE111" i="16" s="1"/>
  <c r="AE112" i="16" s="1"/>
  <c r="AE113" i="16" s="1"/>
  <c r="AE114" i="16" s="1"/>
  <c r="AE115" i="16" s="1"/>
  <c r="AE116" i="16" s="1"/>
  <c r="AE117" i="16" s="1"/>
  <c r="AE118" i="16" s="1"/>
  <c r="AE119" i="16" s="1"/>
  <c r="AE120" i="16" s="1"/>
  <c r="AE121" i="16" s="1"/>
  <c r="AE122" i="16" s="1"/>
  <c r="AE123" i="16" s="1"/>
  <c r="AE124" i="16" s="1"/>
  <c r="AE125" i="16" s="1"/>
  <c r="AE126" i="16" s="1"/>
  <c r="AE127" i="16" s="1"/>
  <c r="AE128" i="16" s="1"/>
  <c r="AE129" i="16" s="1"/>
  <c r="AE130" i="16" s="1"/>
  <c r="AE131" i="16" s="1"/>
  <c r="AE132" i="16" s="1"/>
  <c r="AE133" i="16" s="1"/>
  <c r="AE134" i="16" s="1"/>
  <c r="AE135" i="16" s="1"/>
  <c r="AE136" i="16" s="1"/>
  <c r="AE137" i="16" s="1"/>
  <c r="AE138" i="16" s="1"/>
  <c r="AE139" i="16" s="1"/>
  <c r="AE140" i="16" s="1"/>
  <c r="AE141" i="16" s="1"/>
  <c r="AE142" i="16" s="1"/>
  <c r="AE143" i="16" s="1"/>
  <c r="AE144" i="16" s="1"/>
  <c r="AE145" i="16" s="1"/>
  <c r="AE146" i="16" s="1"/>
  <c r="AE147" i="16" s="1"/>
  <c r="AE148" i="16" s="1"/>
  <c r="AE149" i="16" s="1"/>
  <c r="AE150" i="16" s="1"/>
  <c r="AE151" i="16" s="1"/>
  <c r="AE152" i="16" s="1"/>
  <c r="AE153" i="16" s="1"/>
  <c r="AE154" i="16" s="1"/>
  <c r="AE155" i="16" s="1"/>
  <c r="AE156" i="16" s="1"/>
  <c r="AE157" i="16" s="1"/>
  <c r="AE158" i="16" s="1"/>
  <c r="AE159" i="16" s="1"/>
  <c r="AE160" i="16" s="1"/>
  <c r="AE161" i="16" s="1"/>
  <c r="AE162" i="16" s="1"/>
  <c r="AE163" i="16" s="1"/>
  <c r="AE164" i="16" s="1"/>
  <c r="AE165" i="16" s="1"/>
  <c r="AE166" i="16" s="1"/>
  <c r="AE167" i="16" s="1"/>
  <c r="AE168" i="16" s="1"/>
  <c r="AE169" i="16" s="1"/>
  <c r="AE170" i="16" s="1"/>
  <c r="AE171" i="16" s="1"/>
  <c r="AE172" i="16" s="1"/>
  <c r="AE173" i="16" s="1"/>
  <c r="AE174" i="16" s="1"/>
  <c r="AE175" i="16" s="1"/>
  <c r="AE176" i="16" s="1"/>
  <c r="AE177" i="16" s="1"/>
  <c r="AE178" i="16" s="1"/>
  <c r="AE179" i="16" s="1"/>
  <c r="AE180" i="16" s="1"/>
  <c r="AE181" i="16" s="1"/>
  <c r="AE182" i="16" s="1"/>
  <c r="AE183" i="16" s="1"/>
  <c r="AE184" i="16" s="1"/>
  <c r="AE185" i="16" s="1"/>
  <c r="AE186" i="16" s="1"/>
  <c r="AE187" i="16" s="1"/>
  <c r="AE188" i="16" s="1"/>
  <c r="AE189" i="16" s="1"/>
  <c r="AE190" i="16" s="1"/>
  <c r="AE191" i="16" s="1"/>
  <c r="AE192" i="16" s="1"/>
  <c r="AE193" i="16" s="1"/>
  <c r="AE194" i="16" s="1"/>
  <c r="AE195" i="16" s="1"/>
  <c r="AE196" i="16" s="1"/>
  <c r="AE197" i="16" s="1"/>
  <c r="AE198" i="16" s="1"/>
  <c r="AE199" i="16" s="1"/>
  <c r="AE200" i="16" s="1"/>
  <c r="AE201" i="16" s="1"/>
  <c r="AE202" i="16" s="1"/>
  <c r="AE203" i="16" s="1"/>
  <c r="AE204" i="16" s="1"/>
  <c r="AE205" i="16" s="1"/>
  <c r="AE206" i="16" s="1"/>
  <c r="AE207" i="16" s="1"/>
  <c r="AE208" i="16" s="1"/>
  <c r="AE209" i="16" s="1"/>
  <c r="AE210" i="16" s="1"/>
  <c r="AE211" i="16" s="1"/>
  <c r="AE212" i="16" s="1"/>
  <c r="AE213" i="16" s="1"/>
  <c r="AE214" i="16" s="1"/>
  <c r="AE215" i="16" s="1"/>
  <c r="AE216" i="16" s="1"/>
  <c r="AE217" i="16" s="1"/>
  <c r="AE218" i="16" s="1"/>
  <c r="AE219" i="16" s="1"/>
  <c r="AE220" i="16" s="1"/>
  <c r="AE221" i="16" s="1"/>
  <c r="AE222" i="16" s="1"/>
  <c r="AE223" i="16" s="1"/>
  <c r="AE224" i="16" s="1"/>
  <c r="AE225" i="16" s="1"/>
  <c r="AE226" i="16" s="1"/>
  <c r="AE227" i="16" s="1"/>
  <c r="AE228" i="16" s="1"/>
  <c r="AE229" i="16" s="1"/>
  <c r="AE230" i="16" s="1"/>
  <c r="AE231" i="16" s="1"/>
  <c r="AE232" i="16" s="1"/>
  <c r="AE233" i="16" s="1"/>
  <c r="AE234" i="16" s="1"/>
  <c r="AE235" i="16" s="1"/>
  <c r="AE236" i="16" s="1"/>
  <c r="AE237" i="16" s="1"/>
  <c r="AE238" i="16" s="1"/>
  <c r="AE239" i="16" s="1"/>
  <c r="AE240" i="16" s="1"/>
  <c r="AE241" i="16" s="1"/>
  <c r="AE242" i="16" s="1"/>
  <c r="AE243" i="16" s="1"/>
  <c r="AE244" i="16" s="1"/>
  <c r="AE245" i="16" s="1"/>
  <c r="AE246" i="16" s="1"/>
  <c r="AE247" i="16" s="1"/>
  <c r="AE248" i="16" s="1"/>
  <c r="AE249" i="16" s="1"/>
  <c r="AE250" i="16" s="1"/>
  <c r="AE251" i="16" s="1"/>
  <c r="AE252" i="16" s="1"/>
  <c r="AE253" i="16" s="1"/>
  <c r="AE254" i="16" s="1"/>
  <c r="AE255" i="16" s="1"/>
  <c r="AE256" i="16" s="1"/>
  <c r="AE257" i="16" s="1"/>
  <c r="AE258" i="16" s="1"/>
  <c r="AE259" i="16" s="1"/>
  <c r="AE260" i="16" s="1"/>
  <c r="AE261" i="16" s="1"/>
  <c r="AE262" i="16" s="1"/>
  <c r="AE263" i="16" s="1"/>
  <c r="AE264" i="16" s="1"/>
  <c r="AE265" i="16" s="1"/>
  <c r="AE266" i="16" s="1"/>
  <c r="AE267" i="16" s="1"/>
  <c r="AE268" i="16" s="1"/>
  <c r="AE269" i="16" s="1"/>
  <c r="AE270" i="16" s="1"/>
  <c r="AE271" i="16" s="1"/>
  <c r="AE272" i="16" s="1"/>
  <c r="AE273" i="16" s="1"/>
  <c r="AE274" i="16" s="1"/>
  <c r="AE275" i="16" s="1"/>
  <c r="AE276" i="16" s="1"/>
  <c r="AE277" i="16" s="1"/>
  <c r="AE278" i="16" s="1"/>
  <c r="AE279" i="16" s="1"/>
  <c r="AE280" i="16" s="1"/>
  <c r="AE281" i="16" s="1"/>
  <c r="AE282" i="16" s="1"/>
  <c r="AE283" i="16" s="1"/>
  <c r="AE284" i="16" s="1"/>
  <c r="AE285" i="16" s="1"/>
  <c r="AE286" i="16" s="1"/>
  <c r="AE287" i="16" s="1"/>
  <c r="AE288" i="16" s="1"/>
  <c r="AE289" i="16" s="1"/>
  <c r="AE290" i="16" s="1"/>
  <c r="AE291" i="16" s="1"/>
  <c r="AE292" i="16" s="1"/>
  <c r="AE293" i="16" s="1"/>
  <c r="AE294" i="16" s="1"/>
  <c r="AE295" i="16" s="1"/>
  <c r="AE296" i="16" s="1"/>
  <c r="AE297" i="16" s="1"/>
  <c r="AE298" i="16" s="1"/>
  <c r="AE299" i="16" s="1"/>
  <c r="AE300" i="16" s="1"/>
  <c r="AE301" i="16" s="1"/>
  <c r="AE302" i="16" s="1"/>
  <c r="AE303" i="16" s="1"/>
  <c r="AE304" i="16" s="1"/>
  <c r="AE305" i="16" s="1"/>
  <c r="AE306" i="16" s="1"/>
  <c r="AE307" i="16" s="1"/>
  <c r="AE308" i="16" s="1"/>
  <c r="AE309" i="16" s="1"/>
  <c r="AE310" i="16" s="1"/>
  <c r="AE311" i="16" s="1"/>
  <c r="AE312" i="16" s="1"/>
  <c r="AE313" i="16" s="1"/>
  <c r="AE314" i="16" s="1"/>
  <c r="AE315" i="16" s="1"/>
  <c r="AE316" i="16" s="1"/>
  <c r="AE317" i="16" s="1"/>
  <c r="AE318" i="16" s="1"/>
  <c r="AE319" i="16" s="1"/>
  <c r="AE320" i="16" s="1"/>
  <c r="AE321" i="16" s="1"/>
  <c r="AE322" i="16" s="1"/>
  <c r="AE323" i="16" s="1"/>
  <c r="AE324" i="16" s="1"/>
  <c r="AE325" i="16" s="1"/>
  <c r="AE326" i="16" s="1"/>
  <c r="AE327" i="16" s="1"/>
  <c r="AE328" i="16" s="1"/>
  <c r="AE329" i="16" s="1"/>
  <c r="AE330" i="16" s="1"/>
  <c r="AE331" i="16" s="1"/>
  <c r="AE332" i="16" s="1"/>
  <c r="AE333" i="16" s="1"/>
  <c r="AE334" i="16" s="1"/>
  <c r="AE335" i="16" s="1"/>
  <c r="AE336" i="16" s="1"/>
  <c r="AE337" i="16" s="1"/>
  <c r="AE338" i="16" s="1"/>
  <c r="AE339" i="16" s="1"/>
  <c r="AE340" i="16" s="1"/>
  <c r="AE341" i="16" s="1"/>
  <c r="AE342" i="16" s="1"/>
  <c r="AE343" i="16" s="1"/>
  <c r="AE344" i="16" s="1"/>
  <c r="AE345" i="16" s="1"/>
  <c r="AE346" i="16" s="1"/>
  <c r="AE347" i="16" s="1"/>
  <c r="AE348" i="16" s="1"/>
  <c r="AE349" i="16" s="1"/>
  <c r="AE350" i="16" s="1"/>
  <c r="AE351" i="16" s="1"/>
  <c r="AE352" i="16" s="1"/>
  <c r="AE353" i="16" s="1"/>
  <c r="AE354" i="16" s="1"/>
  <c r="AE355" i="16" s="1"/>
  <c r="AE356" i="16" s="1"/>
  <c r="AE357" i="16" s="1"/>
  <c r="AE358" i="16" s="1"/>
  <c r="AE359" i="16" s="1"/>
  <c r="AE360" i="16" s="1"/>
  <c r="AE361" i="16" s="1"/>
  <c r="AE362" i="16" s="1"/>
  <c r="AE363" i="16" s="1"/>
  <c r="AE364" i="16" s="1"/>
  <c r="AE365" i="16" s="1"/>
  <c r="AE366" i="16" s="1"/>
  <c r="AE367" i="16" s="1"/>
  <c r="AE368" i="16" s="1"/>
  <c r="E35" i="16"/>
  <c r="D35" i="16"/>
  <c r="A35" i="16"/>
  <c r="E34" i="16"/>
  <c r="D34" i="16"/>
  <c r="A34" i="16"/>
  <c r="E33" i="16"/>
  <c r="D33" i="16"/>
  <c r="A33" i="16"/>
  <c r="E32" i="16"/>
  <c r="D32" i="16"/>
  <c r="A32" i="16"/>
  <c r="E31" i="16"/>
  <c r="D31" i="16"/>
  <c r="A31" i="16"/>
  <c r="E30" i="16"/>
  <c r="D30" i="16"/>
  <c r="A30" i="16"/>
  <c r="E29" i="16"/>
  <c r="D29" i="16"/>
  <c r="A29" i="16"/>
  <c r="E28" i="16"/>
  <c r="D28" i="16"/>
  <c r="A28" i="16"/>
  <c r="E27" i="16"/>
  <c r="D27" i="16"/>
  <c r="A27" i="16"/>
  <c r="AF26" i="16"/>
  <c r="E26" i="16"/>
  <c r="D26" i="16"/>
  <c r="A26" i="16"/>
  <c r="AF25" i="16"/>
  <c r="E25" i="16"/>
  <c r="D25" i="16"/>
  <c r="A25" i="16"/>
  <c r="AF24" i="16"/>
  <c r="E24" i="16"/>
  <c r="D24" i="16"/>
  <c r="A24" i="16"/>
  <c r="AF23" i="16"/>
  <c r="E23" i="16"/>
  <c r="D23" i="16"/>
  <c r="A23" i="16"/>
  <c r="AF22" i="16"/>
  <c r="E22" i="16"/>
  <c r="D22" i="16"/>
  <c r="A22" i="16"/>
  <c r="AF21" i="16"/>
  <c r="E21" i="16"/>
  <c r="D21" i="16"/>
  <c r="A21" i="16"/>
  <c r="AF20" i="16"/>
  <c r="E20" i="16"/>
  <c r="D20" i="16"/>
  <c r="A20" i="16"/>
  <c r="AF19" i="16"/>
  <c r="E19" i="16"/>
  <c r="D19" i="16"/>
  <c r="A19" i="16"/>
  <c r="AF18" i="16"/>
  <c r="E18" i="16"/>
  <c r="D18" i="16"/>
  <c r="A18" i="16"/>
  <c r="AF17" i="16"/>
  <c r="E17" i="16"/>
  <c r="D17" i="16"/>
  <c r="A17" i="16"/>
  <c r="AF16" i="16"/>
  <c r="E16" i="16"/>
  <c r="D16" i="16"/>
  <c r="A16" i="16"/>
  <c r="AF15" i="16"/>
  <c r="E15" i="16"/>
  <c r="D15" i="16"/>
  <c r="A15" i="16"/>
  <c r="AF14" i="16"/>
  <c r="E14" i="16"/>
  <c r="D14" i="16"/>
  <c r="A14" i="16"/>
  <c r="AF13" i="16"/>
  <c r="E13" i="16"/>
  <c r="D13" i="16"/>
  <c r="A13" i="16"/>
  <c r="E12" i="16"/>
  <c r="D12" i="16"/>
  <c r="A12" i="16"/>
  <c r="E11" i="16"/>
  <c r="D11" i="16"/>
  <c r="A11" i="16"/>
  <c r="AX9" i="16"/>
  <c r="H9" i="16"/>
  <c r="D6" i="16"/>
  <c r="D5" i="16"/>
  <c r="D3" i="16"/>
  <c r="F117" i="8"/>
  <c r="B113" i="8"/>
  <c r="B109" i="8"/>
  <c r="B60" i="8"/>
  <c r="D46" i="8"/>
  <c r="O42" i="8"/>
  <c r="K40" i="8"/>
  <c r="T38" i="8"/>
  <c r="B37" i="8"/>
  <c r="D48" i="8" s="1"/>
  <c r="B35" i="8"/>
  <c r="D47" i="8" s="1"/>
  <c r="B16" i="8"/>
  <c r="B11" i="8"/>
  <c r="B10" i="8"/>
  <c r="B9" i="8"/>
  <c r="J8" i="8"/>
  <c r="B8" i="8"/>
  <c r="B58" i="8"/>
  <c r="B1" i="8"/>
  <c r="AX10" i="16" l="1"/>
  <c r="B18" i="16"/>
  <c r="B17" i="16"/>
  <c r="B26" i="16"/>
  <c r="B34" i="16"/>
  <c r="B21" i="16"/>
  <c r="B14" i="16"/>
  <c r="B20" i="16"/>
  <c r="B30" i="16"/>
  <c r="B11" i="16"/>
  <c r="B38" i="16"/>
  <c r="B42" i="16"/>
  <c r="B46" i="16"/>
  <c r="B50" i="16"/>
  <c r="B54" i="16"/>
  <c r="B58" i="16"/>
  <c r="B62" i="16"/>
  <c r="B66" i="16"/>
  <c r="B70" i="16"/>
  <c r="B74" i="16"/>
  <c r="B78" i="16"/>
  <c r="B82" i="16"/>
  <c r="B86" i="16"/>
  <c r="B90" i="16"/>
  <c r="B94" i="16"/>
  <c r="B98" i="16"/>
  <c r="B102" i="16"/>
  <c r="B106" i="16"/>
  <c r="B110" i="16"/>
  <c r="B114" i="16"/>
  <c r="B118" i="16"/>
  <c r="B122" i="16"/>
  <c r="B126" i="16"/>
  <c r="B130" i="16"/>
  <c r="B134" i="16"/>
  <c r="B138" i="16"/>
  <c r="B142" i="16"/>
  <c r="B146" i="16"/>
  <c r="B150" i="16"/>
  <c r="B154" i="16"/>
  <c r="B158" i="16"/>
  <c r="B162" i="16"/>
  <c r="B166" i="16"/>
  <c r="B170" i="16"/>
  <c r="B174" i="16"/>
  <c r="B178" i="16"/>
  <c r="B182" i="16"/>
  <c r="B186" i="16"/>
  <c r="B190" i="16"/>
  <c r="B194" i="16"/>
  <c r="B198" i="16"/>
  <c r="B202" i="16"/>
  <c r="B206" i="16"/>
  <c r="B210" i="16"/>
  <c r="B214" i="16"/>
  <c r="B15" i="16"/>
  <c r="B12" i="16"/>
  <c r="B39" i="16"/>
  <c r="B43" i="16"/>
  <c r="B47" i="16"/>
  <c r="B51" i="16"/>
  <c r="B55" i="16"/>
  <c r="B59" i="16"/>
  <c r="B63" i="16"/>
  <c r="B67"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7" i="16"/>
  <c r="B211" i="16"/>
  <c r="B215" i="16"/>
  <c r="B219" i="16"/>
  <c r="B31" i="16"/>
  <c r="B35" i="16"/>
  <c r="B28" i="16"/>
  <c r="B32" i="16"/>
  <c r="B13" i="16"/>
  <c r="B16" i="16"/>
  <c r="B19" i="16"/>
  <c r="B25" i="16"/>
  <c r="B36" i="16"/>
  <c r="B40" i="16"/>
  <c r="B44" i="16"/>
  <c r="B48" i="16"/>
  <c r="B52" i="16"/>
  <c r="B56" i="16"/>
  <c r="B60" i="16"/>
  <c r="B64" i="16"/>
  <c r="B68" i="16"/>
  <c r="B72" i="16"/>
  <c r="B76" i="16"/>
  <c r="B80" i="16"/>
  <c r="B84" i="16"/>
  <c r="B88" i="16"/>
  <c r="B92" i="16"/>
  <c r="B96" i="16"/>
  <c r="B100" i="16"/>
  <c r="B104" i="16"/>
  <c r="B108" i="16"/>
  <c r="B112" i="16"/>
  <c r="B116" i="16"/>
  <c r="B120" i="16"/>
  <c r="B124" i="16"/>
  <c r="B128" i="16"/>
  <c r="B132" i="16"/>
  <c r="B136" i="16"/>
  <c r="B140" i="16"/>
  <c r="B144" i="16"/>
  <c r="B148" i="16"/>
  <c r="B152" i="16"/>
  <c r="B156" i="16"/>
  <c r="B160" i="16"/>
  <c r="B164" i="16"/>
  <c r="B168" i="16"/>
  <c r="B172" i="16"/>
  <c r="B176" i="16"/>
  <c r="B180" i="16"/>
  <c r="B184" i="16"/>
  <c r="B188" i="16"/>
  <c r="B192" i="16"/>
  <c r="B196" i="16"/>
  <c r="B200" i="16"/>
  <c r="B204" i="16"/>
  <c r="B208" i="16"/>
  <c r="B212" i="16"/>
  <c r="B216" i="16"/>
  <c r="B24" i="16"/>
  <c r="B33" i="16"/>
  <c r="B27" i="16"/>
  <c r="B29" i="16"/>
  <c r="B37" i="16"/>
  <c r="B41" i="16"/>
  <c r="B45" i="16"/>
  <c r="B49" i="16"/>
  <c r="B53" i="16"/>
  <c r="B57" i="16"/>
  <c r="B61" i="16"/>
  <c r="B65" i="16"/>
  <c r="B69" i="16"/>
  <c r="B73" i="16"/>
  <c r="B77" i="16"/>
  <c r="B81" i="16"/>
  <c r="B85" i="16"/>
  <c r="B89" i="16"/>
  <c r="B93" i="16"/>
  <c r="B97" i="16"/>
  <c r="B101" i="16"/>
  <c r="B105" i="16"/>
  <c r="B109" i="16"/>
  <c r="B113" i="16"/>
  <c r="B117" i="16"/>
  <c r="B121" i="16"/>
  <c r="B125" i="16"/>
  <c r="B129" i="16"/>
  <c r="B133" i="16"/>
  <c r="B137" i="16"/>
  <c r="B141" i="16"/>
  <c r="B145" i="16"/>
  <c r="B149" i="16"/>
  <c r="B153" i="16"/>
  <c r="B157" i="16"/>
  <c r="B161" i="16"/>
  <c r="B165" i="16"/>
  <c r="B169" i="16"/>
  <c r="B173" i="16"/>
  <c r="B177" i="16"/>
  <c r="B181" i="16"/>
  <c r="B185" i="16"/>
  <c r="B189" i="16"/>
  <c r="B193" i="16"/>
  <c r="B197" i="16"/>
  <c r="B201" i="16"/>
  <c r="B205" i="16"/>
  <c r="B209" i="16"/>
  <c r="B213" i="16"/>
  <c r="B217" i="16"/>
  <c r="B221" i="16"/>
  <c r="B23" i="16"/>
  <c r="B218" i="16"/>
  <c r="B220" i="16"/>
  <c r="B222" i="16"/>
  <c r="B224" i="16"/>
  <c r="B226" i="16"/>
  <c r="B228" i="16"/>
  <c r="B230" i="16"/>
  <c r="B240" i="16"/>
  <c r="B242" i="16"/>
  <c r="B248" i="16"/>
  <c r="B250" i="16"/>
  <c r="B252" i="16"/>
  <c r="B258" i="16"/>
  <c r="B260" i="16"/>
  <c r="B262" i="16"/>
  <c r="B268" i="16"/>
  <c r="B274" i="16"/>
  <c r="B276" i="16"/>
  <c r="B284" i="16"/>
  <c r="B286" i="16"/>
  <c r="B292" i="16"/>
  <c r="J3" i="16"/>
  <c r="B327" i="16"/>
  <c r="B294" i="16"/>
  <c r="B296" i="16"/>
  <c r="B302" i="16"/>
  <c r="B304" i="16"/>
  <c r="B314" i="16"/>
  <c r="B318" i="16"/>
  <c r="B324" i="16"/>
  <c r="B326" i="16"/>
  <c r="B329" i="16"/>
  <c r="B331" i="16"/>
  <c r="B337" i="16"/>
  <c r="B339" i="16"/>
  <c r="B89" i="11"/>
  <c r="B223" i="16"/>
  <c r="B233" i="16"/>
  <c r="B237" i="16"/>
  <c r="B239" i="16"/>
  <c r="B245" i="16"/>
  <c r="B247" i="16"/>
  <c r="B253" i="16"/>
  <c r="B255" i="16"/>
  <c r="B261" i="16"/>
  <c r="B263" i="16"/>
  <c r="B265" i="16"/>
  <c r="B271" i="16"/>
  <c r="B273" i="16"/>
  <c r="B279" i="16"/>
  <c r="B281" i="16"/>
  <c r="B283" i="16"/>
  <c r="B289" i="16"/>
  <c r="B291" i="16"/>
  <c r="B293" i="16"/>
  <c r="B299" i="16"/>
  <c r="B301" i="16"/>
  <c r="B305" i="16"/>
  <c r="B307" i="16"/>
  <c r="B311" i="16"/>
  <c r="B313" i="16"/>
  <c r="B315" i="16"/>
  <c r="B317" i="16"/>
  <c r="B319" i="16"/>
  <c r="B321" i="16"/>
  <c r="B332" i="16"/>
  <c r="B334" i="16"/>
  <c r="AX12" i="16"/>
  <c r="F12" i="16" s="1"/>
  <c r="AX14" i="16"/>
  <c r="F14" i="16" s="1"/>
  <c r="AX16" i="16"/>
  <c r="F16" i="16" s="1"/>
  <c r="AX18" i="16"/>
  <c r="F18" i="16" s="1"/>
  <c r="AX20" i="16"/>
  <c r="F20" i="16" s="1"/>
  <c r="AX22" i="16"/>
  <c r="F22" i="16" s="1"/>
  <c r="AX24" i="16"/>
  <c r="F24" i="16" s="1"/>
  <c r="AX26" i="16"/>
  <c r="F26" i="16" s="1"/>
  <c r="AX28" i="16"/>
  <c r="F28" i="16" s="1"/>
  <c r="AX30" i="16"/>
  <c r="F30" i="16" s="1"/>
  <c r="AX32" i="16"/>
  <c r="F32" i="16" s="1"/>
  <c r="AX34" i="16"/>
  <c r="F34" i="16" s="1"/>
  <c r="AX36" i="16"/>
  <c r="F36" i="16" s="1"/>
  <c r="AX38" i="16"/>
  <c r="F38" i="16" s="1"/>
  <c r="AX40" i="16"/>
  <c r="F40" i="16" s="1"/>
  <c r="AX42" i="16"/>
  <c r="F42" i="16" s="1"/>
  <c r="AX44" i="16"/>
  <c r="F44" i="16" s="1"/>
  <c r="AX46" i="16"/>
  <c r="F46" i="16" s="1"/>
  <c r="AX48" i="16"/>
  <c r="F48" i="16" s="1"/>
  <c r="AX50" i="16"/>
  <c r="F50" i="16" s="1"/>
  <c r="AX52" i="16"/>
  <c r="F52" i="16" s="1"/>
  <c r="AX54" i="16"/>
  <c r="F54" i="16" s="1"/>
  <c r="AX56" i="16"/>
  <c r="F56" i="16" s="1"/>
  <c r="AX58" i="16"/>
  <c r="F58" i="16" s="1"/>
  <c r="AX60" i="16"/>
  <c r="F60" i="16" s="1"/>
  <c r="AX62" i="16"/>
  <c r="F62" i="16" s="1"/>
  <c r="AX64" i="16"/>
  <c r="F64" i="16" s="1"/>
  <c r="AX66" i="16"/>
  <c r="F66" i="16" s="1"/>
  <c r="AX68" i="16"/>
  <c r="F68" i="16" s="1"/>
  <c r="AX70" i="16"/>
  <c r="F70" i="16" s="1"/>
  <c r="AX72" i="16"/>
  <c r="F72" i="16" s="1"/>
  <c r="AX74" i="16"/>
  <c r="F74" i="16" s="1"/>
  <c r="AX76" i="16"/>
  <c r="F76" i="16" s="1"/>
  <c r="AX78" i="16"/>
  <c r="F78" i="16" s="1"/>
  <c r="AX80" i="16"/>
  <c r="F80" i="16" s="1"/>
  <c r="AX82" i="16"/>
  <c r="F82" i="16" s="1"/>
  <c r="AX84" i="16"/>
  <c r="H84" i="16" s="1"/>
  <c r="AX86" i="16"/>
  <c r="F86" i="16" s="1"/>
  <c r="AX88" i="16"/>
  <c r="F88" i="16" s="1"/>
  <c r="AX90" i="16"/>
  <c r="H90" i="16" s="1"/>
  <c r="AX92" i="16"/>
  <c r="H92" i="16" s="1"/>
  <c r="AX94" i="16"/>
  <c r="H94" i="16" s="1"/>
  <c r="AX96" i="16"/>
  <c r="F96" i="16" s="1"/>
  <c r="AX98" i="16"/>
  <c r="F98" i="16" s="1"/>
  <c r="AX100" i="16"/>
  <c r="F100" i="16" s="1"/>
  <c r="AX102" i="16"/>
  <c r="F102" i="16" s="1"/>
  <c r="AX104" i="16"/>
  <c r="F104" i="16" s="1"/>
  <c r="AX106" i="16"/>
  <c r="F106" i="16" s="1"/>
  <c r="AX108" i="16"/>
  <c r="F108" i="16" s="1"/>
  <c r="AX110" i="16"/>
  <c r="H110" i="16" s="1"/>
  <c r="AX112" i="16"/>
  <c r="F112" i="16" s="1"/>
  <c r="AX114" i="16"/>
  <c r="F114" i="16" s="1"/>
  <c r="AX116" i="16"/>
  <c r="F116" i="16" s="1"/>
  <c r="AX118" i="16"/>
  <c r="F118" i="16" s="1"/>
  <c r="AX120" i="16"/>
  <c r="F120" i="16" s="1"/>
  <c r="AX122" i="16"/>
  <c r="F122" i="16" s="1"/>
  <c r="AX124" i="16"/>
  <c r="F124" i="16" s="1"/>
  <c r="AX126" i="16"/>
  <c r="F126" i="16" s="1"/>
  <c r="AX128" i="16"/>
  <c r="F128" i="16" s="1"/>
  <c r="AX130" i="16"/>
  <c r="F130" i="16" s="1"/>
  <c r="AX132" i="16"/>
  <c r="F132" i="16" s="1"/>
  <c r="AX134" i="16"/>
  <c r="F134" i="16" s="1"/>
  <c r="AX136" i="16"/>
  <c r="F136" i="16" s="1"/>
  <c r="AX138" i="16"/>
  <c r="F138" i="16" s="1"/>
  <c r="AX140" i="16"/>
  <c r="F140" i="16" s="1"/>
  <c r="AX142" i="16"/>
  <c r="F142" i="16" s="1"/>
  <c r="AX144" i="16"/>
  <c r="F144" i="16" s="1"/>
  <c r="AX146" i="16"/>
  <c r="F146" i="16" s="1"/>
  <c r="AX148" i="16"/>
  <c r="F148" i="16" s="1"/>
  <c r="AX150" i="16"/>
  <c r="F150" i="16" s="1"/>
  <c r="AX152" i="16"/>
  <c r="F152" i="16" s="1"/>
  <c r="AX154" i="16"/>
  <c r="F154" i="16" s="1"/>
  <c r="AX156" i="16"/>
  <c r="F156" i="16" s="1"/>
  <c r="AX158" i="16"/>
  <c r="F158" i="16" s="1"/>
  <c r="AX160" i="16"/>
  <c r="F160" i="16" s="1"/>
  <c r="AX162" i="16"/>
  <c r="F162" i="16" s="1"/>
  <c r="AX164" i="16"/>
  <c r="F164" i="16" s="1"/>
  <c r="AX166" i="16"/>
  <c r="F166" i="16" s="1"/>
  <c r="AX168" i="16"/>
  <c r="F168" i="16" s="1"/>
  <c r="AX170" i="16"/>
  <c r="F170" i="16" s="1"/>
  <c r="AX172" i="16"/>
  <c r="F172" i="16" s="1"/>
  <c r="AX174" i="16"/>
  <c r="F174" i="16" s="1"/>
  <c r="AX176" i="16"/>
  <c r="F176" i="16" s="1"/>
  <c r="AX178" i="16"/>
  <c r="F178" i="16" s="1"/>
  <c r="AX180" i="16"/>
  <c r="F180" i="16" s="1"/>
  <c r="AX13" i="16"/>
  <c r="F13" i="16" s="1"/>
  <c r="AX15" i="16"/>
  <c r="F15" i="16" s="1"/>
  <c r="AX17" i="16"/>
  <c r="F17" i="16" s="1"/>
  <c r="AX19" i="16"/>
  <c r="F19" i="16" s="1"/>
  <c r="AX21" i="16"/>
  <c r="F21" i="16" s="1"/>
  <c r="AX23" i="16"/>
  <c r="F23" i="16" s="1"/>
  <c r="AX25" i="16"/>
  <c r="F25" i="16" s="1"/>
  <c r="AX27" i="16"/>
  <c r="F27" i="16" s="1"/>
  <c r="AX29" i="16"/>
  <c r="F29" i="16" s="1"/>
  <c r="AX31" i="16"/>
  <c r="F31" i="16" s="1"/>
  <c r="AX33" i="16"/>
  <c r="F33" i="16" s="1"/>
  <c r="AX35" i="16"/>
  <c r="F35" i="16" s="1"/>
  <c r="AX37" i="16"/>
  <c r="F37" i="16" s="1"/>
  <c r="AX39" i="16"/>
  <c r="F39" i="16" s="1"/>
  <c r="AX41" i="16"/>
  <c r="F41" i="16" s="1"/>
  <c r="AX43" i="16"/>
  <c r="F43" i="16" s="1"/>
  <c r="AX45" i="16"/>
  <c r="F45" i="16" s="1"/>
  <c r="AX47" i="16"/>
  <c r="F47" i="16" s="1"/>
  <c r="AX49" i="16"/>
  <c r="F49" i="16" s="1"/>
  <c r="AX51" i="16"/>
  <c r="F51" i="16" s="1"/>
  <c r="AX53" i="16"/>
  <c r="F53" i="16" s="1"/>
  <c r="AX55" i="16"/>
  <c r="F55" i="16" s="1"/>
  <c r="AX57" i="16"/>
  <c r="F57" i="16" s="1"/>
  <c r="AX59" i="16"/>
  <c r="F59" i="16" s="1"/>
  <c r="AX61" i="16"/>
  <c r="F61" i="16" s="1"/>
  <c r="AX63" i="16"/>
  <c r="F63" i="16" s="1"/>
  <c r="AX65" i="16"/>
  <c r="F65" i="16" s="1"/>
  <c r="AX67" i="16"/>
  <c r="F67" i="16" s="1"/>
  <c r="AX69" i="16"/>
  <c r="F69" i="16" s="1"/>
  <c r="AX71" i="16"/>
  <c r="F71" i="16" s="1"/>
  <c r="AX73" i="16"/>
  <c r="F73" i="16" s="1"/>
  <c r="AX75" i="16"/>
  <c r="F75" i="16" s="1"/>
  <c r="AX77" i="16"/>
  <c r="F77" i="16" s="1"/>
  <c r="AX79" i="16"/>
  <c r="F79" i="16" s="1"/>
  <c r="AX81" i="16"/>
  <c r="F81" i="16" s="1"/>
  <c r="AX83" i="16"/>
  <c r="F83" i="16" s="1"/>
  <c r="AX85" i="16"/>
  <c r="F85" i="16" s="1"/>
  <c r="AX87" i="16"/>
  <c r="F87" i="16" s="1"/>
  <c r="AX89" i="16"/>
  <c r="F89" i="16" s="1"/>
  <c r="AX91" i="16"/>
  <c r="F91" i="16" s="1"/>
  <c r="AX93" i="16"/>
  <c r="F93" i="16" s="1"/>
  <c r="AX95" i="16"/>
  <c r="F95" i="16" s="1"/>
  <c r="AX97" i="16"/>
  <c r="F97" i="16" s="1"/>
  <c r="AX99" i="16"/>
  <c r="F99" i="16" s="1"/>
  <c r="AX101" i="16"/>
  <c r="F101" i="16" s="1"/>
  <c r="AX103" i="16"/>
  <c r="F103" i="16" s="1"/>
  <c r="AX105" i="16"/>
  <c r="F105" i="16" s="1"/>
  <c r="AX107" i="16"/>
  <c r="F107" i="16" s="1"/>
  <c r="AX109" i="16"/>
  <c r="F109" i="16" s="1"/>
  <c r="AX111" i="16"/>
  <c r="F111" i="16" s="1"/>
  <c r="AX113" i="16"/>
  <c r="F113" i="16" s="1"/>
  <c r="AX115" i="16"/>
  <c r="F115" i="16" s="1"/>
  <c r="AX117" i="16"/>
  <c r="F117" i="16" s="1"/>
  <c r="AX119" i="16"/>
  <c r="F119" i="16" s="1"/>
  <c r="AX121" i="16"/>
  <c r="F121" i="16" s="1"/>
  <c r="AX123" i="16"/>
  <c r="F123" i="16" s="1"/>
  <c r="AX125" i="16"/>
  <c r="F125" i="16" s="1"/>
  <c r="AX127" i="16"/>
  <c r="F127" i="16" s="1"/>
  <c r="AX129" i="16"/>
  <c r="H129" i="16" s="1"/>
  <c r="AX131" i="16"/>
  <c r="F131" i="16" s="1"/>
  <c r="AX133" i="16"/>
  <c r="F133" i="16" s="1"/>
  <c r="AX135" i="16"/>
  <c r="F135" i="16" s="1"/>
  <c r="AX137" i="16"/>
  <c r="F137" i="16" s="1"/>
  <c r="AX139" i="16"/>
  <c r="H139" i="16" s="1"/>
  <c r="AX141" i="16"/>
  <c r="F141" i="16" s="1"/>
  <c r="AX143" i="16"/>
  <c r="F143" i="16" s="1"/>
  <c r="AX145" i="16"/>
  <c r="F145" i="16" s="1"/>
  <c r="AX147" i="16"/>
  <c r="F147" i="16" s="1"/>
  <c r="AX149" i="16"/>
  <c r="F149" i="16" s="1"/>
  <c r="AX151" i="16"/>
  <c r="H151" i="16" s="1"/>
  <c r="AX153" i="16"/>
  <c r="F153" i="16" s="1"/>
  <c r="AX155" i="16"/>
  <c r="F155" i="16" s="1"/>
  <c r="AX157" i="16"/>
  <c r="F157" i="16" s="1"/>
  <c r="AX159" i="16"/>
  <c r="F159" i="16" s="1"/>
  <c r="AX161" i="16"/>
  <c r="F161" i="16" s="1"/>
  <c r="AX163" i="16"/>
  <c r="F163" i="16" s="1"/>
  <c r="AX165" i="16"/>
  <c r="F165" i="16" s="1"/>
  <c r="AX167" i="16"/>
  <c r="F167" i="16" s="1"/>
  <c r="AX169" i="16"/>
  <c r="F169" i="16" s="1"/>
  <c r="AX171" i="16"/>
  <c r="F171" i="16" s="1"/>
  <c r="AX173" i="16"/>
  <c r="H173" i="16" s="1"/>
  <c r="AX175" i="16"/>
  <c r="F175" i="16" s="1"/>
  <c r="AX177" i="16"/>
  <c r="H177" i="16" s="1"/>
  <c r="AX179" i="16"/>
  <c r="F179" i="16" s="1"/>
  <c r="AX181" i="16"/>
  <c r="F181" i="16" s="1"/>
  <c r="AX182" i="16"/>
  <c r="F182" i="16" s="1"/>
  <c r="AX184" i="16"/>
  <c r="F184" i="16" s="1"/>
  <c r="AX186" i="16"/>
  <c r="F186" i="16" s="1"/>
  <c r="AX188" i="16"/>
  <c r="F188" i="16" s="1"/>
  <c r="AX190" i="16"/>
  <c r="F190" i="16" s="1"/>
  <c r="AX192" i="16"/>
  <c r="F192" i="16" s="1"/>
  <c r="AX194" i="16"/>
  <c r="F194" i="16" s="1"/>
  <c r="AX196" i="16"/>
  <c r="F196" i="16" s="1"/>
  <c r="AX198" i="16"/>
  <c r="F198" i="16" s="1"/>
  <c r="AX200" i="16"/>
  <c r="F200" i="16" s="1"/>
  <c r="AX202" i="16"/>
  <c r="F202" i="16" s="1"/>
  <c r="AX204" i="16"/>
  <c r="F204" i="16" s="1"/>
  <c r="AX206" i="16"/>
  <c r="F206" i="16" s="1"/>
  <c r="AX208" i="16"/>
  <c r="F208" i="16" s="1"/>
  <c r="AX210" i="16"/>
  <c r="F210" i="16" s="1"/>
  <c r="AX212" i="16"/>
  <c r="F212" i="16" s="1"/>
  <c r="AX214" i="16"/>
  <c r="F214" i="16" s="1"/>
  <c r="AX216" i="16"/>
  <c r="F216" i="16" s="1"/>
  <c r="AX218" i="16"/>
  <c r="H218" i="16" s="1"/>
  <c r="AX220" i="16"/>
  <c r="H220" i="16" s="1"/>
  <c r="AX222" i="16"/>
  <c r="F222" i="16" s="1"/>
  <c r="AX224" i="16"/>
  <c r="F224" i="16" s="1"/>
  <c r="AX226" i="16"/>
  <c r="F226" i="16" s="1"/>
  <c r="AX228" i="16"/>
  <c r="F228" i="16" s="1"/>
  <c r="AX230" i="16"/>
  <c r="F230" i="16" s="1"/>
  <c r="AX232" i="16"/>
  <c r="F232" i="16" s="1"/>
  <c r="AX234" i="16"/>
  <c r="F234" i="16" s="1"/>
  <c r="AX236" i="16"/>
  <c r="F236" i="16" s="1"/>
  <c r="AX238" i="16"/>
  <c r="F238" i="16" s="1"/>
  <c r="AX240" i="16"/>
  <c r="F240" i="16" s="1"/>
  <c r="AX242" i="16"/>
  <c r="F242" i="16" s="1"/>
  <c r="AX244" i="16"/>
  <c r="F244" i="16" s="1"/>
  <c r="AX246" i="16"/>
  <c r="F246" i="16" s="1"/>
  <c r="AX248" i="16"/>
  <c r="F248" i="16" s="1"/>
  <c r="AX250" i="16"/>
  <c r="F250" i="16" s="1"/>
  <c r="AX252" i="16"/>
  <c r="F252" i="16" s="1"/>
  <c r="AX254" i="16"/>
  <c r="F254" i="16" s="1"/>
  <c r="AX256" i="16"/>
  <c r="F256" i="16" s="1"/>
  <c r="AX258" i="16"/>
  <c r="F258" i="16" s="1"/>
  <c r="AX260" i="16"/>
  <c r="F260" i="16" s="1"/>
  <c r="AX262" i="16"/>
  <c r="F262" i="16" s="1"/>
  <c r="AX264" i="16"/>
  <c r="F264" i="16" s="1"/>
  <c r="AX266" i="16"/>
  <c r="F266" i="16" s="1"/>
  <c r="AX268" i="16"/>
  <c r="F268" i="16" s="1"/>
  <c r="AX270" i="16"/>
  <c r="F270" i="16" s="1"/>
  <c r="AX272" i="16"/>
  <c r="F272" i="16" s="1"/>
  <c r="AX274" i="16"/>
  <c r="F274" i="16" s="1"/>
  <c r="AX276" i="16"/>
  <c r="F276" i="16" s="1"/>
  <c r="AX278" i="16"/>
  <c r="F278" i="16" s="1"/>
  <c r="AX280" i="16"/>
  <c r="F280" i="16" s="1"/>
  <c r="AX282" i="16"/>
  <c r="F282" i="16" s="1"/>
  <c r="AX284" i="16"/>
  <c r="F284" i="16" s="1"/>
  <c r="AX286" i="16"/>
  <c r="F286" i="16" s="1"/>
  <c r="AX288" i="16"/>
  <c r="F288" i="16" s="1"/>
  <c r="AX290" i="16"/>
  <c r="F290" i="16" s="1"/>
  <c r="AX292" i="16"/>
  <c r="F292" i="16" s="1"/>
  <c r="AX294" i="16"/>
  <c r="F294" i="16" s="1"/>
  <c r="AX296" i="16"/>
  <c r="F296" i="16" s="1"/>
  <c r="AX298" i="16"/>
  <c r="F298" i="16" s="1"/>
  <c r="AX300" i="16"/>
  <c r="F300" i="16" s="1"/>
  <c r="AX302" i="16"/>
  <c r="F302" i="16" s="1"/>
  <c r="AX304" i="16"/>
  <c r="H304" i="16" s="1"/>
  <c r="AX306" i="16"/>
  <c r="F306" i="16" s="1"/>
  <c r="AX308" i="16"/>
  <c r="F308" i="16" s="1"/>
  <c r="AX310" i="16"/>
  <c r="F310" i="16" s="1"/>
  <c r="AX312" i="16"/>
  <c r="F312" i="16" s="1"/>
  <c r="AX314" i="16"/>
  <c r="F314" i="16" s="1"/>
  <c r="AX316" i="16"/>
  <c r="F316" i="16" s="1"/>
  <c r="AX318" i="16"/>
  <c r="F318" i="16" s="1"/>
  <c r="AX320" i="16"/>
  <c r="F320" i="16" s="1"/>
  <c r="AX322" i="16"/>
  <c r="F322" i="16" s="1"/>
  <c r="AX324" i="16"/>
  <c r="F324" i="16" s="1"/>
  <c r="AX326" i="16"/>
  <c r="F326" i="16" s="1"/>
  <c r="AX328" i="16"/>
  <c r="F328" i="16" s="1"/>
  <c r="AX330" i="16"/>
  <c r="F330" i="16" s="1"/>
  <c r="AX332" i="16"/>
  <c r="F332" i="16" s="1"/>
  <c r="AX334" i="16"/>
  <c r="F334" i="16" s="1"/>
  <c r="AX336" i="16"/>
  <c r="F336" i="16" s="1"/>
  <c r="AX338" i="16"/>
  <c r="F338" i="16" s="1"/>
  <c r="AX340" i="16"/>
  <c r="F340" i="16" s="1"/>
  <c r="AX342" i="16"/>
  <c r="F342" i="16" s="1"/>
  <c r="AX344" i="16"/>
  <c r="F344" i="16" s="1"/>
  <c r="AX346" i="16"/>
  <c r="F346" i="16" s="1"/>
  <c r="AX348" i="16"/>
  <c r="F348" i="16" s="1"/>
  <c r="AX350" i="16"/>
  <c r="F350" i="16" s="1"/>
  <c r="AX352" i="16"/>
  <c r="F352" i="16" s="1"/>
  <c r="AX183" i="16"/>
  <c r="F183" i="16" s="1"/>
  <c r="AX185" i="16"/>
  <c r="F185" i="16" s="1"/>
  <c r="AX187" i="16"/>
  <c r="F187" i="16" s="1"/>
  <c r="AX189" i="16"/>
  <c r="F189" i="16" s="1"/>
  <c r="AX191" i="16"/>
  <c r="F191" i="16" s="1"/>
  <c r="AX193" i="16"/>
  <c r="F193" i="16" s="1"/>
  <c r="AX195" i="16"/>
  <c r="F195" i="16" s="1"/>
  <c r="AX197" i="16"/>
  <c r="F197" i="16" s="1"/>
  <c r="AX199" i="16"/>
  <c r="F199" i="16" s="1"/>
  <c r="AX201" i="16"/>
  <c r="F201" i="16" s="1"/>
  <c r="AX203" i="16"/>
  <c r="F203" i="16" s="1"/>
  <c r="AX205" i="16"/>
  <c r="F205" i="16" s="1"/>
  <c r="AX207" i="16"/>
  <c r="F207" i="16" s="1"/>
  <c r="AX209" i="16"/>
  <c r="F209" i="16" s="1"/>
  <c r="AX211" i="16"/>
  <c r="F211" i="16" s="1"/>
  <c r="AX213" i="16"/>
  <c r="F213" i="16" s="1"/>
  <c r="AX215" i="16"/>
  <c r="F215" i="16" s="1"/>
  <c r="AX217" i="16"/>
  <c r="F217" i="16" s="1"/>
  <c r="AX219" i="16"/>
  <c r="F219" i="16" s="1"/>
  <c r="AX221" i="16"/>
  <c r="F221" i="16" s="1"/>
  <c r="AX223" i="16"/>
  <c r="F223" i="16" s="1"/>
  <c r="AX225" i="16"/>
  <c r="F225" i="16" s="1"/>
  <c r="AX227" i="16"/>
  <c r="F227" i="16" s="1"/>
  <c r="AX229" i="16"/>
  <c r="H229" i="16" s="1"/>
  <c r="AX231" i="16"/>
  <c r="F231" i="16" s="1"/>
  <c r="AX233" i="16"/>
  <c r="F233" i="16" s="1"/>
  <c r="AX235" i="16"/>
  <c r="F235" i="16" s="1"/>
  <c r="AX237" i="16"/>
  <c r="F237" i="16" s="1"/>
  <c r="AX239" i="16"/>
  <c r="F239" i="16" s="1"/>
  <c r="AX241" i="16"/>
  <c r="F241" i="16" s="1"/>
  <c r="AX243" i="16"/>
  <c r="F243" i="16" s="1"/>
  <c r="AX245" i="16"/>
  <c r="F245" i="16" s="1"/>
  <c r="AX247" i="16"/>
  <c r="F247" i="16" s="1"/>
  <c r="AX249" i="16"/>
  <c r="F249" i="16" s="1"/>
  <c r="AX251" i="16"/>
  <c r="F251" i="16" s="1"/>
  <c r="AX253" i="16"/>
  <c r="F253" i="16" s="1"/>
  <c r="AX255" i="16"/>
  <c r="F255" i="16" s="1"/>
  <c r="AX257" i="16"/>
  <c r="F257" i="16" s="1"/>
  <c r="AX259" i="16"/>
  <c r="F259" i="16" s="1"/>
  <c r="AX261" i="16"/>
  <c r="F261" i="16" s="1"/>
  <c r="AX263" i="16"/>
  <c r="F263" i="16" s="1"/>
  <c r="AX265" i="16"/>
  <c r="F265" i="16" s="1"/>
  <c r="AX267" i="16"/>
  <c r="F267" i="16" s="1"/>
  <c r="AX269" i="16"/>
  <c r="F269" i="16" s="1"/>
  <c r="AX271" i="16"/>
  <c r="F271" i="16" s="1"/>
  <c r="AX273" i="16"/>
  <c r="F273" i="16" s="1"/>
  <c r="AX275" i="16"/>
  <c r="F275" i="16" s="1"/>
  <c r="AX277" i="16"/>
  <c r="F277" i="16" s="1"/>
  <c r="AX279" i="16"/>
  <c r="F279" i="16" s="1"/>
  <c r="AX281" i="16"/>
  <c r="F281" i="16" s="1"/>
  <c r="AX283" i="16"/>
  <c r="F283" i="16" s="1"/>
  <c r="AX285" i="16"/>
  <c r="F285" i="16" s="1"/>
  <c r="AX287" i="16"/>
  <c r="F287" i="16" s="1"/>
  <c r="AX289" i="16"/>
  <c r="F289" i="16" s="1"/>
  <c r="AX291" i="16"/>
  <c r="F291" i="16" s="1"/>
  <c r="AX293" i="16"/>
  <c r="H293" i="16" s="1"/>
  <c r="AX295" i="16"/>
  <c r="F295" i="16" s="1"/>
  <c r="AX297" i="16"/>
  <c r="F297" i="16" s="1"/>
  <c r="AX299" i="16"/>
  <c r="F299" i="16" s="1"/>
  <c r="AX301" i="16"/>
  <c r="F301" i="16" s="1"/>
  <c r="AG17" i="16" s="1"/>
  <c r="AX303" i="16"/>
  <c r="F303" i="16" s="1"/>
  <c r="AX305" i="16"/>
  <c r="F305" i="16" s="1"/>
  <c r="AX307" i="16"/>
  <c r="F307" i="16" s="1"/>
  <c r="AX309" i="16"/>
  <c r="F309" i="16" s="1"/>
  <c r="AX311" i="16"/>
  <c r="F311" i="16" s="1"/>
  <c r="AX313" i="16"/>
  <c r="F313" i="16" s="1"/>
  <c r="AX315" i="16"/>
  <c r="F315" i="16" s="1"/>
  <c r="AX317" i="16"/>
  <c r="F317" i="16" s="1"/>
  <c r="AX319" i="16"/>
  <c r="F319" i="16" s="1"/>
  <c r="AX321" i="16"/>
  <c r="F321" i="16" s="1"/>
  <c r="AX323" i="16"/>
  <c r="F323" i="16" s="1"/>
  <c r="AX325" i="16"/>
  <c r="F325" i="16" s="1"/>
  <c r="AX327" i="16"/>
  <c r="F327" i="16" s="1"/>
  <c r="AX329" i="16"/>
  <c r="F329" i="16" s="1"/>
  <c r="AX331" i="16"/>
  <c r="F331" i="16" s="1"/>
  <c r="AX333" i="16"/>
  <c r="F333" i="16" s="1"/>
  <c r="AX335" i="16"/>
  <c r="H335" i="16" s="1"/>
  <c r="AX337" i="16"/>
  <c r="F337" i="16" s="1"/>
  <c r="AX339" i="16"/>
  <c r="F339" i="16" s="1"/>
  <c r="AX341" i="16"/>
  <c r="F341" i="16" s="1"/>
  <c r="AX343" i="16"/>
  <c r="F343" i="16" s="1"/>
  <c r="AX345" i="16"/>
  <c r="F345" i="16" s="1"/>
  <c r="AX347" i="16"/>
  <c r="F347" i="16" s="1"/>
  <c r="AX349" i="16"/>
  <c r="F349" i="16" s="1"/>
  <c r="AX351" i="16"/>
  <c r="F351" i="16" s="1"/>
  <c r="AX353" i="16"/>
  <c r="F353" i="16" s="1"/>
  <c r="AX355" i="16"/>
  <c r="F355" i="16" s="1"/>
  <c r="AX357" i="16"/>
  <c r="F357" i="16" s="1"/>
  <c r="AX359" i="16"/>
  <c r="F359" i="16" s="1"/>
  <c r="AX361" i="16"/>
  <c r="F361" i="16" s="1"/>
  <c r="AX363" i="16"/>
  <c r="F363" i="16" s="1"/>
  <c r="AX11" i="16"/>
  <c r="F11" i="16" s="1"/>
  <c r="AX354" i="16"/>
  <c r="F354" i="16" s="1"/>
  <c r="AX356" i="16"/>
  <c r="F356" i="16" s="1"/>
  <c r="AX358" i="16"/>
  <c r="F358" i="16" s="1"/>
  <c r="AX360" i="16"/>
  <c r="F360" i="16" s="1"/>
  <c r="AX362" i="16"/>
  <c r="H362" i="16" s="1"/>
  <c r="B362" i="16"/>
  <c r="B225" i="16"/>
  <c r="B227" i="16"/>
  <c r="B229" i="16"/>
  <c r="B231" i="16"/>
  <c r="B232" i="16"/>
  <c r="B234" i="16"/>
  <c r="B235" i="16"/>
  <c r="B236" i="16"/>
  <c r="B238" i="16"/>
  <c r="B241" i="16"/>
  <c r="B243" i="16"/>
  <c r="B244" i="16"/>
  <c r="B246" i="16"/>
  <c r="B249" i="16"/>
  <c r="B251" i="16"/>
  <c r="B254" i="16"/>
  <c r="B256" i="16"/>
  <c r="B257" i="16"/>
  <c r="B259" i="16"/>
  <c r="B264" i="16"/>
  <c r="B266" i="16"/>
  <c r="B267" i="16"/>
  <c r="B269" i="16"/>
  <c r="B270" i="16"/>
  <c r="B272" i="16"/>
  <c r="B275" i="16"/>
  <c r="B277" i="16"/>
  <c r="B278" i="16"/>
  <c r="B280" i="16"/>
  <c r="B282" i="16"/>
  <c r="B285" i="16"/>
  <c r="B287" i="16"/>
  <c r="B288" i="16"/>
  <c r="B290" i="16"/>
  <c r="B295" i="16"/>
  <c r="B297" i="16"/>
  <c r="B298" i="16"/>
  <c r="B300" i="16"/>
  <c r="B303" i="16"/>
  <c r="B306" i="16"/>
  <c r="B308" i="16"/>
  <c r="B309" i="16"/>
  <c r="B310" i="16"/>
  <c r="B312" i="16"/>
  <c r="B316" i="16"/>
  <c r="B320" i="16"/>
  <c r="B322" i="16"/>
  <c r="B323" i="16"/>
  <c r="B325" i="16"/>
  <c r="B328" i="16"/>
  <c r="B330" i="16"/>
  <c r="B333" i="16"/>
  <c r="B335" i="16"/>
  <c r="B336" i="16"/>
  <c r="B338" i="16"/>
  <c r="B342" i="16"/>
  <c r="B343" i="16"/>
  <c r="B361" i="16"/>
  <c r="B12" i="11"/>
  <c r="B20" i="11"/>
  <c r="B47" i="11"/>
  <c r="B65" i="11"/>
  <c r="B81" i="11"/>
  <c r="B30" i="11"/>
  <c r="B38" i="11"/>
  <c r="B44" i="11"/>
  <c r="B74" i="11"/>
  <c r="B10" i="11"/>
  <c r="B26" i="11"/>
  <c r="B27" i="11"/>
  <c r="B29" i="11"/>
  <c r="B34" i="11"/>
  <c r="B35" i="11"/>
  <c r="B36" i="11"/>
  <c r="B37" i="11"/>
  <c r="B43" i="11"/>
  <c r="B46" i="11"/>
  <c r="B49" i="11"/>
  <c r="B50" i="11"/>
  <c r="B51" i="11"/>
  <c r="B52" i="11"/>
  <c r="B53" i="11"/>
  <c r="B54" i="11"/>
  <c r="B55" i="11"/>
  <c r="B56" i="11"/>
  <c r="B57" i="11"/>
  <c r="B58" i="11"/>
  <c r="B59" i="11"/>
  <c r="B60" i="11"/>
  <c r="B61" i="11"/>
  <c r="B62" i="11"/>
  <c r="B63" i="11"/>
  <c r="B64" i="11"/>
  <c r="B72" i="11"/>
  <c r="B73" i="11"/>
  <c r="B76" i="11"/>
  <c r="B77" i="11"/>
  <c r="B78" i="11"/>
  <c r="B79" i="11"/>
  <c r="B80" i="11"/>
  <c r="B85" i="11"/>
  <c r="B87" i="11"/>
  <c r="B88" i="11"/>
  <c r="B106" i="11"/>
  <c r="B124" i="11"/>
  <c r="B132" i="11"/>
  <c r="B140" i="11"/>
  <c r="B166" i="11"/>
  <c r="B174" i="11"/>
  <c r="B184" i="11"/>
  <c r="B359" i="11"/>
  <c r="B358" i="11"/>
  <c r="B357" i="11"/>
  <c r="B356" i="11"/>
  <c r="B355" i="11"/>
  <c r="B354" i="11"/>
  <c r="B350" i="11"/>
  <c r="B349" i="11"/>
  <c r="B343" i="11"/>
  <c r="B339" i="11"/>
  <c r="B338" i="11"/>
  <c r="B337" i="11"/>
  <c r="B336" i="11"/>
  <c r="B335" i="11"/>
  <c r="B334" i="11"/>
  <c r="B333" i="11"/>
  <c r="B332" i="11"/>
  <c r="B331" i="11"/>
  <c r="B330" i="11"/>
  <c r="B329" i="11"/>
  <c r="B328" i="11"/>
  <c r="B327" i="11"/>
  <c r="B299" i="11"/>
  <c r="B298" i="11"/>
  <c r="B291" i="11"/>
  <c r="B290" i="11"/>
  <c r="B289" i="11"/>
  <c r="B288" i="11"/>
  <c r="B283" i="11"/>
  <c r="B277" i="11"/>
  <c r="B276" i="11"/>
  <c r="B259" i="11"/>
  <c r="B254" i="11"/>
  <c r="B253" i="11"/>
  <c r="B252" i="11"/>
  <c r="B353" i="11"/>
  <c r="B352" i="11"/>
  <c r="B348" i="11"/>
  <c r="B347" i="11"/>
  <c r="B346" i="11"/>
  <c r="B345" i="11"/>
  <c r="B342" i="11"/>
  <c r="B326" i="11"/>
  <c r="B325" i="11"/>
  <c r="B324" i="11"/>
  <c r="B322" i="11"/>
  <c r="B320" i="11"/>
  <c r="B319" i="11"/>
  <c r="B318" i="11"/>
  <c r="B317" i="11"/>
  <c r="B315" i="11"/>
  <c r="B314" i="11"/>
  <c r="B313" i="11"/>
  <c r="B312" i="11"/>
  <c r="B311" i="11"/>
  <c r="B310" i="11"/>
  <c r="B309" i="11"/>
  <c r="B308" i="11"/>
  <c r="B307" i="11"/>
  <c r="B306" i="11"/>
  <c r="B305" i="11"/>
  <c r="B304" i="11"/>
  <c r="B303" i="11"/>
  <c r="B302" i="11"/>
  <c r="B301" i="11"/>
  <c r="B297" i="11"/>
  <c r="B296" i="11"/>
  <c r="B294" i="11"/>
  <c r="B293" i="11"/>
  <c r="B287" i="11"/>
  <c r="B286" i="11"/>
  <c r="B285" i="11"/>
  <c r="B282" i="11"/>
  <c r="B281" i="11"/>
  <c r="B280" i="11"/>
  <c r="B279" i="11"/>
  <c r="B275" i="11"/>
  <c r="B274" i="11"/>
  <c r="B273" i="11"/>
  <c r="B272" i="11"/>
  <c r="B271" i="11"/>
  <c r="B270" i="11"/>
  <c r="B269" i="11"/>
  <c r="B268" i="11"/>
  <c r="B267" i="11"/>
  <c r="B266" i="11"/>
  <c r="B265" i="11"/>
  <c r="B264" i="11"/>
  <c r="B263" i="11"/>
  <c r="B262" i="11"/>
  <c r="B261" i="11"/>
  <c r="B257" i="11"/>
  <c r="B256" i="11"/>
  <c r="B255" i="11"/>
  <c r="B250" i="11"/>
  <c r="B249" i="11"/>
  <c r="B246" i="11"/>
  <c r="B245" i="11"/>
  <c r="B244" i="11"/>
  <c r="B243" i="11"/>
  <c r="B242" i="11"/>
  <c r="B241" i="11"/>
  <c r="B235" i="11"/>
  <c r="B228" i="11"/>
  <c r="B227" i="11"/>
  <c r="B226" i="11"/>
  <c r="B225" i="11"/>
  <c r="B224" i="11"/>
  <c r="B223" i="11"/>
  <c r="B222" i="11"/>
  <c r="B221" i="11"/>
  <c r="B217" i="11"/>
  <c r="B216" i="11"/>
  <c r="B240" i="11"/>
  <c r="B239" i="11"/>
  <c r="B238" i="11"/>
  <c r="B237" i="11"/>
  <c r="B234" i="11"/>
  <c r="B233" i="11"/>
  <c r="B232" i="11"/>
  <c r="B231" i="11"/>
  <c r="B230" i="11"/>
  <c r="B215" i="11"/>
  <c r="B214" i="11"/>
  <c r="B213" i="11"/>
  <c r="B212" i="11"/>
  <c r="B210" i="11"/>
  <c r="B206" i="11"/>
  <c r="B205" i="11"/>
  <c r="B204" i="11"/>
  <c r="B203" i="11"/>
  <c r="B202" i="11"/>
  <c r="B201" i="11"/>
  <c r="B200" i="11"/>
  <c r="B199" i="11"/>
  <c r="B198" i="11"/>
  <c r="B197" i="11"/>
  <c r="B194" i="11"/>
  <c r="B183" i="11"/>
  <c r="B182" i="11"/>
  <c r="B181" i="11"/>
  <c r="B180" i="11"/>
  <c r="B170" i="11"/>
  <c r="B169" i="11"/>
  <c r="B165" i="11"/>
  <c r="B156" i="11"/>
  <c r="B154" i="11"/>
  <c r="B153" i="11"/>
  <c r="B152" i="11"/>
  <c r="B151" i="11"/>
  <c r="B150" i="11"/>
  <c r="B149" i="11"/>
  <c r="B144" i="11"/>
  <c r="B143" i="11"/>
  <c r="B139" i="11"/>
  <c r="B138" i="11"/>
  <c r="B137" i="11"/>
  <c r="B136" i="11"/>
  <c r="B131" i="11"/>
  <c r="B128" i="11"/>
  <c r="B127" i="11"/>
  <c r="B123" i="11"/>
  <c r="B122" i="11"/>
  <c r="B121" i="11"/>
  <c r="B116" i="11"/>
  <c r="B115" i="11"/>
  <c r="B114" i="11"/>
  <c r="B113" i="11"/>
  <c r="B112" i="11"/>
  <c r="B111" i="11"/>
  <c r="B105" i="11"/>
  <c r="B104" i="11"/>
  <c r="B103" i="11"/>
  <c r="B102" i="11"/>
  <c r="B248" i="11"/>
  <c r="B220" i="11"/>
  <c r="B219" i="11"/>
  <c r="B209" i="11"/>
  <c r="B208" i="11"/>
  <c r="B207" i="11"/>
  <c r="B196" i="11"/>
  <c r="B193" i="11"/>
  <c r="B192" i="11"/>
  <c r="B191" i="11"/>
  <c r="B190" i="11"/>
  <c r="B189" i="11"/>
  <c r="B188" i="11"/>
  <c r="B187" i="11"/>
  <c r="B186" i="11"/>
  <c r="B185" i="11"/>
  <c r="B179" i="11"/>
  <c r="B178" i="11"/>
  <c r="B177" i="11"/>
  <c r="B176" i="11"/>
  <c r="B175" i="11"/>
  <c r="B173" i="11"/>
  <c r="B172" i="11"/>
  <c r="B171" i="11"/>
  <c r="B168" i="11"/>
  <c r="B167" i="11"/>
  <c r="B164" i="11"/>
  <c r="B162" i="11"/>
  <c r="B160" i="11"/>
  <c r="B159" i="11"/>
  <c r="B158" i="11"/>
  <c r="B157" i="11"/>
  <c r="B155" i="11"/>
  <c r="B148" i="11"/>
  <c r="B147" i="11"/>
  <c r="B146" i="11"/>
  <c r="B142" i="11"/>
  <c r="B141" i="11"/>
  <c r="B135" i="11"/>
  <c r="B134" i="11"/>
  <c r="B133" i="11"/>
  <c r="B130" i="11"/>
  <c r="B126" i="11"/>
  <c r="B125" i="11"/>
  <c r="B120" i="11"/>
  <c r="B119" i="11"/>
  <c r="B118" i="11"/>
  <c r="B110" i="11"/>
  <c r="B109" i="11"/>
  <c r="B108" i="11"/>
  <c r="B107" i="11"/>
  <c r="B11" i="11"/>
  <c r="B13" i="11"/>
  <c r="B14" i="11"/>
  <c r="B15" i="11"/>
  <c r="B16" i="11"/>
  <c r="B17" i="11"/>
  <c r="B18" i="11"/>
  <c r="B19" i="11"/>
  <c r="B21" i="11"/>
  <c r="B22" i="11"/>
  <c r="B23" i="11"/>
  <c r="B24" i="11"/>
  <c r="B25" i="11"/>
  <c r="B31" i="11"/>
  <c r="B32" i="11"/>
  <c r="B33" i="11"/>
  <c r="B39" i="11"/>
  <c r="B40" i="11"/>
  <c r="B41" i="11"/>
  <c r="B42" i="11"/>
  <c r="B45" i="11"/>
  <c r="B48" i="11"/>
  <c r="B66" i="11"/>
  <c r="B67" i="11"/>
  <c r="B68" i="11"/>
  <c r="B69" i="11"/>
  <c r="B70" i="11"/>
  <c r="B71" i="11"/>
  <c r="B75" i="11"/>
  <c r="B82" i="11"/>
  <c r="B83" i="11"/>
  <c r="B84" i="11"/>
  <c r="B90" i="11"/>
  <c r="B91" i="11"/>
  <c r="B92" i="11"/>
  <c r="B93" i="11"/>
  <c r="B94" i="11"/>
  <c r="B95" i="11"/>
  <c r="B96" i="11"/>
  <c r="B97" i="11"/>
  <c r="B98" i="11"/>
  <c r="B99" i="11"/>
  <c r="B101" i="11"/>
  <c r="B117" i="11"/>
  <c r="B129" i="11"/>
  <c r="B145" i="11"/>
  <c r="B161" i="11"/>
  <c r="B163" i="11"/>
  <c r="B195" i="11"/>
  <c r="B218" i="11"/>
  <c r="B247" i="11"/>
  <c r="B258" i="11"/>
  <c r="B278" i="11"/>
  <c r="B284" i="11"/>
  <c r="B292" i="11"/>
  <c r="B300" i="11"/>
  <c r="B316" i="11"/>
  <c r="B341" i="11"/>
  <c r="B351" i="11"/>
  <c r="B211" i="11"/>
  <c r="B229" i="11"/>
  <c r="B236" i="11"/>
  <c r="B251" i="11"/>
  <c r="B295" i="11"/>
  <c r="B321" i="11"/>
  <c r="B323" i="11"/>
  <c r="B344" i="11"/>
  <c r="B358" i="16"/>
  <c r="B22" i="16"/>
  <c r="B344" i="16"/>
  <c r="B345" i="16"/>
  <c r="B354" i="16"/>
  <c r="B346" i="16"/>
  <c r="B347" i="16"/>
  <c r="B352" i="16"/>
  <c r="B353" i="16"/>
  <c r="B359" i="16"/>
  <c r="B360" i="16"/>
  <c r="B340" i="16"/>
  <c r="B341" i="16"/>
  <c r="B348" i="16"/>
  <c r="B349" i="16"/>
  <c r="B350" i="16"/>
  <c r="B355" i="16"/>
  <c r="B356" i="16"/>
  <c r="B363" i="16"/>
  <c r="B351" i="16"/>
  <c r="B357" i="16"/>
  <c r="D8" i="16"/>
  <c r="G8" i="16"/>
  <c r="I8" i="16"/>
  <c r="D49" i="8"/>
  <c r="G3" i="16"/>
  <c r="J9" i="8" s="1"/>
  <c r="L88" i="8" s="1"/>
  <c r="I3" i="16"/>
  <c r="P8" i="16"/>
  <c r="AF11" i="16"/>
  <c r="F3" i="16"/>
  <c r="H3" i="16"/>
  <c r="J11" i="8" s="1"/>
  <c r="AG20" i="16" l="1"/>
  <c r="AG19" i="16"/>
  <c r="F151" i="16"/>
  <c r="H350" i="16"/>
  <c r="F220" i="16"/>
  <c r="H165" i="16"/>
  <c r="F304" i="16"/>
  <c r="H205" i="16"/>
  <c r="F94" i="16"/>
  <c r="AG26" i="16" s="1"/>
  <c r="F177" i="16"/>
  <c r="AG25" i="16" s="1"/>
  <c r="F90" i="16"/>
  <c r="H56" i="16"/>
  <c r="F293" i="16"/>
  <c r="AG15" i="16" s="1"/>
  <c r="F110" i="16"/>
  <c r="H182" i="16"/>
  <c r="H301" i="16"/>
  <c r="H268" i="16"/>
  <c r="F335" i="16"/>
  <c r="AG21" i="16" s="1"/>
  <c r="H51" i="16"/>
  <c r="F362" i="16"/>
  <c r="F129" i="16"/>
  <c r="AG22" i="16" s="1"/>
  <c r="F173" i="16"/>
  <c r="AG24" i="16" s="1"/>
  <c r="F84" i="16"/>
  <c r="AG11" i="16" s="1"/>
  <c r="F139" i="16"/>
  <c r="F92" i="16"/>
  <c r="AG23" i="16" s="1"/>
  <c r="F218" i="16"/>
  <c r="AG13" i="16" s="1"/>
  <c r="H224" i="16"/>
  <c r="F229" i="16"/>
  <c r="H119" i="16"/>
  <c r="I119" i="16" s="1"/>
  <c r="AX366" i="16"/>
  <c r="F366" i="16" s="1"/>
  <c r="AX364" i="16"/>
  <c r="F364" i="16" s="1"/>
  <c r="AX367" i="16"/>
  <c r="F367" i="16" s="1"/>
  <c r="AX365" i="16"/>
  <c r="F365" i="16" s="1"/>
  <c r="AX368" i="16"/>
  <c r="F368" i="16" s="1"/>
  <c r="H8" i="16"/>
  <c r="D22" i="8"/>
  <c r="D21" i="8"/>
  <c r="X9" i="16"/>
  <c r="AI9" i="16"/>
  <c r="AP9" i="16"/>
  <c r="J10" i="8"/>
  <c r="AG12" i="16" l="1"/>
  <c r="I94" i="16"/>
  <c r="AG18" i="16"/>
  <c r="I301" i="16"/>
  <c r="AG14" i="16"/>
  <c r="AE13" i="16" s="1"/>
  <c r="AG16" i="16"/>
  <c r="I350" i="16"/>
  <c r="I304" i="16"/>
  <c r="I224" i="16"/>
  <c r="I182" i="16"/>
  <c r="I129" i="16"/>
  <c r="I229" i="16"/>
  <c r="I177" i="16"/>
  <c r="I56" i="16"/>
  <c r="I92" i="16"/>
  <c r="I293" i="16"/>
  <c r="I139" i="16"/>
  <c r="I84" i="16"/>
  <c r="I362" i="16"/>
  <c r="I218" i="16"/>
  <c r="I205" i="16"/>
  <c r="I110" i="16"/>
  <c r="K12" i="16"/>
  <c r="I51" i="16"/>
  <c r="I335" i="16"/>
  <c r="I165" i="16"/>
  <c r="I151" i="16"/>
  <c r="I220" i="16"/>
  <c r="I268" i="16"/>
  <c r="I90" i="16"/>
  <c r="I173" i="16"/>
  <c r="L35" i="8"/>
  <c r="AE18" i="16" l="1"/>
  <c r="AE11" i="16"/>
  <c r="AE20" i="16"/>
  <c r="AE19" i="16"/>
  <c r="AE23" i="16"/>
  <c r="AE21" i="16"/>
  <c r="AE22" i="16"/>
  <c r="AE14" i="16"/>
  <c r="AE12" i="16"/>
  <c r="AE16" i="16"/>
  <c r="AE24" i="16"/>
  <c r="AE26" i="16"/>
  <c r="AE17" i="16"/>
  <c r="AE15" i="16"/>
  <c r="AE25" i="16"/>
  <c r="L11" i="16"/>
  <c r="K13" i="16"/>
  <c r="L12" i="16"/>
  <c r="V37" i="8"/>
  <c r="B33" i="8" s="1"/>
  <c r="AG9" i="16"/>
  <c r="G117" i="8"/>
  <c r="E47" i="8"/>
  <c r="Q37" i="8"/>
  <c r="K14" i="16" l="1"/>
  <c r="L13" i="16"/>
  <c r="X13" i="16" s="1"/>
  <c r="B85" i="8"/>
  <c r="U85" i="8" s="1"/>
  <c r="AA11" i="16"/>
  <c r="AH18" i="16"/>
  <c r="AH12" i="16"/>
  <c r="AH20" i="16"/>
  <c r="AH26" i="16"/>
  <c r="AH23" i="16"/>
  <c r="AH17" i="16"/>
  <c r="AH19" i="16"/>
  <c r="AH16" i="16"/>
  <c r="AH21" i="16"/>
  <c r="AH13" i="16"/>
  <c r="AH14" i="16"/>
  <c r="AH15" i="16"/>
  <c r="AH24" i="16"/>
  <c r="AH22" i="16"/>
  <c r="AH25" i="16"/>
  <c r="AH11" i="16"/>
  <c r="AI11" i="16"/>
  <c r="E65" i="8"/>
  <c r="Y65" i="8" s="1"/>
  <c r="AP11" i="16"/>
  <c r="M11" i="16"/>
  <c r="X11" i="16"/>
  <c r="T11" i="16"/>
  <c r="S11" i="16"/>
  <c r="AP12" i="16"/>
  <c r="X12" i="16"/>
  <c r="M12" i="16"/>
  <c r="N12" i="16" s="1"/>
  <c r="T12" i="16"/>
  <c r="AI12" i="16"/>
  <c r="S12" i="16"/>
  <c r="AA12" i="16"/>
  <c r="K15" i="16" l="1"/>
  <c r="L14" i="16"/>
  <c r="AB12" i="16"/>
  <c r="AQ11" i="16"/>
  <c r="AB11" i="16"/>
  <c r="U11" i="16"/>
  <c r="V11" i="16" s="1"/>
  <c r="U12" i="16"/>
  <c r="V12" i="16" s="1"/>
  <c r="AQ12" i="16"/>
  <c r="AR12" i="16" s="1"/>
  <c r="AJ12" i="16"/>
  <c r="AK12" i="16" s="1"/>
  <c r="AJ11" i="16"/>
  <c r="N11" i="16"/>
  <c r="U65" i="8"/>
  <c r="AP13" i="16"/>
  <c r="M13" i="16"/>
  <c r="N13" i="16" s="1"/>
  <c r="T13" i="16"/>
  <c r="AI13" i="16"/>
  <c r="S13" i="16"/>
  <c r="AA13" i="16"/>
  <c r="K16" i="16" l="1"/>
  <c r="L15" i="16"/>
  <c r="AK11" i="16"/>
  <c r="AR11" i="16"/>
  <c r="AB13" i="16"/>
  <c r="AJ13" i="16"/>
  <c r="AQ13" i="16"/>
  <c r="U13" i="16"/>
  <c r="AI14" i="16"/>
  <c r="S14" i="16"/>
  <c r="AA14" i="16"/>
  <c r="AP14" i="16"/>
  <c r="X14" i="16"/>
  <c r="T14" i="16"/>
  <c r="M14" i="16"/>
  <c r="N14" i="16" s="1"/>
  <c r="K17" i="16" l="1"/>
  <c r="L16" i="16"/>
  <c r="AQ14" i="16"/>
  <c r="AR14" i="16" s="1"/>
  <c r="U14" i="16"/>
  <c r="AB14" i="16"/>
  <c r="AJ14" i="16"/>
  <c r="AK14" i="16" s="1"/>
  <c r="AI15" i="16"/>
  <c r="S15" i="16"/>
  <c r="AA15" i="16"/>
  <c r="AP15" i="16"/>
  <c r="X15" i="16"/>
  <c r="M15" i="16"/>
  <c r="N15" i="16" s="1"/>
  <c r="T15" i="16"/>
  <c r="K18" i="16" l="1"/>
  <c r="L17" i="16"/>
  <c r="AQ15" i="16"/>
  <c r="AB15" i="16"/>
  <c r="U15" i="16"/>
  <c r="AJ15" i="16"/>
  <c r="AP16" i="16"/>
  <c r="X16" i="16"/>
  <c r="M16" i="16"/>
  <c r="N16" i="16" s="1"/>
  <c r="T16" i="16"/>
  <c r="AI16" i="16"/>
  <c r="S16" i="16"/>
  <c r="AA16" i="16"/>
  <c r="K19" i="16" l="1"/>
  <c r="L18" i="16"/>
  <c r="AK15" i="16"/>
  <c r="AQ16" i="16"/>
  <c r="AR16" i="16" s="1"/>
  <c r="AB16" i="16"/>
  <c r="U16" i="16"/>
  <c r="AJ16" i="16"/>
  <c r="AK16" i="16" s="1"/>
  <c r="AI17" i="16"/>
  <c r="S17" i="16"/>
  <c r="AA17" i="16"/>
  <c r="AP17" i="16"/>
  <c r="X17" i="16"/>
  <c r="M17" i="16"/>
  <c r="N17" i="16" s="1"/>
  <c r="T17" i="16"/>
  <c r="K20" i="16" l="1"/>
  <c r="L19" i="16"/>
  <c r="AQ17" i="16"/>
  <c r="U17" i="16"/>
  <c r="AB17" i="16"/>
  <c r="AJ17" i="16"/>
  <c r="AP18" i="16"/>
  <c r="X18" i="16"/>
  <c r="M18" i="16"/>
  <c r="N18" i="16" s="1"/>
  <c r="T18" i="16"/>
  <c r="AI18" i="16"/>
  <c r="S18" i="16"/>
  <c r="AA18" i="16"/>
  <c r="K21" i="16" l="1"/>
  <c r="L20" i="16"/>
  <c r="U18" i="16"/>
  <c r="AB18" i="16"/>
  <c r="AJ18" i="16"/>
  <c r="AK18" i="16" s="1"/>
  <c r="AQ18" i="16"/>
  <c r="AI19" i="16"/>
  <c r="AP19" i="16"/>
  <c r="X19" i="16"/>
  <c r="M19" i="16"/>
  <c r="N19" i="16" s="1"/>
  <c r="T19" i="16"/>
  <c r="S19" i="16"/>
  <c r="AA19" i="16"/>
  <c r="AR18" i="16" l="1"/>
  <c r="K22" i="16"/>
  <c r="L21" i="16"/>
  <c r="AQ19" i="16"/>
  <c r="AB19" i="16"/>
  <c r="U19" i="16"/>
  <c r="AJ19" i="16"/>
  <c r="AK19" i="16" s="1"/>
  <c r="AI20" i="16"/>
  <c r="S20" i="16"/>
  <c r="AA20" i="16"/>
  <c r="AP20" i="16"/>
  <c r="X20" i="16"/>
  <c r="M20" i="16"/>
  <c r="N20" i="16" s="1"/>
  <c r="T20" i="16"/>
  <c r="K23" i="16" l="1"/>
  <c r="L22" i="16"/>
  <c r="U20" i="16"/>
  <c r="AB20" i="16"/>
  <c r="AQ20" i="16"/>
  <c r="AJ20" i="16"/>
  <c r="AK20" i="16" s="1"/>
  <c r="AP21" i="16"/>
  <c r="X21" i="16"/>
  <c r="M21" i="16"/>
  <c r="N21" i="16" s="1"/>
  <c r="T21" i="16"/>
  <c r="AI21" i="16"/>
  <c r="S21" i="16"/>
  <c r="AA21" i="16"/>
  <c r="K24" i="16" l="1"/>
  <c r="L23" i="16"/>
  <c r="AB21" i="16"/>
  <c r="U21" i="16"/>
  <c r="AJ21" i="16"/>
  <c r="AK21" i="16" s="1"/>
  <c r="AQ21" i="16"/>
  <c r="AR21" i="16" s="1"/>
  <c r="AP22" i="16"/>
  <c r="X22" i="16"/>
  <c r="M22" i="16"/>
  <c r="N22" i="16" s="1"/>
  <c r="T22" i="16"/>
  <c r="AI22" i="16"/>
  <c r="S22" i="16"/>
  <c r="AA22" i="16"/>
  <c r="K25" i="16" l="1"/>
  <c r="L24" i="16"/>
  <c r="AB22" i="16"/>
  <c r="U22" i="16"/>
  <c r="AQ22" i="16"/>
  <c r="AJ22" i="16"/>
  <c r="AK22" i="16" s="1"/>
  <c r="AI23" i="16"/>
  <c r="S23" i="16"/>
  <c r="AA23" i="16"/>
  <c r="AP23" i="16"/>
  <c r="X23" i="16"/>
  <c r="M23" i="16"/>
  <c r="N23" i="16" s="1"/>
  <c r="T23" i="16"/>
  <c r="K26" i="16" l="1"/>
  <c r="L25" i="16"/>
  <c r="U23" i="16"/>
  <c r="AB23" i="16"/>
  <c r="AJ23" i="16"/>
  <c r="AQ23" i="16"/>
  <c r="AI24" i="16"/>
  <c r="S24" i="16"/>
  <c r="AA24" i="16"/>
  <c r="AP24" i="16"/>
  <c r="X24" i="16"/>
  <c r="M24" i="16"/>
  <c r="N24" i="16" s="1"/>
  <c r="T24" i="16"/>
  <c r="L26" i="16" l="1"/>
  <c r="K27" i="16"/>
  <c r="U24" i="16"/>
  <c r="AQ24" i="16"/>
  <c r="AB24" i="16"/>
  <c r="AJ24" i="16"/>
  <c r="AK24" i="16" s="1"/>
  <c r="AI25" i="16"/>
  <c r="S25" i="16"/>
  <c r="AA25" i="16"/>
  <c r="AP25" i="16"/>
  <c r="M25" i="16"/>
  <c r="N25" i="16" s="1"/>
  <c r="X25" i="16"/>
  <c r="T25" i="16"/>
  <c r="AR24" i="16" l="1"/>
  <c r="K28" i="16"/>
  <c r="L27" i="16"/>
  <c r="AB25" i="16"/>
  <c r="AQ25" i="16"/>
  <c r="U25" i="16"/>
  <c r="AJ25" i="16"/>
  <c r="AK25" i="16" s="1"/>
  <c r="AP26" i="16"/>
  <c r="X26" i="16"/>
  <c r="M26" i="16"/>
  <c r="N26" i="16" s="1"/>
  <c r="T26" i="16"/>
  <c r="AI26" i="16"/>
  <c r="S26" i="16"/>
  <c r="AA26" i="16"/>
  <c r="K29" i="16" l="1"/>
  <c r="L28" i="16"/>
  <c r="AQ26" i="16"/>
  <c r="AB26" i="16"/>
  <c r="AJ26" i="16"/>
  <c r="U26" i="16"/>
  <c r="AP27" i="16"/>
  <c r="X27" i="16"/>
  <c r="M27" i="16"/>
  <c r="N27" i="16" s="1"/>
  <c r="T27" i="16"/>
  <c r="AI27" i="16"/>
  <c r="S27" i="16"/>
  <c r="AA27" i="16"/>
  <c r="L29" i="16" l="1"/>
  <c r="K30" i="16"/>
  <c r="AQ27" i="16"/>
  <c r="AR27" i="16" s="1"/>
  <c r="AB27" i="16"/>
  <c r="AJ27" i="16"/>
  <c r="AK27" i="16" s="1"/>
  <c r="U27" i="16"/>
  <c r="AP28" i="16"/>
  <c r="X28" i="16"/>
  <c r="M28" i="16"/>
  <c r="N28" i="16" s="1"/>
  <c r="T28" i="16"/>
  <c r="AI28" i="16"/>
  <c r="S28" i="16"/>
  <c r="AA28" i="16"/>
  <c r="K31" i="16" l="1"/>
  <c r="L30" i="16"/>
  <c r="AQ28" i="16"/>
  <c r="AR28" i="16" s="1"/>
  <c r="U28" i="16"/>
  <c r="V28" i="16" s="1"/>
  <c r="AJ28" i="16"/>
  <c r="AK28" i="16" s="1"/>
  <c r="AB28" i="16"/>
  <c r="AC28" i="16" s="1"/>
  <c r="AP29" i="16"/>
  <c r="X29" i="16"/>
  <c r="M29" i="16"/>
  <c r="N29" i="16" s="1"/>
  <c r="T29" i="16"/>
  <c r="AI29" i="16"/>
  <c r="S29" i="16"/>
  <c r="AA29" i="16"/>
  <c r="K32" i="16" l="1"/>
  <c r="L31" i="16"/>
  <c r="AB29" i="16"/>
  <c r="AQ29" i="16"/>
  <c r="AJ29" i="16"/>
  <c r="AK29" i="16" s="1"/>
  <c r="U29" i="16"/>
  <c r="AP30" i="16"/>
  <c r="X30" i="16"/>
  <c r="M30" i="16"/>
  <c r="N30" i="16" s="1"/>
  <c r="T30" i="16"/>
  <c r="AI30" i="16"/>
  <c r="S30" i="16"/>
  <c r="AA30" i="16"/>
  <c r="L32" i="16" l="1"/>
  <c r="K33" i="16"/>
  <c r="AQ30" i="16"/>
  <c r="U30" i="16"/>
  <c r="AB30" i="16"/>
  <c r="AJ30" i="16"/>
  <c r="AP31" i="16"/>
  <c r="X31" i="16"/>
  <c r="M31" i="16"/>
  <c r="N31" i="16" s="1"/>
  <c r="T31" i="16"/>
  <c r="AI31" i="16"/>
  <c r="S31" i="16"/>
  <c r="AA31" i="16"/>
  <c r="K34" i="16" l="1"/>
  <c r="L33" i="16"/>
  <c r="AB31" i="16"/>
  <c r="U31" i="16"/>
  <c r="AJ31" i="16"/>
  <c r="AK31" i="16" s="1"/>
  <c r="AQ31" i="16"/>
  <c r="AR31" i="16" s="1"/>
  <c r="AI32" i="16"/>
  <c r="AA32" i="16"/>
  <c r="AP32" i="16"/>
  <c r="X32" i="16"/>
  <c r="M32" i="16"/>
  <c r="N32" i="16" s="1"/>
  <c r="T32" i="16"/>
  <c r="S32" i="16"/>
  <c r="K35" i="16" l="1"/>
  <c r="L34" i="16"/>
  <c r="U32" i="16"/>
  <c r="AB32" i="16"/>
  <c r="AQ32" i="16"/>
  <c r="AJ32" i="16"/>
  <c r="AI33" i="16"/>
  <c r="S33" i="16"/>
  <c r="AA33" i="16"/>
  <c r="AP33" i="16"/>
  <c r="X33" i="16"/>
  <c r="M33" i="16"/>
  <c r="N33" i="16" s="1"/>
  <c r="T33" i="16"/>
  <c r="K36" i="16" l="1"/>
  <c r="L35" i="16"/>
  <c r="AQ33" i="16"/>
  <c r="U33" i="16"/>
  <c r="AB33" i="16"/>
  <c r="AJ33" i="16"/>
  <c r="AK33" i="16" s="1"/>
  <c r="T34" i="16"/>
  <c r="M34" i="16"/>
  <c r="N34" i="16" s="1"/>
  <c r="X34" i="16"/>
  <c r="AA34" i="16"/>
  <c r="AI34" i="16"/>
  <c r="AP34" i="16"/>
  <c r="S34" i="16"/>
  <c r="K37" i="16" l="1"/>
  <c r="L36" i="16"/>
  <c r="AB34" i="16"/>
  <c r="AQ34" i="16"/>
  <c r="AJ34" i="16"/>
  <c r="U34" i="16"/>
  <c r="AI35" i="16"/>
  <c r="T35" i="16"/>
  <c r="S35" i="16"/>
  <c r="AP35" i="16"/>
  <c r="AA35" i="16"/>
  <c r="X35" i="16"/>
  <c r="M35" i="16"/>
  <c r="N35" i="16" s="1"/>
  <c r="K38" i="16" l="1"/>
  <c r="L37" i="16"/>
  <c r="AQ35" i="16"/>
  <c r="AB35" i="16"/>
  <c r="U35" i="16"/>
  <c r="AJ35" i="16"/>
  <c r="X36" i="16"/>
  <c r="M36" i="16"/>
  <c r="N36" i="16" s="1"/>
  <c r="AI36" i="16"/>
  <c r="T36" i="16"/>
  <c r="S36" i="16"/>
  <c r="AP36" i="16"/>
  <c r="AA36" i="16"/>
  <c r="AK35" i="16" l="1"/>
  <c r="L38" i="16"/>
  <c r="K39" i="16"/>
  <c r="AQ36" i="16"/>
  <c r="AR36" i="16" s="1"/>
  <c r="U36" i="16"/>
  <c r="AB36" i="16"/>
  <c r="AJ36" i="16"/>
  <c r="AI37" i="16"/>
  <c r="T37" i="16"/>
  <c r="S37" i="16"/>
  <c r="AA37" i="16"/>
  <c r="X37" i="16"/>
  <c r="M37" i="16"/>
  <c r="N37" i="16" s="1"/>
  <c r="AP37" i="16"/>
  <c r="AK36" i="16" l="1"/>
  <c r="K40" i="16"/>
  <c r="L39" i="16"/>
  <c r="AQ37" i="16"/>
  <c r="U37" i="16"/>
  <c r="AB37" i="16"/>
  <c r="AJ37" i="16"/>
  <c r="AK37" i="16" s="1"/>
  <c r="S38" i="16"/>
  <c r="AP38" i="16"/>
  <c r="AA38" i="16"/>
  <c r="X38" i="16"/>
  <c r="M38" i="16"/>
  <c r="N38" i="16" s="1"/>
  <c r="AI38" i="16"/>
  <c r="T38" i="16"/>
  <c r="K41" i="16" l="1"/>
  <c r="L40" i="16"/>
  <c r="U38" i="16"/>
  <c r="V38" i="16" s="1"/>
  <c r="AB38" i="16"/>
  <c r="AC38" i="16" s="1"/>
  <c r="AQ38" i="16"/>
  <c r="AR38" i="16" s="1"/>
  <c r="AJ38" i="16"/>
  <c r="AK38" i="16" s="1"/>
  <c r="AP39" i="16"/>
  <c r="AA39" i="16"/>
  <c r="X39" i="16"/>
  <c r="M39" i="16"/>
  <c r="N39" i="16" s="1"/>
  <c r="AI39" i="16"/>
  <c r="T39" i="16"/>
  <c r="S39" i="16"/>
  <c r="L41" i="16" l="1"/>
  <c r="K42" i="16"/>
  <c r="AB39" i="16"/>
  <c r="AC39" i="16" s="1"/>
  <c r="U39" i="16"/>
  <c r="AJ39" i="16"/>
  <c r="AK39" i="16" s="1"/>
  <c r="AQ39" i="16"/>
  <c r="AR39" i="16" s="1"/>
  <c r="S40" i="16"/>
  <c r="AP40" i="16"/>
  <c r="AA40" i="16"/>
  <c r="X40" i="16"/>
  <c r="M40" i="16"/>
  <c r="N40" i="16" s="1"/>
  <c r="T40" i="16"/>
  <c r="AI40" i="16"/>
  <c r="K43" i="16" l="1"/>
  <c r="L42" i="16"/>
  <c r="V39" i="16"/>
  <c r="U40" i="16"/>
  <c r="V40" i="16" s="1"/>
  <c r="AQ40" i="16"/>
  <c r="AR40" i="16" s="1"/>
  <c r="AJ40" i="16"/>
  <c r="AK40" i="16" s="1"/>
  <c r="AB40" i="16"/>
  <c r="AC40" i="16" s="1"/>
  <c r="AI41" i="16"/>
  <c r="T41" i="16"/>
  <c r="S41" i="16"/>
  <c r="AP41" i="16"/>
  <c r="AA41" i="16"/>
  <c r="X41" i="16"/>
  <c r="M41" i="16"/>
  <c r="N41" i="16" s="1"/>
  <c r="K44" i="16" l="1"/>
  <c r="L43" i="16"/>
  <c r="U41" i="16"/>
  <c r="V41" i="16" s="1"/>
  <c r="AQ41" i="16"/>
  <c r="AR41" i="16" s="1"/>
  <c r="AB41" i="16"/>
  <c r="AJ41" i="16"/>
  <c r="AK41" i="16" s="1"/>
  <c r="S42" i="16"/>
  <c r="X42" i="16"/>
  <c r="M42" i="16"/>
  <c r="N42" i="16" s="1"/>
  <c r="AI42" i="16"/>
  <c r="T42" i="16"/>
  <c r="AP42" i="16"/>
  <c r="AA42" i="16"/>
  <c r="AC41" i="16" l="1"/>
  <c r="L44" i="16"/>
  <c r="K45" i="16"/>
  <c r="U42" i="16"/>
  <c r="V42" i="16" s="1"/>
  <c r="AB42" i="16"/>
  <c r="AC42" i="16" s="1"/>
  <c r="AQ42" i="16"/>
  <c r="AR42" i="16" s="1"/>
  <c r="AJ42" i="16"/>
  <c r="AK42" i="16" s="1"/>
  <c r="AI43" i="16"/>
  <c r="T43" i="16"/>
  <c r="S43" i="16"/>
  <c r="AP43" i="16"/>
  <c r="AA43" i="16"/>
  <c r="X43" i="16"/>
  <c r="M43" i="16"/>
  <c r="N43" i="16" s="1"/>
  <c r="K46" i="16" l="1"/>
  <c r="L45" i="16"/>
  <c r="AQ43" i="16"/>
  <c r="AR43" i="16" s="1"/>
  <c r="AB43" i="16"/>
  <c r="AC43" i="16" s="1"/>
  <c r="U43" i="16"/>
  <c r="V43" i="16" s="1"/>
  <c r="AJ43" i="16"/>
  <c r="AK43" i="16" s="1"/>
  <c r="S44" i="16"/>
  <c r="AP44" i="16"/>
  <c r="AA44" i="16"/>
  <c r="X44" i="16"/>
  <c r="M44" i="16"/>
  <c r="N44" i="16" s="1"/>
  <c r="AI44" i="16"/>
  <c r="T44" i="16"/>
  <c r="K47" i="16" l="1"/>
  <c r="L46" i="16"/>
  <c r="U44" i="16"/>
  <c r="V44" i="16" s="1"/>
  <c r="AQ44" i="16"/>
  <c r="AR44" i="16" s="1"/>
  <c r="AJ44" i="16"/>
  <c r="AK44" i="16" s="1"/>
  <c r="AB44" i="16"/>
  <c r="AC44" i="16" s="1"/>
  <c r="AI45" i="16"/>
  <c r="T45" i="16"/>
  <c r="S45" i="16"/>
  <c r="AP45" i="16"/>
  <c r="X45" i="16"/>
  <c r="M45" i="16"/>
  <c r="N45" i="16" s="1"/>
  <c r="AA45" i="16"/>
  <c r="K48" i="16" l="1"/>
  <c r="L47" i="16"/>
  <c r="AQ45" i="16"/>
  <c r="AR45" i="16" s="1"/>
  <c r="U45" i="16"/>
  <c r="V45" i="16" s="1"/>
  <c r="AB45" i="16"/>
  <c r="AC45" i="16" s="1"/>
  <c r="AJ45" i="16"/>
  <c r="AK45" i="16" s="1"/>
  <c r="X46" i="16"/>
  <c r="M46" i="16"/>
  <c r="N46" i="16" s="1"/>
  <c r="AI46" i="16"/>
  <c r="T46" i="16"/>
  <c r="S46" i="16"/>
  <c r="AP46" i="16"/>
  <c r="AA46" i="16"/>
  <c r="K49" i="16" l="1"/>
  <c r="L48" i="16"/>
  <c r="U46" i="16"/>
  <c r="V46" i="16" s="1"/>
  <c r="AB46" i="16"/>
  <c r="AC46" i="16" s="1"/>
  <c r="AQ46" i="16"/>
  <c r="AR46" i="16" s="1"/>
  <c r="AJ46" i="16"/>
  <c r="AK46" i="16" s="1"/>
  <c r="AP47" i="16"/>
  <c r="AA47" i="16"/>
  <c r="X47" i="16"/>
  <c r="M47" i="16"/>
  <c r="N47" i="16" s="1"/>
  <c r="AI47" i="16"/>
  <c r="T47" i="16"/>
  <c r="S47" i="16"/>
  <c r="K50" i="16" l="1"/>
  <c r="L49" i="16"/>
  <c r="AQ47" i="16"/>
  <c r="AR47" i="16" s="1"/>
  <c r="U47" i="16"/>
  <c r="V47" i="16" s="1"/>
  <c r="AJ47" i="16"/>
  <c r="AK47" i="16" s="1"/>
  <c r="AB47" i="16"/>
  <c r="AC47" i="16" s="1"/>
  <c r="S48" i="16"/>
  <c r="AP48" i="16"/>
  <c r="AA48" i="16"/>
  <c r="X48" i="16"/>
  <c r="M48" i="16"/>
  <c r="N48" i="16" s="1"/>
  <c r="AI48" i="16"/>
  <c r="T48" i="16"/>
  <c r="K51" i="16" l="1"/>
  <c r="L50" i="16"/>
  <c r="U48" i="16"/>
  <c r="V48" i="16" s="1"/>
  <c r="AQ48" i="16"/>
  <c r="AR48" i="16" s="1"/>
  <c r="AB48" i="16"/>
  <c r="AC48" i="16" s="1"/>
  <c r="AJ48" i="16"/>
  <c r="AK48" i="16" s="1"/>
  <c r="AI49" i="16"/>
  <c r="T49" i="16"/>
  <c r="S49" i="16"/>
  <c r="AP49" i="16"/>
  <c r="AA49" i="16"/>
  <c r="X49" i="16"/>
  <c r="M49" i="16"/>
  <c r="N49" i="16" s="1"/>
  <c r="K52" i="16" l="1"/>
  <c r="L51" i="16"/>
  <c r="AQ49" i="16"/>
  <c r="AR49" i="16" s="1"/>
  <c r="AB49" i="16"/>
  <c r="AC49" i="16" s="1"/>
  <c r="AJ49" i="16"/>
  <c r="AK49" i="16" s="1"/>
  <c r="U49" i="16"/>
  <c r="V49" i="16" s="1"/>
  <c r="S50" i="16"/>
  <c r="AP50" i="16"/>
  <c r="AA50" i="16"/>
  <c r="X50" i="16"/>
  <c r="M50" i="16"/>
  <c r="N50" i="16" s="1"/>
  <c r="AI50" i="16"/>
  <c r="T50" i="16"/>
  <c r="K53" i="16" l="1"/>
  <c r="L52" i="16"/>
  <c r="U50" i="16"/>
  <c r="V50" i="16" s="1"/>
  <c r="AB50" i="16"/>
  <c r="AC50" i="16" s="1"/>
  <c r="AQ50" i="16"/>
  <c r="AR50" i="16" s="1"/>
  <c r="AJ50" i="16"/>
  <c r="AK50" i="16" s="1"/>
  <c r="AP51" i="16"/>
  <c r="AA51" i="16"/>
  <c r="X51" i="16"/>
  <c r="M51" i="16"/>
  <c r="N51" i="16" s="1"/>
  <c r="AI51" i="16"/>
  <c r="T51" i="16"/>
  <c r="S51" i="16"/>
  <c r="K54" i="16" l="1"/>
  <c r="L53" i="16"/>
  <c r="AQ51" i="16"/>
  <c r="AR51" i="16" s="1"/>
  <c r="AB51" i="16"/>
  <c r="AC51" i="16" s="1"/>
  <c r="U51" i="16"/>
  <c r="V51" i="16" s="1"/>
  <c r="AJ51" i="16"/>
  <c r="AK51" i="16" s="1"/>
  <c r="S52" i="16"/>
  <c r="AP52" i="16"/>
  <c r="AA52" i="16"/>
  <c r="X52" i="16"/>
  <c r="M52" i="16"/>
  <c r="N52" i="16" s="1"/>
  <c r="AI52" i="16"/>
  <c r="T52" i="16"/>
  <c r="K55" i="16" l="1"/>
  <c r="L54" i="16"/>
  <c r="U52" i="16"/>
  <c r="V52" i="16" s="1"/>
  <c r="AB52" i="16"/>
  <c r="AC52" i="16" s="1"/>
  <c r="AJ52" i="16"/>
  <c r="AK52" i="16" s="1"/>
  <c r="AQ52" i="16"/>
  <c r="AR52" i="16" s="1"/>
  <c r="AI53" i="16"/>
  <c r="T53" i="16"/>
  <c r="S53" i="16"/>
  <c r="AP53" i="16"/>
  <c r="AA53" i="16"/>
  <c r="X53" i="16"/>
  <c r="M53" i="16"/>
  <c r="N53" i="16" s="1"/>
  <c r="K56" i="16" l="1"/>
  <c r="L55" i="16"/>
  <c r="AQ53" i="16"/>
  <c r="AR53" i="16" s="1"/>
  <c r="AB53" i="16"/>
  <c r="AC53" i="16" s="1"/>
  <c r="U53" i="16"/>
  <c r="V53" i="16" s="1"/>
  <c r="AJ53" i="16"/>
  <c r="AK53" i="16" s="1"/>
  <c r="X54" i="16"/>
  <c r="M54" i="16"/>
  <c r="N54" i="16" s="1"/>
  <c r="AI54" i="16"/>
  <c r="T54" i="16"/>
  <c r="S54" i="16"/>
  <c r="AP54" i="16"/>
  <c r="AA54" i="16"/>
  <c r="K57" i="16" l="1"/>
  <c r="L56" i="16"/>
  <c r="AB54" i="16"/>
  <c r="AC54" i="16" s="1"/>
  <c r="U54" i="16"/>
  <c r="V54" i="16" s="1"/>
  <c r="AQ54" i="16"/>
  <c r="AR54" i="16" s="1"/>
  <c r="AJ54" i="16"/>
  <c r="AK54" i="16" s="1"/>
  <c r="AI55" i="16"/>
  <c r="T55" i="16"/>
  <c r="S55" i="16"/>
  <c r="AP55" i="16"/>
  <c r="AA55" i="16"/>
  <c r="X55" i="16"/>
  <c r="M55" i="16"/>
  <c r="N55" i="16" s="1"/>
  <c r="K58" i="16" l="1"/>
  <c r="L57" i="16"/>
  <c r="U55" i="16"/>
  <c r="V55" i="16" s="1"/>
  <c r="AB55" i="16"/>
  <c r="AC55" i="16" s="1"/>
  <c r="AQ55" i="16"/>
  <c r="AR55" i="16" s="1"/>
  <c r="AJ55" i="16"/>
  <c r="AK55" i="16" s="1"/>
  <c r="X56" i="16"/>
  <c r="M56" i="16"/>
  <c r="N56" i="16" s="1"/>
  <c r="AI56" i="16"/>
  <c r="T56" i="16"/>
  <c r="S56" i="16"/>
  <c r="AP56" i="16"/>
  <c r="AA56" i="16"/>
  <c r="K59" i="16" l="1"/>
  <c r="L58" i="16"/>
  <c r="AQ56" i="16"/>
  <c r="AR56" i="16" s="1"/>
  <c r="U56" i="16"/>
  <c r="V56" i="16" s="1"/>
  <c r="AB56" i="16"/>
  <c r="AC56" i="16" s="1"/>
  <c r="AJ56" i="16"/>
  <c r="AK56" i="16" s="1"/>
  <c r="AI57" i="16"/>
  <c r="T57" i="16"/>
  <c r="S57" i="16"/>
  <c r="AP57" i="16"/>
  <c r="AA57" i="16"/>
  <c r="X57" i="16"/>
  <c r="M57" i="16"/>
  <c r="N57" i="16" s="1"/>
  <c r="K60" i="16" l="1"/>
  <c r="L59" i="16"/>
  <c r="AB57" i="16"/>
  <c r="AC57" i="16" s="1"/>
  <c r="U57" i="16"/>
  <c r="V57" i="16" s="1"/>
  <c r="AQ57" i="16"/>
  <c r="AR57" i="16" s="1"/>
  <c r="AJ57" i="16"/>
  <c r="AK57" i="16" s="1"/>
  <c r="X58" i="16"/>
  <c r="M58" i="16"/>
  <c r="N58" i="16" s="1"/>
  <c r="AI58" i="16"/>
  <c r="T58" i="16"/>
  <c r="S58" i="16"/>
  <c r="AA58" i="16"/>
  <c r="AP58" i="16"/>
  <c r="K61" i="16" l="1"/>
  <c r="L60" i="16"/>
  <c r="AB58" i="16"/>
  <c r="AC58" i="16" s="1"/>
  <c r="AQ58" i="16"/>
  <c r="AR58" i="16" s="1"/>
  <c r="U58" i="16"/>
  <c r="V58" i="16" s="1"/>
  <c r="AJ58" i="16"/>
  <c r="AK58" i="16" s="1"/>
  <c r="AI59" i="16"/>
  <c r="T59" i="16"/>
  <c r="S59" i="16"/>
  <c r="AP59" i="16"/>
  <c r="AA59" i="16"/>
  <c r="M59" i="16"/>
  <c r="N59" i="16" s="1"/>
  <c r="X59" i="16"/>
  <c r="K62" i="16" l="1"/>
  <c r="L61" i="16"/>
  <c r="AB59" i="16"/>
  <c r="AC59" i="16" s="1"/>
  <c r="U59" i="16"/>
  <c r="V59" i="16" s="1"/>
  <c r="AQ59" i="16"/>
  <c r="AR59" i="16" s="1"/>
  <c r="AJ59" i="16"/>
  <c r="AK59" i="16" s="1"/>
  <c r="S60" i="16"/>
  <c r="AP60" i="16"/>
  <c r="AA60" i="16"/>
  <c r="X60" i="16"/>
  <c r="M60" i="16"/>
  <c r="N60" i="16" s="1"/>
  <c r="AI60" i="16"/>
  <c r="T60" i="16"/>
  <c r="K63" i="16" l="1"/>
  <c r="L62" i="16"/>
  <c r="U60" i="16"/>
  <c r="V60" i="16" s="1"/>
  <c r="AQ60" i="16"/>
  <c r="AR60" i="16" s="1"/>
  <c r="AJ60" i="16"/>
  <c r="AK60" i="16" s="1"/>
  <c r="AB60" i="16"/>
  <c r="AC60" i="16" s="1"/>
  <c r="AA61" i="16"/>
  <c r="AI61" i="16"/>
  <c r="T61" i="16"/>
  <c r="S61" i="16"/>
  <c r="AP61" i="16"/>
  <c r="X61" i="16"/>
  <c r="M61" i="16"/>
  <c r="N61" i="16" s="1"/>
  <c r="K64" i="16" l="1"/>
  <c r="L63" i="16"/>
  <c r="AQ61" i="16"/>
  <c r="AR61" i="16" s="1"/>
  <c r="AB61" i="16"/>
  <c r="AC61" i="16" s="1"/>
  <c r="U61" i="16"/>
  <c r="V61" i="16" s="1"/>
  <c r="AJ61" i="16"/>
  <c r="AK61" i="16" s="1"/>
  <c r="X62" i="16"/>
  <c r="M62" i="16"/>
  <c r="N62" i="16" s="1"/>
  <c r="AI62" i="16"/>
  <c r="T62" i="16"/>
  <c r="S62" i="16"/>
  <c r="AP62" i="16"/>
  <c r="AA62" i="16"/>
  <c r="K65" i="16" l="1"/>
  <c r="L64" i="16"/>
  <c r="U62" i="16"/>
  <c r="V62" i="16" s="1"/>
  <c r="AB62" i="16"/>
  <c r="AC62" i="16" s="1"/>
  <c r="AQ62" i="16"/>
  <c r="AR62" i="16" s="1"/>
  <c r="AJ62" i="16"/>
  <c r="AK62" i="16" s="1"/>
  <c r="AP63" i="16"/>
  <c r="AA63" i="16"/>
  <c r="X63" i="16"/>
  <c r="M63" i="16"/>
  <c r="N63" i="16" s="1"/>
  <c r="AI63" i="16"/>
  <c r="T63" i="16"/>
  <c r="S63" i="16"/>
  <c r="K66" i="16" l="1"/>
  <c r="L65" i="16"/>
  <c r="AB63" i="16"/>
  <c r="AC63" i="16" s="1"/>
  <c r="AQ63" i="16"/>
  <c r="AR63" i="16" s="1"/>
  <c r="U63" i="16"/>
  <c r="V63" i="16" s="1"/>
  <c r="AJ63" i="16"/>
  <c r="AK63" i="16" s="1"/>
  <c r="S64" i="16"/>
  <c r="AP64" i="16"/>
  <c r="AA64" i="16"/>
  <c r="X64" i="16"/>
  <c r="M64" i="16"/>
  <c r="N64" i="16" s="1"/>
  <c r="AI64" i="16"/>
  <c r="T64" i="16"/>
  <c r="K67" i="16" l="1"/>
  <c r="L66" i="16"/>
  <c r="U64" i="16"/>
  <c r="V64" i="16" s="1"/>
  <c r="AQ64" i="16"/>
  <c r="AR64" i="16" s="1"/>
  <c r="AJ64" i="16"/>
  <c r="AK64" i="16" s="1"/>
  <c r="AB64" i="16"/>
  <c r="AC64" i="16" s="1"/>
  <c r="AP65" i="16"/>
  <c r="AA65" i="16"/>
  <c r="X65" i="16"/>
  <c r="M65" i="16"/>
  <c r="N65" i="16" s="1"/>
  <c r="AI65" i="16"/>
  <c r="T65" i="16"/>
  <c r="S65" i="16"/>
  <c r="K68" i="16" l="1"/>
  <c r="L67" i="16"/>
  <c r="U65" i="16"/>
  <c r="V65" i="16" s="1"/>
  <c r="AB65" i="16"/>
  <c r="AC65" i="16" s="1"/>
  <c r="AQ65" i="16"/>
  <c r="AR65" i="16" s="1"/>
  <c r="AJ65" i="16"/>
  <c r="AK65" i="16" s="1"/>
  <c r="S66" i="16"/>
  <c r="AP66" i="16"/>
  <c r="AA66" i="16"/>
  <c r="X66" i="16"/>
  <c r="M66" i="16"/>
  <c r="N66" i="16" s="1"/>
  <c r="AI66" i="16"/>
  <c r="T66" i="16"/>
  <c r="K69" i="16" l="1"/>
  <c r="L68" i="16"/>
  <c r="AJ66" i="16"/>
  <c r="AK66" i="16" s="1"/>
  <c r="AB66" i="16"/>
  <c r="AC66" i="16" s="1"/>
  <c r="AQ66" i="16"/>
  <c r="AR66" i="16" s="1"/>
  <c r="U66" i="16"/>
  <c r="V66" i="16" s="1"/>
  <c r="AI67" i="16"/>
  <c r="T67" i="16"/>
  <c r="X67" i="16"/>
  <c r="M67" i="16"/>
  <c r="N67" i="16" s="1"/>
  <c r="AP67" i="16"/>
  <c r="AA67" i="16"/>
  <c r="S67" i="16"/>
  <c r="K70" i="16" l="1"/>
  <c r="L69" i="16"/>
  <c r="AJ67" i="16"/>
  <c r="AK67" i="16" s="1"/>
  <c r="AQ67" i="16"/>
  <c r="AR67" i="16" s="1"/>
  <c r="AB67" i="16"/>
  <c r="AC67" i="16" s="1"/>
  <c r="U67" i="16"/>
  <c r="V67" i="16" s="1"/>
  <c r="S68" i="16"/>
  <c r="AP68" i="16"/>
  <c r="AA68" i="16"/>
  <c r="X68" i="16"/>
  <c r="M68" i="16"/>
  <c r="N68" i="16" s="1"/>
  <c r="AI68" i="16"/>
  <c r="T68" i="16"/>
  <c r="K71" i="16" l="1"/>
  <c r="L70" i="16"/>
  <c r="U68" i="16"/>
  <c r="V68" i="16" s="1"/>
  <c r="AJ68" i="16"/>
  <c r="AK68" i="16" s="1"/>
  <c r="AQ68" i="16"/>
  <c r="AR68" i="16" s="1"/>
  <c r="AB68" i="16"/>
  <c r="AC68" i="16" s="1"/>
  <c r="AP69" i="16"/>
  <c r="AA69" i="16"/>
  <c r="S69" i="16"/>
  <c r="AI69" i="16"/>
  <c r="T69" i="16"/>
  <c r="X69" i="16"/>
  <c r="M69" i="16"/>
  <c r="N69" i="16" s="1"/>
  <c r="K72" i="16" l="1"/>
  <c r="L71" i="16"/>
  <c r="U69" i="16"/>
  <c r="V69" i="16" s="1"/>
  <c r="AJ69" i="16"/>
  <c r="AK69" i="16" s="1"/>
  <c r="AB69" i="16"/>
  <c r="AC69" i="16" s="1"/>
  <c r="AQ69" i="16"/>
  <c r="AR69" i="16" s="1"/>
  <c r="S70" i="16"/>
  <c r="AP70" i="16"/>
  <c r="AA70" i="16"/>
  <c r="X70" i="16"/>
  <c r="M70" i="16"/>
  <c r="N70" i="16" s="1"/>
  <c r="AI70" i="16"/>
  <c r="T70" i="16"/>
  <c r="K73" i="16" l="1"/>
  <c r="L72" i="16"/>
  <c r="AJ70" i="16"/>
  <c r="AK70" i="16" s="1"/>
  <c r="U70" i="16"/>
  <c r="V70" i="16" s="1"/>
  <c r="AB70" i="16"/>
  <c r="AC70" i="16" s="1"/>
  <c r="AQ70" i="16"/>
  <c r="AR70" i="16" s="1"/>
  <c r="AI71" i="16"/>
  <c r="T71" i="16"/>
  <c r="X71" i="16"/>
  <c r="M71" i="16"/>
  <c r="N71" i="16" s="1"/>
  <c r="AP71" i="16"/>
  <c r="AA71" i="16"/>
  <c r="S71" i="16"/>
  <c r="K74" i="16" l="1"/>
  <c r="L73" i="16"/>
  <c r="AJ71" i="16"/>
  <c r="AK71" i="16" s="1"/>
  <c r="U71" i="16"/>
  <c r="V71" i="16" s="1"/>
  <c r="AB71" i="16"/>
  <c r="AC71" i="16" s="1"/>
  <c r="AQ71" i="16"/>
  <c r="AR71" i="16" s="1"/>
  <c r="X72" i="16"/>
  <c r="M72" i="16"/>
  <c r="N72" i="16" s="1"/>
  <c r="AI72" i="16"/>
  <c r="T72" i="16"/>
  <c r="S72" i="16"/>
  <c r="AP72" i="16"/>
  <c r="AA72" i="16"/>
  <c r="K75" i="16" l="1"/>
  <c r="L74" i="16"/>
  <c r="AJ72" i="16"/>
  <c r="AK72" i="16" s="1"/>
  <c r="AB72" i="16"/>
  <c r="AC72" i="16" s="1"/>
  <c r="U72" i="16"/>
  <c r="V72" i="16" s="1"/>
  <c r="AQ72" i="16"/>
  <c r="AR72" i="16" s="1"/>
  <c r="AP73" i="16"/>
  <c r="AA73" i="16"/>
  <c r="S73" i="16"/>
  <c r="AI73" i="16"/>
  <c r="T73" i="16"/>
  <c r="X73" i="16"/>
  <c r="M73" i="16"/>
  <c r="N73" i="16" s="1"/>
  <c r="K76" i="16" l="1"/>
  <c r="L75" i="16"/>
  <c r="AJ73" i="16"/>
  <c r="AK73" i="16" s="1"/>
  <c r="AQ73" i="16"/>
  <c r="AR73" i="16" s="1"/>
  <c r="AB73" i="16"/>
  <c r="AC73" i="16" s="1"/>
  <c r="U73" i="16"/>
  <c r="V73" i="16" s="1"/>
  <c r="X74" i="16"/>
  <c r="M74" i="16"/>
  <c r="N74" i="16" s="1"/>
  <c r="AI74" i="16"/>
  <c r="T74" i="16"/>
  <c r="AP74" i="16"/>
  <c r="AA74" i="16"/>
  <c r="S74" i="16"/>
  <c r="K77" i="16" l="1"/>
  <c r="L76" i="16"/>
  <c r="AJ74" i="16"/>
  <c r="AK74" i="16" s="1"/>
  <c r="AB74" i="16"/>
  <c r="AC74" i="16" s="1"/>
  <c r="U74" i="16"/>
  <c r="V74" i="16" s="1"/>
  <c r="AQ74" i="16"/>
  <c r="AR74" i="16" s="1"/>
  <c r="AP75" i="16"/>
  <c r="AA75" i="16"/>
  <c r="S75" i="16"/>
  <c r="AI75" i="16"/>
  <c r="T75" i="16"/>
  <c r="X75" i="16"/>
  <c r="M75" i="16"/>
  <c r="N75" i="16" s="1"/>
  <c r="K78" i="16" l="1"/>
  <c r="L77" i="16"/>
  <c r="AJ75" i="16"/>
  <c r="AK75" i="16" s="1"/>
  <c r="AB75" i="16"/>
  <c r="AC75" i="16" s="1"/>
  <c r="U75" i="16"/>
  <c r="V75" i="16" s="1"/>
  <c r="AQ75" i="16"/>
  <c r="AR75" i="16" s="1"/>
  <c r="X76" i="16"/>
  <c r="M76" i="16"/>
  <c r="N76" i="16" s="1"/>
  <c r="AI76" i="16"/>
  <c r="T76" i="16"/>
  <c r="S76" i="16"/>
  <c r="AP76" i="16"/>
  <c r="AA76" i="16"/>
  <c r="K79" i="16" l="1"/>
  <c r="L78" i="16"/>
  <c r="AQ76" i="16"/>
  <c r="AR76" i="16" s="1"/>
  <c r="AJ76" i="16"/>
  <c r="AK76" i="16" s="1"/>
  <c r="U76" i="16"/>
  <c r="V76" i="16" s="1"/>
  <c r="AB76" i="16"/>
  <c r="AC76" i="16" s="1"/>
  <c r="AP77" i="16"/>
  <c r="AA77" i="16"/>
  <c r="S77" i="16"/>
  <c r="AI77" i="16"/>
  <c r="T77" i="16"/>
  <c r="M77" i="16"/>
  <c r="N77" i="16" s="1"/>
  <c r="X77" i="16"/>
  <c r="K80" i="16" l="1"/>
  <c r="L79" i="16"/>
  <c r="AJ77" i="16"/>
  <c r="AK77" i="16" s="1"/>
  <c r="AB77" i="16"/>
  <c r="AC77" i="16" s="1"/>
  <c r="U77" i="16"/>
  <c r="V77" i="16" s="1"/>
  <c r="AQ77" i="16"/>
  <c r="AR77" i="16" s="1"/>
  <c r="X78" i="16"/>
  <c r="M78" i="16"/>
  <c r="N78" i="16" s="1"/>
  <c r="AI78" i="16"/>
  <c r="T78" i="16"/>
  <c r="S78" i="16"/>
  <c r="AP78" i="16"/>
  <c r="AA78" i="16"/>
  <c r="K81" i="16" l="1"/>
  <c r="L80" i="16"/>
  <c r="AJ78" i="16"/>
  <c r="AK78" i="16" s="1"/>
  <c r="AQ78" i="16"/>
  <c r="AR78" i="16" s="1"/>
  <c r="AB78" i="16"/>
  <c r="AC78" i="16" s="1"/>
  <c r="U78" i="16"/>
  <c r="V78" i="16" s="1"/>
  <c r="AP79" i="16"/>
  <c r="AA79" i="16"/>
  <c r="S79" i="16"/>
  <c r="AI79" i="16"/>
  <c r="T79" i="16"/>
  <c r="M79" i="16"/>
  <c r="N79" i="16" s="1"/>
  <c r="X79" i="16"/>
  <c r="L81" i="16" l="1"/>
  <c r="K82" i="16"/>
  <c r="AQ79" i="16"/>
  <c r="AR79" i="16" s="1"/>
  <c r="AJ79" i="16"/>
  <c r="AK79" i="16" s="1"/>
  <c r="AB79" i="16"/>
  <c r="AC79" i="16" s="1"/>
  <c r="U79" i="16"/>
  <c r="V79" i="16" s="1"/>
  <c r="X80" i="16"/>
  <c r="M80" i="16"/>
  <c r="N80" i="16" s="1"/>
  <c r="AI80" i="16"/>
  <c r="T80" i="16"/>
  <c r="S80" i="16"/>
  <c r="AP80" i="16"/>
  <c r="AA80" i="16"/>
  <c r="K83" i="16" l="1"/>
  <c r="L82" i="16"/>
  <c r="U80" i="16"/>
  <c r="V80" i="16" s="1"/>
  <c r="AJ80" i="16"/>
  <c r="AK80" i="16" s="1"/>
  <c r="AQ80" i="16"/>
  <c r="AR80" i="16" s="1"/>
  <c r="AB80" i="16"/>
  <c r="AC80" i="16" s="1"/>
  <c r="AP81" i="16"/>
  <c r="AA81" i="16"/>
  <c r="S81" i="16"/>
  <c r="T81" i="16"/>
  <c r="X81" i="16"/>
  <c r="M81" i="16"/>
  <c r="N81" i="16" s="1"/>
  <c r="AI81" i="16"/>
  <c r="K84" i="16" l="1"/>
  <c r="L83" i="16"/>
  <c r="AJ81" i="16"/>
  <c r="AK81" i="16" s="1"/>
  <c r="AQ81" i="16"/>
  <c r="AR81" i="16" s="1"/>
  <c r="AB81" i="16"/>
  <c r="AC81" i="16" s="1"/>
  <c r="U81" i="16"/>
  <c r="V81" i="16" s="1"/>
  <c r="X82" i="16"/>
  <c r="M82" i="16"/>
  <c r="N82" i="16" s="1"/>
  <c r="AI82" i="16"/>
  <c r="T82" i="16"/>
  <c r="S82" i="16"/>
  <c r="AP82" i="16"/>
  <c r="AA82" i="16"/>
  <c r="K85" i="16" l="1"/>
  <c r="L84" i="16"/>
  <c r="AJ82" i="16"/>
  <c r="AK82" i="16" s="1"/>
  <c r="AQ82" i="16"/>
  <c r="AR82" i="16" s="1"/>
  <c r="AB82" i="16"/>
  <c r="AC82" i="16" s="1"/>
  <c r="U82" i="16"/>
  <c r="V82" i="16" s="1"/>
  <c r="AP83" i="16"/>
  <c r="AA83" i="16"/>
  <c r="S83" i="16"/>
  <c r="AI83" i="16"/>
  <c r="T83" i="16"/>
  <c r="X83" i="16"/>
  <c r="M83" i="16"/>
  <c r="N83" i="16" s="1"/>
  <c r="K86" i="16" l="1"/>
  <c r="L85" i="16"/>
  <c r="AJ83" i="16"/>
  <c r="AK83" i="16" s="1"/>
  <c r="AQ83" i="16"/>
  <c r="AR83" i="16" s="1"/>
  <c r="U83" i="16"/>
  <c r="V83" i="16" s="1"/>
  <c r="AB83" i="16"/>
  <c r="AC83" i="16" s="1"/>
  <c r="S84" i="16"/>
  <c r="AP84" i="16"/>
  <c r="AA84" i="16"/>
  <c r="X84" i="16"/>
  <c r="M84" i="16"/>
  <c r="N84" i="16" s="1"/>
  <c r="AI84" i="16"/>
  <c r="T84" i="16"/>
  <c r="L86" i="16" l="1"/>
  <c r="K87" i="16"/>
  <c r="U84" i="16"/>
  <c r="V84" i="16" s="1"/>
  <c r="AJ84" i="16"/>
  <c r="AK84" i="16" s="1"/>
  <c r="AB84" i="16"/>
  <c r="AC84" i="16" s="1"/>
  <c r="AQ84" i="16"/>
  <c r="AR84" i="16" s="1"/>
  <c r="AP85" i="16"/>
  <c r="AA85" i="16"/>
  <c r="S85" i="16"/>
  <c r="AI85" i="16"/>
  <c r="T85" i="16"/>
  <c r="X85" i="16"/>
  <c r="M85" i="16"/>
  <c r="N85" i="16" s="1"/>
  <c r="K88" i="16" l="1"/>
  <c r="L87" i="16"/>
  <c r="U85" i="16"/>
  <c r="V85" i="16" s="1"/>
  <c r="AJ85" i="16"/>
  <c r="AK85" i="16" s="1"/>
  <c r="AB85" i="16"/>
  <c r="AC85" i="16" s="1"/>
  <c r="AQ85" i="16"/>
  <c r="AR85" i="16" s="1"/>
  <c r="X86" i="16"/>
  <c r="M86" i="16"/>
  <c r="N86" i="16" s="1"/>
  <c r="AI86" i="16"/>
  <c r="T86" i="16"/>
  <c r="S86" i="16"/>
  <c r="AP86" i="16"/>
  <c r="AA86" i="16"/>
  <c r="K89" i="16" l="1"/>
  <c r="L88" i="16"/>
  <c r="AJ86" i="16"/>
  <c r="AK86" i="16" s="1"/>
  <c r="AQ86" i="16"/>
  <c r="AR86" i="16" s="1"/>
  <c r="U86" i="16"/>
  <c r="V86" i="16" s="1"/>
  <c r="AB86" i="16"/>
  <c r="AC86" i="16" s="1"/>
  <c r="AP87" i="16"/>
  <c r="AA87" i="16"/>
  <c r="S87" i="16"/>
  <c r="AI87" i="16"/>
  <c r="T87" i="16"/>
  <c r="X87" i="16"/>
  <c r="M87" i="16"/>
  <c r="N87" i="16" s="1"/>
  <c r="K90" i="16" l="1"/>
  <c r="L89" i="16"/>
  <c r="AJ87" i="16"/>
  <c r="AK87" i="16" s="1"/>
  <c r="AQ87" i="16"/>
  <c r="AR87" i="16" s="1"/>
  <c r="U87" i="16"/>
  <c r="V87" i="16" s="1"/>
  <c r="AB87" i="16"/>
  <c r="AC87" i="16" s="1"/>
  <c r="X88" i="16"/>
  <c r="M88" i="16"/>
  <c r="N88" i="16" s="1"/>
  <c r="AI88" i="16"/>
  <c r="T88" i="16"/>
  <c r="S88" i="16"/>
  <c r="AP88" i="16"/>
  <c r="AA88" i="16"/>
  <c r="K91" i="16" l="1"/>
  <c r="L90" i="16"/>
  <c r="AJ88" i="16"/>
  <c r="AK88" i="16" s="1"/>
  <c r="AQ88" i="16"/>
  <c r="AR88" i="16" s="1"/>
  <c r="U88" i="16"/>
  <c r="V88" i="16" s="1"/>
  <c r="AB88" i="16"/>
  <c r="AC88" i="16" s="1"/>
  <c r="AP89" i="16"/>
  <c r="AA89" i="16"/>
  <c r="S89" i="16"/>
  <c r="AI89" i="16"/>
  <c r="T89" i="16"/>
  <c r="M89" i="16"/>
  <c r="N89" i="16" s="1"/>
  <c r="X89" i="16"/>
  <c r="K92" i="16" l="1"/>
  <c r="L91" i="16"/>
  <c r="AJ89" i="16"/>
  <c r="AK89" i="16" s="1"/>
  <c r="AB89" i="16"/>
  <c r="AC89" i="16" s="1"/>
  <c r="AQ89" i="16"/>
  <c r="AR89" i="16" s="1"/>
  <c r="U89" i="16"/>
  <c r="V89" i="16" s="1"/>
  <c r="X90" i="16"/>
  <c r="M90" i="16"/>
  <c r="N90" i="16" s="1"/>
  <c r="AI90" i="16"/>
  <c r="T90" i="16"/>
  <c r="S90" i="16"/>
  <c r="AP90" i="16"/>
  <c r="AA90" i="16"/>
  <c r="L92" i="16" l="1"/>
  <c r="K93" i="16"/>
  <c r="U90" i="16"/>
  <c r="V90" i="16" s="1"/>
  <c r="AQ90" i="16"/>
  <c r="AR90" i="16" s="1"/>
  <c r="AB90" i="16"/>
  <c r="AC90" i="16" s="1"/>
  <c r="AJ90" i="16"/>
  <c r="AK90" i="16" s="1"/>
  <c r="AP91" i="16"/>
  <c r="AA91" i="16"/>
  <c r="S91" i="16"/>
  <c r="AI91" i="16"/>
  <c r="X91" i="16"/>
  <c r="M91" i="16"/>
  <c r="N91" i="16" s="1"/>
  <c r="T91" i="16"/>
  <c r="L93" i="16" l="1"/>
  <c r="K94" i="16"/>
  <c r="AJ91" i="16"/>
  <c r="AK91" i="16" s="1"/>
  <c r="AQ91" i="16"/>
  <c r="AR91" i="16" s="1"/>
  <c r="AB91" i="16"/>
  <c r="AC91" i="16" s="1"/>
  <c r="U91" i="16"/>
  <c r="V91" i="16" s="1"/>
  <c r="X92" i="16"/>
  <c r="M92" i="16"/>
  <c r="N92" i="16" s="1"/>
  <c r="AI92" i="16"/>
  <c r="T92" i="16"/>
  <c r="S92" i="16"/>
  <c r="AP92" i="16"/>
  <c r="AA92" i="16"/>
  <c r="K95" i="16" l="1"/>
  <c r="L94" i="16"/>
  <c r="AJ92" i="16"/>
  <c r="AK92" i="16" s="1"/>
  <c r="AQ92" i="16"/>
  <c r="AR92" i="16" s="1"/>
  <c r="U92" i="16"/>
  <c r="V92" i="16" s="1"/>
  <c r="AB92" i="16"/>
  <c r="AC92" i="16" s="1"/>
  <c r="AP93" i="16"/>
  <c r="AA93" i="16"/>
  <c r="S93" i="16"/>
  <c r="AI93" i="16"/>
  <c r="T93" i="16"/>
  <c r="X93" i="16"/>
  <c r="M93" i="16"/>
  <c r="N93" i="16" s="1"/>
  <c r="K96" i="16" l="1"/>
  <c r="L95" i="16"/>
  <c r="AJ93" i="16"/>
  <c r="AK93" i="16" s="1"/>
  <c r="AQ93" i="16"/>
  <c r="AR93" i="16" s="1"/>
  <c r="AB93" i="16"/>
  <c r="AC93" i="16" s="1"/>
  <c r="U93" i="16"/>
  <c r="V93" i="16" s="1"/>
  <c r="X94" i="16"/>
  <c r="M94" i="16"/>
  <c r="N94" i="16" s="1"/>
  <c r="AI94" i="16"/>
  <c r="T94" i="16"/>
  <c r="S94" i="16"/>
  <c r="AP94" i="16"/>
  <c r="AA94" i="16"/>
  <c r="K97" i="16" l="1"/>
  <c r="L96" i="16"/>
  <c r="AJ94" i="16"/>
  <c r="AK94" i="16" s="1"/>
  <c r="U94" i="16"/>
  <c r="V94" i="16" s="1"/>
  <c r="AB94" i="16"/>
  <c r="AC94" i="16" s="1"/>
  <c r="AQ94" i="16"/>
  <c r="AR94" i="16" s="1"/>
  <c r="AP95" i="16"/>
  <c r="AA95" i="16"/>
  <c r="S95" i="16"/>
  <c r="AI95" i="16"/>
  <c r="AJ95" i="16" s="1"/>
  <c r="AK95" i="16" s="1"/>
  <c r="T95" i="16"/>
  <c r="X95" i="16"/>
  <c r="M95" i="16"/>
  <c r="N95" i="16" s="1"/>
  <c r="K98" i="16" l="1"/>
  <c r="L97" i="16"/>
  <c r="AQ95" i="16"/>
  <c r="AR95" i="16" s="1"/>
  <c r="AB95" i="16"/>
  <c r="AC95" i="16" s="1"/>
  <c r="U95" i="16"/>
  <c r="V95" i="16" s="1"/>
  <c r="X96" i="16"/>
  <c r="M96" i="16"/>
  <c r="N96" i="16" s="1"/>
  <c r="AI96" i="16"/>
  <c r="T96" i="16"/>
  <c r="S96" i="16"/>
  <c r="AP96" i="16"/>
  <c r="AA96" i="16"/>
  <c r="K99" i="16" l="1"/>
  <c r="L98" i="16"/>
  <c r="AJ96" i="16"/>
  <c r="AK96" i="16" s="1"/>
  <c r="AQ96" i="16"/>
  <c r="AR96" i="16" s="1"/>
  <c r="AB96" i="16"/>
  <c r="AC96" i="16" s="1"/>
  <c r="U96" i="16"/>
  <c r="V96" i="16" s="1"/>
  <c r="AP97" i="16"/>
  <c r="AA97" i="16"/>
  <c r="S97" i="16"/>
  <c r="AI97" i="16"/>
  <c r="T97" i="16"/>
  <c r="X97" i="16"/>
  <c r="M97" i="16"/>
  <c r="N97" i="16" s="1"/>
  <c r="K100" i="16" l="1"/>
  <c r="L99" i="16"/>
  <c r="AJ97" i="16"/>
  <c r="AK97" i="16" s="1"/>
  <c r="AQ97" i="16"/>
  <c r="AR97" i="16" s="1"/>
  <c r="AB97" i="16"/>
  <c r="AC97" i="16" s="1"/>
  <c r="U97" i="16"/>
  <c r="V97" i="16" s="1"/>
  <c r="X98" i="16"/>
  <c r="M98" i="16"/>
  <c r="N98" i="16" s="1"/>
  <c r="AI98" i="16"/>
  <c r="AJ98" i="16" s="1"/>
  <c r="AK98" i="16" s="1"/>
  <c r="T98" i="16"/>
  <c r="S98" i="16"/>
  <c r="AP98" i="16"/>
  <c r="AA98" i="16"/>
  <c r="K101" i="16" l="1"/>
  <c r="L100" i="16"/>
  <c r="U98" i="16"/>
  <c r="V98" i="16" s="1"/>
  <c r="AB98" i="16"/>
  <c r="AC98" i="16" s="1"/>
  <c r="AQ98" i="16"/>
  <c r="AR98" i="16" s="1"/>
  <c r="AP99" i="16"/>
  <c r="AA99" i="16"/>
  <c r="S99" i="16"/>
  <c r="AI99" i="16"/>
  <c r="T99" i="16"/>
  <c r="X99" i="16"/>
  <c r="M99" i="16"/>
  <c r="N99" i="16" s="1"/>
  <c r="K102" i="16" l="1"/>
  <c r="L101" i="16"/>
  <c r="AJ99" i="16"/>
  <c r="AK99" i="16" s="1"/>
  <c r="AQ99" i="16"/>
  <c r="AR99" i="16" s="1"/>
  <c r="U99" i="16"/>
  <c r="V99" i="16" s="1"/>
  <c r="AB99" i="16"/>
  <c r="AC99" i="16" s="1"/>
  <c r="X100" i="16"/>
  <c r="M100" i="16"/>
  <c r="N100" i="16" s="1"/>
  <c r="AI100" i="16"/>
  <c r="T100" i="16"/>
  <c r="S100" i="16"/>
  <c r="AP100" i="16"/>
  <c r="AA100" i="16"/>
  <c r="K103" i="16" l="1"/>
  <c r="L102" i="16"/>
  <c r="AJ100" i="16"/>
  <c r="AK100" i="16" s="1"/>
  <c r="AB100" i="16"/>
  <c r="AC100" i="16" s="1"/>
  <c r="AQ100" i="16"/>
  <c r="AR100" i="16" s="1"/>
  <c r="U100" i="16"/>
  <c r="V100" i="16" s="1"/>
  <c r="AP101" i="16"/>
  <c r="AA101" i="16"/>
  <c r="S101" i="16"/>
  <c r="AI101" i="16"/>
  <c r="T101" i="16"/>
  <c r="X101" i="16"/>
  <c r="M101" i="16"/>
  <c r="N101" i="16" s="1"/>
  <c r="K104" i="16" l="1"/>
  <c r="L103" i="16"/>
  <c r="AJ101" i="16"/>
  <c r="AK101" i="16" s="1"/>
  <c r="U101" i="16"/>
  <c r="V101" i="16" s="1"/>
  <c r="AB101" i="16"/>
  <c r="AC101" i="16" s="1"/>
  <c r="AQ101" i="16"/>
  <c r="AR101" i="16" s="1"/>
  <c r="X102" i="16"/>
  <c r="M102" i="16"/>
  <c r="N102" i="16" s="1"/>
  <c r="AI102" i="16"/>
  <c r="T102" i="16"/>
  <c r="S102" i="16"/>
  <c r="AP102" i="16"/>
  <c r="AA102" i="16"/>
  <c r="K105" i="16" l="1"/>
  <c r="L104" i="16"/>
  <c r="AJ102" i="16"/>
  <c r="AK102" i="16" s="1"/>
  <c r="AQ102" i="16"/>
  <c r="AR102" i="16" s="1"/>
  <c r="AB102" i="16"/>
  <c r="AC102" i="16" s="1"/>
  <c r="U102" i="16"/>
  <c r="V102" i="16" s="1"/>
  <c r="AP103" i="16"/>
  <c r="AA103" i="16"/>
  <c r="S103" i="16"/>
  <c r="AI103" i="16"/>
  <c r="T103" i="16"/>
  <c r="X103" i="16"/>
  <c r="M103" i="16"/>
  <c r="N103" i="16" s="1"/>
  <c r="K106" i="16" l="1"/>
  <c r="L105" i="16"/>
  <c r="AQ103" i="16"/>
  <c r="AR103" i="16" s="1"/>
  <c r="AJ103" i="16"/>
  <c r="AK103" i="16" s="1"/>
  <c r="AB103" i="16"/>
  <c r="AC103" i="16" s="1"/>
  <c r="U103" i="16"/>
  <c r="V103" i="16" s="1"/>
  <c r="X104" i="16"/>
  <c r="M104" i="16"/>
  <c r="N104" i="16" s="1"/>
  <c r="AI104" i="16"/>
  <c r="T104" i="16"/>
  <c r="S104" i="16"/>
  <c r="AP104" i="16"/>
  <c r="AA104" i="16"/>
  <c r="K107" i="16" l="1"/>
  <c r="L106" i="16"/>
  <c r="AJ104" i="16"/>
  <c r="AK104" i="16" s="1"/>
  <c r="AQ104" i="16"/>
  <c r="AR104" i="16" s="1"/>
  <c r="U104" i="16"/>
  <c r="V104" i="16" s="1"/>
  <c r="AB104" i="16"/>
  <c r="AC104" i="16" s="1"/>
  <c r="AP105" i="16"/>
  <c r="AA105" i="16"/>
  <c r="S105" i="16"/>
  <c r="AI105" i="16"/>
  <c r="T105" i="16"/>
  <c r="X105" i="16"/>
  <c r="M105" i="16"/>
  <c r="N105" i="16" s="1"/>
  <c r="K108" i="16" l="1"/>
  <c r="L107" i="16"/>
  <c r="AJ105" i="16"/>
  <c r="AK105" i="16" s="1"/>
  <c r="AQ105" i="16"/>
  <c r="AR105" i="16" s="1"/>
  <c r="U105" i="16"/>
  <c r="V105" i="16" s="1"/>
  <c r="AB105" i="16"/>
  <c r="AC105" i="16" s="1"/>
  <c r="X106" i="16"/>
  <c r="M106" i="16"/>
  <c r="N106" i="16" s="1"/>
  <c r="AI106" i="16"/>
  <c r="T106" i="16"/>
  <c r="S106" i="16"/>
  <c r="AP106" i="16"/>
  <c r="AA106" i="16"/>
  <c r="K109" i="16" l="1"/>
  <c r="L108" i="16"/>
  <c r="AQ106" i="16"/>
  <c r="AR106" i="16" s="1"/>
  <c r="AJ106" i="16"/>
  <c r="AK106" i="16" s="1"/>
  <c r="U106" i="16"/>
  <c r="V106" i="16" s="1"/>
  <c r="AB106" i="16"/>
  <c r="AC106" i="16" s="1"/>
  <c r="AP107" i="16"/>
  <c r="AA107" i="16"/>
  <c r="S107" i="16"/>
  <c r="AI107" i="16"/>
  <c r="T107" i="16"/>
  <c r="X107" i="16"/>
  <c r="M107" i="16"/>
  <c r="N107" i="16" s="1"/>
  <c r="K110" i="16" l="1"/>
  <c r="L109" i="16"/>
  <c r="AJ107" i="16"/>
  <c r="AK107" i="16" s="1"/>
  <c r="AQ107" i="16"/>
  <c r="AR107" i="16" s="1"/>
  <c r="AB107" i="16"/>
  <c r="AC107" i="16" s="1"/>
  <c r="U107" i="16"/>
  <c r="V107" i="16" s="1"/>
  <c r="X108" i="16"/>
  <c r="M108" i="16"/>
  <c r="N108" i="16" s="1"/>
  <c r="AI108" i="16"/>
  <c r="T108" i="16"/>
  <c r="S108" i="16"/>
  <c r="AP108" i="16"/>
  <c r="AA108" i="16"/>
  <c r="K111" i="16" l="1"/>
  <c r="L110" i="16"/>
  <c r="AJ108" i="16"/>
  <c r="AK108" i="16" s="1"/>
  <c r="AQ108" i="16"/>
  <c r="AR108" i="16" s="1"/>
  <c r="AB108" i="16"/>
  <c r="AC108" i="16" s="1"/>
  <c r="U108" i="16"/>
  <c r="V108" i="16" s="1"/>
  <c r="AP109" i="16"/>
  <c r="AA109" i="16"/>
  <c r="S109" i="16"/>
  <c r="AI109" i="16"/>
  <c r="T109" i="16"/>
  <c r="X109" i="16"/>
  <c r="M109" i="16"/>
  <c r="N109" i="16" s="1"/>
  <c r="K112" i="16" l="1"/>
  <c r="L111" i="16"/>
  <c r="AJ109" i="16"/>
  <c r="AK109" i="16" s="1"/>
  <c r="AB109" i="16"/>
  <c r="AC109" i="16" s="1"/>
  <c r="AQ109" i="16"/>
  <c r="AR109" i="16" s="1"/>
  <c r="U109" i="16"/>
  <c r="V109" i="16" s="1"/>
  <c r="X110" i="16"/>
  <c r="M110" i="16"/>
  <c r="N110" i="16" s="1"/>
  <c r="AI110" i="16"/>
  <c r="T110" i="16"/>
  <c r="S110" i="16"/>
  <c r="AP110" i="16"/>
  <c r="AA110" i="16"/>
  <c r="K113" i="16" l="1"/>
  <c r="L112" i="16"/>
  <c r="AJ110" i="16"/>
  <c r="AK110" i="16" s="1"/>
  <c r="AQ110" i="16"/>
  <c r="AR110" i="16" s="1"/>
  <c r="AB110" i="16"/>
  <c r="AC110" i="16" s="1"/>
  <c r="U110" i="16"/>
  <c r="V110" i="16" s="1"/>
  <c r="AP111" i="16"/>
  <c r="AA111" i="16"/>
  <c r="S111" i="16"/>
  <c r="AI111" i="16"/>
  <c r="T111" i="16"/>
  <c r="X111" i="16"/>
  <c r="M111" i="16"/>
  <c r="N111" i="16" s="1"/>
  <c r="K114" i="16" l="1"/>
  <c r="L113" i="16"/>
  <c r="AJ111" i="16"/>
  <c r="AK111" i="16" s="1"/>
  <c r="U111" i="16"/>
  <c r="V111" i="16" s="1"/>
  <c r="AB111" i="16"/>
  <c r="AC111" i="16" s="1"/>
  <c r="AQ111" i="16"/>
  <c r="AR111" i="16" s="1"/>
  <c r="X112" i="16"/>
  <c r="M112" i="16"/>
  <c r="N112" i="16" s="1"/>
  <c r="AI112" i="16"/>
  <c r="T112" i="16"/>
  <c r="S112" i="16"/>
  <c r="AP112" i="16"/>
  <c r="AA112" i="16"/>
  <c r="K115" i="16" l="1"/>
  <c r="L114" i="16"/>
  <c r="AJ112" i="16"/>
  <c r="AK112" i="16" s="1"/>
  <c r="AQ112" i="16"/>
  <c r="AR112" i="16" s="1"/>
  <c r="U112" i="16"/>
  <c r="V112" i="16" s="1"/>
  <c r="AB112" i="16"/>
  <c r="AC112" i="16" s="1"/>
  <c r="AP113" i="16"/>
  <c r="AA113" i="16"/>
  <c r="S113" i="16"/>
  <c r="AI113" i="16"/>
  <c r="T113" i="16"/>
  <c r="X113" i="16"/>
  <c r="M113" i="16"/>
  <c r="N113" i="16" s="1"/>
  <c r="K116" i="16" l="1"/>
  <c r="L115" i="16"/>
  <c r="AJ113" i="16"/>
  <c r="AK113" i="16" s="1"/>
  <c r="AB113" i="16"/>
  <c r="AC113" i="16" s="1"/>
  <c r="AQ113" i="16"/>
  <c r="AR113" i="16" s="1"/>
  <c r="U113" i="16"/>
  <c r="V113" i="16" s="1"/>
  <c r="X114" i="16"/>
  <c r="M114" i="16"/>
  <c r="N114" i="16" s="1"/>
  <c r="AI114" i="16"/>
  <c r="T114" i="16"/>
  <c r="S114" i="16"/>
  <c r="AP114" i="16"/>
  <c r="AA114" i="16"/>
  <c r="K117" i="16" l="1"/>
  <c r="L116" i="16"/>
  <c r="AJ114" i="16"/>
  <c r="AK114" i="16" s="1"/>
  <c r="AQ114" i="16"/>
  <c r="AR114" i="16" s="1"/>
  <c r="AB114" i="16"/>
  <c r="AC114" i="16" s="1"/>
  <c r="U114" i="16"/>
  <c r="V114" i="16" s="1"/>
  <c r="AP115" i="16"/>
  <c r="AA115" i="16"/>
  <c r="S115" i="16"/>
  <c r="AI115" i="16"/>
  <c r="T115" i="16"/>
  <c r="X115" i="16"/>
  <c r="M115" i="16"/>
  <c r="N115" i="16" s="1"/>
  <c r="K118" i="16" l="1"/>
  <c r="L117" i="16"/>
  <c r="AJ115" i="16"/>
  <c r="AK115" i="16" s="1"/>
  <c r="AQ115" i="16"/>
  <c r="AR115" i="16" s="1"/>
  <c r="AB115" i="16"/>
  <c r="AC115" i="16" s="1"/>
  <c r="U115" i="16"/>
  <c r="V115" i="16" s="1"/>
  <c r="X116" i="16"/>
  <c r="M116" i="16"/>
  <c r="N116" i="16" s="1"/>
  <c r="AI116" i="16"/>
  <c r="T116" i="16"/>
  <c r="S116" i="16"/>
  <c r="AP116" i="16"/>
  <c r="AA116" i="16"/>
  <c r="K119" i="16" l="1"/>
  <c r="L118" i="16"/>
  <c r="AQ116" i="16"/>
  <c r="AR116" i="16" s="1"/>
  <c r="AJ116" i="16"/>
  <c r="AK116" i="16" s="1"/>
  <c r="U116" i="16"/>
  <c r="V116" i="16" s="1"/>
  <c r="AB116" i="16"/>
  <c r="AC116" i="16" s="1"/>
  <c r="AP117" i="16"/>
  <c r="AA117" i="16"/>
  <c r="S117" i="16"/>
  <c r="AI117" i="16"/>
  <c r="T117" i="16"/>
  <c r="X117" i="16"/>
  <c r="M117" i="16"/>
  <c r="N117" i="16" s="1"/>
  <c r="K120" i="16" l="1"/>
  <c r="L119" i="16"/>
  <c r="AQ117" i="16"/>
  <c r="AR117" i="16" s="1"/>
  <c r="AJ117" i="16"/>
  <c r="AK117" i="16" s="1"/>
  <c r="U117" i="16"/>
  <c r="V117" i="16" s="1"/>
  <c r="AB117" i="16"/>
  <c r="AC117" i="16" s="1"/>
  <c r="AP118" i="16"/>
  <c r="AA118" i="16"/>
  <c r="X118" i="16"/>
  <c r="M118" i="16"/>
  <c r="N118" i="16" s="1"/>
  <c r="AI118" i="16"/>
  <c r="T118" i="16"/>
  <c r="S118" i="16"/>
  <c r="K121" i="16" l="1"/>
  <c r="L120" i="16"/>
  <c r="AJ118" i="16"/>
  <c r="AK118" i="16" s="1"/>
  <c r="AQ118" i="16"/>
  <c r="AR118" i="16" s="1"/>
  <c r="U118" i="16"/>
  <c r="V118" i="16" s="1"/>
  <c r="AB118" i="16"/>
  <c r="AC118" i="16" s="1"/>
  <c r="X119" i="16"/>
  <c r="M119" i="16"/>
  <c r="N119" i="16" s="1"/>
  <c r="T119" i="16"/>
  <c r="AA119" i="16"/>
  <c r="S119" i="16"/>
  <c r="AP119" i="16"/>
  <c r="AI119" i="16"/>
  <c r="K122" i="16" l="1"/>
  <c r="L121" i="16"/>
  <c r="AJ119" i="16"/>
  <c r="AK119" i="16" s="1"/>
  <c r="AQ119" i="16"/>
  <c r="AR119" i="16" s="1"/>
  <c r="AB119" i="16"/>
  <c r="AC119" i="16" s="1"/>
  <c r="U119" i="16"/>
  <c r="V119" i="16" s="1"/>
  <c r="AP120" i="16"/>
  <c r="AA120" i="16"/>
  <c r="S120" i="16"/>
  <c r="AI120" i="16"/>
  <c r="T120" i="16"/>
  <c r="X120" i="16"/>
  <c r="M120" i="16"/>
  <c r="N120" i="16" s="1"/>
  <c r="K123" i="16" l="1"/>
  <c r="L122" i="16"/>
  <c r="AJ120" i="16"/>
  <c r="AK120" i="16" s="1"/>
  <c r="AQ120" i="16"/>
  <c r="AR120" i="16" s="1"/>
  <c r="U120" i="16"/>
  <c r="V120" i="16" s="1"/>
  <c r="AB120" i="16"/>
  <c r="AC120" i="16" s="1"/>
  <c r="X121" i="16"/>
  <c r="M121" i="16"/>
  <c r="N121" i="16" s="1"/>
  <c r="T121" i="16"/>
  <c r="AA121" i="16"/>
  <c r="S121" i="16"/>
  <c r="AP121" i="16"/>
  <c r="AI121" i="16"/>
  <c r="K124" i="16" l="1"/>
  <c r="L123" i="16"/>
  <c r="AJ121" i="16"/>
  <c r="AK121" i="16" s="1"/>
  <c r="AQ121" i="16"/>
  <c r="AR121" i="16" s="1"/>
  <c r="AB121" i="16"/>
  <c r="AC121" i="16" s="1"/>
  <c r="U121" i="16"/>
  <c r="V121" i="16" s="1"/>
  <c r="AI122" i="16"/>
  <c r="T122" i="16"/>
  <c r="X122" i="16"/>
  <c r="M122" i="16"/>
  <c r="N122" i="16" s="1"/>
  <c r="AP122" i="16"/>
  <c r="AA122" i="16"/>
  <c r="S122" i="16"/>
  <c r="K125" i="16" l="1"/>
  <c r="L124" i="16"/>
  <c r="AB122" i="16"/>
  <c r="AC122" i="16" s="1"/>
  <c r="AJ122" i="16"/>
  <c r="AK122" i="16" s="1"/>
  <c r="AQ122" i="16"/>
  <c r="AR122" i="16" s="1"/>
  <c r="U122" i="16"/>
  <c r="V122" i="16" s="1"/>
  <c r="X123" i="16"/>
  <c r="M123" i="16"/>
  <c r="N123" i="16" s="1"/>
  <c r="T123" i="16"/>
  <c r="AA123" i="16"/>
  <c r="S123" i="16"/>
  <c r="AP123" i="16"/>
  <c r="AI123" i="16"/>
  <c r="K126" i="16" l="1"/>
  <c r="L125" i="16"/>
  <c r="AJ123" i="16"/>
  <c r="AK123" i="16" s="1"/>
  <c r="AQ123" i="16"/>
  <c r="AR123" i="16" s="1"/>
  <c r="AB123" i="16"/>
  <c r="AC123" i="16" s="1"/>
  <c r="U123" i="16"/>
  <c r="V123" i="16" s="1"/>
  <c r="AI124" i="16"/>
  <c r="T124" i="16"/>
  <c r="X124" i="16"/>
  <c r="M124" i="16"/>
  <c r="N124" i="16" s="1"/>
  <c r="AP124" i="16"/>
  <c r="AA124" i="16"/>
  <c r="S124" i="16"/>
  <c r="K127" i="16" l="1"/>
  <c r="L126" i="16"/>
  <c r="AJ124" i="16"/>
  <c r="AK124" i="16" s="1"/>
  <c r="AQ124" i="16"/>
  <c r="AR124" i="16" s="1"/>
  <c r="AB124" i="16"/>
  <c r="AC124" i="16" s="1"/>
  <c r="U124" i="16"/>
  <c r="V124" i="16" s="1"/>
  <c r="X125" i="16"/>
  <c r="M125" i="16"/>
  <c r="N125" i="16" s="1"/>
  <c r="AI125" i="16"/>
  <c r="T125" i="16"/>
  <c r="S125" i="16"/>
  <c r="AP125" i="16"/>
  <c r="AA125" i="16"/>
  <c r="K128" i="16" l="1"/>
  <c r="L127" i="16"/>
  <c r="AQ125" i="16"/>
  <c r="AR125" i="16" s="1"/>
  <c r="U125" i="16"/>
  <c r="V125" i="16" s="1"/>
  <c r="AB125" i="16"/>
  <c r="AC125" i="16" s="1"/>
  <c r="AJ125" i="16"/>
  <c r="AK125" i="16" s="1"/>
  <c r="AI126" i="16"/>
  <c r="T126" i="16"/>
  <c r="X126" i="16"/>
  <c r="M126" i="16"/>
  <c r="N126" i="16" s="1"/>
  <c r="AP126" i="16"/>
  <c r="AA126" i="16"/>
  <c r="S126" i="16"/>
  <c r="K129" i="16" l="1"/>
  <c r="L128" i="16"/>
  <c r="AQ126" i="16"/>
  <c r="AR126" i="16" s="1"/>
  <c r="AJ126" i="16"/>
  <c r="AK126" i="16" s="1"/>
  <c r="AB126" i="16"/>
  <c r="AC126" i="16" s="1"/>
  <c r="U126" i="16"/>
  <c r="V126" i="16" s="1"/>
  <c r="X127" i="16"/>
  <c r="M127" i="16"/>
  <c r="N127" i="16" s="1"/>
  <c r="AI127" i="16"/>
  <c r="T127" i="16"/>
  <c r="S127" i="16"/>
  <c r="AP127" i="16"/>
  <c r="AA127" i="16"/>
  <c r="K130" i="16" l="1"/>
  <c r="L129" i="16"/>
  <c r="AQ127" i="16"/>
  <c r="AR127" i="16" s="1"/>
  <c r="AJ127" i="16"/>
  <c r="AK127" i="16" s="1"/>
  <c r="U127" i="16"/>
  <c r="V127" i="16" s="1"/>
  <c r="AB127" i="16"/>
  <c r="AC127" i="16" s="1"/>
  <c r="AP128" i="16"/>
  <c r="AA128" i="16"/>
  <c r="S128" i="16"/>
  <c r="AI128" i="16"/>
  <c r="T128" i="16"/>
  <c r="X128" i="16"/>
  <c r="M128" i="16"/>
  <c r="N128" i="16" s="1"/>
  <c r="K131" i="16" l="1"/>
  <c r="L130" i="16"/>
  <c r="AJ128" i="16"/>
  <c r="AK128" i="16" s="1"/>
  <c r="AQ128" i="16"/>
  <c r="AR128" i="16" s="1"/>
  <c r="AB128" i="16"/>
  <c r="AC128" i="16" s="1"/>
  <c r="U128" i="16"/>
  <c r="V128" i="16" s="1"/>
  <c r="X129" i="16"/>
  <c r="M129" i="16"/>
  <c r="N129" i="16" s="1"/>
  <c r="AI129" i="16"/>
  <c r="T129" i="16"/>
  <c r="S129" i="16"/>
  <c r="AP129" i="16"/>
  <c r="AA129" i="16"/>
  <c r="K132" i="16" l="1"/>
  <c r="L131" i="16"/>
  <c r="AJ129" i="16"/>
  <c r="AK129" i="16" s="1"/>
  <c r="AQ129" i="16"/>
  <c r="AR129" i="16" s="1"/>
  <c r="AB129" i="16"/>
  <c r="AC129" i="16" s="1"/>
  <c r="U129" i="16"/>
  <c r="V129" i="16" s="1"/>
  <c r="AP130" i="16"/>
  <c r="AA130" i="16"/>
  <c r="S130" i="16"/>
  <c r="AI130" i="16"/>
  <c r="T130" i="16"/>
  <c r="X130" i="16"/>
  <c r="M130" i="16"/>
  <c r="N130" i="16" s="1"/>
  <c r="K133" i="16" l="1"/>
  <c r="L132" i="16"/>
  <c r="AJ130" i="16"/>
  <c r="AK130" i="16" s="1"/>
  <c r="AQ130" i="16"/>
  <c r="AR130" i="16" s="1"/>
  <c r="U130" i="16"/>
  <c r="V130" i="16" s="1"/>
  <c r="AB130" i="16"/>
  <c r="AC130" i="16" s="1"/>
  <c r="X131" i="16"/>
  <c r="M131" i="16"/>
  <c r="N131" i="16" s="1"/>
  <c r="AI131" i="16"/>
  <c r="T131" i="16"/>
  <c r="S131" i="16"/>
  <c r="AP131" i="16"/>
  <c r="AA131" i="16"/>
  <c r="K134" i="16" l="1"/>
  <c r="L133" i="16"/>
  <c r="AJ131" i="16"/>
  <c r="AK131" i="16" s="1"/>
  <c r="AQ131" i="16"/>
  <c r="AR131" i="16" s="1"/>
  <c r="U131" i="16"/>
  <c r="V131" i="16" s="1"/>
  <c r="AB131" i="16"/>
  <c r="AC131" i="16" s="1"/>
  <c r="AP132" i="16"/>
  <c r="AA132" i="16"/>
  <c r="S132" i="16"/>
  <c r="AI132" i="16"/>
  <c r="T132" i="16"/>
  <c r="X132" i="16"/>
  <c r="M132" i="16"/>
  <c r="N132" i="16" s="1"/>
  <c r="K135" i="16" l="1"/>
  <c r="L134" i="16"/>
  <c r="AJ132" i="16"/>
  <c r="AK132" i="16" s="1"/>
  <c r="U132" i="16"/>
  <c r="V132" i="16" s="1"/>
  <c r="AQ132" i="16"/>
  <c r="AR132" i="16" s="1"/>
  <c r="AB132" i="16"/>
  <c r="AC132" i="16" s="1"/>
  <c r="X133" i="16"/>
  <c r="M133" i="16"/>
  <c r="N133" i="16" s="1"/>
  <c r="AI133" i="16"/>
  <c r="T133" i="16"/>
  <c r="S133" i="16"/>
  <c r="AP133" i="16"/>
  <c r="AA133" i="16"/>
  <c r="K136" i="16" l="1"/>
  <c r="L135" i="16"/>
  <c r="AJ133" i="16"/>
  <c r="AK133" i="16" s="1"/>
  <c r="U133" i="16"/>
  <c r="V133" i="16" s="1"/>
  <c r="AB133" i="16"/>
  <c r="AC133" i="16" s="1"/>
  <c r="AQ133" i="16"/>
  <c r="AR133" i="16" s="1"/>
  <c r="AP134" i="16"/>
  <c r="AA134" i="16"/>
  <c r="S134" i="16"/>
  <c r="AI134" i="16"/>
  <c r="T134" i="16"/>
  <c r="X134" i="16"/>
  <c r="M134" i="16"/>
  <c r="N134" i="16" s="1"/>
  <c r="K137" i="16" l="1"/>
  <c r="L136" i="16"/>
  <c r="AJ134" i="16"/>
  <c r="AK134" i="16" s="1"/>
  <c r="AQ134" i="16"/>
  <c r="AR134" i="16" s="1"/>
  <c r="AB134" i="16"/>
  <c r="AC134" i="16" s="1"/>
  <c r="U134" i="16"/>
  <c r="V134" i="16" s="1"/>
  <c r="X135" i="16"/>
  <c r="M135" i="16"/>
  <c r="N135" i="16" s="1"/>
  <c r="AI135" i="16"/>
  <c r="T135" i="16"/>
  <c r="S135" i="16"/>
  <c r="AP135" i="16"/>
  <c r="AA135" i="16"/>
  <c r="K138" i="16" l="1"/>
  <c r="L137" i="16"/>
  <c r="AQ135" i="16"/>
  <c r="AR135" i="16" s="1"/>
  <c r="AJ135" i="16"/>
  <c r="AK135" i="16" s="1"/>
  <c r="AB135" i="16"/>
  <c r="AC135" i="16" s="1"/>
  <c r="U135" i="16"/>
  <c r="V135" i="16" s="1"/>
  <c r="AP136" i="16"/>
  <c r="AA136" i="16"/>
  <c r="S136" i="16"/>
  <c r="AI136" i="16"/>
  <c r="T136" i="16"/>
  <c r="X136" i="16"/>
  <c r="M136" i="16"/>
  <c r="N136" i="16" s="1"/>
  <c r="K139" i="16" l="1"/>
  <c r="L138" i="16"/>
  <c r="AJ136" i="16"/>
  <c r="AK136" i="16" s="1"/>
  <c r="AQ136" i="16"/>
  <c r="AR136" i="16" s="1"/>
  <c r="U136" i="16"/>
  <c r="V136" i="16" s="1"/>
  <c r="AB136" i="16"/>
  <c r="AC136" i="16" s="1"/>
  <c r="X137" i="16"/>
  <c r="M137" i="16"/>
  <c r="N137" i="16" s="1"/>
  <c r="AI137" i="16"/>
  <c r="T137" i="16"/>
  <c r="S137" i="16"/>
  <c r="AP137" i="16"/>
  <c r="AA137" i="16"/>
  <c r="K140" i="16" l="1"/>
  <c r="L139" i="16"/>
  <c r="AJ137" i="16"/>
  <c r="AK137" i="16" s="1"/>
  <c r="AQ137" i="16"/>
  <c r="AR137" i="16" s="1"/>
  <c r="AB137" i="16"/>
  <c r="AC137" i="16" s="1"/>
  <c r="U137" i="16"/>
  <c r="V137" i="16" s="1"/>
  <c r="AP138" i="16"/>
  <c r="AA138" i="16"/>
  <c r="S138" i="16"/>
  <c r="AI138" i="16"/>
  <c r="T138" i="16"/>
  <c r="X138" i="16"/>
  <c r="M138" i="16"/>
  <c r="N138" i="16" s="1"/>
  <c r="K141" i="16" l="1"/>
  <c r="L140" i="16"/>
  <c r="AJ138" i="16"/>
  <c r="AK138" i="16" s="1"/>
  <c r="AQ138" i="16"/>
  <c r="AR138" i="16" s="1"/>
  <c r="U138" i="16"/>
  <c r="V138" i="16" s="1"/>
  <c r="AB138" i="16"/>
  <c r="AC138" i="16" s="1"/>
  <c r="X139" i="16"/>
  <c r="M139" i="16"/>
  <c r="N139" i="16" s="1"/>
  <c r="AI139" i="16"/>
  <c r="T139" i="16"/>
  <c r="S139" i="16"/>
  <c r="AP139" i="16"/>
  <c r="AA139" i="16"/>
  <c r="K142" i="16" l="1"/>
  <c r="L141" i="16"/>
  <c r="AJ139" i="16"/>
  <c r="AK139" i="16" s="1"/>
  <c r="AQ139" i="16"/>
  <c r="AR139" i="16" s="1"/>
  <c r="U139" i="16"/>
  <c r="V139" i="16" s="1"/>
  <c r="AB139" i="16"/>
  <c r="AC139" i="16" s="1"/>
  <c r="AP140" i="16"/>
  <c r="AA140" i="16"/>
  <c r="S140" i="16"/>
  <c r="AI140" i="16"/>
  <c r="T140" i="16"/>
  <c r="X140" i="16"/>
  <c r="M140" i="16"/>
  <c r="N140" i="16" s="1"/>
  <c r="K143" i="16" l="1"/>
  <c r="L142" i="16"/>
  <c r="AJ140" i="16"/>
  <c r="AK140" i="16" s="1"/>
  <c r="AQ140" i="16"/>
  <c r="AR140" i="16" s="1"/>
  <c r="AB140" i="16"/>
  <c r="AC140" i="16" s="1"/>
  <c r="U140" i="16"/>
  <c r="V140" i="16" s="1"/>
  <c r="X141" i="16"/>
  <c r="M141" i="16"/>
  <c r="N141" i="16" s="1"/>
  <c r="AI141" i="16"/>
  <c r="T141" i="16"/>
  <c r="S141" i="16"/>
  <c r="AP141" i="16"/>
  <c r="AA141" i="16"/>
  <c r="K144" i="16" l="1"/>
  <c r="L143" i="16"/>
  <c r="AJ141" i="16"/>
  <c r="AK141" i="16" s="1"/>
  <c r="U141" i="16"/>
  <c r="V141" i="16" s="1"/>
  <c r="AB141" i="16"/>
  <c r="AC141" i="16" s="1"/>
  <c r="AQ141" i="16"/>
  <c r="AR141" i="16" s="1"/>
  <c r="AP142" i="16"/>
  <c r="AA142" i="16"/>
  <c r="S142" i="16"/>
  <c r="AI142" i="16"/>
  <c r="T142" i="16"/>
  <c r="X142" i="16"/>
  <c r="M142" i="16"/>
  <c r="N142" i="16" s="1"/>
  <c r="K145" i="16" l="1"/>
  <c r="L144" i="16"/>
  <c r="AJ142" i="16"/>
  <c r="AK142" i="16" s="1"/>
  <c r="AQ142" i="16"/>
  <c r="AR142" i="16" s="1"/>
  <c r="AB142" i="16"/>
  <c r="AC142" i="16" s="1"/>
  <c r="U142" i="16"/>
  <c r="V142" i="16" s="1"/>
  <c r="X143" i="16"/>
  <c r="M143" i="16"/>
  <c r="N143" i="16" s="1"/>
  <c r="AI143" i="16"/>
  <c r="T143" i="16"/>
  <c r="S143" i="16"/>
  <c r="AP143" i="16"/>
  <c r="AA143" i="16"/>
  <c r="K146" i="16" l="1"/>
  <c r="L145" i="16"/>
  <c r="AQ143" i="16"/>
  <c r="AR143" i="16" s="1"/>
  <c r="U143" i="16"/>
  <c r="V143" i="16" s="1"/>
  <c r="AJ143" i="16"/>
  <c r="AK143" i="16" s="1"/>
  <c r="AB143" i="16"/>
  <c r="AC143" i="16" s="1"/>
  <c r="AP144" i="16"/>
  <c r="AA144" i="16"/>
  <c r="S144" i="16"/>
  <c r="AI144" i="16"/>
  <c r="T144" i="16"/>
  <c r="X144" i="16"/>
  <c r="M144" i="16"/>
  <c r="N144" i="16" s="1"/>
  <c r="K147" i="16" l="1"/>
  <c r="L146" i="16"/>
  <c r="AJ144" i="16"/>
  <c r="AK144" i="16" s="1"/>
  <c r="U144" i="16"/>
  <c r="V144" i="16" s="1"/>
  <c r="AB144" i="16"/>
  <c r="AC144" i="16" s="1"/>
  <c r="AQ144" i="16"/>
  <c r="AR144" i="16" s="1"/>
  <c r="X145" i="16"/>
  <c r="M145" i="16"/>
  <c r="N145" i="16" s="1"/>
  <c r="AI145" i="16"/>
  <c r="T145" i="16"/>
  <c r="S145" i="16"/>
  <c r="AP145" i="16"/>
  <c r="AA145" i="16"/>
  <c r="L147" i="16" l="1"/>
  <c r="K148" i="16"/>
  <c r="U145" i="16"/>
  <c r="V145" i="16" s="1"/>
  <c r="AJ145" i="16"/>
  <c r="AK145" i="16" s="1"/>
  <c r="AQ145" i="16"/>
  <c r="AR145" i="16" s="1"/>
  <c r="AB145" i="16"/>
  <c r="AC145" i="16" s="1"/>
  <c r="AP146" i="16"/>
  <c r="AA146" i="16"/>
  <c r="S146" i="16"/>
  <c r="AI146" i="16"/>
  <c r="T146" i="16"/>
  <c r="X146" i="16"/>
  <c r="M146" i="16"/>
  <c r="N146" i="16" s="1"/>
  <c r="L148" i="16" l="1"/>
  <c r="K149" i="16"/>
  <c r="AJ146" i="16"/>
  <c r="AK146" i="16" s="1"/>
  <c r="AB146" i="16"/>
  <c r="AC146" i="16" s="1"/>
  <c r="AQ146" i="16"/>
  <c r="AR146" i="16" s="1"/>
  <c r="U146" i="16"/>
  <c r="V146" i="16" s="1"/>
  <c r="X147" i="16"/>
  <c r="M147" i="16"/>
  <c r="N147" i="16" s="1"/>
  <c r="AI147" i="16"/>
  <c r="T147" i="16"/>
  <c r="S147" i="16"/>
  <c r="AP147" i="16"/>
  <c r="AA147" i="16"/>
  <c r="K150" i="16" l="1"/>
  <c r="L149" i="16"/>
  <c r="AJ147" i="16"/>
  <c r="AK147" i="16" s="1"/>
  <c r="AQ147" i="16"/>
  <c r="AR147" i="16" s="1"/>
  <c r="U147" i="16"/>
  <c r="V147" i="16" s="1"/>
  <c r="AB147" i="16"/>
  <c r="AC147" i="16" s="1"/>
  <c r="AP148" i="16"/>
  <c r="AA148" i="16"/>
  <c r="S148" i="16"/>
  <c r="AI148" i="16"/>
  <c r="T148" i="16"/>
  <c r="X148" i="16"/>
  <c r="M148" i="16"/>
  <c r="N148" i="16" s="1"/>
  <c r="L150" i="16" l="1"/>
  <c r="K151" i="16"/>
  <c r="AJ148" i="16"/>
  <c r="AK148" i="16" s="1"/>
  <c r="AB148" i="16"/>
  <c r="AC148" i="16" s="1"/>
  <c r="U148" i="16"/>
  <c r="V148" i="16" s="1"/>
  <c r="AQ148" i="16"/>
  <c r="AR148" i="16" s="1"/>
  <c r="X149" i="16"/>
  <c r="M149" i="16"/>
  <c r="N149" i="16" s="1"/>
  <c r="AI149" i="16"/>
  <c r="T149" i="16"/>
  <c r="S149" i="16"/>
  <c r="AP149" i="16"/>
  <c r="AA149" i="16"/>
  <c r="L151" i="16" l="1"/>
  <c r="K152" i="16"/>
  <c r="U149" i="16"/>
  <c r="V149" i="16" s="1"/>
  <c r="AJ149" i="16"/>
  <c r="AK149" i="16" s="1"/>
  <c r="AQ149" i="16"/>
  <c r="AR149" i="16" s="1"/>
  <c r="AB149" i="16"/>
  <c r="AC149" i="16" s="1"/>
  <c r="AP150" i="16"/>
  <c r="AA150" i="16"/>
  <c r="S150" i="16"/>
  <c r="AI150" i="16"/>
  <c r="T150" i="16"/>
  <c r="X150" i="16"/>
  <c r="M150" i="16"/>
  <c r="N150" i="16" s="1"/>
  <c r="L152" i="16" l="1"/>
  <c r="K153" i="16"/>
  <c r="AJ150" i="16"/>
  <c r="AK150" i="16" s="1"/>
  <c r="AQ150" i="16"/>
  <c r="AR150" i="16" s="1"/>
  <c r="AB150" i="16"/>
  <c r="AC150" i="16" s="1"/>
  <c r="U150" i="16"/>
  <c r="V150" i="16" s="1"/>
  <c r="X151" i="16"/>
  <c r="M151" i="16"/>
  <c r="N151" i="16" s="1"/>
  <c r="AI151" i="16"/>
  <c r="T151" i="16"/>
  <c r="S151" i="16"/>
  <c r="AP151" i="16"/>
  <c r="AA151" i="16"/>
  <c r="L153" i="16" l="1"/>
  <c r="K154" i="16"/>
  <c r="AJ151" i="16"/>
  <c r="AK151" i="16" s="1"/>
  <c r="AQ151" i="16"/>
  <c r="AR151" i="16" s="1"/>
  <c r="U151" i="16"/>
  <c r="V151" i="16" s="1"/>
  <c r="AB151" i="16"/>
  <c r="AC151" i="16" s="1"/>
  <c r="AP152" i="16"/>
  <c r="AA152" i="16"/>
  <c r="S152" i="16"/>
  <c r="AI152" i="16"/>
  <c r="AJ152" i="16" s="1"/>
  <c r="AK152" i="16" s="1"/>
  <c r="T152" i="16"/>
  <c r="X152" i="16"/>
  <c r="M152" i="16"/>
  <c r="N152" i="16" s="1"/>
  <c r="L154" i="16" l="1"/>
  <c r="K155" i="16"/>
  <c r="U152" i="16"/>
  <c r="V152" i="16" s="1"/>
  <c r="AB152" i="16"/>
  <c r="AC152" i="16" s="1"/>
  <c r="AQ152" i="16"/>
  <c r="AR152" i="16" s="1"/>
  <c r="X153" i="16"/>
  <c r="M153" i="16"/>
  <c r="N153" i="16" s="1"/>
  <c r="AI153" i="16"/>
  <c r="T153" i="16"/>
  <c r="S153" i="16"/>
  <c r="AP153" i="16"/>
  <c r="AA153" i="16"/>
  <c r="K156" i="16" l="1"/>
  <c r="L155" i="16"/>
  <c r="U153" i="16"/>
  <c r="V153" i="16" s="1"/>
  <c r="AJ153" i="16"/>
  <c r="AK153" i="16" s="1"/>
  <c r="AQ153" i="16"/>
  <c r="AR153" i="16" s="1"/>
  <c r="AB153" i="16"/>
  <c r="AC153" i="16" s="1"/>
  <c r="AP154" i="16"/>
  <c r="AA154" i="16"/>
  <c r="S154" i="16"/>
  <c r="AI154" i="16"/>
  <c r="T154" i="16"/>
  <c r="X154" i="16"/>
  <c r="M154" i="16"/>
  <c r="N154" i="16" s="1"/>
  <c r="L156" i="16" l="1"/>
  <c r="K157" i="16"/>
  <c r="AJ154" i="16"/>
  <c r="AK154" i="16" s="1"/>
  <c r="AB154" i="16"/>
  <c r="AC154" i="16" s="1"/>
  <c r="AQ154" i="16"/>
  <c r="AR154" i="16" s="1"/>
  <c r="U154" i="16"/>
  <c r="V154" i="16" s="1"/>
  <c r="X155" i="16"/>
  <c r="M155" i="16"/>
  <c r="N155" i="16" s="1"/>
  <c r="AI155" i="16"/>
  <c r="T155" i="16"/>
  <c r="S155" i="16"/>
  <c r="AP155" i="16"/>
  <c r="AA155" i="16"/>
  <c r="K158" i="16" l="1"/>
  <c r="L157" i="16"/>
  <c r="AQ155" i="16"/>
  <c r="AR155" i="16" s="1"/>
  <c r="AB155" i="16"/>
  <c r="AC155" i="16" s="1"/>
  <c r="AJ155" i="16"/>
  <c r="AK155" i="16" s="1"/>
  <c r="U155" i="16"/>
  <c r="V155" i="16" s="1"/>
  <c r="AP156" i="16"/>
  <c r="AA156" i="16"/>
  <c r="S156" i="16"/>
  <c r="AI156" i="16"/>
  <c r="T156" i="16"/>
  <c r="X156" i="16"/>
  <c r="M156" i="16"/>
  <c r="N156" i="16" s="1"/>
  <c r="L158" i="16" l="1"/>
  <c r="K159" i="16"/>
  <c r="AJ156" i="16"/>
  <c r="AK156" i="16" s="1"/>
  <c r="AQ156" i="16"/>
  <c r="AR156" i="16" s="1"/>
  <c r="U156" i="16"/>
  <c r="V156" i="16" s="1"/>
  <c r="AB156" i="16"/>
  <c r="AC156" i="16" s="1"/>
  <c r="X157" i="16"/>
  <c r="M157" i="16"/>
  <c r="N157" i="16" s="1"/>
  <c r="AI157" i="16"/>
  <c r="T157" i="16"/>
  <c r="S157" i="16"/>
  <c r="AP157" i="16"/>
  <c r="AA157" i="16"/>
  <c r="L159" i="16" l="1"/>
  <c r="K160" i="16"/>
  <c r="AJ157" i="16"/>
  <c r="AK157" i="16" s="1"/>
  <c r="AQ157" i="16"/>
  <c r="AR157" i="16" s="1"/>
  <c r="U157" i="16"/>
  <c r="V157" i="16" s="1"/>
  <c r="AB157" i="16"/>
  <c r="AC157" i="16" s="1"/>
  <c r="AP158" i="16"/>
  <c r="AA158" i="16"/>
  <c r="S158" i="16"/>
  <c r="AI158" i="16"/>
  <c r="T158" i="16"/>
  <c r="X158" i="16"/>
  <c r="M158" i="16"/>
  <c r="N158" i="16" s="1"/>
  <c r="K161" i="16" l="1"/>
  <c r="L160" i="16"/>
  <c r="AJ158" i="16"/>
  <c r="AK158" i="16" s="1"/>
  <c r="AQ158" i="16"/>
  <c r="AR158" i="16" s="1"/>
  <c r="AB158" i="16"/>
  <c r="AC158" i="16" s="1"/>
  <c r="U158" i="16"/>
  <c r="V158" i="16" s="1"/>
  <c r="X159" i="16"/>
  <c r="M159" i="16"/>
  <c r="N159" i="16" s="1"/>
  <c r="AI159" i="16"/>
  <c r="T159" i="16"/>
  <c r="S159" i="16"/>
  <c r="AP159" i="16"/>
  <c r="AA159" i="16"/>
  <c r="K162" i="16" l="1"/>
  <c r="L161" i="16"/>
  <c r="AJ159" i="16"/>
  <c r="AK159" i="16" s="1"/>
  <c r="AQ159" i="16"/>
  <c r="AR159" i="16" s="1"/>
  <c r="U159" i="16"/>
  <c r="V159" i="16" s="1"/>
  <c r="AB159" i="16"/>
  <c r="AC159" i="16" s="1"/>
  <c r="AP160" i="16"/>
  <c r="AA160" i="16"/>
  <c r="S160" i="16"/>
  <c r="AI160" i="16"/>
  <c r="T160" i="16"/>
  <c r="X160" i="16"/>
  <c r="M160" i="16"/>
  <c r="N160" i="16" s="1"/>
  <c r="L162" i="16" l="1"/>
  <c r="K163" i="16"/>
  <c r="AJ160" i="16"/>
  <c r="AK160" i="16" s="1"/>
  <c r="U160" i="16"/>
  <c r="V160" i="16" s="1"/>
  <c r="AB160" i="16"/>
  <c r="AC160" i="16" s="1"/>
  <c r="AQ160" i="16"/>
  <c r="AR160" i="16" s="1"/>
  <c r="X161" i="16"/>
  <c r="M161" i="16"/>
  <c r="N161" i="16" s="1"/>
  <c r="AI161" i="16"/>
  <c r="T161" i="16"/>
  <c r="S161" i="16"/>
  <c r="AP161" i="16"/>
  <c r="AA161" i="16"/>
  <c r="K164" i="16" l="1"/>
  <c r="L163" i="16"/>
  <c r="AJ161" i="16"/>
  <c r="AK161" i="16" s="1"/>
  <c r="AQ161" i="16"/>
  <c r="AR161" i="16" s="1"/>
  <c r="U161" i="16"/>
  <c r="V161" i="16" s="1"/>
  <c r="AB161" i="16"/>
  <c r="AC161" i="16" s="1"/>
  <c r="AP162" i="16"/>
  <c r="AA162" i="16"/>
  <c r="S162" i="16"/>
  <c r="AI162" i="16"/>
  <c r="T162" i="16"/>
  <c r="X162" i="16"/>
  <c r="M162" i="16"/>
  <c r="N162" i="16" s="1"/>
  <c r="L164" i="16" l="1"/>
  <c r="K165" i="16"/>
  <c r="AJ162" i="16"/>
  <c r="AK162" i="16" s="1"/>
  <c r="AQ162" i="16"/>
  <c r="AR162" i="16" s="1"/>
  <c r="U162" i="16"/>
  <c r="V162" i="16" s="1"/>
  <c r="AB162" i="16"/>
  <c r="AC162" i="16" s="1"/>
  <c r="X163" i="16"/>
  <c r="M163" i="16"/>
  <c r="N163" i="16" s="1"/>
  <c r="AI163" i="16"/>
  <c r="T163" i="16"/>
  <c r="S163" i="16"/>
  <c r="AP163" i="16"/>
  <c r="AA163" i="16"/>
  <c r="L165" i="16" l="1"/>
  <c r="K166" i="16"/>
  <c r="AJ163" i="16"/>
  <c r="AK163" i="16" s="1"/>
  <c r="AQ163" i="16"/>
  <c r="AR163" i="16" s="1"/>
  <c r="AB163" i="16"/>
  <c r="AC163" i="16" s="1"/>
  <c r="U163" i="16"/>
  <c r="V163" i="16" s="1"/>
  <c r="AP164" i="16"/>
  <c r="AA164" i="16"/>
  <c r="S164" i="16"/>
  <c r="AI164" i="16"/>
  <c r="T164" i="16"/>
  <c r="X164" i="16"/>
  <c r="M164" i="16"/>
  <c r="N164" i="16" s="1"/>
  <c r="K167" i="16" l="1"/>
  <c r="L166" i="16"/>
  <c r="AJ164" i="16"/>
  <c r="AK164" i="16" s="1"/>
  <c r="U164" i="16"/>
  <c r="V164" i="16" s="1"/>
  <c r="AB164" i="16"/>
  <c r="AC164" i="16" s="1"/>
  <c r="AQ164" i="16"/>
  <c r="AR164" i="16" s="1"/>
  <c r="X165" i="16"/>
  <c r="M165" i="16"/>
  <c r="N165" i="16" s="1"/>
  <c r="AI165" i="16"/>
  <c r="AJ165" i="16" s="1"/>
  <c r="AK165" i="16" s="1"/>
  <c r="T165" i="16"/>
  <c r="S165" i="16"/>
  <c r="AP165" i="16"/>
  <c r="AA165" i="16"/>
  <c r="K168" i="16" l="1"/>
  <c r="L167" i="16"/>
  <c r="U165" i="16"/>
  <c r="V165" i="16" s="1"/>
  <c r="AQ165" i="16"/>
  <c r="AR165" i="16" s="1"/>
  <c r="AB165" i="16"/>
  <c r="AC165" i="16" s="1"/>
  <c r="AP166" i="16"/>
  <c r="AA166" i="16"/>
  <c r="S166" i="16"/>
  <c r="AI166" i="16"/>
  <c r="T166" i="16"/>
  <c r="X166" i="16"/>
  <c r="M166" i="16"/>
  <c r="N166" i="16" s="1"/>
  <c r="L168" i="16" l="1"/>
  <c r="K169" i="16"/>
  <c r="AJ166" i="16"/>
  <c r="AK166" i="16" s="1"/>
  <c r="U166" i="16"/>
  <c r="V166" i="16" s="1"/>
  <c r="AB166" i="16"/>
  <c r="AC166" i="16" s="1"/>
  <c r="AQ166" i="16"/>
  <c r="AR166" i="16" s="1"/>
  <c r="X167" i="16"/>
  <c r="M167" i="16"/>
  <c r="N167" i="16" s="1"/>
  <c r="AI167" i="16"/>
  <c r="T167" i="16"/>
  <c r="S167" i="16"/>
  <c r="AP167" i="16"/>
  <c r="AA167" i="16"/>
  <c r="K170" i="16" l="1"/>
  <c r="L169" i="16"/>
  <c r="U167" i="16"/>
  <c r="V167" i="16" s="1"/>
  <c r="AJ167" i="16"/>
  <c r="AK167" i="16" s="1"/>
  <c r="AB167" i="16"/>
  <c r="AC167" i="16" s="1"/>
  <c r="AQ167" i="16"/>
  <c r="AR167" i="16" s="1"/>
  <c r="AI168" i="16"/>
  <c r="T168" i="16"/>
  <c r="X168" i="16"/>
  <c r="M168" i="16"/>
  <c r="N168" i="16" s="1"/>
  <c r="AP168" i="16"/>
  <c r="AA168" i="16"/>
  <c r="S168" i="16"/>
  <c r="L170" i="16" l="1"/>
  <c r="K171" i="16"/>
  <c r="AJ168" i="16"/>
  <c r="AK168" i="16" s="1"/>
  <c r="U168" i="16"/>
  <c r="V168" i="16" s="1"/>
  <c r="AB168" i="16"/>
  <c r="AC168" i="16" s="1"/>
  <c r="AQ168" i="16"/>
  <c r="AR168" i="16" s="1"/>
  <c r="S169" i="16"/>
  <c r="AP169" i="16"/>
  <c r="AA169" i="16"/>
  <c r="X169" i="16"/>
  <c r="M169" i="16"/>
  <c r="N169" i="16" s="1"/>
  <c r="AI169" i="16"/>
  <c r="T169" i="16"/>
  <c r="L171" i="16" l="1"/>
  <c r="K172" i="16"/>
  <c r="AJ169" i="16"/>
  <c r="AK169" i="16" s="1"/>
  <c r="U169" i="16"/>
  <c r="V169" i="16" s="1"/>
  <c r="AQ169" i="16"/>
  <c r="AR169" i="16" s="1"/>
  <c r="AB169" i="16"/>
  <c r="AC169" i="16" s="1"/>
  <c r="AP170" i="16"/>
  <c r="AA170" i="16"/>
  <c r="S170" i="16"/>
  <c r="AI170" i="16"/>
  <c r="T170" i="16"/>
  <c r="X170" i="16"/>
  <c r="M170" i="16"/>
  <c r="N170" i="16" s="1"/>
  <c r="K173" i="16" l="1"/>
  <c r="L172" i="16"/>
  <c r="AJ170" i="16"/>
  <c r="AK170" i="16" s="1"/>
  <c r="AQ170" i="16"/>
  <c r="AR170" i="16" s="1"/>
  <c r="U170" i="16"/>
  <c r="V170" i="16" s="1"/>
  <c r="AB170" i="16"/>
  <c r="AC170" i="16" s="1"/>
  <c r="X171" i="16"/>
  <c r="M171" i="16"/>
  <c r="N171" i="16" s="1"/>
  <c r="AI171" i="16"/>
  <c r="T171" i="16"/>
  <c r="S171" i="16"/>
  <c r="AP171" i="16"/>
  <c r="AA171" i="16"/>
  <c r="K174" i="16" l="1"/>
  <c r="L173" i="16"/>
  <c r="AQ171" i="16"/>
  <c r="AR171" i="16" s="1"/>
  <c r="U171" i="16"/>
  <c r="V171" i="16" s="1"/>
  <c r="AB171" i="16"/>
  <c r="AC171" i="16" s="1"/>
  <c r="AJ171" i="16"/>
  <c r="AK171" i="16" s="1"/>
  <c r="AP172" i="16"/>
  <c r="AA172" i="16"/>
  <c r="S172" i="16"/>
  <c r="AI172" i="16"/>
  <c r="T172" i="16"/>
  <c r="X172" i="16"/>
  <c r="M172" i="16"/>
  <c r="N172" i="16" s="1"/>
  <c r="L174" i="16" l="1"/>
  <c r="K175" i="16"/>
  <c r="AJ172" i="16"/>
  <c r="AK172" i="16" s="1"/>
  <c r="AQ172" i="16"/>
  <c r="AR172" i="16" s="1"/>
  <c r="U172" i="16"/>
  <c r="V172" i="16" s="1"/>
  <c r="AB172" i="16"/>
  <c r="AC172" i="16" s="1"/>
  <c r="X173" i="16"/>
  <c r="M173" i="16"/>
  <c r="N173" i="16" s="1"/>
  <c r="AI173" i="16"/>
  <c r="T173" i="16"/>
  <c r="S173" i="16"/>
  <c r="AP173" i="16"/>
  <c r="AA173" i="16"/>
  <c r="K176" i="16" l="1"/>
  <c r="L175" i="16"/>
  <c r="AJ173" i="16"/>
  <c r="AK173" i="16" s="1"/>
  <c r="AQ173" i="16"/>
  <c r="AR173" i="16" s="1"/>
  <c r="U173" i="16"/>
  <c r="V173" i="16" s="1"/>
  <c r="AB173" i="16"/>
  <c r="AC173" i="16" s="1"/>
  <c r="AP174" i="16"/>
  <c r="AA174" i="16"/>
  <c r="S174" i="16"/>
  <c r="AI174" i="16"/>
  <c r="T174" i="16"/>
  <c r="X174" i="16"/>
  <c r="M174" i="16"/>
  <c r="N174" i="16" s="1"/>
  <c r="L176" i="16" l="1"/>
  <c r="K177" i="16"/>
  <c r="AJ174" i="16"/>
  <c r="AK174" i="16" s="1"/>
  <c r="AB174" i="16"/>
  <c r="AC174" i="16" s="1"/>
  <c r="AQ174" i="16"/>
  <c r="AR174" i="16" s="1"/>
  <c r="U174" i="16"/>
  <c r="V174" i="16" s="1"/>
  <c r="X175" i="16"/>
  <c r="M175" i="16"/>
  <c r="N175" i="16" s="1"/>
  <c r="AI175" i="16"/>
  <c r="T175" i="16"/>
  <c r="S175" i="16"/>
  <c r="AP175" i="16"/>
  <c r="AA175" i="16"/>
  <c r="L177" i="16" l="1"/>
  <c r="K178" i="16"/>
  <c r="AJ175" i="16"/>
  <c r="AK175" i="16" s="1"/>
  <c r="AQ175" i="16"/>
  <c r="AR175" i="16" s="1"/>
  <c r="AB175" i="16"/>
  <c r="AC175" i="16" s="1"/>
  <c r="U175" i="16"/>
  <c r="V175" i="16" s="1"/>
  <c r="AP176" i="16"/>
  <c r="AA176" i="16"/>
  <c r="S176" i="16"/>
  <c r="AI176" i="16"/>
  <c r="T176" i="16"/>
  <c r="X176" i="16"/>
  <c r="M176" i="16"/>
  <c r="N176" i="16" s="1"/>
  <c r="K179" i="16" l="1"/>
  <c r="L178" i="16"/>
  <c r="AJ176" i="16"/>
  <c r="AK176" i="16" s="1"/>
  <c r="AQ176" i="16"/>
  <c r="AR176" i="16" s="1"/>
  <c r="AB176" i="16"/>
  <c r="AC176" i="16" s="1"/>
  <c r="U176" i="16"/>
  <c r="V176" i="16" s="1"/>
  <c r="X177" i="16"/>
  <c r="M177" i="16"/>
  <c r="N177" i="16" s="1"/>
  <c r="AI177" i="16"/>
  <c r="T177" i="16"/>
  <c r="S177" i="16"/>
  <c r="AP177" i="16"/>
  <c r="AA177" i="16"/>
  <c r="K180" i="16" l="1"/>
  <c r="L179" i="16"/>
  <c r="AJ177" i="16"/>
  <c r="AK177" i="16" s="1"/>
  <c r="AQ177" i="16"/>
  <c r="AR177" i="16" s="1"/>
  <c r="U177" i="16"/>
  <c r="V177" i="16" s="1"/>
  <c r="AB177" i="16"/>
  <c r="AC177" i="16" s="1"/>
  <c r="AP178" i="16"/>
  <c r="AA178" i="16"/>
  <c r="S178" i="16"/>
  <c r="AI178" i="16"/>
  <c r="T178" i="16"/>
  <c r="X178" i="16"/>
  <c r="M178" i="16"/>
  <c r="N178" i="16" s="1"/>
  <c r="L180" i="16" l="1"/>
  <c r="K181" i="16"/>
  <c r="AJ178" i="16"/>
  <c r="AK178" i="16" s="1"/>
  <c r="AQ178" i="16"/>
  <c r="AR178" i="16" s="1"/>
  <c r="U178" i="16"/>
  <c r="V178" i="16" s="1"/>
  <c r="AB178" i="16"/>
  <c r="AC178" i="16" s="1"/>
  <c r="X179" i="16"/>
  <c r="M179" i="16"/>
  <c r="N179" i="16" s="1"/>
  <c r="AI179" i="16"/>
  <c r="T179" i="16"/>
  <c r="S179" i="16"/>
  <c r="AP179" i="16"/>
  <c r="AA179" i="16"/>
  <c r="K182" i="16" l="1"/>
  <c r="L181" i="16"/>
  <c r="AJ179" i="16"/>
  <c r="AK179" i="16" s="1"/>
  <c r="AQ179" i="16"/>
  <c r="AR179" i="16" s="1"/>
  <c r="U179" i="16"/>
  <c r="V179" i="16" s="1"/>
  <c r="AB179" i="16"/>
  <c r="AC179" i="16" s="1"/>
  <c r="AP180" i="16"/>
  <c r="AA180" i="16"/>
  <c r="S180" i="16"/>
  <c r="AI180" i="16"/>
  <c r="T180" i="16"/>
  <c r="X180" i="16"/>
  <c r="M180" i="16"/>
  <c r="N180" i="16" s="1"/>
  <c r="L182" i="16" l="1"/>
  <c r="K183" i="16"/>
  <c r="AJ180" i="16"/>
  <c r="AK180" i="16" s="1"/>
  <c r="AQ180" i="16"/>
  <c r="AR180" i="16" s="1"/>
  <c r="AB180" i="16"/>
  <c r="AC180" i="16" s="1"/>
  <c r="U180" i="16"/>
  <c r="V180" i="16" s="1"/>
  <c r="X181" i="16"/>
  <c r="M181" i="16"/>
  <c r="N181" i="16" s="1"/>
  <c r="AI181" i="16"/>
  <c r="T181" i="16"/>
  <c r="S181" i="16"/>
  <c r="AP181" i="16"/>
  <c r="AA181" i="16"/>
  <c r="L183" i="16" l="1"/>
  <c r="K184" i="16"/>
  <c r="U181" i="16"/>
  <c r="V181" i="16" s="1"/>
  <c r="AJ181" i="16"/>
  <c r="AK181" i="16" s="1"/>
  <c r="AB181" i="16"/>
  <c r="AC181" i="16" s="1"/>
  <c r="AQ181" i="16"/>
  <c r="AR181" i="16" s="1"/>
  <c r="AP182" i="16"/>
  <c r="AA182" i="16"/>
  <c r="S182" i="16"/>
  <c r="AI182" i="16"/>
  <c r="T182" i="16"/>
  <c r="X182" i="16"/>
  <c r="M182" i="16"/>
  <c r="N182" i="16" s="1"/>
  <c r="K185" i="16" l="1"/>
  <c r="L184" i="16"/>
  <c r="AJ182" i="16"/>
  <c r="AK182" i="16" s="1"/>
  <c r="U182" i="16"/>
  <c r="V182" i="16" s="1"/>
  <c r="AQ182" i="16"/>
  <c r="AR182" i="16" s="1"/>
  <c r="AB182" i="16"/>
  <c r="AC182" i="16" s="1"/>
  <c r="X183" i="16"/>
  <c r="M183" i="16"/>
  <c r="N183" i="16" s="1"/>
  <c r="AI183" i="16"/>
  <c r="T183" i="16"/>
  <c r="S183" i="16"/>
  <c r="AP183" i="16"/>
  <c r="AA183" i="16"/>
  <c r="K186" i="16" l="1"/>
  <c r="L185" i="16"/>
  <c r="AJ183" i="16"/>
  <c r="AK183" i="16" s="1"/>
  <c r="AQ183" i="16"/>
  <c r="AR183" i="16" s="1"/>
  <c r="U183" i="16"/>
  <c r="V183" i="16" s="1"/>
  <c r="AB183" i="16"/>
  <c r="AC183" i="16" s="1"/>
  <c r="AP184" i="16"/>
  <c r="AA184" i="16"/>
  <c r="S184" i="16"/>
  <c r="AI184" i="16"/>
  <c r="T184" i="16"/>
  <c r="X184" i="16"/>
  <c r="M184" i="16"/>
  <c r="N184" i="16" s="1"/>
  <c r="L186" i="16" l="1"/>
  <c r="K187" i="16"/>
  <c r="AJ184" i="16"/>
  <c r="AK184" i="16" s="1"/>
  <c r="AB184" i="16"/>
  <c r="AC184" i="16" s="1"/>
  <c r="AQ184" i="16"/>
  <c r="AR184" i="16" s="1"/>
  <c r="U184" i="16"/>
  <c r="V184" i="16" s="1"/>
  <c r="X185" i="16"/>
  <c r="M185" i="16"/>
  <c r="N185" i="16" s="1"/>
  <c r="AI185" i="16"/>
  <c r="T185" i="16"/>
  <c r="S185" i="16"/>
  <c r="AP185" i="16"/>
  <c r="AA185" i="16"/>
  <c r="K188" i="16" l="1"/>
  <c r="L187" i="16"/>
  <c r="AJ185" i="16"/>
  <c r="AK185" i="16" s="1"/>
  <c r="U185" i="16"/>
  <c r="V185" i="16" s="1"/>
  <c r="AQ185" i="16"/>
  <c r="AR185" i="16" s="1"/>
  <c r="AB185" i="16"/>
  <c r="AC185" i="16" s="1"/>
  <c r="AP186" i="16"/>
  <c r="AA186" i="16"/>
  <c r="S186" i="16"/>
  <c r="AI186" i="16"/>
  <c r="T186" i="16"/>
  <c r="X186" i="16"/>
  <c r="M186" i="16"/>
  <c r="N186" i="16" s="1"/>
  <c r="L188" i="16" l="1"/>
  <c r="K189" i="16"/>
  <c r="AQ186" i="16"/>
  <c r="AR186" i="16" s="1"/>
  <c r="AJ186" i="16"/>
  <c r="AK186" i="16" s="1"/>
  <c r="AB186" i="16"/>
  <c r="AC186" i="16" s="1"/>
  <c r="U186" i="16"/>
  <c r="V186" i="16" s="1"/>
  <c r="X187" i="16"/>
  <c r="M187" i="16"/>
  <c r="N187" i="16" s="1"/>
  <c r="AI187" i="16"/>
  <c r="T187" i="16"/>
  <c r="S187" i="16"/>
  <c r="AP187" i="16"/>
  <c r="AA187" i="16"/>
  <c r="L189" i="16" l="1"/>
  <c r="K190" i="16"/>
  <c r="U187" i="16"/>
  <c r="V187" i="16" s="1"/>
  <c r="AQ187" i="16"/>
  <c r="AR187" i="16" s="1"/>
  <c r="AJ187" i="16"/>
  <c r="AK187" i="16" s="1"/>
  <c r="AB187" i="16"/>
  <c r="AC187" i="16" s="1"/>
  <c r="AP188" i="16"/>
  <c r="AA188" i="16"/>
  <c r="S188" i="16"/>
  <c r="AI188" i="16"/>
  <c r="T188" i="16"/>
  <c r="X188" i="16"/>
  <c r="M188" i="16"/>
  <c r="N188" i="16" s="1"/>
  <c r="K191" i="16" l="1"/>
  <c r="L190" i="16"/>
  <c r="AJ188" i="16"/>
  <c r="AK188" i="16" s="1"/>
  <c r="AQ188" i="16"/>
  <c r="AR188" i="16" s="1"/>
  <c r="U188" i="16"/>
  <c r="V188" i="16" s="1"/>
  <c r="AB188" i="16"/>
  <c r="AC188" i="16" s="1"/>
  <c r="X189" i="16"/>
  <c r="M189" i="16"/>
  <c r="N189" i="16" s="1"/>
  <c r="AI189" i="16"/>
  <c r="AJ189" i="16" s="1"/>
  <c r="AK189" i="16" s="1"/>
  <c r="T189" i="16"/>
  <c r="S189" i="16"/>
  <c r="AP189" i="16"/>
  <c r="AA189" i="16"/>
  <c r="K192" i="16" l="1"/>
  <c r="L191" i="16"/>
  <c r="AB189" i="16"/>
  <c r="AC189" i="16" s="1"/>
  <c r="AQ189" i="16"/>
  <c r="AR189" i="16" s="1"/>
  <c r="U189" i="16"/>
  <c r="V189" i="16" s="1"/>
  <c r="AP190" i="16"/>
  <c r="AA190" i="16"/>
  <c r="S190" i="16"/>
  <c r="AI190" i="16"/>
  <c r="T190" i="16"/>
  <c r="X190" i="16"/>
  <c r="M190" i="16"/>
  <c r="N190" i="16" s="1"/>
  <c r="K193" i="16" l="1"/>
  <c r="L192" i="16"/>
  <c r="AJ190" i="16"/>
  <c r="AK190" i="16" s="1"/>
  <c r="U190" i="16"/>
  <c r="V190" i="16" s="1"/>
  <c r="AB190" i="16"/>
  <c r="AC190" i="16" s="1"/>
  <c r="AQ190" i="16"/>
  <c r="AR190" i="16" s="1"/>
  <c r="X191" i="16"/>
  <c r="M191" i="16"/>
  <c r="N191" i="16" s="1"/>
  <c r="AI191" i="16"/>
  <c r="T191" i="16"/>
  <c r="S191" i="16"/>
  <c r="AP191" i="16"/>
  <c r="AA191" i="16"/>
  <c r="K194" i="16" l="1"/>
  <c r="L193" i="16"/>
  <c r="AJ191" i="16"/>
  <c r="AK191" i="16" s="1"/>
  <c r="AB191" i="16"/>
  <c r="AC191" i="16" s="1"/>
  <c r="U191" i="16"/>
  <c r="V191" i="16" s="1"/>
  <c r="AQ191" i="16"/>
  <c r="AR191" i="16" s="1"/>
  <c r="AP192" i="16"/>
  <c r="AA192" i="16"/>
  <c r="S192" i="16"/>
  <c r="AI192" i="16"/>
  <c r="T192" i="16"/>
  <c r="X192" i="16"/>
  <c r="M192" i="16"/>
  <c r="N192" i="16" s="1"/>
  <c r="L194" i="16" l="1"/>
  <c r="K195" i="16"/>
  <c r="AJ192" i="16"/>
  <c r="AK192" i="16" s="1"/>
  <c r="AB192" i="16"/>
  <c r="AC192" i="16" s="1"/>
  <c r="AQ192" i="16"/>
  <c r="AR192" i="16" s="1"/>
  <c r="U192" i="16"/>
  <c r="V192" i="16" s="1"/>
  <c r="X193" i="16"/>
  <c r="M193" i="16"/>
  <c r="N193" i="16" s="1"/>
  <c r="AI193" i="16"/>
  <c r="T193" i="16"/>
  <c r="S193" i="16"/>
  <c r="AP193" i="16"/>
  <c r="AA193" i="16"/>
  <c r="K196" i="16" l="1"/>
  <c r="L195" i="16"/>
  <c r="AJ193" i="16"/>
  <c r="AK193" i="16" s="1"/>
  <c r="AQ193" i="16"/>
  <c r="AR193" i="16" s="1"/>
  <c r="U193" i="16"/>
  <c r="V193" i="16" s="1"/>
  <c r="AB193" i="16"/>
  <c r="AC193" i="16" s="1"/>
  <c r="AP194" i="16"/>
  <c r="AA194" i="16"/>
  <c r="S194" i="16"/>
  <c r="AI194" i="16"/>
  <c r="T194" i="16"/>
  <c r="X194" i="16"/>
  <c r="M194" i="16"/>
  <c r="N194" i="16" s="1"/>
  <c r="K197" i="16" l="1"/>
  <c r="L196" i="16"/>
  <c r="AJ194" i="16"/>
  <c r="AK194" i="16" s="1"/>
  <c r="AQ194" i="16"/>
  <c r="AR194" i="16" s="1"/>
  <c r="U194" i="16"/>
  <c r="V194" i="16" s="1"/>
  <c r="AB194" i="16"/>
  <c r="AC194" i="16" s="1"/>
  <c r="X195" i="16"/>
  <c r="M195" i="16"/>
  <c r="N195" i="16" s="1"/>
  <c r="AI195" i="16"/>
  <c r="T195" i="16"/>
  <c r="S195" i="16"/>
  <c r="AP195" i="16"/>
  <c r="AA195" i="16"/>
  <c r="K198" i="16" l="1"/>
  <c r="L197" i="16"/>
  <c r="AJ195" i="16"/>
  <c r="AK195" i="16" s="1"/>
  <c r="AB195" i="16"/>
  <c r="AC195" i="16" s="1"/>
  <c r="U195" i="16"/>
  <c r="V195" i="16" s="1"/>
  <c r="AQ195" i="16"/>
  <c r="AR195" i="16" s="1"/>
  <c r="AP196" i="16"/>
  <c r="AA196" i="16"/>
  <c r="S196" i="16"/>
  <c r="AI196" i="16"/>
  <c r="T196" i="16"/>
  <c r="X196" i="16"/>
  <c r="M196" i="16"/>
  <c r="N196" i="16" s="1"/>
  <c r="K199" i="16" l="1"/>
  <c r="L198" i="16"/>
  <c r="AJ196" i="16"/>
  <c r="AK196" i="16" s="1"/>
  <c r="AQ196" i="16"/>
  <c r="AR196" i="16" s="1"/>
  <c r="AB196" i="16"/>
  <c r="AC196" i="16" s="1"/>
  <c r="U196" i="16"/>
  <c r="V196" i="16" s="1"/>
  <c r="X197" i="16"/>
  <c r="M197" i="16"/>
  <c r="N197" i="16" s="1"/>
  <c r="AI197" i="16"/>
  <c r="T197" i="16"/>
  <c r="S197" i="16"/>
  <c r="AP197" i="16"/>
  <c r="AA197" i="16"/>
  <c r="K200" i="16" l="1"/>
  <c r="L199" i="16"/>
  <c r="AJ197" i="16"/>
  <c r="AK197" i="16" s="1"/>
  <c r="AQ197" i="16"/>
  <c r="AR197" i="16" s="1"/>
  <c r="U197" i="16"/>
  <c r="V197" i="16" s="1"/>
  <c r="AB197" i="16"/>
  <c r="AC197" i="16" s="1"/>
  <c r="AP198" i="16"/>
  <c r="AA198" i="16"/>
  <c r="S198" i="16"/>
  <c r="AI198" i="16"/>
  <c r="T198" i="16"/>
  <c r="X198" i="16"/>
  <c r="M198" i="16"/>
  <c r="N198" i="16" s="1"/>
  <c r="L200" i="16" l="1"/>
  <c r="K201" i="16"/>
  <c r="AJ198" i="16"/>
  <c r="AK198" i="16" s="1"/>
  <c r="U198" i="16"/>
  <c r="V198" i="16" s="1"/>
  <c r="AB198" i="16"/>
  <c r="AC198" i="16" s="1"/>
  <c r="AQ198" i="16"/>
  <c r="AR198" i="16" s="1"/>
  <c r="X199" i="16"/>
  <c r="M199" i="16"/>
  <c r="N199" i="16" s="1"/>
  <c r="AI199" i="16"/>
  <c r="T199" i="16"/>
  <c r="S199" i="16"/>
  <c r="AP199" i="16"/>
  <c r="AA199" i="16"/>
  <c r="K202" i="16" l="1"/>
  <c r="L201" i="16"/>
  <c r="U199" i="16"/>
  <c r="V199" i="16" s="1"/>
  <c r="AB199" i="16"/>
  <c r="AC199" i="16" s="1"/>
  <c r="AJ199" i="16"/>
  <c r="AK199" i="16" s="1"/>
  <c r="AQ199" i="16"/>
  <c r="AR199" i="16" s="1"/>
  <c r="AP200" i="16"/>
  <c r="AA200" i="16"/>
  <c r="S200" i="16"/>
  <c r="AI200" i="16"/>
  <c r="T200" i="16"/>
  <c r="X200" i="16"/>
  <c r="M200" i="16"/>
  <c r="N200" i="16" s="1"/>
  <c r="K203" i="16" l="1"/>
  <c r="L202" i="16"/>
  <c r="AJ200" i="16"/>
  <c r="AK200" i="16" s="1"/>
  <c r="AB200" i="16"/>
  <c r="AC200" i="16" s="1"/>
  <c r="U200" i="16"/>
  <c r="V200" i="16" s="1"/>
  <c r="AQ200" i="16"/>
  <c r="AR200" i="16" s="1"/>
  <c r="X201" i="16"/>
  <c r="M201" i="16"/>
  <c r="N201" i="16" s="1"/>
  <c r="AI201" i="16"/>
  <c r="T201" i="16"/>
  <c r="S201" i="16"/>
  <c r="AP201" i="16"/>
  <c r="AA201" i="16"/>
  <c r="K204" i="16" l="1"/>
  <c r="L203" i="16"/>
  <c r="U201" i="16"/>
  <c r="V201" i="16" s="1"/>
  <c r="AQ201" i="16"/>
  <c r="AR201" i="16" s="1"/>
  <c r="AJ201" i="16"/>
  <c r="AK201" i="16" s="1"/>
  <c r="AB201" i="16"/>
  <c r="AC201" i="16" s="1"/>
  <c r="AP202" i="16"/>
  <c r="AA202" i="16"/>
  <c r="S202" i="16"/>
  <c r="AI202" i="16"/>
  <c r="AJ202" i="16" s="1"/>
  <c r="AK202" i="16" s="1"/>
  <c r="T202" i="16"/>
  <c r="X202" i="16"/>
  <c r="M202" i="16"/>
  <c r="N202" i="16" s="1"/>
  <c r="K205" i="16" l="1"/>
  <c r="L204" i="16"/>
  <c r="AQ202" i="16"/>
  <c r="AR202" i="16" s="1"/>
  <c r="AB202" i="16"/>
  <c r="AC202" i="16" s="1"/>
  <c r="U202" i="16"/>
  <c r="V202" i="16" s="1"/>
  <c r="X203" i="16"/>
  <c r="AP203" i="16"/>
  <c r="M203" i="16"/>
  <c r="N203" i="16" s="1"/>
  <c r="AA203" i="16"/>
  <c r="S203" i="16"/>
  <c r="T203" i="16"/>
  <c r="AI203" i="16"/>
  <c r="AJ203" i="16" s="1"/>
  <c r="AK203" i="16" s="1"/>
  <c r="K206" i="16" l="1"/>
  <c r="L205" i="16"/>
  <c r="AB203" i="16"/>
  <c r="AC203" i="16" s="1"/>
  <c r="U203" i="16"/>
  <c r="V203" i="16" s="1"/>
  <c r="AQ203" i="16"/>
  <c r="AR203" i="16" s="1"/>
  <c r="AP204" i="16"/>
  <c r="AA204" i="16"/>
  <c r="S204" i="16"/>
  <c r="AI204" i="16"/>
  <c r="AJ204" i="16" s="1"/>
  <c r="AK204" i="16" s="1"/>
  <c r="T204" i="16"/>
  <c r="X204" i="16"/>
  <c r="M204" i="16"/>
  <c r="N204" i="16" s="1"/>
  <c r="L206" i="16" l="1"/>
  <c r="K207" i="16"/>
  <c r="U204" i="16"/>
  <c r="V204" i="16" s="1"/>
  <c r="AB204" i="16"/>
  <c r="AC204" i="16" s="1"/>
  <c r="AQ204" i="16"/>
  <c r="AR204" i="16" s="1"/>
  <c r="X205" i="16"/>
  <c r="M205" i="16"/>
  <c r="N205" i="16" s="1"/>
  <c r="AI205" i="16"/>
  <c r="AJ205" i="16" s="1"/>
  <c r="AK205" i="16" s="1"/>
  <c r="T205" i="16"/>
  <c r="U205" i="16" s="1"/>
  <c r="V205" i="16" s="1"/>
  <c r="S205" i="16"/>
  <c r="AP205" i="16"/>
  <c r="AA205" i="16"/>
  <c r="K208" i="16" l="1"/>
  <c r="L207" i="16"/>
  <c r="AQ205" i="16"/>
  <c r="AR205" i="16" s="1"/>
  <c r="AB205" i="16"/>
  <c r="AC205" i="16" s="1"/>
  <c r="AP206" i="16"/>
  <c r="AA206" i="16"/>
  <c r="S206" i="16"/>
  <c r="AI206" i="16"/>
  <c r="T206" i="16"/>
  <c r="U206" i="16" s="1"/>
  <c r="V206" i="16" s="1"/>
  <c r="X206" i="16"/>
  <c r="M206" i="16"/>
  <c r="N206" i="16" s="1"/>
  <c r="K209" i="16" l="1"/>
  <c r="L208" i="16"/>
  <c r="AJ206" i="16"/>
  <c r="AK206" i="16" s="1"/>
  <c r="AQ206" i="16"/>
  <c r="AR206" i="16" s="1"/>
  <c r="AB206" i="16"/>
  <c r="AC206" i="16" s="1"/>
  <c r="X207" i="16"/>
  <c r="M207" i="16"/>
  <c r="N207" i="16" s="1"/>
  <c r="AI207" i="16"/>
  <c r="T207" i="16"/>
  <c r="U207" i="16" s="1"/>
  <c r="V207" i="16" s="1"/>
  <c r="S207" i="16"/>
  <c r="AP207" i="16"/>
  <c r="AA207" i="16"/>
  <c r="K210" i="16" l="1"/>
  <c r="L209" i="16"/>
  <c r="AQ207" i="16"/>
  <c r="AR207" i="16" s="1"/>
  <c r="AJ207" i="16"/>
  <c r="AK207" i="16" s="1"/>
  <c r="AB207" i="16"/>
  <c r="AC207" i="16" s="1"/>
  <c r="AP208" i="16"/>
  <c r="AA208" i="16"/>
  <c r="S208" i="16"/>
  <c r="AI208" i="16"/>
  <c r="AJ208" i="16" s="1"/>
  <c r="AK208" i="16" s="1"/>
  <c r="T208" i="16"/>
  <c r="X208" i="16"/>
  <c r="M208" i="16"/>
  <c r="N208" i="16" s="1"/>
  <c r="K211" i="16" l="1"/>
  <c r="L210" i="16"/>
  <c r="U208" i="16"/>
  <c r="V208" i="16" s="1"/>
  <c r="AQ208" i="16"/>
  <c r="AR208" i="16" s="1"/>
  <c r="AB208" i="16"/>
  <c r="AC208" i="16" s="1"/>
  <c r="X209" i="16"/>
  <c r="M209" i="16"/>
  <c r="N209" i="16" s="1"/>
  <c r="AI209" i="16"/>
  <c r="AJ209" i="16" s="1"/>
  <c r="AK209" i="16" s="1"/>
  <c r="T209" i="16"/>
  <c r="U209" i="16" s="1"/>
  <c r="V209" i="16" s="1"/>
  <c r="S209" i="16"/>
  <c r="AP209" i="16"/>
  <c r="AQ209" i="16" s="1"/>
  <c r="AR209" i="16" s="1"/>
  <c r="AA209" i="16"/>
  <c r="K212" i="16" l="1"/>
  <c r="L211" i="16"/>
  <c r="AB209" i="16"/>
  <c r="AC209" i="16" s="1"/>
  <c r="AP210" i="16"/>
  <c r="AA210" i="16"/>
  <c r="S210" i="16"/>
  <c r="AI210" i="16"/>
  <c r="T210" i="16"/>
  <c r="X210" i="16"/>
  <c r="M210" i="16"/>
  <c r="N210" i="16" s="1"/>
  <c r="E85" i="8"/>
  <c r="Y85" i="8" s="1"/>
  <c r="L212" i="16" l="1"/>
  <c r="K213" i="16"/>
  <c r="AJ210" i="16"/>
  <c r="AK210" i="16" s="1"/>
  <c r="AQ210" i="16"/>
  <c r="AR210" i="16" s="1"/>
  <c r="U210" i="16"/>
  <c r="V210" i="16" s="1"/>
  <c r="AB210" i="16"/>
  <c r="AC210" i="16" s="1"/>
  <c r="X211" i="16"/>
  <c r="M211" i="16"/>
  <c r="N211" i="16" s="1"/>
  <c r="AI211" i="16"/>
  <c r="T211" i="16"/>
  <c r="S211" i="16"/>
  <c r="AP211" i="16"/>
  <c r="AA211" i="16"/>
  <c r="K214" i="16" l="1"/>
  <c r="L213" i="16"/>
  <c r="AQ211" i="16"/>
  <c r="AR211" i="16" s="1"/>
  <c r="AJ211" i="16"/>
  <c r="AK211" i="16" s="1"/>
  <c r="AB211" i="16"/>
  <c r="AC211" i="16" s="1"/>
  <c r="U211" i="16"/>
  <c r="V211" i="16" s="1"/>
  <c r="AP212" i="16"/>
  <c r="AQ212" i="16" s="1"/>
  <c r="AR212" i="16" s="1"/>
  <c r="AA212" i="16"/>
  <c r="S212" i="16"/>
  <c r="AI212" i="16"/>
  <c r="AJ212" i="16" s="1"/>
  <c r="AK212" i="16" s="1"/>
  <c r="T212" i="16"/>
  <c r="U212" i="16" s="1"/>
  <c r="V212" i="16" s="1"/>
  <c r="X212" i="16"/>
  <c r="M212" i="16"/>
  <c r="N212" i="16" s="1"/>
  <c r="K215" i="16" l="1"/>
  <c r="L214" i="16"/>
  <c r="AB212" i="16"/>
  <c r="AC212" i="16" s="1"/>
  <c r="X213" i="16"/>
  <c r="M213" i="16"/>
  <c r="AI213" i="16"/>
  <c r="AJ213" i="16" s="1"/>
  <c r="AK213" i="16" s="1"/>
  <c r="T213" i="16"/>
  <c r="U213" i="16" s="1"/>
  <c r="V213" i="16" s="1"/>
  <c r="S213" i="16"/>
  <c r="AP213" i="16"/>
  <c r="AQ213" i="16" s="1"/>
  <c r="AR213" i="16" s="1"/>
  <c r="AA213" i="16"/>
  <c r="AB213" i="16" s="1"/>
  <c r="AC213" i="16" s="1"/>
  <c r="N213" i="16"/>
  <c r="K216" i="16" l="1"/>
  <c r="L215" i="16"/>
  <c r="AP214" i="16"/>
  <c r="AA214" i="16"/>
  <c r="S214" i="16"/>
  <c r="AI214" i="16"/>
  <c r="T214" i="16"/>
  <c r="U214" i="16" s="1"/>
  <c r="V214" i="16" s="1"/>
  <c r="X214" i="16"/>
  <c r="M214" i="16"/>
  <c r="N214" i="16" s="1"/>
  <c r="L216" i="16" l="1"/>
  <c r="K217" i="16"/>
  <c r="AJ214" i="16"/>
  <c r="AK214" i="16" s="1"/>
  <c r="AQ214" i="16"/>
  <c r="AR214" i="16" s="1"/>
  <c r="AB214" i="16"/>
  <c r="AC214" i="16" s="1"/>
  <c r="X215" i="16"/>
  <c r="M215" i="16"/>
  <c r="AI215" i="16"/>
  <c r="AJ215" i="16" s="1"/>
  <c r="AK215" i="16" s="1"/>
  <c r="T215" i="16"/>
  <c r="U215" i="16" s="1"/>
  <c r="V215" i="16" s="1"/>
  <c r="S215" i="16"/>
  <c r="AP215" i="16"/>
  <c r="AQ215" i="16" s="1"/>
  <c r="AR215" i="16" s="1"/>
  <c r="AA215" i="16"/>
  <c r="AB215" i="16" s="1"/>
  <c r="AC215" i="16" s="1"/>
  <c r="N215" i="16"/>
  <c r="L217" i="16" l="1"/>
  <c r="K218" i="16"/>
  <c r="AP216" i="16"/>
  <c r="AQ216" i="16" s="1"/>
  <c r="AR216" i="16" s="1"/>
  <c r="AA216" i="16"/>
  <c r="S216" i="16"/>
  <c r="AI216" i="16"/>
  <c r="AJ216" i="16" s="1"/>
  <c r="AK216" i="16" s="1"/>
  <c r="T216" i="16"/>
  <c r="U216" i="16" s="1"/>
  <c r="V216" i="16" s="1"/>
  <c r="X216" i="16"/>
  <c r="M216" i="16"/>
  <c r="N216" i="16" s="1"/>
  <c r="L218" i="16" l="1"/>
  <c r="K219" i="16"/>
  <c r="AB216" i="16"/>
  <c r="AC216" i="16" s="1"/>
  <c r="X217" i="16"/>
  <c r="M217" i="16"/>
  <c r="AI217" i="16"/>
  <c r="AJ217" i="16" s="1"/>
  <c r="AK217" i="16" s="1"/>
  <c r="T217" i="16"/>
  <c r="U217" i="16" s="1"/>
  <c r="V217" i="16" s="1"/>
  <c r="S217" i="16"/>
  <c r="AP217" i="16"/>
  <c r="AQ217" i="16" s="1"/>
  <c r="AR217" i="16" s="1"/>
  <c r="AA217" i="16"/>
  <c r="AB217" i="16" s="1"/>
  <c r="AC217" i="16" s="1"/>
  <c r="N217" i="16"/>
  <c r="K220" i="16" l="1"/>
  <c r="L219" i="16"/>
  <c r="AP218" i="16"/>
  <c r="AQ218" i="16" s="1"/>
  <c r="AR218" i="16" s="1"/>
  <c r="AA218" i="16"/>
  <c r="S218" i="16"/>
  <c r="AI218" i="16"/>
  <c r="AJ218" i="16" s="1"/>
  <c r="AK218" i="16" s="1"/>
  <c r="T218" i="16"/>
  <c r="U218" i="16" s="1"/>
  <c r="V218" i="16" s="1"/>
  <c r="X218" i="16"/>
  <c r="M218" i="16"/>
  <c r="N218" i="16" s="1"/>
  <c r="K221" i="16" l="1"/>
  <c r="L220" i="16"/>
  <c r="AB218" i="16"/>
  <c r="AC218" i="16" s="1"/>
  <c r="X219" i="16"/>
  <c r="M219" i="16"/>
  <c r="AI219" i="16"/>
  <c r="AJ219" i="16" s="1"/>
  <c r="AK219" i="16" s="1"/>
  <c r="T219" i="16"/>
  <c r="U219" i="16" s="1"/>
  <c r="V219" i="16" s="1"/>
  <c r="S219" i="16"/>
  <c r="AP219" i="16"/>
  <c r="AQ219" i="16" s="1"/>
  <c r="AR219" i="16" s="1"/>
  <c r="AA219" i="16"/>
  <c r="AB219" i="16" s="1"/>
  <c r="AC219" i="16" s="1"/>
  <c r="N219" i="16"/>
  <c r="L221" i="16" l="1"/>
  <c r="K222" i="16"/>
  <c r="AP220" i="16"/>
  <c r="AQ220" i="16" s="1"/>
  <c r="AR220" i="16" s="1"/>
  <c r="AA220" i="16"/>
  <c r="S220" i="16"/>
  <c r="AI220" i="16"/>
  <c r="AJ220" i="16" s="1"/>
  <c r="AK220" i="16" s="1"/>
  <c r="T220" i="16"/>
  <c r="U220" i="16" s="1"/>
  <c r="V220" i="16" s="1"/>
  <c r="X220" i="16"/>
  <c r="M220" i="16"/>
  <c r="N220" i="16" s="1"/>
  <c r="K223" i="16" l="1"/>
  <c r="L222" i="16"/>
  <c r="AB220" i="16"/>
  <c r="AC220" i="16" s="1"/>
  <c r="X221" i="16"/>
  <c r="M221" i="16"/>
  <c r="AI221" i="16"/>
  <c r="AJ221" i="16" s="1"/>
  <c r="AK221" i="16" s="1"/>
  <c r="T221" i="16"/>
  <c r="U221" i="16" s="1"/>
  <c r="V221" i="16" s="1"/>
  <c r="S221" i="16"/>
  <c r="AP221" i="16"/>
  <c r="AQ221" i="16" s="1"/>
  <c r="AR221" i="16" s="1"/>
  <c r="AA221" i="16"/>
  <c r="AB221" i="16" s="1"/>
  <c r="AC221" i="16" s="1"/>
  <c r="N221" i="16"/>
  <c r="L223" i="16" l="1"/>
  <c r="K224" i="16"/>
  <c r="AP222" i="16"/>
  <c r="AQ222" i="16" s="1"/>
  <c r="AR222" i="16" s="1"/>
  <c r="AA222" i="16"/>
  <c r="AB222" i="16" s="1"/>
  <c r="AC222" i="16" s="1"/>
  <c r="S222" i="16"/>
  <c r="AI222" i="16"/>
  <c r="AJ222" i="16" s="1"/>
  <c r="AK222" i="16" s="1"/>
  <c r="T222" i="16"/>
  <c r="X222" i="16"/>
  <c r="M222" i="16"/>
  <c r="N222" i="16" s="1"/>
  <c r="L224" i="16" l="1"/>
  <c r="K225" i="16"/>
  <c r="U222" i="16"/>
  <c r="V222" i="16" s="1"/>
  <c r="X223" i="16"/>
  <c r="M223" i="16"/>
  <c r="AI223" i="16"/>
  <c r="AJ223" i="16" s="1"/>
  <c r="AK223" i="16" s="1"/>
  <c r="T223" i="16"/>
  <c r="U223" i="16" s="1"/>
  <c r="V223" i="16" s="1"/>
  <c r="S223" i="16"/>
  <c r="AP223" i="16"/>
  <c r="AQ223" i="16" s="1"/>
  <c r="AR223" i="16" s="1"/>
  <c r="AA223" i="16"/>
  <c r="AB223" i="16" s="1"/>
  <c r="AC223" i="16" s="1"/>
  <c r="N223" i="16"/>
  <c r="K226" i="16" l="1"/>
  <c r="L225" i="16"/>
  <c r="AP224" i="16"/>
  <c r="AQ224" i="16" s="1"/>
  <c r="AR224" i="16" s="1"/>
  <c r="AA224" i="16"/>
  <c r="S224" i="16"/>
  <c r="AI224" i="16"/>
  <c r="AJ224" i="16" s="1"/>
  <c r="AK224" i="16" s="1"/>
  <c r="T224" i="16"/>
  <c r="U224" i="16" s="1"/>
  <c r="V224" i="16" s="1"/>
  <c r="X224" i="16"/>
  <c r="M224" i="16"/>
  <c r="N224" i="16" s="1"/>
  <c r="K227" i="16" l="1"/>
  <c r="L226" i="16"/>
  <c r="AB224" i="16"/>
  <c r="AC224" i="16" s="1"/>
  <c r="X225" i="16"/>
  <c r="M225" i="16"/>
  <c r="AI225" i="16"/>
  <c r="AJ225" i="16" s="1"/>
  <c r="AK225" i="16" s="1"/>
  <c r="T225" i="16"/>
  <c r="U225" i="16" s="1"/>
  <c r="V225" i="16" s="1"/>
  <c r="S225" i="16"/>
  <c r="AP225" i="16"/>
  <c r="AQ225" i="16" s="1"/>
  <c r="AR225" i="16" s="1"/>
  <c r="AA225" i="16"/>
  <c r="AB225" i="16" s="1"/>
  <c r="AC225" i="16" s="1"/>
  <c r="N225" i="16"/>
  <c r="L227" i="16" l="1"/>
  <c r="K228" i="16"/>
  <c r="AP226" i="16"/>
  <c r="AQ226" i="16" s="1"/>
  <c r="AR226" i="16" s="1"/>
  <c r="AA226" i="16"/>
  <c r="S226" i="16"/>
  <c r="AI226" i="16"/>
  <c r="AJ226" i="16" s="1"/>
  <c r="AK226" i="16" s="1"/>
  <c r="T226" i="16"/>
  <c r="U226" i="16" s="1"/>
  <c r="V226" i="16" s="1"/>
  <c r="X226" i="16"/>
  <c r="M226" i="16"/>
  <c r="N226" i="16" s="1"/>
  <c r="K229" i="16" l="1"/>
  <c r="L228" i="16"/>
  <c r="AB226" i="16"/>
  <c r="AC226" i="16" s="1"/>
  <c r="X227" i="16"/>
  <c r="M227" i="16"/>
  <c r="AI227" i="16"/>
  <c r="AJ227" i="16" s="1"/>
  <c r="AK227" i="16" s="1"/>
  <c r="T227" i="16"/>
  <c r="U227" i="16" s="1"/>
  <c r="V227" i="16" s="1"/>
  <c r="S227" i="16"/>
  <c r="AP227" i="16"/>
  <c r="AQ227" i="16" s="1"/>
  <c r="AR227" i="16" s="1"/>
  <c r="AA227" i="16"/>
  <c r="AB227" i="16" s="1"/>
  <c r="AC227" i="16" s="1"/>
  <c r="N227" i="16"/>
  <c r="L229" i="16" l="1"/>
  <c r="K230" i="16"/>
  <c r="AP228" i="16"/>
  <c r="AA228" i="16"/>
  <c r="S228" i="16"/>
  <c r="AI228" i="16"/>
  <c r="AJ228" i="16" s="1"/>
  <c r="AK228" i="16" s="1"/>
  <c r="T228" i="16"/>
  <c r="U228" i="16" s="1"/>
  <c r="V228" i="16" s="1"/>
  <c r="X228" i="16"/>
  <c r="M228" i="16"/>
  <c r="N228" i="16" s="1"/>
  <c r="L230" i="16" l="1"/>
  <c r="K231" i="16"/>
  <c r="AB228" i="16"/>
  <c r="AC228" i="16" s="1"/>
  <c r="AQ228" i="16"/>
  <c r="AR228" i="16" s="1"/>
  <c r="X229" i="16"/>
  <c r="M229" i="16"/>
  <c r="AI229" i="16"/>
  <c r="AJ229" i="16" s="1"/>
  <c r="AK229" i="16" s="1"/>
  <c r="T229" i="16"/>
  <c r="U229" i="16" s="1"/>
  <c r="V229" i="16" s="1"/>
  <c r="S229" i="16"/>
  <c r="AP229" i="16"/>
  <c r="AQ229" i="16" s="1"/>
  <c r="AR229" i="16" s="1"/>
  <c r="AA229" i="16"/>
  <c r="AB229" i="16" s="1"/>
  <c r="AC229" i="16" s="1"/>
  <c r="N229" i="16"/>
  <c r="K232" i="16" l="1"/>
  <c r="L231" i="16"/>
  <c r="AP230" i="16"/>
  <c r="AA230" i="16"/>
  <c r="S230" i="16"/>
  <c r="AI230" i="16"/>
  <c r="T230" i="16"/>
  <c r="U230" i="16" s="1"/>
  <c r="V230" i="16" s="1"/>
  <c r="X230" i="16"/>
  <c r="M230" i="16"/>
  <c r="N230" i="16" s="1"/>
  <c r="K233" i="16" l="1"/>
  <c r="L232" i="16"/>
  <c r="AB230" i="16"/>
  <c r="AC230" i="16" s="1"/>
  <c r="AJ230" i="16"/>
  <c r="AK230" i="16" s="1"/>
  <c r="AQ230" i="16"/>
  <c r="AR230" i="16" s="1"/>
  <c r="X231" i="16"/>
  <c r="M231" i="16"/>
  <c r="AI231" i="16"/>
  <c r="AJ231" i="16" s="1"/>
  <c r="AK231" i="16" s="1"/>
  <c r="T231" i="16"/>
  <c r="U231" i="16" s="1"/>
  <c r="V231" i="16" s="1"/>
  <c r="S231" i="16"/>
  <c r="AP231" i="16"/>
  <c r="AQ231" i="16" s="1"/>
  <c r="AR231" i="16" s="1"/>
  <c r="AA231" i="16"/>
  <c r="AB231" i="16" s="1"/>
  <c r="AC231" i="16" s="1"/>
  <c r="N231" i="16"/>
  <c r="L233" i="16" l="1"/>
  <c r="K234" i="16"/>
  <c r="AP232" i="16"/>
  <c r="AQ232" i="16" s="1"/>
  <c r="AR232" i="16" s="1"/>
  <c r="AA232" i="16"/>
  <c r="AB232" i="16" s="1"/>
  <c r="AC232" i="16" s="1"/>
  <c r="S232" i="16"/>
  <c r="AI232" i="16"/>
  <c r="AJ232" i="16" s="1"/>
  <c r="AK232" i="16" s="1"/>
  <c r="T232" i="16"/>
  <c r="X232" i="16"/>
  <c r="M232" i="16"/>
  <c r="N232" i="16" s="1"/>
  <c r="K235" i="16" l="1"/>
  <c r="L234" i="16"/>
  <c r="U232" i="16"/>
  <c r="V232" i="16" s="1"/>
  <c r="X233" i="16"/>
  <c r="M233" i="16"/>
  <c r="AI233" i="16"/>
  <c r="AJ233" i="16" s="1"/>
  <c r="AK233" i="16" s="1"/>
  <c r="T233" i="16"/>
  <c r="U233" i="16" s="1"/>
  <c r="V233" i="16" s="1"/>
  <c r="S233" i="16"/>
  <c r="AP233" i="16"/>
  <c r="AQ233" i="16" s="1"/>
  <c r="AR233" i="16" s="1"/>
  <c r="AA233" i="16"/>
  <c r="AB233" i="16" s="1"/>
  <c r="AC233" i="16" s="1"/>
  <c r="N233" i="16"/>
  <c r="L235" i="16" l="1"/>
  <c r="K236" i="16"/>
  <c r="AP234" i="16"/>
  <c r="AQ234" i="16" s="1"/>
  <c r="AR234" i="16" s="1"/>
  <c r="AA234" i="16"/>
  <c r="S234" i="16"/>
  <c r="AI234" i="16"/>
  <c r="AJ234" i="16" s="1"/>
  <c r="AK234" i="16" s="1"/>
  <c r="T234" i="16"/>
  <c r="U234" i="16" s="1"/>
  <c r="V234" i="16" s="1"/>
  <c r="X234" i="16"/>
  <c r="M234" i="16"/>
  <c r="N234" i="16" s="1"/>
  <c r="L236" i="16" l="1"/>
  <c r="K237" i="16"/>
  <c r="AB234" i="16"/>
  <c r="AC234" i="16" s="1"/>
  <c r="X235" i="16"/>
  <c r="M235" i="16"/>
  <c r="AI235" i="16"/>
  <c r="AJ235" i="16" s="1"/>
  <c r="AK235" i="16" s="1"/>
  <c r="T235" i="16"/>
  <c r="U235" i="16" s="1"/>
  <c r="V235" i="16" s="1"/>
  <c r="S235" i="16"/>
  <c r="AP235" i="16"/>
  <c r="AQ235" i="16" s="1"/>
  <c r="AR235" i="16" s="1"/>
  <c r="AA235" i="16"/>
  <c r="AB235" i="16" s="1"/>
  <c r="AC235" i="16" s="1"/>
  <c r="N235" i="16"/>
  <c r="K238" i="16" l="1"/>
  <c r="L237" i="16"/>
  <c r="AP236" i="16"/>
  <c r="AQ236" i="16" s="1"/>
  <c r="AR236" i="16" s="1"/>
  <c r="AA236" i="16"/>
  <c r="S236" i="16"/>
  <c r="AI236" i="16"/>
  <c r="AJ236" i="16" s="1"/>
  <c r="AK236" i="16" s="1"/>
  <c r="T236" i="16"/>
  <c r="U236" i="16" s="1"/>
  <c r="V236" i="16" s="1"/>
  <c r="X236" i="16"/>
  <c r="M236" i="16"/>
  <c r="N236" i="16" s="1"/>
  <c r="K239" i="16" l="1"/>
  <c r="L238" i="16"/>
  <c r="AB236" i="16"/>
  <c r="AC236" i="16" s="1"/>
  <c r="X237" i="16"/>
  <c r="M237" i="16"/>
  <c r="AI237" i="16"/>
  <c r="AJ237" i="16" s="1"/>
  <c r="AK237" i="16" s="1"/>
  <c r="T237" i="16"/>
  <c r="U237" i="16" s="1"/>
  <c r="V237" i="16" s="1"/>
  <c r="S237" i="16"/>
  <c r="AP237" i="16"/>
  <c r="AQ237" i="16" s="1"/>
  <c r="AR237" i="16" s="1"/>
  <c r="AA237" i="16"/>
  <c r="AB237" i="16" s="1"/>
  <c r="AC237" i="16" s="1"/>
  <c r="N237" i="16"/>
  <c r="L239" i="16" l="1"/>
  <c r="K240" i="16"/>
  <c r="AP238" i="16"/>
  <c r="AQ238" i="16" s="1"/>
  <c r="AR238" i="16" s="1"/>
  <c r="AA238" i="16"/>
  <c r="AB238" i="16" s="1"/>
  <c r="AC238" i="16" s="1"/>
  <c r="S238" i="16"/>
  <c r="AI238" i="16"/>
  <c r="AJ238" i="16" s="1"/>
  <c r="AK238" i="16" s="1"/>
  <c r="T238" i="16"/>
  <c r="X238" i="16"/>
  <c r="M238" i="16"/>
  <c r="N238" i="16" s="1"/>
  <c r="K241" i="16" l="1"/>
  <c r="L240" i="16"/>
  <c r="U238" i="16"/>
  <c r="V238" i="16" s="1"/>
  <c r="X239" i="16"/>
  <c r="M239" i="16"/>
  <c r="AI239" i="16"/>
  <c r="AJ239" i="16" s="1"/>
  <c r="AK239" i="16" s="1"/>
  <c r="T239" i="16"/>
  <c r="U239" i="16" s="1"/>
  <c r="V239" i="16" s="1"/>
  <c r="S239" i="16"/>
  <c r="AP239" i="16"/>
  <c r="AQ239" i="16" s="1"/>
  <c r="AR239" i="16" s="1"/>
  <c r="AA239" i="16"/>
  <c r="AB239" i="16" s="1"/>
  <c r="AC239" i="16" s="1"/>
  <c r="N239" i="16"/>
  <c r="L241" i="16" l="1"/>
  <c r="K242" i="16"/>
  <c r="AP240" i="16"/>
  <c r="AQ240" i="16" s="1"/>
  <c r="AR240" i="16" s="1"/>
  <c r="AA240" i="16"/>
  <c r="AB240" i="16" s="1"/>
  <c r="AC240" i="16" s="1"/>
  <c r="S240" i="16"/>
  <c r="AI240" i="16"/>
  <c r="AJ240" i="16" s="1"/>
  <c r="AK240" i="16" s="1"/>
  <c r="T240" i="16"/>
  <c r="X240" i="16"/>
  <c r="M240" i="16"/>
  <c r="N240" i="16" s="1"/>
  <c r="L242" i="16" l="1"/>
  <c r="K243" i="16"/>
  <c r="U240" i="16"/>
  <c r="V240" i="16" s="1"/>
  <c r="X241" i="16"/>
  <c r="M241" i="16"/>
  <c r="AI241" i="16"/>
  <c r="AJ241" i="16" s="1"/>
  <c r="AK241" i="16" s="1"/>
  <c r="T241" i="16"/>
  <c r="U241" i="16" s="1"/>
  <c r="V241" i="16" s="1"/>
  <c r="S241" i="16"/>
  <c r="AP241" i="16"/>
  <c r="AQ241" i="16" s="1"/>
  <c r="AR241" i="16" s="1"/>
  <c r="AA241" i="16"/>
  <c r="AB241" i="16" s="1"/>
  <c r="AC241" i="16" s="1"/>
  <c r="N241" i="16"/>
  <c r="K244" i="16" l="1"/>
  <c r="L243" i="16"/>
  <c r="AP242" i="16"/>
  <c r="AQ242" i="16" s="1"/>
  <c r="AR242" i="16" s="1"/>
  <c r="AA242" i="16"/>
  <c r="AB242" i="16" s="1"/>
  <c r="AC242" i="16" s="1"/>
  <c r="S242" i="16"/>
  <c r="AI242" i="16"/>
  <c r="AJ242" i="16" s="1"/>
  <c r="AK242" i="16" s="1"/>
  <c r="T242" i="16"/>
  <c r="U242" i="16" s="1"/>
  <c r="V242" i="16" s="1"/>
  <c r="X242" i="16"/>
  <c r="M242" i="16"/>
  <c r="N242" i="16" s="1"/>
  <c r="K245" i="16" l="1"/>
  <c r="L244" i="16"/>
  <c r="X243" i="16"/>
  <c r="M243" i="16"/>
  <c r="AI243" i="16"/>
  <c r="AJ243" i="16" s="1"/>
  <c r="AK243" i="16" s="1"/>
  <c r="T243" i="16"/>
  <c r="U243" i="16" s="1"/>
  <c r="V243" i="16" s="1"/>
  <c r="S243" i="16"/>
  <c r="AP243" i="16"/>
  <c r="AQ243" i="16" s="1"/>
  <c r="AR243" i="16" s="1"/>
  <c r="AA243" i="16"/>
  <c r="AB243" i="16" s="1"/>
  <c r="AC243" i="16" s="1"/>
  <c r="N243" i="16"/>
  <c r="L245" i="16" l="1"/>
  <c r="K246" i="16"/>
  <c r="AP244" i="16"/>
  <c r="AQ244" i="16" s="1"/>
  <c r="AR244" i="16" s="1"/>
  <c r="AA244" i="16"/>
  <c r="S244" i="16"/>
  <c r="AI244" i="16"/>
  <c r="AJ244" i="16" s="1"/>
  <c r="AK244" i="16" s="1"/>
  <c r="T244" i="16"/>
  <c r="U244" i="16" s="1"/>
  <c r="V244" i="16" s="1"/>
  <c r="X244" i="16"/>
  <c r="M244" i="16"/>
  <c r="N244" i="16" s="1"/>
  <c r="K247" i="16" l="1"/>
  <c r="L246" i="16"/>
  <c r="AB244" i="16"/>
  <c r="AC244" i="16" s="1"/>
  <c r="X245" i="16"/>
  <c r="M245" i="16"/>
  <c r="AI245" i="16"/>
  <c r="AJ245" i="16" s="1"/>
  <c r="AK245" i="16" s="1"/>
  <c r="T245" i="16"/>
  <c r="U245" i="16" s="1"/>
  <c r="V245" i="16" s="1"/>
  <c r="S245" i="16"/>
  <c r="AP245" i="16"/>
  <c r="AQ245" i="16" s="1"/>
  <c r="AR245" i="16" s="1"/>
  <c r="AA245" i="16"/>
  <c r="AB245" i="16" s="1"/>
  <c r="AC245" i="16" s="1"/>
  <c r="N245" i="16"/>
  <c r="L247" i="16" l="1"/>
  <c r="K248" i="16"/>
  <c r="AP246" i="16"/>
  <c r="AQ246" i="16" s="1"/>
  <c r="AR246" i="16" s="1"/>
  <c r="AA246" i="16"/>
  <c r="AB246" i="16" s="1"/>
  <c r="AC246" i="16" s="1"/>
  <c r="N246" i="16"/>
  <c r="S246" i="16"/>
  <c r="AI246" i="16"/>
  <c r="AJ246" i="16" s="1"/>
  <c r="AK246" i="16" s="1"/>
  <c r="T246" i="16"/>
  <c r="U246" i="16" s="1"/>
  <c r="V246" i="16" s="1"/>
  <c r="X246" i="16"/>
  <c r="M246" i="16"/>
  <c r="L248" i="16" l="1"/>
  <c r="K249" i="16"/>
  <c r="X247" i="16"/>
  <c r="M247" i="16"/>
  <c r="AI247" i="16"/>
  <c r="AJ247" i="16" s="1"/>
  <c r="AK247" i="16" s="1"/>
  <c r="T247" i="16"/>
  <c r="U247" i="16" s="1"/>
  <c r="V247" i="16" s="1"/>
  <c r="S247" i="16"/>
  <c r="AP247" i="16"/>
  <c r="AQ247" i="16" s="1"/>
  <c r="AR247" i="16" s="1"/>
  <c r="AA247" i="16"/>
  <c r="AB247" i="16" s="1"/>
  <c r="AC247" i="16" s="1"/>
  <c r="N247" i="16"/>
  <c r="K250" i="16" l="1"/>
  <c r="L249" i="16"/>
  <c r="X248" i="16"/>
  <c r="M248" i="16"/>
  <c r="AA248" i="16"/>
  <c r="AB248" i="16" s="1"/>
  <c r="AC248" i="16" s="1"/>
  <c r="AP248" i="16"/>
  <c r="AQ248" i="16" s="1"/>
  <c r="AR248" i="16" s="1"/>
  <c r="S248" i="16"/>
  <c r="AI248" i="16"/>
  <c r="AJ248" i="16" s="1"/>
  <c r="AK248" i="16" s="1"/>
  <c r="N248" i="16"/>
  <c r="T248" i="16"/>
  <c r="U248" i="16" s="1"/>
  <c r="V248" i="16" s="1"/>
  <c r="K251" i="16" l="1"/>
  <c r="L250" i="16"/>
  <c r="AP249" i="16"/>
  <c r="AQ249" i="16" s="1"/>
  <c r="AR249" i="16" s="1"/>
  <c r="AA249" i="16"/>
  <c r="AB249" i="16" s="1"/>
  <c r="AC249" i="16" s="1"/>
  <c r="N249" i="16"/>
  <c r="S249" i="16"/>
  <c r="AI249" i="16"/>
  <c r="AJ249" i="16" s="1"/>
  <c r="AK249" i="16" s="1"/>
  <c r="T249" i="16"/>
  <c r="U249" i="16" s="1"/>
  <c r="V249" i="16" s="1"/>
  <c r="X249" i="16"/>
  <c r="M249" i="16"/>
  <c r="K252" i="16" l="1"/>
  <c r="L251" i="16"/>
  <c r="X250" i="16"/>
  <c r="M250" i="16"/>
  <c r="AI250" i="16"/>
  <c r="AJ250" i="16" s="1"/>
  <c r="AK250" i="16" s="1"/>
  <c r="T250" i="16"/>
  <c r="U250" i="16" s="1"/>
  <c r="V250" i="16" s="1"/>
  <c r="S250" i="16"/>
  <c r="AP250" i="16"/>
  <c r="AQ250" i="16" s="1"/>
  <c r="AR250" i="16" s="1"/>
  <c r="AA250" i="16"/>
  <c r="AB250" i="16" s="1"/>
  <c r="AC250" i="16" s="1"/>
  <c r="N250" i="16"/>
  <c r="K253" i="16" l="1"/>
  <c r="L252" i="16"/>
  <c r="AP251" i="16"/>
  <c r="AQ251" i="16" s="1"/>
  <c r="AR251" i="16" s="1"/>
  <c r="AA251" i="16"/>
  <c r="AB251" i="16" s="1"/>
  <c r="AC251" i="16" s="1"/>
  <c r="N251" i="16"/>
  <c r="S251" i="16"/>
  <c r="AI251" i="16"/>
  <c r="AJ251" i="16" s="1"/>
  <c r="AK251" i="16" s="1"/>
  <c r="T251" i="16"/>
  <c r="U251" i="16" s="1"/>
  <c r="V251" i="16" s="1"/>
  <c r="X251" i="16"/>
  <c r="M251" i="16"/>
  <c r="L253" i="16" l="1"/>
  <c r="K254" i="16"/>
  <c r="X252" i="16"/>
  <c r="M252" i="16"/>
  <c r="AI252" i="16"/>
  <c r="AJ252" i="16" s="1"/>
  <c r="AK252" i="16" s="1"/>
  <c r="T252" i="16"/>
  <c r="U252" i="16" s="1"/>
  <c r="V252" i="16" s="1"/>
  <c r="S252" i="16"/>
  <c r="AP252" i="16"/>
  <c r="AQ252" i="16" s="1"/>
  <c r="AR252" i="16" s="1"/>
  <c r="AA252" i="16"/>
  <c r="AB252" i="16" s="1"/>
  <c r="AC252" i="16" s="1"/>
  <c r="N252" i="16"/>
  <c r="K255" i="16" l="1"/>
  <c r="L254" i="16"/>
  <c r="AP253" i="16"/>
  <c r="AQ253" i="16" s="1"/>
  <c r="AR253" i="16" s="1"/>
  <c r="AA253" i="16"/>
  <c r="AB253" i="16" s="1"/>
  <c r="AC253" i="16" s="1"/>
  <c r="N253" i="16"/>
  <c r="S253" i="16"/>
  <c r="AI253" i="16"/>
  <c r="AJ253" i="16" s="1"/>
  <c r="AK253" i="16" s="1"/>
  <c r="T253" i="16"/>
  <c r="U253" i="16" s="1"/>
  <c r="V253" i="16" s="1"/>
  <c r="X253" i="16"/>
  <c r="M253" i="16"/>
  <c r="K256" i="16" l="1"/>
  <c r="L255" i="16"/>
  <c r="X254" i="16"/>
  <c r="M254" i="16"/>
  <c r="AI254" i="16"/>
  <c r="AJ254" i="16" s="1"/>
  <c r="AK254" i="16" s="1"/>
  <c r="T254" i="16"/>
  <c r="U254" i="16" s="1"/>
  <c r="V254" i="16" s="1"/>
  <c r="S254" i="16"/>
  <c r="AP254" i="16"/>
  <c r="AQ254" i="16" s="1"/>
  <c r="AR254" i="16" s="1"/>
  <c r="AA254" i="16"/>
  <c r="AB254" i="16" s="1"/>
  <c r="AC254" i="16" s="1"/>
  <c r="N254" i="16"/>
  <c r="K257" i="16" l="1"/>
  <c r="L256" i="16"/>
  <c r="AP255" i="16"/>
  <c r="AQ255" i="16" s="1"/>
  <c r="AR255" i="16" s="1"/>
  <c r="AA255" i="16"/>
  <c r="AB255" i="16" s="1"/>
  <c r="AC255" i="16" s="1"/>
  <c r="N255" i="16"/>
  <c r="S255" i="16"/>
  <c r="AI255" i="16"/>
  <c r="AJ255" i="16" s="1"/>
  <c r="AK255" i="16" s="1"/>
  <c r="T255" i="16"/>
  <c r="U255" i="16" s="1"/>
  <c r="V255" i="16" s="1"/>
  <c r="X255" i="16"/>
  <c r="M255" i="16"/>
  <c r="K258" i="16" l="1"/>
  <c r="L257" i="16"/>
  <c r="X256" i="16"/>
  <c r="M256" i="16"/>
  <c r="AI256" i="16"/>
  <c r="AJ256" i="16" s="1"/>
  <c r="AK256" i="16" s="1"/>
  <c r="T256" i="16"/>
  <c r="U256" i="16" s="1"/>
  <c r="V256" i="16" s="1"/>
  <c r="S256" i="16"/>
  <c r="AP256" i="16"/>
  <c r="AQ256" i="16" s="1"/>
  <c r="AR256" i="16" s="1"/>
  <c r="AA256" i="16"/>
  <c r="AB256" i="16" s="1"/>
  <c r="AC256" i="16" s="1"/>
  <c r="N256" i="16"/>
  <c r="K259" i="16" l="1"/>
  <c r="L258" i="16"/>
  <c r="AP257" i="16"/>
  <c r="AQ257" i="16" s="1"/>
  <c r="AR257" i="16" s="1"/>
  <c r="AA257" i="16"/>
  <c r="AB257" i="16" s="1"/>
  <c r="AC257" i="16" s="1"/>
  <c r="N257" i="16"/>
  <c r="S257" i="16"/>
  <c r="AI257" i="16"/>
  <c r="AJ257" i="16" s="1"/>
  <c r="AK257" i="16" s="1"/>
  <c r="T257" i="16"/>
  <c r="U257" i="16" s="1"/>
  <c r="V257" i="16" s="1"/>
  <c r="X257" i="16"/>
  <c r="M257" i="16"/>
  <c r="L259" i="16" l="1"/>
  <c r="K260" i="16"/>
  <c r="X258" i="16"/>
  <c r="M258" i="16"/>
  <c r="AI258" i="16"/>
  <c r="AJ258" i="16" s="1"/>
  <c r="AK258" i="16" s="1"/>
  <c r="T258" i="16"/>
  <c r="U258" i="16" s="1"/>
  <c r="V258" i="16" s="1"/>
  <c r="S258" i="16"/>
  <c r="AP258" i="16"/>
  <c r="AQ258" i="16" s="1"/>
  <c r="AR258" i="16" s="1"/>
  <c r="AA258" i="16"/>
  <c r="AB258" i="16" s="1"/>
  <c r="AC258" i="16" s="1"/>
  <c r="N258" i="16"/>
  <c r="K261" i="16" l="1"/>
  <c r="L260" i="16"/>
  <c r="AP259" i="16"/>
  <c r="AQ259" i="16" s="1"/>
  <c r="AR259" i="16" s="1"/>
  <c r="AA259" i="16"/>
  <c r="AB259" i="16" s="1"/>
  <c r="AC259" i="16" s="1"/>
  <c r="N259" i="16"/>
  <c r="S259" i="16"/>
  <c r="AI259" i="16"/>
  <c r="AJ259" i="16" s="1"/>
  <c r="AK259" i="16" s="1"/>
  <c r="T259" i="16"/>
  <c r="U259" i="16" s="1"/>
  <c r="V259" i="16" s="1"/>
  <c r="X259" i="16"/>
  <c r="M259" i="16"/>
  <c r="K262" i="16" l="1"/>
  <c r="L261" i="16"/>
  <c r="X260" i="16"/>
  <c r="M260" i="16"/>
  <c r="AI260" i="16"/>
  <c r="AJ260" i="16" s="1"/>
  <c r="AK260" i="16" s="1"/>
  <c r="T260" i="16"/>
  <c r="U260" i="16" s="1"/>
  <c r="V260" i="16" s="1"/>
  <c r="S260" i="16"/>
  <c r="AP260" i="16"/>
  <c r="AQ260" i="16" s="1"/>
  <c r="AR260" i="16" s="1"/>
  <c r="AA260" i="16"/>
  <c r="AB260" i="16" s="1"/>
  <c r="AC260" i="16" s="1"/>
  <c r="N260" i="16"/>
  <c r="K263" i="16" l="1"/>
  <c r="L262" i="16"/>
  <c r="AP261" i="16"/>
  <c r="AQ261" i="16" s="1"/>
  <c r="AR261" i="16" s="1"/>
  <c r="AA261" i="16"/>
  <c r="AB261" i="16" s="1"/>
  <c r="AC261" i="16" s="1"/>
  <c r="N261" i="16"/>
  <c r="S261" i="16"/>
  <c r="AI261" i="16"/>
  <c r="AJ261" i="16" s="1"/>
  <c r="AK261" i="16" s="1"/>
  <c r="T261" i="16"/>
  <c r="U261" i="16" s="1"/>
  <c r="V261" i="16" s="1"/>
  <c r="X261" i="16"/>
  <c r="M261" i="16"/>
  <c r="K264" i="16" l="1"/>
  <c r="L263" i="16"/>
  <c r="X262" i="16"/>
  <c r="M262" i="16"/>
  <c r="AI262" i="16"/>
  <c r="AJ262" i="16" s="1"/>
  <c r="AK262" i="16" s="1"/>
  <c r="T262" i="16"/>
  <c r="U262" i="16" s="1"/>
  <c r="V262" i="16" s="1"/>
  <c r="S262" i="16"/>
  <c r="AP262" i="16"/>
  <c r="AQ262" i="16" s="1"/>
  <c r="AR262" i="16" s="1"/>
  <c r="AA262" i="16"/>
  <c r="AB262" i="16" s="1"/>
  <c r="AC262" i="16" s="1"/>
  <c r="N262" i="16"/>
  <c r="K265" i="16" l="1"/>
  <c r="L264" i="16"/>
  <c r="AP263" i="16"/>
  <c r="AQ263" i="16" s="1"/>
  <c r="AR263" i="16" s="1"/>
  <c r="AA263" i="16"/>
  <c r="AB263" i="16" s="1"/>
  <c r="AC263" i="16" s="1"/>
  <c r="N263" i="16"/>
  <c r="S263" i="16"/>
  <c r="AI263" i="16"/>
  <c r="AJ263" i="16" s="1"/>
  <c r="AK263" i="16" s="1"/>
  <c r="T263" i="16"/>
  <c r="U263" i="16" s="1"/>
  <c r="V263" i="16" s="1"/>
  <c r="X263" i="16"/>
  <c r="M263" i="16"/>
  <c r="L265" i="16" l="1"/>
  <c r="K266" i="16"/>
  <c r="X264" i="16"/>
  <c r="M264" i="16"/>
  <c r="AI264" i="16"/>
  <c r="AJ264" i="16" s="1"/>
  <c r="AK264" i="16" s="1"/>
  <c r="T264" i="16"/>
  <c r="U264" i="16" s="1"/>
  <c r="V264" i="16" s="1"/>
  <c r="S264" i="16"/>
  <c r="AP264" i="16"/>
  <c r="AQ264" i="16" s="1"/>
  <c r="AR264" i="16" s="1"/>
  <c r="AA264" i="16"/>
  <c r="AB264" i="16" s="1"/>
  <c r="AC264" i="16" s="1"/>
  <c r="N264" i="16"/>
  <c r="K267" i="16" l="1"/>
  <c r="L266" i="16"/>
  <c r="AP265" i="16"/>
  <c r="AQ265" i="16" s="1"/>
  <c r="AR265" i="16" s="1"/>
  <c r="AA265" i="16"/>
  <c r="AB265" i="16" s="1"/>
  <c r="AC265" i="16" s="1"/>
  <c r="N265" i="16"/>
  <c r="S265" i="16"/>
  <c r="AI265" i="16"/>
  <c r="AJ265" i="16" s="1"/>
  <c r="AK265" i="16" s="1"/>
  <c r="T265" i="16"/>
  <c r="U265" i="16" s="1"/>
  <c r="V265" i="16" s="1"/>
  <c r="X265" i="16"/>
  <c r="M265" i="16"/>
  <c r="K268" i="16" l="1"/>
  <c r="L267" i="16"/>
  <c r="X266" i="16"/>
  <c r="M266" i="16"/>
  <c r="AI266" i="16"/>
  <c r="AJ266" i="16" s="1"/>
  <c r="AK266" i="16" s="1"/>
  <c r="T266" i="16"/>
  <c r="U266" i="16" s="1"/>
  <c r="V266" i="16" s="1"/>
  <c r="S266" i="16"/>
  <c r="AP266" i="16"/>
  <c r="AQ266" i="16" s="1"/>
  <c r="AR266" i="16" s="1"/>
  <c r="AA266" i="16"/>
  <c r="AB266" i="16" s="1"/>
  <c r="AC266" i="16" s="1"/>
  <c r="N266" i="16"/>
  <c r="K269" i="16" l="1"/>
  <c r="L268" i="16"/>
  <c r="AP267" i="16"/>
  <c r="AQ267" i="16" s="1"/>
  <c r="AR267" i="16" s="1"/>
  <c r="AA267" i="16"/>
  <c r="AB267" i="16" s="1"/>
  <c r="AC267" i="16" s="1"/>
  <c r="N267" i="16"/>
  <c r="S267" i="16"/>
  <c r="AI267" i="16"/>
  <c r="AJ267" i="16" s="1"/>
  <c r="AK267" i="16" s="1"/>
  <c r="T267" i="16"/>
  <c r="U267" i="16" s="1"/>
  <c r="V267" i="16" s="1"/>
  <c r="X267" i="16"/>
  <c r="M267" i="16"/>
  <c r="K270" i="16" l="1"/>
  <c r="L269" i="16"/>
  <c r="X268" i="16"/>
  <c r="M268" i="16"/>
  <c r="AI268" i="16"/>
  <c r="AJ268" i="16" s="1"/>
  <c r="AK268" i="16" s="1"/>
  <c r="T268" i="16"/>
  <c r="U268" i="16" s="1"/>
  <c r="V268" i="16" s="1"/>
  <c r="S268" i="16"/>
  <c r="AP268" i="16"/>
  <c r="AQ268" i="16" s="1"/>
  <c r="AR268" i="16" s="1"/>
  <c r="AA268" i="16"/>
  <c r="AB268" i="16" s="1"/>
  <c r="AC268" i="16" s="1"/>
  <c r="N268" i="16"/>
  <c r="K271" i="16" l="1"/>
  <c r="L270" i="16"/>
  <c r="AP269" i="16"/>
  <c r="AQ269" i="16" s="1"/>
  <c r="AR269" i="16" s="1"/>
  <c r="AA269" i="16"/>
  <c r="AB269" i="16" s="1"/>
  <c r="AC269" i="16" s="1"/>
  <c r="N269" i="16"/>
  <c r="S269" i="16"/>
  <c r="AI269" i="16"/>
  <c r="AJ269" i="16" s="1"/>
  <c r="AK269" i="16" s="1"/>
  <c r="T269" i="16"/>
  <c r="U269" i="16" s="1"/>
  <c r="V269" i="16" s="1"/>
  <c r="X269" i="16"/>
  <c r="M269" i="16"/>
  <c r="L271" i="16" l="1"/>
  <c r="K272" i="16"/>
  <c r="X270" i="16"/>
  <c r="M270" i="16"/>
  <c r="AI270" i="16"/>
  <c r="AJ270" i="16" s="1"/>
  <c r="AK270" i="16" s="1"/>
  <c r="T270" i="16"/>
  <c r="U270" i="16" s="1"/>
  <c r="V270" i="16" s="1"/>
  <c r="S270" i="16"/>
  <c r="AP270" i="16"/>
  <c r="AQ270" i="16" s="1"/>
  <c r="AR270" i="16" s="1"/>
  <c r="AA270" i="16"/>
  <c r="AB270" i="16" s="1"/>
  <c r="AC270" i="16" s="1"/>
  <c r="N270" i="16"/>
  <c r="K273" i="16" l="1"/>
  <c r="L272" i="16"/>
  <c r="AP271" i="16"/>
  <c r="AQ271" i="16" s="1"/>
  <c r="AR271" i="16" s="1"/>
  <c r="AA271" i="16"/>
  <c r="AB271" i="16" s="1"/>
  <c r="AC271" i="16" s="1"/>
  <c r="N271" i="16"/>
  <c r="S271" i="16"/>
  <c r="AI271" i="16"/>
  <c r="AJ271" i="16" s="1"/>
  <c r="AK271" i="16" s="1"/>
  <c r="T271" i="16"/>
  <c r="U271" i="16" s="1"/>
  <c r="V271" i="16" s="1"/>
  <c r="X271" i="16"/>
  <c r="M271" i="16"/>
  <c r="K274" i="16" l="1"/>
  <c r="L273" i="16"/>
  <c r="X272" i="16"/>
  <c r="M272" i="16"/>
  <c r="AI272" i="16"/>
  <c r="AJ272" i="16" s="1"/>
  <c r="AK272" i="16" s="1"/>
  <c r="T272" i="16"/>
  <c r="U272" i="16" s="1"/>
  <c r="V272" i="16" s="1"/>
  <c r="S272" i="16"/>
  <c r="AP272" i="16"/>
  <c r="AQ272" i="16" s="1"/>
  <c r="AR272" i="16" s="1"/>
  <c r="AA272" i="16"/>
  <c r="AB272" i="16" s="1"/>
  <c r="AC272" i="16" s="1"/>
  <c r="N272" i="16"/>
  <c r="K275" i="16" l="1"/>
  <c r="L274" i="16"/>
  <c r="AP273" i="16"/>
  <c r="AQ273" i="16" s="1"/>
  <c r="AR273" i="16" s="1"/>
  <c r="AA273" i="16"/>
  <c r="AB273" i="16" s="1"/>
  <c r="AC273" i="16" s="1"/>
  <c r="N273" i="16"/>
  <c r="S273" i="16"/>
  <c r="AI273" i="16"/>
  <c r="AJ273" i="16" s="1"/>
  <c r="AK273" i="16" s="1"/>
  <c r="T273" i="16"/>
  <c r="U273" i="16" s="1"/>
  <c r="V273" i="16" s="1"/>
  <c r="X273" i="16"/>
  <c r="M273" i="16"/>
  <c r="K276" i="16" l="1"/>
  <c r="L275" i="16"/>
  <c r="X274" i="16"/>
  <c r="M274" i="16"/>
  <c r="AI274" i="16"/>
  <c r="AJ274" i="16" s="1"/>
  <c r="AK274" i="16" s="1"/>
  <c r="T274" i="16"/>
  <c r="U274" i="16" s="1"/>
  <c r="V274" i="16" s="1"/>
  <c r="S274" i="16"/>
  <c r="AP274" i="16"/>
  <c r="AQ274" i="16" s="1"/>
  <c r="AR274" i="16" s="1"/>
  <c r="AA274" i="16"/>
  <c r="AB274" i="16" s="1"/>
  <c r="AC274" i="16" s="1"/>
  <c r="N274" i="16"/>
  <c r="K277" i="16" l="1"/>
  <c r="L276" i="16"/>
  <c r="AP275" i="16"/>
  <c r="AQ275" i="16" s="1"/>
  <c r="AR275" i="16" s="1"/>
  <c r="AA275" i="16"/>
  <c r="AB275" i="16" s="1"/>
  <c r="AC275" i="16" s="1"/>
  <c r="N275" i="16"/>
  <c r="S275" i="16"/>
  <c r="AI275" i="16"/>
  <c r="AJ275" i="16" s="1"/>
  <c r="AK275" i="16" s="1"/>
  <c r="T275" i="16"/>
  <c r="U275" i="16" s="1"/>
  <c r="V275" i="16" s="1"/>
  <c r="X275" i="16"/>
  <c r="M275" i="16"/>
  <c r="L277" i="16" l="1"/>
  <c r="K278" i="16"/>
  <c r="X276" i="16"/>
  <c r="M276" i="16"/>
  <c r="AI276" i="16"/>
  <c r="AJ276" i="16" s="1"/>
  <c r="AK276" i="16" s="1"/>
  <c r="T276" i="16"/>
  <c r="U276" i="16" s="1"/>
  <c r="V276" i="16" s="1"/>
  <c r="S276" i="16"/>
  <c r="AP276" i="16"/>
  <c r="AQ276" i="16" s="1"/>
  <c r="AR276" i="16" s="1"/>
  <c r="AA276" i="16"/>
  <c r="AB276" i="16" s="1"/>
  <c r="AC276" i="16" s="1"/>
  <c r="N276" i="16"/>
  <c r="K279" i="16" l="1"/>
  <c r="L278" i="16"/>
  <c r="AP277" i="16"/>
  <c r="AQ277" i="16" s="1"/>
  <c r="AR277" i="16" s="1"/>
  <c r="AA277" i="16"/>
  <c r="AB277" i="16" s="1"/>
  <c r="AC277" i="16" s="1"/>
  <c r="N277" i="16"/>
  <c r="S277" i="16"/>
  <c r="AI277" i="16"/>
  <c r="AJ277" i="16" s="1"/>
  <c r="AK277" i="16" s="1"/>
  <c r="T277" i="16"/>
  <c r="U277" i="16" s="1"/>
  <c r="V277" i="16" s="1"/>
  <c r="X277" i="16"/>
  <c r="M277" i="16"/>
  <c r="K280" i="16" l="1"/>
  <c r="L279" i="16"/>
  <c r="X278" i="16"/>
  <c r="M278" i="16"/>
  <c r="AI278" i="16"/>
  <c r="AJ278" i="16" s="1"/>
  <c r="AK278" i="16" s="1"/>
  <c r="T278" i="16"/>
  <c r="U278" i="16" s="1"/>
  <c r="V278" i="16" s="1"/>
  <c r="S278" i="16"/>
  <c r="AP278" i="16"/>
  <c r="AQ278" i="16" s="1"/>
  <c r="AR278" i="16" s="1"/>
  <c r="AA278" i="16"/>
  <c r="AB278" i="16" s="1"/>
  <c r="AC278" i="16" s="1"/>
  <c r="N278" i="16"/>
  <c r="K281" i="16" l="1"/>
  <c r="L280" i="16"/>
  <c r="AP279" i="16"/>
  <c r="AQ279" i="16" s="1"/>
  <c r="AR279" i="16" s="1"/>
  <c r="AA279" i="16"/>
  <c r="AB279" i="16" s="1"/>
  <c r="AC279" i="16" s="1"/>
  <c r="N279" i="16"/>
  <c r="S279" i="16"/>
  <c r="AI279" i="16"/>
  <c r="AJ279" i="16" s="1"/>
  <c r="AK279" i="16" s="1"/>
  <c r="T279" i="16"/>
  <c r="U279" i="16" s="1"/>
  <c r="V279" i="16" s="1"/>
  <c r="X279" i="16"/>
  <c r="M279" i="16"/>
  <c r="K282" i="16" l="1"/>
  <c r="L281" i="16"/>
  <c r="X280" i="16"/>
  <c r="M280" i="16"/>
  <c r="AI280" i="16"/>
  <c r="AJ280" i="16" s="1"/>
  <c r="AK280" i="16" s="1"/>
  <c r="T280" i="16"/>
  <c r="U280" i="16" s="1"/>
  <c r="V280" i="16" s="1"/>
  <c r="S280" i="16"/>
  <c r="AP280" i="16"/>
  <c r="AQ280" i="16" s="1"/>
  <c r="AR280" i="16" s="1"/>
  <c r="AA280" i="16"/>
  <c r="AB280" i="16" s="1"/>
  <c r="AC280" i="16" s="1"/>
  <c r="N280" i="16"/>
  <c r="K283" i="16" l="1"/>
  <c r="L282" i="16"/>
  <c r="AP281" i="16"/>
  <c r="AQ281" i="16" s="1"/>
  <c r="AR281" i="16" s="1"/>
  <c r="AA281" i="16"/>
  <c r="AB281" i="16" s="1"/>
  <c r="AC281" i="16" s="1"/>
  <c r="N281" i="16"/>
  <c r="S281" i="16"/>
  <c r="AI281" i="16"/>
  <c r="AJ281" i="16" s="1"/>
  <c r="AK281" i="16" s="1"/>
  <c r="T281" i="16"/>
  <c r="U281" i="16" s="1"/>
  <c r="V281" i="16" s="1"/>
  <c r="X281" i="16"/>
  <c r="M281" i="16"/>
  <c r="L283" i="16" l="1"/>
  <c r="K284" i="16"/>
  <c r="X282" i="16"/>
  <c r="M282" i="16"/>
  <c r="AI282" i="16"/>
  <c r="AJ282" i="16" s="1"/>
  <c r="AK282" i="16" s="1"/>
  <c r="T282" i="16"/>
  <c r="U282" i="16" s="1"/>
  <c r="V282" i="16" s="1"/>
  <c r="S282" i="16"/>
  <c r="AP282" i="16"/>
  <c r="AQ282" i="16" s="1"/>
  <c r="AR282" i="16" s="1"/>
  <c r="AA282" i="16"/>
  <c r="AB282" i="16" s="1"/>
  <c r="AC282" i="16" s="1"/>
  <c r="N282" i="16"/>
  <c r="L284" i="16" l="1"/>
  <c r="K285" i="16"/>
  <c r="AP283" i="16"/>
  <c r="AQ283" i="16" s="1"/>
  <c r="AR283" i="16" s="1"/>
  <c r="AA283" i="16"/>
  <c r="AB283" i="16" s="1"/>
  <c r="AC283" i="16" s="1"/>
  <c r="N283" i="16"/>
  <c r="S283" i="16"/>
  <c r="AI283" i="16"/>
  <c r="AJ283" i="16" s="1"/>
  <c r="AK283" i="16" s="1"/>
  <c r="T283" i="16"/>
  <c r="U283" i="16" s="1"/>
  <c r="V283" i="16" s="1"/>
  <c r="X283" i="16"/>
  <c r="M283" i="16"/>
  <c r="K286" i="16" l="1"/>
  <c r="L285" i="16"/>
  <c r="X284" i="16"/>
  <c r="M284" i="16"/>
  <c r="AI284" i="16"/>
  <c r="AJ284" i="16" s="1"/>
  <c r="AK284" i="16" s="1"/>
  <c r="T284" i="16"/>
  <c r="U284" i="16" s="1"/>
  <c r="V284" i="16" s="1"/>
  <c r="S284" i="16"/>
  <c r="AP284" i="16"/>
  <c r="AQ284" i="16" s="1"/>
  <c r="AR284" i="16" s="1"/>
  <c r="AA284" i="16"/>
  <c r="AB284" i="16" s="1"/>
  <c r="AC284" i="16" s="1"/>
  <c r="N284" i="16"/>
  <c r="K287" i="16" l="1"/>
  <c r="L286" i="16"/>
  <c r="AP285" i="16"/>
  <c r="AQ285" i="16" s="1"/>
  <c r="AR285" i="16" s="1"/>
  <c r="AA285" i="16"/>
  <c r="AB285" i="16" s="1"/>
  <c r="AC285" i="16" s="1"/>
  <c r="N285" i="16"/>
  <c r="S285" i="16"/>
  <c r="AI285" i="16"/>
  <c r="AJ285" i="16" s="1"/>
  <c r="AK285" i="16" s="1"/>
  <c r="T285" i="16"/>
  <c r="U285" i="16" s="1"/>
  <c r="V285" i="16" s="1"/>
  <c r="X285" i="16"/>
  <c r="M285" i="16"/>
  <c r="L287" i="16" l="1"/>
  <c r="K288" i="16"/>
  <c r="X286" i="16"/>
  <c r="M286" i="16"/>
  <c r="AI286" i="16"/>
  <c r="AJ286" i="16" s="1"/>
  <c r="AK286" i="16" s="1"/>
  <c r="T286" i="16"/>
  <c r="U286" i="16" s="1"/>
  <c r="V286" i="16" s="1"/>
  <c r="S286" i="16"/>
  <c r="AP286" i="16"/>
  <c r="AQ286" i="16" s="1"/>
  <c r="AR286" i="16" s="1"/>
  <c r="AA286" i="16"/>
  <c r="AB286" i="16" s="1"/>
  <c r="AC286" i="16" s="1"/>
  <c r="N286" i="16"/>
  <c r="K289" i="16" l="1"/>
  <c r="L288" i="16"/>
  <c r="AP287" i="16"/>
  <c r="AQ287" i="16" s="1"/>
  <c r="AR287" i="16" s="1"/>
  <c r="AA287" i="16"/>
  <c r="AB287" i="16" s="1"/>
  <c r="AC287" i="16" s="1"/>
  <c r="N287" i="16"/>
  <c r="S287" i="16"/>
  <c r="AI287" i="16"/>
  <c r="AJ287" i="16" s="1"/>
  <c r="AK287" i="16" s="1"/>
  <c r="T287" i="16"/>
  <c r="U287" i="16" s="1"/>
  <c r="V287" i="16" s="1"/>
  <c r="X287" i="16"/>
  <c r="M287" i="16"/>
  <c r="K290" i="16" l="1"/>
  <c r="L289" i="16"/>
  <c r="X288" i="16"/>
  <c r="M288" i="16"/>
  <c r="AI288" i="16"/>
  <c r="AJ288" i="16" s="1"/>
  <c r="AK288" i="16" s="1"/>
  <c r="T288" i="16"/>
  <c r="U288" i="16" s="1"/>
  <c r="V288" i="16" s="1"/>
  <c r="S288" i="16"/>
  <c r="AP288" i="16"/>
  <c r="AQ288" i="16" s="1"/>
  <c r="AR288" i="16" s="1"/>
  <c r="AA288" i="16"/>
  <c r="AB288" i="16" s="1"/>
  <c r="AC288" i="16" s="1"/>
  <c r="N288" i="16"/>
  <c r="L290" i="16" l="1"/>
  <c r="K291" i="16"/>
  <c r="AP289" i="16"/>
  <c r="AQ289" i="16" s="1"/>
  <c r="AR289" i="16" s="1"/>
  <c r="AA289" i="16"/>
  <c r="AB289" i="16" s="1"/>
  <c r="AC289" i="16" s="1"/>
  <c r="N289" i="16"/>
  <c r="S289" i="16"/>
  <c r="AI289" i="16"/>
  <c r="AJ289" i="16" s="1"/>
  <c r="AK289" i="16" s="1"/>
  <c r="T289" i="16"/>
  <c r="U289" i="16" s="1"/>
  <c r="V289" i="16" s="1"/>
  <c r="X289" i="16"/>
  <c r="M289" i="16"/>
  <c r="L291" i="16" l="1"/>
  <c r="K292" i="16"/>
  <c r="AP290" i="16"/>
  <c r="AQ290" i="16" s="1"/>
  <c r="AR290" i="16" s="1"/>
  <c r="S290" i="16"/>
  <c r="AI290" i="16"/>
  <c r="AJ290" i="16" s="1"/>
  <c r="AK290" i="16" s="1"/>
  <c r="T290" i="16"/>
  <c r="U290" i="16" s="1"/>
  <c r="V290" i="16" s="1"/>
  <c r="X290" i="16"/>
  <c r="M290" i="16"/>
  <c r="AA290" i="16"/>
  <c r="AB290" i="16" s="1"/>
  <c r="AC290" i="16" s="1"/>
  <c r="N290" i="16"/>
  <c r="K293" i="16" l="1"/>
  <c r="L292" i="16"/>
  <c r="AP291" i="16"/>
  <c r="AQ291" i="16" s="1"/>
  <c r="AR291" i="16" s="1"/>
  <c r="AA291" i="16"/>
  <c r="AB291" i="16" s="1"/>
  <c r="AC291" i="16" s="1"/>
  <c r="N291" i="16"/>
  <c r="S291" i="16"/>
  <c r="AI291" i="16"/>
  <c r="AJ291" i="16" s="1"/>
  <c r="AK291" i="16" s="1"/>
  <c r="T291" i="16"/>
  <c r="U291" i="16" s="1"/>
  <c r="V291" i="16" s="1"/>
  <c r="X291" i="16"/>
  <c r="M291" i="16"/>
  <c r="K294" i="16" l="1"/>
  <c r="L293" i="16"/>
  <c r="X292" i="16"/>
  <c r="M292" i="16"/>
  <c r="AI292" i="16"/>
  <c r="AJ292" i="16" s="1"/>
  <c r="AK292" i="16" s="1"/>
  <c r="T292" i="16"/>
  <c r="U292" i="16" s="1"/>
  <c r="V292" i="16" s="1"/>
  <c r="S292" i="16"/>
  <c r="AP292" i="16"/>
  <c r="AQ292" i="16" s="1"/>
  <c r="AR292" i="16" s="1"/>
  <c r="AA292" i="16"/>
  <c r="AB292" i="16" s="1"/>
  <c r="AC292" i="16" s="1"/>
  <c r="N292" i="16"/>
  <c r="K295" i="16" l="1"/>
  <c r="L294" i="16"/>
  <c r="AP293" i="16"/>
  <c r="AQ293" i="16" s="1"/>
  <c r="AR293" i="16" s="1"/>
  <c r="AA293" i="16"/>
  <c r="AB293" i="16" s="1"/>
  <c r="AC293" i="16" s="1"/>
  <c r="N293" i="16"/>
  <c r="S293" i="16"/>
  <c r="AI293" i="16"/>
  <c r="AJ293" i="16" s="1"/>
  <c r="AK293" i="16" s="1"/>
  <c r="T293" i="16"/>
  <c r="U293" i="16" s="1"/>
  <c r="V293" i="16" s="1"/>
  <c r="X293" i="16"/>
  <c r="M293" i="16"/>
  <c r="K296" i="16" l="1"/>
  <c r="L295" i="16"/>
  <c r="X294" i="16"/>
  <c r="M294" i="16"/>
  <c r="AI294" i="16"/>
  <c r="AJ294" i="16" s="1"/>
  <c r="AK294" i="16" s="1"/>
  <c r="T294" i="16"/>
  <c r="U294" i="16" s="1"/>
  <c r="V294" i="16" s="1"/>
  <c r="S294" i="16"/>
  <c r="AP294" i="16"/>
  <c r="AQ294" i="16" s="1"/>
  <c r="AR294" i="16" s="1"/>
  <c r="AA294" i="16"/>
  <c r="AB294" i="16" s="1"/>
  <c r="AC294" i="16" s="1"/>
  <c r="N294" i="16"/>
  <c r="K297" i="16" l="1"/>
  <c r="L296" i="16"/>
  <c r="AP295" i="16"/>
  <c r="AQ295" i="16" s="1"/>
  <c r="AR295" i="16" s="1"/>
  <c r="AA295" i="16"/>
  <c r="AB295" i="16" s="1"/>
  <c r="AC295" i="16" s="1"/>
  <c r="N295" i="16"/>
  <c r="S295" i="16"/>
  <c r="AI295" i="16"/>
  <c r="AJ295" i="16" s="1"/>
  <c r="AK295" i="16" s="1"/>
  <c r="T295" i="16"/>
  <c r="U295" i="16" s="1"/>
  <c r="V295" i="16" s="1"/>
  <c r="X295" i="16"/>
  <c r="M295" i="16"/>
  <c r="K298" i="16" l="1"/>
  <c r="L297" i="16"/>
  <c r="X296" i="16"/>
  <c r="M296" i="16"/>
  <c r="AI296" i="16"/>
  <c r="AJ296" i="16" s="1"/>
  <c r="AK296" i="16" s="1"/>
  <c r="T296" i="16"/>
  <c r="U296" i="16" s="1"/>
  <c r="V296" i="16" s="1"/>
  <c r="S296" i="16"/>
  <c r="AP296" i="16"/>
  <c r="AQ296" i="16" s="1"/>
  <c r="AR296" i="16" s="1"/>
  <c r="AA296" i="16"/>
  <c r="AB296" i="16" s="1"/>
  <c r="AC296" i="16" s="1"/>
  <c r="N296" i="16"/>
  <c r="K299" i="16" l="1"/>
  <c r="L298" i="16"/>
  <c r="AP297" i="16"/>
  <c r="AQ297" i="16" s="1"/>
  <c r="AR297" i="16" s="1"/>
  <c r="AA297" i="16"/>
  <c r="AB297" i="16" s="1"/>
  <c r="AC297" i="16" s="1"/>
  <c r="N297" i="16"/>
  <c r="S297" i="16"/>
  <c r="AI297" i="16"/>
  <c r="AJ297" i="16" s="1"/>
  <c r="AK297" i="16" s="1"/>
  <c r="T297" i="16"/>
  <c r="U297" i="16" s="1"/>
  <c r="V297" i="16" s="1"/>
  <c r="X297" i="16"/>
  <c r="M297" i="16"/>
  <c r="K300" i="16" l="1"/>
  <c r="L299" i="16"/>
  <c r="X298" i="16"/>
  <c r="M298" i="16"/>
  <c r="AI298" i="16"/>
  <c r="AJ298" i="16" s="1"/>
  <c r="AK298" i="16" s="1"/>
  <c r="T298" i="16"/>
  <c r="U298" i="16" s="1"/>
  <c r="V298" i="16" s="1"/>
  <c r="S298" i="16"/>
  <c r="AP298" i="16"/>
  <c r="AQ298" i="16" s="1"/>
  <c r="AR298" i="16" s="1"/>
  <c r="AA298" i="16"/>
  <c r="AB298" i="16" s="1"/>
  <c r="AC298" i="16" s="1"/>
  <c r="N298" i="16"/>
  <c r="K301" i="16" l="1"/>
  <c r="L300" i="16"/>
  <c r="AP299" i="16"/>
  <c r="AQ299" i="16" s="1"/>
  <c r="AR299" i="16" s="1"/>
  <c r="AA299" i="16"/>
  <c r="AB299" i="16" s="1"/>
  <c r="AC299" i="16" s="1"/>
  <c r="N299" i="16"/>
  <c r="S299" i="16"/>
  <c r="AI299" i="16"/>
  <c r="AJ299" i="16" s="1"/>
  <c r="AK299" i="16" s="1"/>
  <c r="T299" i="16"/>
  <c r="U299" i="16" s="1"/>
  <c r="V299" i="16" s="1"/>
  <c r="X299" i="16"/>
  <c r="M299" i="16"/>
  <c r="K302" i="16" l="1"/>
  <c r="L301" i="16"/>
  <c r="X300" i="16"/>
  <c r="M300" i="16"/>
  <c r="AI300" i="16"/>
  <c r="AJ300" i="16" s="1"/>
  <c r="AK300" i="16" s="1"/>
  <c r="T300" i="16"/>
  <c r="U300" i="16" s="1"/>
  <c r="V300" i="16" s="1"/>
  <c r="S300" i="16"/>
  <c r="AP300" i="16"/>
  <c r="AQ300" i="16" s="1"/>
  <c r="AR300" i="16" s="1"/>
  <c r="AA300" i="16"/>
  <c r="AB300" i="16" s="1"/>
  <c r="AC300" i="16" s="1"/>
  <c r="N300" i="16"/>
  <c r="K303" i="16" l="1"/>
  <c r="L302" i="16"/>
  <c r="AP301" i="16"/>
  <c r="AQ301" i="16" s="1"/>
  <c r="AR301" i="16" s="1"/>
  <c r="AA301" i="16"/>
  <c r="AB301" i="16" s="1"/>
  <c r="AC301" i="16" s="1"/>
  <c r="N301" i="16"/>
  <c r="S301" i="16"/>
  <c r="AI301" i="16"/>
  <c r="AJ301" i="16" s="1"/>
  <c r="AK301" i="16" s="1"/>
  <c r="T301" i="16"/>
  <c r="U301" i="16" s="1"/>
  <c r="V301" i="16" s="1"/>
  <c r="X301" i="16"/>
  <c r="M301" i="16"/>
  <c r="K304" i="16" l="1"/>
  <c r="L303" i="16"/>
  <c r="X302" i="16"/>
  <c r="M302" i="16"/>
  <c r="AI302" i="16"/>
  <c r="AJ302" i="16" s="1"/>
  <c r="AK302" i="16" s="1"/>
  <c r="T302" i="16"/>
  <c r="U302" i="16" s="1"/>
  <c r="V302" i="16" s="1"/>
  <c r="S302" i="16"/>
  <c r="AP302" i="16"/>
  <c r="AQ302" i="16" s="1"/>
  <c r="AR302" i="16" s="1"/>
  <c r="AA302" i="16"/>
  <c r="AB302" i="16" s="1"/>
  <c r="AC302" i="16" s="1"/>
  <c r="N302" i="16"/>
  <c r="K305" i="16" l="1"/>
  <c r="L304" i="16"/>
  <c r="AP303" i="16"/>
  <c r="AQ303" i="16" s="1"/>
  <c r="AR303" i="16" s="1"/>
  <c r="AA303" i="16"/>
  <c r="AB303" i="16" s="1"/>
  <c r="AC303" i="16" s="1"/>
  <c r="N303" i="16"/>
  <c r="S303" i="16"/>
  <c r="AI303" i="16"/>
  <c r="AJ303" i="16" s="1"/>
  <c r="AK303" i="16" s="1"/>
  <c r="T303" i="16"/>
  <c r="U303" i="16" s="1"/>
  <c r="V303" i="16" s="1"/>
  <c r="X303" i="16"/>
  <c r="M303" i="16"/>
  <c r="K306" i="16" l="1"/>
  <c r="L305" i="16"/>
  <c r="X304" i="16"/>
  <c r="M304" i="16"/>
  <c r="AI304" i="16"/>
  <c r="AJ304" i="16" s="1"/>
  <c r="AK304" i="16" s="1"/>
  <c r="T304" i="16"/>
  <c r="U304" i="16" s="1"/>
  <c r="V304" i="16" s="1"/>
  <c r="S304" i="16"/>
  <c r="AP304" i="16"/>
  <c r="AQ304" i="16" s="1"/>
  <c r="AR304" i="16" s="1"/>
  <c r="AA304" i="16"/>
  <c r="AB304" i="16" s="1"/>
  <c r="AC304" i="16" s="1"/>
  <c r="N304" i="16"/>
  <c r="K307" i="16" l="1"/>
  <c r="L306" i="16"/>
  <c r="AP305" i="16"/>
  <c r="AQ305" i="16" s="1"/>
  <c r="AR305" i="16" s="1"/>
  <c r="AA305" i="16"/>
  <c r="AB305" i="16" s="1"/>
  <c r="AC305" i="16" s="1"/>
  <c r="N305" i="16"/>
  <c r="S305" i="16"/>
  <c r="AI305" i="16"/>
  <c r="AJ305" i="16" s="1"/>
  <c r="AK305" i="16" s="1"/>
  <c r="T305" i="16"/>
  <c r="U305" i="16" s="1"/>
  <c r="V305" i="16" s="1"/>
  <c r="X305" i="16"/>
  <c r="M305" i="16"/>
  <c r="K308" i="16" l="1"/>
  <c r="L307" i="16"/>
  <c r="X306" i="16"/>
  <c r="M306" i="16"/>
  <c r="AI306" i="16"/>
  <c r="AJ306" i="16" s="1"/>
  <c r="AK306" i="16" s="1"/>
  <c r="T306" i="16"/>
  <c r="U306" i="16" s="1"/>
  <c r="V306" i="16" s="1"/>
  <c r="S306" i="16"/>
  <c r="AP306" i="16"/>
  <c r="AQ306" i="16" s="1"/>
  <c r="AR306" i="16" s="1"/>
  <c r="AA306" i="16"/>
  <c r="AB306" i="16" s="1"/>
  <c r="AC306" i="16" s="1"/>
  <c r="N306" i="16"/>
  <c r="K309" i="16" l="1"/>
  <c r="L308" i="16"/>
  <c r="AP307" i="16"/>
  <c r="AQ307" i="16" s="1"/>
  <c r="AR307" i="16" s="1"/>
  <c r="AA307" i="16"/>
  <c r="AB307" i="16" s="1"/>
  <c r="AC307" i="16" s="1"/>
  <c r="N307" i="16"/>
  <c r="S307" i="16"/>
  <c r="AI307" i="16"/>
  <c r="AJ307" i="16" s="1"/>
  <c r="AK307" i="16" s="1"/>
  <c r="T307" i="16"/>
  <c r="U307" i="16" s="1"/>
  <c r="V307" i="16" s="1"/>
  <c r="X307" i="16"/>
  <c r="M307" i="16"/>
  <c r="K310" i="16" l="1"/>
  <c r="L309" i="16"/>
  <c r="X308" i="16"/>
  <c r="M308" i="16"/>
  <c r="AI308" i="16"/>
  <c r="AJ308" i="16" s="1"/>
  <c r="AK308" i="16" s="1"/>
  <c r="T308" i="16"/>
  <c r="U308" i="16" s="1"/>
  <c r="V308" i="16" s="1"/>
  <c r="S308" i="16"/>
  <c r="AP308" i="16"/>
  <c r="AQ308" i="16" s="1"/>
  <c r="AR308" i="16" s="1"/>
  <c r="AA308" i="16"/>
  <c r="AB308" i="16" s="1"/>
  <c r="AC308" i="16" s="1"/>
  <c r="N308" i="16"/>
  <c r="K311" i="16" l="1"/>
  <c r="L310" i="16"/>
  <c r="AP309" i="16"/>
  <c r="AQ309" i="16" s="1"/>
  <c r="AR309" i="16" s="1"/>
  <c r="AA309" i="16"/>
  <c r="AB309" i="16" s="1"/>
  <c r="AC309" i="16" s="1"/>
  <c r="N309" i="16"/>
  <c r="S309" i="16"/>
  <c r="AI309" i="16"/>
  <c r="AJ309" i="16" s="1"/>
  <c r="AK309" i="16" s="1"/>
  <c r="T309" i="16"/>
  <c r="U309" i="16" s="1"/>
  <c r="V309" i="16" s="1"/>
  <c r="X309" i="16"/>
  <c r="M309" i="16"/>
  <c r="K312" i="16" l="1"/>
  <c r="L311" i="16"/>
  <c r="X310" i="16"/>
  <c r="M310" i="16"/>
  <c r="AI310" i="16"/>
  <c r="AJ310" i="16" s="1"/>
  <c r="AK310" i="16" s="1"/>
  <c r="T310" i="16"/>
  <c r="U310" i="16" s="1"/>
  <c r="V310" i="16" s="1"/>
  <c r="S310" i="16"/>
  <c r="AP310" i="16"/>
  <c r="AQ310" i="16" s="1"/>
  <c r="AR310" i="16" s="1"/>
  <c r="AA310" i="16"/>
  <c r="AB310" i="16" s="1"/>
  <c r="AC310" i="16" s="1"/>
  <c r="N310" i="16"/>
  <c r="K313" i="16" l="1"/>
  <c r="L312" i="16"/>
  <c r="AP311" i="16"/>
  <c r="AQ311" i="16" s="1"/>
  <c r="AR311" i="16" s="1"/>
  <c r="AA311" i="16"/>
  <c r="AB311" i="16" s="1"/>
  <c r="AC311" i="16" s="1"/>
  <c r="N311" i="16"/>
  <c r="S311" i="16"/>
  <c r="AI311" i="16"/>
  <c r="AJ311" i="16" s="1"/>
  <c r="AK311" i="16" s="1"/>
  <c r="T311" i="16"/>
  <c r="U311" i="16" s="1"/>
  <c r="V311" i="16" s="1"/>
  <c r="X311" i="16"/>
  <c r="M311" i="16"/>
  <c r="K314" i="16" l="1"/>
  <c r="L313" i="16"/>
  <c r="AP312" i="16"/>
  <c r="AQ312" i="16" s="1"/>
  <c r="AR312" i="16" s="1"/>
  <c r="AA312" i="16"/>
  <c r="AB312" i="16" s="1"/>
  <c r="AC312" i="16" s="1"/>
  <c r="S312" i="16"/>
  <c r="N312" i="16"/>
  <c r="AI312" i="16"/>
  <c r="AJ312" i="16" s="1"/>
  <c r="AK312" i="16" s="1"/>
  <c r="X312" i="16"/>
  <c r="M312" i="16"/>
  <c r="T312" i="16"/>
  <c r="U312" i="16" s="1"/>
  <c r="V312" i="16" s="1"/>
  <c r="K315" i="16" l="1"/>
  <c r="L314" i="16"/>
  <c r="X313" i="16"/>
  <c r="M313" i="16"/>
  <c r="AI313" i="16"/>
  <c r="AJ313" i="16" s="1"/>
  <c r="AK313" i="16" s="1"/>
  <c r="T313" i="16"/>
  <c r="U313" i="16" s="1"/>
  <c r="V313" i="16" s="1"/>
  <c r="S313" i="16"/>
  <c r="AP313" i="16"/>
  <c r="AQ313" i="16" s="1"/>
  <c r="AR313" i="16" s="1"/>
  <c r="AA313" i="16"/>
  <c r="AB313" i="16" s="1"/>
  <c r="AC313" i="16" s="1"/>
  <c r="N313" i="16"/>
  <c r="K316" i="16" l="1"/>
  <c r="L315" i="16"/>
  <c r="AP314" i="16"/>
  <c r="AQ314" i="16" s="1"/>
  <c r="AR314" i="16" s="1"/>
  <c r="AA314" i="16"/>
  <c r="AB314" i="16" s="1"/>
  <c r="AC314" i="16" s="1"/>
  <c r="N314" i="16"/>
  <c r="S314" i="16"/>
  <c r="AI314" i="16"/>
  <c r="AJ314" i="16" s="1"/>
  <c r="AK314" i="16" s="1"/>
  <c r="T314" i="16"/>
  <c r="U314" i="16" s="1"/>
  <c r="V314" i="16" s="1"/>
  <c r="X314" i="16"/>
  <c r="M314" i="16"/>
  <c r="K317" i="16" l="1"/>
  <c r="L316" i="16"/>
  <c r="X315" i="16"/>
  <c r="M315" i="16"/>
  <c r="AI315" i="16"/>
  <c r="AJ315" i="16" s="1"/>
  <c r="AK315" i="16" s="1"/>
  <c r="T315" i="16"/>
  <c r="U315" i="16" s="1"/>
  <c r="V315" i="16" s="1"/>
  <c r="S315" i="16"/>
  <c r="AP315" i="16"/>
  <c r="AQ315" i="16" s="1"/>
  <c r="AR315" i="16" s="1"/>
  <c r="AA315" i="16"/>
  <c r="AB315" i="16" s="1"/>
  <c r="AC315" i="16" s="1"/>
  <c r="N315" i="16"/>
  <c r="K318" i="16" l="1"/>
  <c r="L317" i="16"/>
  <c r="AP316" i="16"/>
  <c r="AQ316" i="16" s="1"/>
  <c r="AR316" i="16" s="1"/>
  <c r="AA316" i="16"/>
  <c r="AB316" i="16" s="1"/>
  <c r="AC316" i="16" s="1"/>
  <c r="N316" i="16"/>
  <c r="S316" i="16"/>
  <c r="AI316" i="16"/>
  <c r="AJ316" i="16" s="1"/>
  <c r="AK316" i="16" s="1"/>
  <c r="T316" i="16"/>
  <c r="U316" i="16" s="1"/>
  <c r="V316" i="16" s="1"/>
  <c r="X316" i="16"/>
  <c r="M316" i="16"/>
  <c r="K319" i="16" l="1"/>
  <c r="L318" i="16"/>
  <c r="X317" i="16"/>
  <c r="M317" i="16"/>
  <c r="AI317" i="16"/>
  <c r="AJ317" i="16" s="1"/>
  <c r="AK317" i="16" s="1"/>
  <c r="T317" i="16"/>
  <c r="U317" i="16" s="1"/>
  <c r="V317" i="16" s="1"/>
  <c r="S317" i="16"/>
  <c r="AP317" i="16"/>
  <c r="AQ317" i="16" s="1"/>
  <c r="AR317" i="16" s="1"/>
  <c r="AA317" i="16"/>
  <c r="AB317" i="16" s="1"/>
  <c r="AC317" i="16" s="1"/>
  <c r="N317" i="16"/>
  <c r="K320" i="16" l="1"/>
  <c r="L319" i="16"/>
  <c r="AP318" i="16"/>
  <c r="AQ318" i="16" s="1"/>
  <c r="AR318" i="16" s="1"/>
  <c r="AA318" i="16"/>
  <c r="AB318" i="16" s="1"/>
  <c r="AC318" i="16" s="1"/>
  <c r="N318" i="16"/>
  <c r="S318" i="16"/>
  <c r="AI318" i="16"/>
  <c r="AJ318" i="16" s="1"/>
  <c r="AK318" i="16" s="1"/>
  <c r="T318" i="16"/>
  <c r="U318" i="16" s="1"/>
  <c r="V318" i="16" s="1"/>
  <c r="X318" i="16"/>
  <c r="M318" i="16"/>
  <c r="K321" i="16" l="1"/>
  <c r="L320" i="16"/>
  <c r="X319" i="16"/>
  <c r="M319" i="16"/>
  <c r="AI319" i="16"/>
  <c r="AJ319" i="16" s="1"/>
  <c r="AK319" i="16" s="1"/>
  <c r="T319" i="16"/>
  <c r="U319" i="16" s="1"/>
  <c r="V319" i="16" s="1"/>
  <c r="S319" i="16"/>
  <c r="AP319" i="16"/>
  <c r="AQ319" i="16" s="1"/>
  <c r="AR319" i="16" s="1"/>
  <c r="AA319" i="16"/>
  <c r="AB319" i="16" s="1"/>
  <c r="AC319" i="16" s="1"/>
  <c r="N319" i="16"/>
  <c r="K322" i="16" l="1"/>
  <c r="L321" i="16"/>
  <c r="AP320" i="16"/>
  <c r="AQ320" i="16" s="1"/>
  <c r="AR320" i="16" s="1"/>
  <c r="AA320" i="16"/>
  <c r="AB320" i="16" s="1"/>
  <c r="AC320" i="16" s="1"/>
  <c r="N320" i="16"/>
  <c r="S320" i="16"/>
  <c r="AI320" i="16"/>
  <c r="AJ320" i="16" s="1"/>
  <c r="AK320" i="16" s="1"/>
  <c r="T320" i="16"/>
  <c r="U320" i="16" s="1"/>
  <c r="V320" i="16" s="1"/>
  <c r="X320" i="16"/>
  <c r="M320" i="16"/>
  <c r="K323" i="16" l="1"/>
  <c r="L322" i="16"/>
  <c r="X321" i="16"/>
  <c r="M321" i="16"/>
  <c r="AI321" i="16"/>
  <c r="AJ321" i="16" s="1"/>
  <c r="AK321" i="16" s="1"/>
  <c r="T321" i="16"/>
  <c r="U321" i="16" s="1"/>
  <c r="V321" i="16" s="1"/>
  <c r="S321" i="16"/>
  <c r="AP321" i="16"/>
  <c r="AQ321" i="16" s="1"/>
  <c r="AR321" i="16" s="1"/>
  <c r="AA321" i="16"/>
  <c r="AB321" i="16" s="1"/>
  <c r="AC321" i="16" s="1"/>
  <c r="N321" i="16"/>
  <c r="K324" i="16" l="1"/>
  <c r="L323" i="16"/>
  <c r="AP322" i="16"/>
  <c r="AQ322" i="16" s="1"/>
  <c r="AR322" i="16" s="1"/>
  <c r="AA322" i="16"/>
  <c r="AB322" i="16" s="1"/>
  <c r="AC322" i="16" s="1"/>
  <c r="N322" i="16"/>
  <c r="S322" i="16"/>
  <c r="AI322" i="16"/>
  <c r="AJ322" i="16" s="1"/>
  <c r="AK322" i="16" s="1"/>
  <c r="T322" i="16"/>
  <c r="U322" i="16" s="1"/>
  <c r="V322" i="16" s="1"/>
  <c r="X322" i="16"/>
  <c r="M322" i="16"/>
  <c r="K325" i="16" l="1"/>
  <c r="L324" i="16"/>
  <c r="X323" i="16"/>
  <c r="M323" i="16"/>
  <c r="AI323" i="16"/>
  <c r="AJ323" i="16" s="1"/>
  <c r="AK323" i="16" s="1"/>
  <c r="T323" i="16"/>
  <c r="U323" i="16" s="1"/>
  <c r="V323" i="16" s="1"/>
  <c r="S323" i="16"/>
  <c r="AP323" i="16"/>
  <c r="AQ323" i="16" s="1"/>
  <c r="AR323" i="16" s="1"/>
  <c r="AA323" i="16"/>
  <c r="AB323" i="16" s="1"/>
  <c r="AC323" i="16" s="1"/>
  <c r="N323" i="16"/>
  <c r="K326" i="16" l="1"/>
  <c r="L325" i="16"/>
  <c r="AP324" i="16"/>
  <c r="AQ324" i="16" s="1"/>
  <c r="AR324" i="16" s="1"/>
  <c r="AA324" i="16"/>
  <c r="AB324" i="16" s="1"/>
  <c r="AC324" i="16" s="1"/>
  <c r="N324" i="16"/>
  <c r="S324" i="16"/>
  <c r="AI324" i="16"/>
  <c r="AJ324" i="16" s="1"/>
  <c r="AK324" i="16" s="1"/>
  <c r="T324" i="16"/>
  <c r="U324" i="16" s="1"/>
  <c r="V324" i="16" s="1"/>
  <c r="X324" i="16"/>
  <c r="M324" i="16"/>
  <c r="K327" i="16" l="1"/>
  <c r="L326" i="16"/>
  <c r="X325" i="16"/>
  <c r="M325" i="16"/>
  <c r="AI325" i="16"/>
  <c r="AJ325" i="16" s="1"/>
  <c r="AK325" i="16" s="1"/>
  <c r="T325" i="16"/>
  <c r="U325" i="16" s="1"/>
  <c r="V325" i="16" s="1"/>
  <c r="S325" i="16"/>
  <c r="AP325" i="16"/>
  <c r="AQ325" i="16" s="1"/>
  <c r="AR325" i="16" s="1"/>
  <c r="AA325" i="16"/>
  <c r="AB325" i="16" s="1"/>
  <c r="AC325" i="16" s="1"/>
  <c r="N325" i="16"/>
  <c r="K328" i="16" l="1"/>
  <c r="L327" i="16"/>
  <c r="AP326" i="16"/>
  <c r="AQ326" i="16" s="1"/>
  <c r="AR326" i="16" s="1"/>
  <c r="AA326" i="16"/>
  <c r="AB326" i="16" s="1"/>
  <c r="AC326" i="16" s="1"/>
  <c r="N326" i="16"/>
  <c r="S326" i="16"/>
  <c r="AI326" i="16"/>
  <c r="AJ326" i="16" s="1"/>
  <c r="AK326" i="16" s="1"/>
  <c r="T326" i="16"/>
  <c r="U326" i="16" s="1"/>
  <c r="V326" i="16" s="1"/>
  <c r="X326" i="16"/>
  <c r="M326" i="16"/>
  <c r="K329" i="16" l="1"/>
  <c r="L328" i="16"/>
  <c r="X327" i="16"/>
  <c r="M327" i="16"/>
  <c r="AI327" i="16"/>
  <c r="AJ327" i="16" s="1"/>
  <c r="AK327" i="16" s="1"/>
  <c r="T327" i="16"/>
  <c r="U327" i="16" s="1"/>
  <c r="V327" i="16" s="1"/>
  <c r="S327" i="16"/>
  <c r="AP327" i="16"/>
  <c r="AQ327" i="16" s="1"/>
  <c r="AR327" i="16" s="1"/>
  <c r="AA327" i="16"/>
  <c r="AB327" i="16" s="1"/>
  <c r="AC327" i="16" s="1"/>
  <c r="N327" i="16"/>
  <c r="K330" i="16" l="1"/>
  <c r="L329" i="16"/>
  <c r="AP328" i="16"/>
  <c r="AQ328" i="16" s="1"/>
  <c r="AR328" i="16" s="1"/>
  <c r="AA328" i="16"/>
  <c r="AB328" i="16" s="1"/>
  <c r="AC328" i="16" s="1"/>
  <c r="N328" i="16"/>
  <c r="S328" i="16"/>
  <c r="AI328" i="16"/>
  <c r="AJ328" i="16" s="1"/>
  <c r="AK328" i="16" s="1"/>
  <c r="T328" i="16"/>
  <c r="U328" i="16" s="1"/>
  <c r="V328" i="16" s="1"/>
  <c r="X328" i="16"/>
  <c r="M328" i="16"/>
  <c r="K331" i="16" l="1"/>
  <c r="L330" i="16"/>
  <c r="X329" i="16"/>
  <c r="M329" i="16"/>
  <c r="AI329" i="16"/>
  <c r="AJ329" i="16" s="1"/>
  <c r="AK329" i="16" s="1"/>
  <c r="T329" i="16"/>
  <c r="U329" i="16" s="1"/>
  <c r="V329" i="16" s="1"/>
  <c r="S329" i="16"/>
  <c r="AP329" i="16"/>
  <c r="AQ329" i="16" s="1"/>
  <c r="AR329" i="16" s="1"/>
  <c r="AA329" i="16"/>
  <c r="AB329" i="16" s="1"/>
  <c r="AC329" i="16" s="1"/>
  <c r="N329" i="16"/>
  <c r="K332" i="16" l="1"/>
  <c r="L331" i="16"/>
  <c r="AP330" i="16"/>
  <c r="AQ330" i="16" s="1"/>
  <c r="AR330" i="16" s="1"/>
  <c r="AA330" i="16"/>
  <c r="AB330" i="16" s="1"/>
  <c r="AC330" i="16" s="1"/>
  <c r="N330" i="16"/>
  <c r="S330" i="16"/>
  <c r="AI330" i="16"/>
  <c r="AJ330" i="16" s="1"/>
  <c r="AK330" i="16" s="1"/>
  <c r="T330" i="16"/>
  <c r="U330" i="16" s="1"/>
  <c r="V330" i="16" s="1"/>
  <c r="X330" i="16"/>
  <c r="M330" i="16"/>
  <c r="K333" i="16" l="1"/>
  <c r="L332" i="16"/>
  <c r="X331" i="16"/>
  <c r="M331" i="16"/>
  <c r="AI331" i="16"/>
  <c r="AJ331" i="16" s="1"/>
  <c r="AK331" i="16" s="1"/>
  <c r="T331" i="16"/>
  <c r="U331" i="16" s="1"/>
  <c r="V331" i="16" s="1"/>
  <c r="S331" i="16"/>
  <c r="AP331" i="16"/>
  <c r="AQ331" i="16" s="1"/>
  <c r="AR331" i="16" s="1"/>
  <c r="AA331" i="16"/>
  <c r="AB331" i="16" s="1"/>
  <c r="AC331" i="16" s="1"/>
  <c r="N331" i="16"/>
  <c r="K334" i="16" l="1"/>
  <c r="L333" i="16"/>
  <c r="AP332" i="16"/>
  <c r="AQ332" i="16" s="1"/>
  <c r="AR332" i="16" s="1"/>
  <c r="AA332" i="16"/>
  <c r="AB332" i="16" s="1"/>
  <c r="AC332" i="16" s="1"/>
  <c r="N332" i="16"/>
  <c r="S332" i="16"/>
  <c r="AI332" i="16"/>
  <c r="AJ332" i="16" s="1"/>
  <c r="AK332" i="16" s="1"/>
  <c r="T332" i="16"/>
  <c r="U332" i="16" s="1"/>
  <c r="V332" i="16" s="1"/>
  <c r="X332" i="16"/>
  <c r="M332" i="16"/>
  <c r="K335" i="16" l="1"/>
  <c r="L334" i="16"/>
  <c r="AP333" i="16"/>
  <c r="AQ333" i="16" s="1"/>
  <c r="AR333" i="16" s="1"/>
  <c r="AA333" i="16"/>
  <c r="AB333" i="16" s="1"/>
  <c r="AC333" i="16" s="1"/>
  <c r="M333" i="16"/>
  <c r="S333" i="16"/>
  <c r="AI333" i="16"/>
  <c r="AJ333" i="16" s="1"/>
  <c r="AK333" i="16" s="1"/>
  <c r="T333" i="16"/>
  <c r="U333" i="16" s="1"/>
  <c r="V333" i="16" s="1"/>
  <c r="X333" i="16"/>
  <c r="N333" i="16"/>
  <c r="K336" i="16" l="1"/>
  <c r="L335" i="16"/>
  <c r="X334" i="16"/>
  <c r="M334" i="16"/>
  <c r="AI334" i="16"/>
  <c r="AJ334" i="16" s="1"/>
  <c r="AK334" i="16" s="1"/>
  <c r="T334" i="16"/>
  <c r="U334" i="16" s="1"/>
  <c r="V334" i="16" s="1"/>
  <c r="S334" i="16"/>
  <c r="AP334" i="16"/>
  <c r="AQ334" i="16" s="1"/>
  <c r="AR334" i="16" s="1"/>
  <c r="AA334" i="16"/>
  <c r="AB334" i="16" s="1"/>
  <c r="AC334" i="16" s="1"/>
  <c r="N334" i="16"/>
  <c r="K337" i="16" l="1"/>
  <c r="L336" i="16"/>
  <c r="AP335" i="16"/>
  <c r="AQ335" i="16" s="1"/>
  <c r="AR335" i="16" s="1"/>
  <c r="AA335" i="16"/>
  <c r="AB335" i="16" s="1"/>
  <c r="AC335" i="16" s="1"/>
  <c r="N335" i="16"/>
  <c r="S335" i="16"/>
  <c r="AI335" i="16"/>
  <c r="AJ335" i="16" s="1"/>
  <c r="AK335" i="16" s="1"/>
  <c r="T335" i="16"/>
  <c r="U335" i="16" s="1"/>
  <c r="V335" i="16" s="1"/>
  <c r="X335" i="16"/>
  <c r="M335" i="16"/>
  <c r="K338" i="16" l="1"/>
  <c r="L337" i="16"/>
  <c r="X336" i="16"/>
  <c r="M336" i="16"/>
  <c r="AI336" i="16"/>
  <c r="AJ336" i="16" s="1"/>
  <c r="AK336" i="16" s="1"/>
  <c r="T336" i="16"/>
  <c r="U336" i="16" s="1"/>
  <c r="V336" i="16" s="1"/>
  <c r="S336" i="16"/>
  <c r="AP336" i="16"/>
  <c r="AQ336" i="16" s="1"/>
  <c r="AR336" i="16" s="1"/>
  <c r="AA336" i="16"/>
  <c r="AB336" i="16" s="1"/>
  <c r="AC336" i="16" s="1"/>
  <c r="N336" i="16"/>
  <c r="K339" i="16" l="1"/>
  <c r="L338" i="16"/>
  <c r="AP337" i="16"/>
  <c r="AQ337" i="16" s="1"/>
  <c r="AR337" i="16" s="1"/>
  <c r="AA337" i="16"/>
  <c r="AB337" i="16" s="1"/>
  <c r="AC337" i="16" s="1"/>
  <c r="N337" i="16"/>
  <c r="S337" i="16"/>
  <c r="AI337" i="16"/>
  <c r="AJ337" i="16" s="1"/>
  <c r="AK337" i="16" s="1"/>
  <c r="T337" i="16"/>
  <c r="U337" i="16" s="1"/>
  <c r="V337" i="16" s="1"/>
  <c r="X337" i="16"/>
  <c r="M337" i="16"/>
  <c r="K340" i="16" l="1"/>
  <c r="L339" i="16"/>
  <c r="X338" i="16"/>
  <c r="M338" i="16"/>
  <c r="AI338" i="16"/>
  <c r="AJ338" i="16" s="1"/>
  <c r="AK338" i="16" s="1"/>
  <c r="T338" i="16"/>
  <c r="U338" i="16" s="1"/>
  <c r="V338" i="16" s="1"/>
  <c r="S338" i="16"/>
  <c r="AP338" i="16"/>
  <c r="AQ338" i="16" s="1"/>
  <c r="AR338" i="16" s="1"/>
  <c r="AA338" i="16"/>
  <c r="AB338" i="16" s="1"/>
  <c r="AC338" i="16" s="1"/>
  <c r="N338" i="16"/>
  <c r="K341" i="16" l="1"/>
  <c r="L340" i="16"/>
  <c r="AP339" i="16"/>
  <c r="AQ339" i="16" s="1"/>
  <c r="AR339" i="16" s="1"/>
  <c r="AA339" i="16"/>
  <c r="AB339" i="16" s="1"/>
  <c r="AC339" i="16" s="1"/>
  <c r="N339" i="16"/>
  <c r="S339" i="16"/>
  <c r="AI339" i="16"/>
  <c r="AJ339" i="16" s="1"/>
  <c r="AK339" i="16" s="1"/>
  <c r="T339" i="16"/>
  <c r="U339" i="16" s="1"/>
  <c r="V339" i="16" s="1"/>
  <c r="X339" i="16"/>
  <c r="M339" i="16"/>
  <c r="K342" i="16" l="1"/>
  <c r="L341" i="16"/>
  <c r="X340" i="16"/>
  <c r="M340" i="16"/>
  <c r="AI340" i="16"/>
  <c r="AJ340" i="16" s="1"/>
  <c r="AK340" i="16" s="1"/>
  <c r="T340" i="16"/>
  <c r="U340" i="16" s="1"/>
  <c r="V340" i="16" s="1"/>
  <c r="S340" i="16"/>
  <c r="AP340" i="16"/>
  <c r="AQ340" i="16" s="1"/>
  <c r="AR340" i="16" s="1"/>
  <c r="AA340" i="16"/>
  <c r="AB340" i="16" s="1"/>
  <c r="AC340" i="16" s="1"/>
  <c r="N340" i="16"/>
  <c r="K343" i="16" l="1"/>
  <c r="L342" i="16"/>
  <c r="AP341" i="16"/>
  <c r="AQ341" i="16" s="1"/>
  <c r="AR341" i="16" s="1"/>
  <c r="AA341" i="16"/>
  <c r="AB341" i="16" s="1"/>
  <c r="AC341" i="16" s="1"/>
  <c r="N341" i="16"/>
  <c r="S341" i="16"/>
  <c r="AI341" i="16"/>
  <c r="AJ341" i="16" s="1"/>
  <c r="AK341" i="16" s="1"/>
  <c r="T341" i="16"/>
  <c r="U341" i="16" s="1"/>
  <c r="V341" i="16" s="1"/>
  <c r="X341" i="16"/>
  <c r="M341" i="16"/>
  <c r="K344" i="16" l="1"/>
  <c r="L343" i="16"/>
  <c r="X342" i="16"/>
  <c r="M342" i="16"/>
  <c r="AI342" i="16"/>
  <c r="AJ342" i="16" s="1"/>
  <c r="AK342" i="16" s="1"/>
  <c r="T342" i="16"/>
  <c r="U342" i="16" s="1"/>
  <c r="V342" i="16" s="1"/>
  <c r="S342" i="16"/>
  <c r="AP342" i="16"/>
  <c r="AQ342" i="16" s="1"/>
  <c r="AR342" i="16" s="1"/>
  <c r="AA342" i="16"/>
  <c r="AB342" i="16" s="1"/>
  <c r="AC342" i="16" s="1"/>
  <c r="N342" i="16"/>
  <c r="K345" i="16" l="1"/>
  <c r="L344" i="16"/>
  <c r="AP343" i="16"/>
  <c r="AQ343" i="16" s="1"/>
  <c r="AR343" i="16" s="1"/>
  <c r="AA343" i="16"/>
  <c r="AB343" i="16" s="1"/>
  <c r="AC343" i="16" s="1"/>
  <c r="N343" i="16"/>
  <c r="S343" i="16"/>
  <c r="AI343" i="16"/>
  <c r="AJ343" i="16" s="1"/>
  <c r="AK343" i="16" s="1"/>
  <c r="T343" i="16"/>
  <c r="U343" i="16" s="1"/>
  <c r="V343" i="16" s="1"/>
  <c r="X343" i="16"/>
  <c r="M343" i="16"/>
  <c r="K346" i="16" l="1"/>
  <c r="L345" i="16"/>
  <c r="X344" i="16"/>
  <c r="M344" i="16"/>
  <c r="AI344" i="16"/>
  <c r="AJ344" i="16" s="1"/>
  <c r="AK344" i="16" s="1"/>
  <c r="T344" i="16"/>
  <c r="U344" i="16" s="1"/>
  <c r="V344" i="16" s="1"/>
  <c r="S344" i="16"/>
  <c r="AP344" i="16"/>
  <c r="AQ344" i="16" s="1"/>
  <c r="AR344" i="16" s="1"/>
  <c r="AA344" i="16"/>
  <c r="AB344" i="16" s="1"/>
  <c r="AC344" i="16" s="1"/>
  <c r="N344" i="16"/>
  <c r="K347" i="16" l="1"/>
  <c r="L346" i="16"/>
  <c r="AP345" i="16"/>
  <c r="AQ345" i="16" s="1"/>
  <c r="AR345" i="16" s="1"/>
  <c r="AA345" i="16"/>
  <c r="AB345" i="16" s="1"/>
  <c r="AC345" i="16" s="1"/>
  <c r="N345" i="16"/>
  <c r="S345" i="16"/>
  <c r="AI345" i="16"/>
  <c r="AJ345" i="16" s="1"/>
  <c r="AK345" i="16" s="1"/>
  <c r="T345" i="16"/>
  <c r="U345" i="16" s="1"/>
  <c r="V345" i="16" s="1"/>
  <c r="X345" i="16"/>
  <c r="M345" i="16"/>
  <c r="K348" i="16" l="1"/>
  <c r="L347" i="16"/>
  <c r="X346" i="16"/>
  <c r="M346" i="16"/>
  <c r="AI346" i="16"/>
  <c r="AJ346" i="16" s="1"/>
  <c r="AK346" i="16" s="1"/>
  <c r="T346" i="16"/>
  <c r="U346" i="16" s="1"/>
  <c r="V346" i="16" s="1"/>
  <c r="S346" i="16"/>
  <c r="AP346" i="16"/>
  <c r="AQ346" i="16" s="1"/>
  <c r="AR346" i="16" s="1"/>
  <c r="AA346" i="16"/>
  <c r="AB346" i="16" s="1"/>
  <c r="AC346" i="16" s="1"/>
  <c r="N346" i="16"/>
  <c r="K349" i="16" l="1"/>
  <c r="L348" i="16"/>
  <c r="AI347" i="16"/>
  <c r="AJ347" i="16" s="1"/>
  <c r="AK347" i="16" s="1"/>
  <c r="T347" i="16"/>
  <c r="U347" i="16" s="1"/>
  <c r="V347" i="16" s="1"/>
  <c r="X347" i="16"/>
  <c r="M347" i="16"/>
  <c r="AP347" i="16"/>
  <c r="AQ347" i="16" s="1"/>
  <c r="AR347" i="16" s="1"/>
  <c r="AA347" i="16"/>
  <c r="AB347" i="16" s="1"/>
  <c r="AC347" i="16" s="1"/>
  <c r="N347" i="16"/>
  <c r="S347" i="16"/>
  <c r="K350" i="16" l="1"/>
  <c r="L349" i="16"/>
  <c r="X348" i="16"/>
  <c r="M348" i="16"/>
  <c r="AI348" i="16"/>
  <c r="AJ348" i="16" s="1"/>
  <c r="AK348" i="16" s="1"/>
  <c r="T348" i="16"/>
  <c r="U348" i="16" s="1"/>
  <c r="V348" i="16" s="1"/>
  <c r="S348" i="16"/>
  <c r="AP348" i="16"/>
  <c r="AQ348" i="16" s="1"/>
  <c r="AR348" i="16" s="1"/>
  <c r="AA348" i="16"/>
  <c r="AB348" i="16" s="1"/>
  <c r="AC348" i="16" s="1"/>
  <c r="N348" i="16"/>
  <c r="K351" i="16" l="1"/>
  <c r="L350" i="16"/>
  <c r="AP349" i="16"/>
  <c r="AQ349" i="16" s="1"/>
  <c r="AR349" i="16" s="1"/>
  <c r="AA349" i="16"/>
  <c r="AB349" i="16" s="1"/>
  <c r="AC349" i="16" s="1"/>
  <c r="N349" i="16"/>
  <c r="S349" i="16"/>
  <c r="AI349" i="16"/>
  <c r="AJ349" i="16" s="1"/>
  <c r="AK349" i="16" s="1"/>
  <c r="T349" i="16"/>
  <c r="U349" i="16" s="1"/>
  <c r="V349" i="16" s="1"/>
  <c r="X349" i="16"/>
  <c r="M349" i="16"/>
  <c r="K352" i="16" l="1"/>
  <c r="L351" i="16"/>
  <c r="X350" i="16"/>
  <c r="M350" i="16"/>
  <c r="AI350" i="16"/>
  <c r="AJ350" i="16" s="1"/>
  <c r="AK350" i="16" s="1"/>
  <c r="T350" i="16"/>
  <c r="U350" i="16" s="1"/>
  <c r="V350" i="16" s="1"/>
  <c r="S350" i="16"/>
  <c r="AP350" i="16"/>
  <c r="AQ350" i="16" s="1"/>
  <c r="AR350" i="16" s="1"/>
  <c r="AA350" i="16"/>
  <c r="AB350" i="16" s="1"/>
  <c r="AC350" i="16" s="1"/>
  <c r="N350" i="16"/>
  <c r="K353" i="16" l="1"/>
  <c r="L352" i="16"/>
  <c r="AP351" i="16"/>
  <c r="AQ351" i="16" s="1"/>
  <c r="AR351" i="16" s="1"/>
  <c r="AA351" i="16"/>
  <c r="AB351" i="16" s="1"/>
  <c r="AC351" i="16" s="1"/>
  <c r="N351" i="16"/>
  <c r="S351" i="16"/>
  <c r="AI351" i="16"/>
  <c r="AJ351" i="16" s="1"/>
  <c r="AK351" i="16" s="1"/>
  <c r="T351" i="16"/>
  <c r="U351" i="16" s="1"/>
  <c r="V351" i="16" s="1"/>
  <c r="X351" i="16"/>
  <c r="M351" i="16"/>
  <c r="K354" i="16" l="1"/>
  <c r="L353" i="16"/>
  <c r="X352" i="16"/>
  <c r="M352" i="16"/>
  <c r="AI352" i="16"/>
  <c r="AJ352" i="16" s="1"/>
  <c r="AK352" i="16" s="1"/>
  <c r="T352" i="16"/>
  <c r="U352" i="16" s="1"/>
  <c r="V352" i="16" s="1"/>
  <c r="S352" i="16"/>
  <c r="AP352" i="16"/>
  <c r="AQ352" i="16" s="1"/>
  <c r="AR352" i="16" s="1"/>
  <c r="AA352" i="16"/>
  <c r="AB352" i="16" s="1"/>
  <c r="AC352" i="16" s="1"/>
  <c r="N352" i="16"/>
  <c r="K355" i="16" l="1"/>
  <c r="L354" i="16"/>
  <c r="AP353" i="16"/>
  <c r="AQ353" i="16" s="1"/>
  <c r="AR353" i="16" s="1"/>
  <c r="AA353" i="16"/>
  <c r="AB353" i="16" s="1"/>
  <c r="AC353" i="16" s="1"/>
  <c r="N353" i="16"/>
  <c r="S353" i="16"/>
  <c r="AI353" i="16"/>
  <c r="AJ353" i="16" s="1"/>
  <c r="AK353" i="16" s="1"/>
  <c r="T353" i="16"/>
  <c r="U353" i="16" s="1"/>
  <c r="V353" i="16" s="1"/>
  <c r="X353" i="16"/>
  <c r="M353" i="16"/>
  <c r="K356" i="16" l="1"/>
  <c r="L355" i="16"/>
  <c r="X354" i="16"/>
  <c r="AI354" i="16"/>
  <c r="AJ354" i="16" s="1"/>
  <c r="AK354" i="16" s="1"/>
  <c r="M354" i="16"/>
  <c r="T354" i="16"/>
  <c r="U354" i="16" s="1"/>
  <c r="V354" i="16" s="1"/>
  <c r="S354" i="16"/>
  <c r="AA354" i="16"/>
  <c r="AB354" i="16" s="1"/>
  <c r="AC354" i="16" s="1"/>
  <c r="AP354" i="16"/>
  <c r="AQ354" i="16" s="1"/>
  <c r="AR354" i="16" s="1"/>
  <c r="N354" i="16"/>
  <c r="K357" i="16" l="1"/>
  <c r="L356" i="16"/>
  <c r="X355" i="16"/>
  <c r="M355" i="16"/>
  <c r="AI355" i="16"/>
  <c r="AJ355" i="16" s="1"/>
  <c r="AK355" i="16" s="1"/>
  <c r="T355" i="16"/>
  <c r="U355" i="16" s="1"/>
  <c r="V355" i="16" s="1"/>
  <c r="S355" i="16"/>
  <c r="AP355" i="16"/>
  <c r="AQ355" i="16" s="1"/>
  <c r="AR355" i="16" s="1"/>
  <c r="AA355" i="16"/>
  <c r="AB355" i="16" s="1"/>
  <c r="AC355" i="16" s="1"/>
  <c r="N355" i="16"/>
  <c r="K358" i="16" l="1"/>
  <c r="L357" i="16"/>
  <c r="AP356" i="16"/>
  <c r="AQ356" i="16" s="1"/>
  <c r="AR356" i="16" s="1"/>
  <c r="AA356" i="16"/>
  <c r="AB356" i="16" s="1"/>
  <c r="AC356" i="16" s="1"/>
  <c r="N356" i="16"/>
  <c r="S356" i="16"/>
  <c r="AI356" i="16"/>
  <c r="AJ356" i="16" s="1"/>
  <c r="AK356" i="16" s="1"/>
  <c r="T356" i="16"/>
  <c r="U356" i="16" s="1"/>
  <c r="V356" i="16" s="1"/>
  <c r="X356" i="16"/>
  <c r="M356" i="16"/>
  <c r="K359" i="16" l="1"/>
  <c r="L358" i="16"/>
  <c r="X357" i="16"/>
  <c r="M357" i="16"/>
  <c r="AI357" i="16"/>
  <c r="AJ357" i="16" s="1"/>
  <c r="AK357" i="16" s="1"/>
  <c r="T357" i="16"/>
  <c r="U357" i="16" s="1"/>
  <c r="V357" i="16" s="1"/>
  <c r="S357" i="16"/>
  <c r="AP357" i="16"/>
  <c r="AQ357" i="16" s="1"/>
  <c r="AR357" i="16" s="1"/>
  <c r="AA357" i="16"/>
  <c r="AB357" i="16" s="1"/>
  <c r="AC357" i="16" s="1"/>
  <c r="N357" i="16"/>
  <c r="K360" i="16" l="1"/>
  <c r="L359" i="16"/>
  <c r="AP358" i="16"/>
  <c r="AQ358" i="16" s="1"/>
  <c r="AR358" i="16" s="1"/>
  <c r="AA358" i="16"/>
  <c r="AB358" i="16" s="1"/>
  <c r="AC358" i="16" s="1"/>
  <c r="N358" i="16"/>
  <c r="S358" i="16"/>
  <c r="AI358" i="16"/>
  <c r="AJ358" i="16" s="1"/>
  <c r="AK358" i="16" s="1"/>
  <c r="T358" i="16"/>
  <c r="U358" i="16" s="1"/>
  <c r="V358" i="16" s="1"/>
  <c r="X358" i="16"/>
  <c r="M358" i="16"/>
  <c r="K361" i="16" l="1"/>
  <c r="L360" i="16"/>
  <c r="X359" i="16"/>
  <c r="M359" i="16"/>
  <c r="AA359" i="16"/>
  <c r="AB359" i="16" s="1"/>
  <c r="AC359" i="16" s="1"/>
  <c r="AP359" i="16"/>
  <c r="AQ359" i="16" s="1"/>
  <c r="AR359" i="16" s="1"/>
  <c r="S359" i="16"/>
  <c r="AI359" i="16"/>
  <c r="AJ359" i="16" s="1"/>
  <c r="AK359" i="16" s="1"/>
  <c r="N359" i="16"/>
  <c r="T359" i="16"/>
  <c r="U359" i="16" s="1"/>
  <c r="V359" i="16" s="1"/>
  <c r="K362" i="16" l="1"/>
  <c r="L361" i="16"/>
  <c r="AP360" i="16"/>
  <c r="AQ360" i="16" s="1"/>
  <c r="AR360" i="16" s="1"/>
  <c r="AA360" i="16"/>
  <c r="AB360" i="16" s="1"/>
  <c r="AC360" i="16" s="1"/>
  <c r="N360" i="16"/>
  <c r="M360" i="16"/>
  <c r="AI360" i="16"/>
  <c r="AJ360" i="16" s="1"/>
  <c r="AK360" i="16" s="1"/>
  <c r="T360" i="16"/>
  <c r="U360" i="16" s="1"/>
  <c r="V360" i="16" s="1"/>
  <c r="X360" i="16"/>
  <c r="S360" i="16"/>
  <c r="K363" i="16" l="1"/>
  <c r="L362" i="16"/>
  <c r="X361" i="16"/>
  <c r="M361" i="16"/>
  <c r="AI361" i="16"/>
  <c r="AJ361" i="16" s="1"/>
  <c r="AK361" i="16" s="1"/>
  <c r="T361" i="16"/>
  <c r="U361" i="16" s="1"/>
  <c r="V361" i="16" s="1"/>
  <c r="S361" i="16"/>
  <c r="AP361" i="16"/>
  <c r="AQ361" i="16" s="1"/>
  <c r="AA361" i="16"/>
  <c r="N361" i="16"/>
  <c r="E81" i="8"/>
  <c r="Y81" i="8" s="1"/>
  <c r="E76" i="8"/>
  <c r="Y76" i="8" s="1"/>
  <c r="K364" i="16" l="1"/>
  <c r="L363" i="16"/>
  <c r="AR361" i="16"/>
  <c r="E78" i="8"/>
  <c r="Y78" i="8" s="1"/>
  <c r="E84" i="8"/>
  <c r="Y84" i="8" s="1"/>
  <c r="E79" i="8"/>
  <c r="Y79" i="8" s="1"/>
  <c r="E75" i="8"/>
  <c r="Y75" i="8" s="1"/>
  <c r="E82" i="8"/>
  <c r="Y82" i="8" s="1"/>
  <c r="E80" i="8"/>
  <c r="Y80" i="8" s="1"/>
  <c r="E77" i="8"/>
  <c r="Y77" i="8" s="1"/>
  <c r="E83" i="8"/>
  <c r="Y83" i="8" s="1"/>
  <c r="X363" i="16"/>
  <c r="U73" i="8"/>
  <c r="U80" i="8"/>
  <c r="U74" i="8"/>
  <c r="U78" i="8"/>
  <c r="U77" i="8"/>
  <c r="U76" i="8"/>
  <c r="U84" i="8"/>
  <c r="U83" i="8"/>
  <c r="U81" i="8"/>
  <c r="U75" i="8"/>
  <c r="U82" i="8"/>
  <c r="U79" i="8"/>
  <c r="AI362" i="16"/>
  <c r="AJ362" i="16" s="1"/>
  <c r="T362" i="16"/>
  <c r="U362" i="16" s="1"/>
  <c r="X362" i="16"/>
  <c r="M362" i="16"/>
  <c r="AP362" i="16"/>
  <c r="AQ362" i="16" s="1"/>
  <c r="AR362" i="16" s="1"/>
  <c r="AA362" i="16"/>
  <c r="AB362" i="16" s="1"/>
  <c r="AC362" i="16" s="1"/>
  <c r="N362" i="16"/>
  <c r="S362" i="16"/>
  <c r="E66" i="8"/>
  <c r="Y66" i="8" s="1"/>
  <c r="E67" i="8"/>
  <c r="Y67" i="8" s="1"/>
  <c r="E69" i="8"/>
  <c r="Y69" i="8" s="1"/>
  <c r="E68" i="8"/>
  <c r="Y68" i="8" s="1"/>
  <c r="E72" i="8"/>
  <c r="Y72" i="8" s="1"/>
  <c r="E71" i="8"/>
  <c r="Y71" i="8" s="1"/>
  <c r="E70" i="8"/>
  <c r="Y70" i="8" s="1"/>
  <c r="E73" i="8"/>
  <c r="Y73" i="8" s="1"/>
  <c r="E74" i="8"/>
  <c r="Y74" i="8" s="1"/>
  <c r="AB361" i="16"/>
  <c r="K365" i="16" l="1"/>
  <c r="L364" i="16"/>
  <c r="AC361" i="16"/>
  <c r="V362" i="16"/>
  <c r="AK362" i="16"/>
  <c r="AP363" i="16"/>
  <c r="AQ363" i="16" s="1"/>
  <c r="AR363" i="16" s="1"/>
  <c r="N363" i="16"/>
  <c r="T363" i="16"/>
  <c r="U363" i="16" s="1"/>
  <c r="V363" i="16" s="1"/>
  <c r="AA363" i="16"/>
  <c r="S363" i="16"/>
  <c r="M363" i="16"/>
  <c r="M9" i="16" s="1"/>
  <c r="L37" i="8" s="1"/>
  <c r="K37" i="8" s="1"/>
  <c r="AI363" i="16"/>
  <c r="AJ363" i="16" s="1"/>
  <c r="AK363" i="16" s="1"/>
  <c r="Y9" i="16"/>
  <c r="U68" i="8"/>
  <c r="U66" i="8"/>
  <c r="U69" i="8"/>
  <c r="U67" i="8"/>
  <c r="U70" i="8"/>
  <c r="U72" i="8"/>
  <c r="U71" i="8"/>
  <c r="AI364" i="16" l="1"/>
  <c r="AJ364" i="16" s="1"/>
  <c r="N364" i="16"/>
  <c r="S364" i="16"/>
  <c r="M364" i="16"/>
  <c r="AA364" i="16"/>
  <c r="AB364" i="16" s="1"/>
  <c r="AC364" i="16" s="1"/>
  <c r="T364" i="16"/>
  <c r="U364" i="16" s="1"/>
  <c r="X364" i="16"/>
  <c r="AP364" i="16"/>
  <c r="AQ364" i="16" s="1"/>
  <c r="AR364" i="16" s="1"/>
  <c r="L365" i="16"/>
  <c r="K366" i="16"/>
  <c r="V38" i="8"/>
  <c r="Q8" i="16"/>
  <c r="AB363" i="16"/>
  <c r="E48" i="8"/>
  <c r="AQ9" i="16"/>
  <c r="L38" i="8" s="1"/>
  <c r="AJ9" i="16"/>
  <c r="U9" i="16"/>
  <c r="Q7" i="16"/>
  <c r="AI365" i="16" l="1"/>
  <c r="AJ365" i="16" s="1"/>
  <c r="AK365" i="16" s="1"/>
  <c r="AA365" i="16"/>
  <c r="S365" i="16"/>
  <c r="T365" i="16"/>
  <c r="U365" i="16" s="1"/>
  <c r="AP365" i="16"/>
  <c r="AQ365" i="16" s="1"/>
  <c r="M365" i="16"/>
  <c r="N365" i="16"/>
  <c r="X365" i="16"/>
  <c r="V364" i="16"/>
  <c r="AK364" i="16"/>
  <c r="L366" i="16"/>
  <c r="K367" i="16"/>
  <c r="AC363" i="16"/>
  <c r="U107" i="8"/>
  <c r="E49" i="8"/>
  <c r="AB9" i="16"/>
  <c r="K368" i="16" l="1"/>
  <c r="L368" i="16" s="1"/>
  <c r="L367" i="16"/>
  <c r="AP366" i="16"/>
  <c r="AQ366" i="16" s="1"/>
  <c r="AR366" i="16" s="1"/>
  <c r="N366" i="16"/>
  <c r="S366" i="16"/>
  <c r="T366" i="16"/>
  <c r="U366" i="16" s="1"/>
  <c r="AA366" i="16"/>
  <c r="AB366" i="16" s="1"/>
  <c r="AC366" i="16" s="1"/>
  <c r="AI366" i="16"/>
  <c r="AJ366" i="16" s="1"/>
  <c r="X366" i="16"/>
  <c r="M366" i="16"/>
  <c r="AR365" i="16"/>
  <c r="V365" i="16"/>
  <c r="AB365" i="16"/>
  <c r="AK30" i="16" l="1"/>
  <c r="V366" i="16"/>
  <c r="T367" i="16"/>
  <c r="U367" i="16" s="1"/>
  <c r="V22" i="16" s="1"/>
  <c r="AP367" i="16"/>
  <c r="AQ367" i="16" s="1"/>
  <c r="AR32" i="16" s="1"/>
  <c r="N367" i="16"/>
  <c r="M367" i="16"/>
  <c r="AA367" i="16"/>
  <c r="X367" i="16"/>
  <c r="S367" i="16"/>
  <c r="AI367" i="16"/>
  <c r="AJ367" i="16" s="1"/>
  <c r="AK367" i="16" s="1"/>
  <c r="T368" i="16"/>
  <c r="U368" i="16" s="1"/>
  <c r="M368" i="16"/>
  <c r="N368" i="16"/>
  <c r="X368" i="16"/>
  <c r="AA368" i="16"/>
  <c r="AB368" i="16" s="1"/>
  <c r="AP368" i="16"/>
  <c r="AQ368" i="16" s="1"/>
  <c r="AR29" i="16" s="1"/>
  <c r="AI368" i="16"/>
  <c r="AJ368" i="16" s="1"/>
  <c r="AK32" i="16" s="1"/>
  <c r="S368" i="16"/>
  <c r="AC365" i="16"/>
  <c r="AK366" i="16"/>
  <c r="AL12" i="16"/>
  <c r="AK23" i="16" l="1"/>
  <c r="AK13" i="16"/>
  <c r="AR13" i="16"/>
  <c r="AR22" i="16"/>
  <c r="AR20" i="16"/>
  <c r="AR37" i="16"/>
  <c r="V34" i="16"/>
  <c r="V20" i="16"/>
  <c r="V37" i="16"/>
  <c r="AK34" i="16"/>
  <c r="AK17" i="16"/>
  <c r="AR15" i="16"/>
  <c r="AR17" i="16"/>
  <c r="AR19" i="16"/>
  <c r="AR23" i="16"/>
  <c r="AR30" i="16"/>
  <c r="AR25" i="16"/>
  <c r="AR34" i="16"/>
  <c r="AR33" i="16"/>
  <c r="V24" i="16"/>
  <c r="V14" i="16"/>
  <c r="V21" i="16"/>
  <c r="V18" i="16"/>
  <c r="AK26" i="16"/>
  <c r="AK368" i="16"/>
  <c r="O10" i="16"/>
  <c r="P7" i="16"/>
  <c r="O368" i="16" s="1"/>
  <c r="Q10" i="16"/>
  <c r="P10" i="16"/>
  <c r="AR26" i="16"/>
  <c r="AR35" i="16"/>
  <c r="AR368" i="16"/>
  <c r="AR367" i="16"/>
  <c r="AS12" i="16"/>
  <c r="V367" i="16"/>
  <c r="V36" i="16"/>
  <c r="V25" i="16"/>
  <c r="V30" i="16"/>
  <c r="V13" i="16"/>
  <c r="V35" i="16"/>
  <c r="V29" i="16"/>
  <c r="AC368" i="16"/>
  <c r="AL13" i="16"/>
  <c r="AM12" i="16"/>
  <c r="AN12" i="16" s="1"/>
  <c r="V16" i="16"/>
  <c r="V15" i="16"/>
  <c r="V19" i="16"/>
  <c r="V23" i="16"/>
  <c r="V26" i="16"/>
  <c r="V27" i="16"/>
  <c r="V368" i="16"/>
  <c r="V31" i="16"/>
  <c r="V32" i="16"/>
  <c r="V17" i="16"/>
  <c r="V33" i="16"/>
  <c r="AB367" i="16"/>
  <c r="AC14" i="16" s="1"/>
  <c r="G118" i="8"/>
  <c r="G120" i="8"/>
  <c r="G119" i="8"/>
  <c r="AM11" i="16" l="1"/>
  <c r="AN11" i="16" s="1"/>
  <c r="AC36" i="16"/>
  <c r="AC35" i="16"/>
  <c r="AC34" i="16"/>
  <c r="AC32" i="16"/>
  <c r="AC33" i="16"/>
  <c r="AC31" i="16"/>
  <c r="AC29" i="16"/>
  <c r="AC27" i="16"/>
  <c r="AC24" i="16"/>
  <c r="AC16" i="16"/>
  <c r="AC30" i="16"/>
  <c r="AC21" i="16"/>
  <c r="AC23" i="16"/>
  <c r="AC17" i="16"/>
  <c r="AC22" i="16"/>
  <c r="AC18" i="16"/>
  <c r="AC20" i="16"/>
  <c r="Q38" i="8"/>
  <c r="K38" i="8" s="1"/>
  <c r="AT11" i="16"/>
  <c r="Q72" i="16"/>
  <c r="Q87" i="16"/>
  <c r="Q58" i="16"/>
  <c r="Q83" i="16"/>
  <c r="Q84" i="16"/>
  <c r="Q50" i="16"/>
  <c r="Q85" i="16"/>
  <c r="Q86" i="16"/>
  <c r="Q343" i="16"/>
  <c r="Q215" i="16"/>
  <c r="Q256" i="16"/>
  <c r="Q271" i="16"/>
  <c r="Q108" i="16"/>
  <c r="Q156" i="16"/>
  <c r="Q125" i="16"/>
  <c r="Q173" i="16"/>
  <c r="Q209" i="16"/>
  <c r="Q257" i="16"/>
  <c r="Q305" i="16"/>
  <c r="Q353" i="16"/>
  <c r="Q358" i="16"/>
  <c r="Q310" i="16"/>
  <c r="Q262" i="16"/>
  <c r="Q355" i="16"/>
  <c r="Q259" i="16"/>
  <c r="Q175" i="16"/>
  <c r="Q158" i="16"/>
  <c r="Q55" i="16"/>
  <c r="Q42" i="16"/>
  <c r="Q75" i="16"/>
  <c r="Q76" i="16"/>
  <c r="Q34" i="16"/>
  <c r="Q77" i="16"/>
  <c r="Q78" i="16"/>
  <c r="Q356" i="16"/>
  <c r="Q336" i="16"/>
  <c r="Q163" i="16"/>
  <c r="Q228" i="16"/>
  <c r="Q348" i="16"/>
  <c r="Q239" i="16"/>
  <c r="Q112" i="16"/>
  <c r="Q160" i="16"/>
  <c r="Q129" i="16"/>
  <c r="Q177" i="16"/>
  <c r="Q213" i="16"/>
  <c r="Q261" i="16"/>
  <c r="Q309" i="16"/>
  <c r="Q357" i="16"/>
  <c r="Q354" i="16"/>
  <c r="Q306" i="16"/>
  <c r="Q258" i="16"/>
  <c r="Q347" i="16"/>
  <c r="Q251" i="16"/>
  <c r="Q167" i="16"/>
  <c r="Q150" i="16"/>
  <c r="Q31" i="16"/>
  <c r="Q23" i="16"/>
  <c r="Q26" i="16"/>
  <c r="Q67" i="16"/>
  <c r="Q68" i="16"/>
  <c r="Q19" i="16"/>
  <c r="Q69" i="16"/>
  <c r="Q70" i="16"/>
  <c r="Q247" i="16"/>
  <c r="Q304" i="16"/>
  <c r="Q308" i="16"/>
  <c r="Q351" i="16"/>
  <c r="Q332" i="16"/>
  <c r="Q206" i="16"/>
  <c r="Q116" i="16"/>
  <c r="Q164" i="16"/>
  <c r="Q133" i="16"/>
  <c r="Q181" i="16"/>
  <c r="Q217" i="16"/>
  <c r="Q265" i="16"/>
  <c r="Q313" i="16"/>
  <c r="Q188" i="16"/>
  <c r="Q350" i="16"/>
  <c r="Q302" i="16"/>
  <c r="Q254" i="16"/>
  <c r="Q339" i="16"/>
  <c r="Q243" i="16"/>
  <c r="Q159" i="16"/>
  <c r="Q142" i="16"/>
  <c r="Q32" i="16"/>
  <c r="Q88" i="16"/>
  <c r="Q59" i="16"/>
  <c r="Q60" i="16"/>
  <c r="Q61" i="16"/>
  <c r="Q62" i="16"/>
  <c r="Q328" i="16"/>
  <c r="Q244" i="16"/>
  <c r="Q280" i="16"/>
  <c r="Q115" i="16"/>
  <c r="Q311" i="16"/>
  <c r="Q316" i="16"/>
  <c r="Q179" i="16"/>
  <c r="Q120" i="16"/>
  <c r="Q168" i="16"/>
  <c r="Q137" i="16"/>
  <c r="Q185" i="16"/>
  <c r="Q221" i="16"/>
  <c r="Q269" i="16"/>
  <c r="Q317" i="16"/>
  <c r="Q196" i="16"/>
  <c r="Q346" i="16"/>
  <c r="Q298" i="16"/>
  <c r="Q250" i="16"/>
  <c r="Q331" i="16"/>
  <c r="Q235" i="16"/>
  <c r="Q151" i="16"/>
  <c r="Q134" i="16"/>
  <c r="Q96" i="16"/>
  <c r="Q56" i="16"/>
  <c r="Q97" i="16"/>
  <c r="Q51" i="16"/>
  <c r="Q52" i="16"/>
  <c r="Q53" i="16"/>
  <c r="Q54" i="16"/>
  <c r="Q231" i="16"/>
  <c r="Q295" i="16"/>
  <c r="Q248" i="16"/>
  <c r="Q114" i="16"/>
  <c r="Q263" i="16"/>
  <c r="Q300" i="16"/>
  <c r="Q131" i="16"/>
  <c r="Q203" i="16"/>
  <c r="Q124" i="16"/>
  <c r="Q172" i="16"/>
  <c r="Q141" i="16"/>
  <c r="Q189" i="16"/>
  <c r="Q225" i="16"/>
  <c r="Q273" i="16"/>
  <c r="Q321" i="16"/>
  <c r="Q204" i="16"/>
  <c r="Q342" i="16"/>
  <c r="Q294" i="16"/>
  <c r="Q246" i="16"/>
  <c r="Q323" i="16"/>
  <c r="Q227" i="16"/>
  <c r="Q143" i="16"/>
  <c r="Q126" i="16"/>
  <c r="Q71" i="16"/>
  <c r="Q24" i="16"/>
  <c r="Q81" i="16"/>
  <c r="Q43" i="16"/>
  <c r="Q44" i="16"/>
  <c r="Q89" i="16"/>
  <c r="Q45" i="16"/>
  <c r="Q46" i="16"/>
  <c r="Q292" i="16"/>
  <c r="Q344" i="16"/>
  <c r="Q212" i="16"/>
  <c r="Q190" i="16"/>
  <c r="Q223" i="16"/>
  <c r="Q284" i="16"/>
  <c r="Q178" i="16"/>
  <c r="Q171" i="16"/>
  <c r="Q128" i="16"/>
  <c r="Q176" i="16"/>
  <c r="Q145" i="16"/>
  <c r="Q193" i="16"/>
  <c r="Q229" i="16"/>
  <c r="Q277" i="16"/>
  <c r="Q325" i="16"/>
  <c r="Q210" i="16"/>
  <c r="Q338" i="16"/>
  <c r="Q290" i="16"/>
  <c r="Q242" i="16"/>
  <c r="Q315" i="16"/>
  <c r="Q219" i="16"/>
  <c r="Q135" i="16"/>
  <c r="Q118" i="16"/>
  <c r="Q64" i="16"/>
  <c r="Q79" i="16"/>
  <c r="Q65" i="16"/>
  <c r="Q35" i="16"/>
  <c r="Q36" i="16"/>
  <c r="Q73" i="16"/>
  <c r="Q37" i="16"/>
  <c r="Q38" i="16"/>
  <c r="Q264" i="16"/>
  <c r="Q312" i="16"/>
  <c r="Q319" i="16"/>
  <c r="Q130" i="16"/>
  <c r="Q187" i="16"/>
  <c r="Q268" i="16"/>
  <c r="Q138" i="16"/>
  <c r="Q139" i="16"/>
  <c r="Q132" i="16"/>
  <c r="Q180" i="16"/>
  <c r="Q149" i="16"/>
  <c r="Q197" i="16"/>
  <c r="Q233" i="16"/>
  <c r="Q281" i="16"/>
  <c r="Q329" i="16"/>
  <c r="Q214" i="16"/>
  <c r="Q334" i="16"/>
  <c r="Q286" i="16"/>
  <c r="Q238" i="16"/>
  <c r="Q307" i="16"/>
  <c r="Q211" i="16"/>
  <c r="Q127" i="16"/>
  <c r="Q110" i="16"/>
  <c r="Q47" i="16"/>
  <c r="Q105" i="16"/>
  <c r="Q41" i="16"/>
  <c r="Q27" i="16"/>
  <c r="Q28" i="16"/>
  <c r="Q49" i="16"/>
  <c r="Q29" i="16"/>
  <c r="Q30" i="16"/>
  <c r="Q240" i="16"/>
  <c r="Q288" i="16"/>
  <c r="Q255" i="16"/>
  <c r="Q360" i="16"/>
  <c r="Q123" i="16"/>
  <c r="Q252" i="16"/>
  <c r="Q154" i="16"/>
  <c r="Q136" i="16"/>
  <c r="Q184" i="16"/>
  <c r="Q153" i="16"/>
  <c r="Q201" i="16"/>
  <c r="Q237" i="16"/>
  <c r="Q285" i="16"/>
  <c r="Q333" i="16"/>
  <c r="Q218" i="16"/>
  <c r="Q330" i="16"/>
  <c r="Q282" i="16"/>
  <c r="Q232" i="16"/>
  <c r="Q299" i="16"/>
  <c r="Q198" i="16"/>
  <c r="Q119" i="16"/>
  <c r="Q39" i="16"/>
  <c r="Q15" i="16"/>
  <c r="Q57" i="16"/>
  <c r="Q25" i="16"/>
  <c r="Q18" i="16"/>
  <c r="Q20" i="16"/>
  <c r="Q33" i="16"/>
  <c r="Q21" i="16"/>
  <c r="Q22" i="16"/>
  <c r="Q324" i="16"/>
  <c r="Q260" i="16"/>
  <c r="Q195" i="16"/>
  <c r="Q340" i="16"/>
  <c r="Q162" i="16"/>
  <c r="Q236" i="16"/>
  <c r="Q122" i="16"/>
  <c r="Q140" i="16"/>
  <c r="Q109" i="16"/>
  <c r="Q157" i="16"/>
  <c r="Q205" i="16"/>
  <c r="Q241" i="16"/>
  <c r="Q289" i="16"/>
  <c r="Q337" i="16"/>
  <c r="Q222" i="16"/>
  <c r="Q326" i="16"/>
  <c r="Q278" i="16"/>
  <c r="Q224" i="16"/>
  <c r="Q291" i="16"/>
  <c r="Q207" i="16"/>
  <c r="Q111" i="16"/>
  <c r="Q362" i="16"/>
  <c r="Q103" i="16"/>
  <c r="Q95" i="16"/>
  <c r="Q80" i="16"/>
  <c r="Q90" i="16"/>
  <c r="Q106" i="16"/>
  <c r="Q107" i="16"/>
  <c r="Q11" i="16"/>
  <c r="Q12" i="16"/>
  <c r="Q17" i="16"/>
  <c r="Q287" i="16"/>
  <c r="Q13" i="16"/>
  <c r="Q14" i="16"/>
  <c r="Q359" i="16"/>
  <c r="Q220" i="16"/>
  <c r="Q147" i="16"/>
  <c r="Q320" i="16"/>
  <c r="Q200" i="16"/>
  <c r="Q144" i="16"/>
  <c r="Q113" i="16"/>
  <c r="Q161" i="16"/>
  <c r="Q186" i="16"/>
  <c r="Q245" i="16"/>
  <c r="Q293" i="16"/>
  <c r="Q341" i="16"/>
  <c r="Q226" i="16"/>
  <c r="Q322" i="16"/>
  <c r="Q274" i="16"/>
  <c r="Q216" i="16"/>
  <c r="Q283" i="16"/>
  <c r="Q199" i="16"/>
  <c r="Q182" i="16"/>
  <c r="Q364" i="16"/>
  <c r="Q104" i="16"/>
  <c r="Q48" i="16"/>
  <c r="T32" i="8"/>
  <c r="Q82" i="16"/>
  <c r="Q99" i="16"/>
  <c r="Q100" i="16"/>
  <c r="Q98" i="16"/>
  <c r="Q101" i="16"/>
  <c r="Q102" i="16"/>
  <c r="Q352" i="16"/>
  <c r="Q327" i="16"/>
  <c r="Q155" i="16"/>
  <c r="Q296" i="16"/>
  <c r="Q335" i="16"/>
  <c r="Q148" i="16"/>
  <c r="Q117" i="16"/>
  <c r="Q165" i="16"/>
  <c r="Q194" i="16"/>
  <c r="Q249" i="16"/>
  <c r="Q297" i="16"/>
  <c r="Q345" i="16"/>
  <c r="Q230" i="16"/>
  <c r="Q318" i="16"/>
  <c r="Q270" i="16"/>
  <c r="Q208" i="16"/>
  <c r="Q275" i="16"/>
  <c r="Q191" i="16"/>
  <c r="Q174" i="16"/>
  <c r="Q365" i="16"/>
  <c r="Q63" i="16"/>
  <c r="Q40" i="16"/>
  <c r="Q16" i="16"/>
  <c r="Q66" i="16"/>
  <c r="Q91" i="16"/>
  <c r="Q92" i="16"/>
  <c r="Q74" i="16"/>
  <c r="Q93" i="16"/>
  <c r="Q94" i="16"/>
  <c r="Q272" i="16"/>
  <c r="Q279" i="16"/>
  <c r="Q170" i="16"/>
  <c r="Q276" i="16"/>
  <c r="Q303" i="16"/>
  <c r="Q146" i="16"/>
  <c r="Q152" i="16"/>
  <c r="Q121" i="16"/>
  <c r="Q169" i="16"/>
  <c r="Q202" i="16"/>
  <c r="Q253" i="16"/>
  <c r="Q301" i="16"/>
  <c r="Q349" i="16"/>
  <c r="Q234" i="16"/>
  <c r="Q361" i="16"/>
  <c r="Q314" i="16"/>
  <c r="Q266" i="16"/>
  <c r="Q192" i="16"/>
  <c r="Q267" i="16"/>
  <c r="Q183" i="16"/>
  <c r="Q166" i="16"/>
  <c r="Q363" i="16"/>
  <c r="Q366" i="16"/>
  <c r="R357" i="16"/>
  <c r="R223" i="16"/>
  <c r="R361" i="16"/>
  <c r="R129" i="16"/>
  <c r="R306" i="16"/>
  <c r="R63" i="16"/>
  <c r="R202" i="16"/>
  <c r="R137" i="16"/>
  <c r="R227" i="16"/>
  <c r="R279" i="16"/>
  <c r="R327" i="16"/>
  <c r="R233" i="16"/>
  <c r="R17" i="16"/>
  <c r="R249" i="16"/>
  <c r="R345" i="16"/>
  <c r="R268" i="16"/>
  <c r="R316" i="16"/>
  <c r="R318" i="16"/>
  <c r="R349" i="16"/>
  <c r="R33" i="16"/>
  <c r="R185" i="16"/>
  <c r="R125" i="16"/>
  <c r="R29" i="16"/>
  <c r="R196" i="16"/>
  <c r="R147" i="16"/>
  <c r="R51" i="16"/>
  <c r="R102" i="16"/>
  <c r="R122" i="16"/>
  <c r="R26" i="16"/>
  <c r="R12" i="16"/>
  <c r="R60" i="16"/>
  <c r="R108" i="16"/>
  <c r="R290" i="16"/>
  <c r="R274" i="16"/>
  <c r="R79" i="16"/>
  <c r="R210" i="16"/>
  <c r="R151" i="16"/>
  <c r="R235" i="16"/>
  <c r="R283" i="16"/>
  <c r="R331" i="16"/>
  <c r="R14" i="16"/>
  <c r="R49" i="16"/>
  <c r="R257" i="16"/>
  <c r="R353" i="16"/>
  <c r="R272" i="16"/>
  <c r="R320" i="16"/>
  <c r="R310" i="16"/>
  <c r="R333" i="16"/>
  <c r="R214" i="16"/>
  <c r="R181" i="16"/>
  <c r="R117" i="16"/>
  <c r="R21" i="16"/>
  <c r="R192" i="16"/>
  <c r="R139" i="16"/>
  <c r="R43" i="16"/>
  <c r="R86" i="16"/>
  <c r="R114" i="16"/>
  <c r="R19" i="16"/>
  <c r="R16" i="16"/>
  <c r="R64" i="16"/>
  <c r="R112" i="16"/>
  <c r="R229" i="16"/>
  <c r="R293" i="16"/>
  <c r="R346" i="16"/>
  <c r="R242" i="16"/>
  <c r="R95" i="16"/>
  <c r="R218" i="16"/>
  <c r="R159" i="16"/>
  <c r="R239" i="16"/>
  <c r="R287" i="16"/>
  <c r="R335" i="16"/>
  <c r="R126" i="16"/>
  <c r="R81" i="16"/>
  <c r="R265" i="16"/>
  <c r="R205" i="16"/>
  <c r="R276" i="16"/>
  <c r="R324" i="16"/>
  <c r="R302" i="16"/>
  <c r="R317" i="16"/>
  <c r="R182" i="16"/>
  <c r="R177" i="16"/>
  <c r="R109" i="16"/>
  <c r="R13" i="16"/>
  <c r="R188" i="16"/>
  <c r="R131" i="16"/>
  <c r="R35" i="16"/>
  <c r="R70" i="16"/>
  <c r="R106" i="16"/>
  <c r="R20" i="16"/>
  <c r="R68" i="16"/>
  <c r="R116" i="16"/>
  <c r="R362" i="16"/>
  <c r="R119" i="16"/>
  <c r="R314" i="16"/>
  <c r="R325" i="16"/>
  <c r="R111" i="16"/>
  <c r="R226" i="16"/>
  <c r="R167" i="16"/>
  <c r="R243" i="16"/>
  <c r="R291" i="16"/>
  <c r="R339" i="16"/>
  <c r="R39" i="16"/>
  <c r="R113" i="16"/>
  <c r="R273" i="16"/>
  <c r="R221" i="16"/>
  <c r="R280" i="16"/>
  <c r="R328" i="16"/>
  <c r="R282" i="16"/>
  <c r="R261" i="16"/>
  <c r="R127" i="16"/>
  <c r="R234" i="16"/>
  <c r="R175" i="16"/>
  <c r="R247" i="16"/>
  <c r="R295" i="16"/>
  <c r="R343" i="16"/>
  <c r="R71" i="16"/>
  <c r="R145" i="16"/>
  <c r="R281" i="16"/>
  <c r="R236" i="16"/>
  <c r="R284" i="16"/>
  <c r="R332" i="16"/>
  <c r="R250" i="16"/>
  <c r="R171" i="16"/>
  <c r="R143" i="16"/>
  <c r="R25" i="16"/>
  <c r="R183" i="16"/>
  <c r="R251" i="16"/>
  <c r="R299" i="16"/>
  <c r="R347" i="16"/>
  <c r="R103" i="16"/>
  <c r="R163" i="16"/>
  <c r="R289" i="16"/>
  <c r="R240" i="16"/>
  <c r="R288" i="16"/>
  <c r="R336" i="16"/>
  <c r="R278" i="16"/>
  <c r="R269" i="16"/>
  <c r="R15" i="16"/>
  <c r="R165" i="16"/>
  <c r="R85" i="16"/>
  <c r="R224" i="16"/>
  <c r="R176" i="16"/>
  <c r="R107" i="16"/>
  <c r="R134" i="16"/>
  <c r="R22" i="16"/>
  <c r="R82" i="16"/>
  <c r="R32" i="16"/>
  <c r="R80" i="16"/>
  <c r="R128" i="16"/>
  <c r="R341" i="16"/>
  <c r="R198" i="16"/>
  <c r="R154" i="16"/>
  <c r="R41" i="16"/>
  <c r="R191" i="16"/>
  <c r="R255" i="16"/>
  <c r="R303" i="16"/>
  <c r="R351" i="16"/>
  <c r="R135" i="16"/>
  <c r="R179" i="16"/>
  <c r="R297" i="16"/>
  <c r="R244" i="16"/>
  <c r="R292" i="16"/>
  <c r="R340" i="16"/>
  <c r="R270" i="16"/>
  <c r="R253" i="16"/>
  <c r="R161" i="16"/>
  <c r="R77" i="16"/>
  <c r="R220" i="16"/>
  <c r="R172" i="16"/>
  <c r="R99" i="16"/>
  <c r="R118" i="16"/>
  <c r="R27" i="16"/>
  <c r="R74" i="16"/>
  <c r="R36" i="16"/>
  <c r="R84" i="16"/>
  <c r="R132" i="16"/>
  <c r="R354" i="16"/>
  <c r="R277" i="16"/>
  <c r="R46" i="16"/>
  <c r="R162" i="16"/>
  <c r="R57" i="16"/>
  <c r="R195" i="16"/>
  <c r="R259" i="16"/>
  <c r="R307" i="16"/>
  <c r="R355" i="16"/>
  <c r="R158" i="16"/>
  <c r="R193" i="16"/>
  <c r="R305" i="16"/>
  <c r="R248" i="16"/>
  <c r="R296" i="16"/>
  <c r="R344" i="16"/>
  <c r="R358" i="16"/>
  <c r="R262" i="16"/>
  <c r="R237" i="16"/>
  <c r="R157" i="16"/>
  <c r="R69" i="16"/>
  <c r="R216" i="16"/>
  <c r="R168" i="16"/>
  <c r="R91" i="16"/>
  <c r="R94" i="16"/>
  <c r="R18" i="16"/>
  <c r="R66" i="16"/>
  <c r="R40" i="16"/>
  <c r="R88" i="16"/>
  <c r="R136" i="16"/>
  <c r="R258" i="16"/>
  <c r="R197" i="16"/>
  <c r="R110" i="16"/>
  <c r="R170" i="16"/>
  <c r="R73" i="16"/>
  <c r="R199" i="16"/>
  <c r="R263" i="16"/>
  <c r="R311" i="16"/>
  <c r="R359" i="16"/>
  <c r="R174" i="16"/>
  <c r="R201" i="16"/>
  <c r="R313" i="16"/>
  <c r="R252" i="16"/>
  <c r="R300" i="16"/>
  <c r="R348" i="16"/>
  <c r="R350" i="16"/>
  <c r="R254" i="16"/>
  <c r="R207" i="16"/>
  <c r="R153" i="16"/>
  <c r="R61" i="16"/>
  <c r="R212" i="16"/>
  <c r="R164" i="16"/>
  <c r="R83" i="16"/>
  <c r="R62" i="16"/>
  <c r="R11" i="16"/>
  <c r="R58" i="16"/>
  <c r="R44" i="16"/>
  <c r="R92" i="16"/>
  <c r="R140" i="16"/>
  <c r="R166" i="16"/>
  <c r="R298" i="16"/>
  <c r="R245" i="16"/>
  <c r="R330" i="16"/>
  <c r="R230" i="16"/>
  <c r="R142" i="16"/>
  <c r="R178" i="16"/>
  <c r="R89" i="16"/>
  <c r="R203" i="16"/>
  <c r="R267" i="16"/>
  <c r="R315" i="16"/>
  <c r="R209" i="16"/>
  <c r="R190" i="16"/>
  <c r="R215" i="16"/>
  <c r="R321" i="16"/>
  <c r="R256" i="16"/>
  <c r="R304" i="16"/>
  <c r="R352" i="16"/>
  <c r="R342" i="16"/>
  <c r="R246" i="16"/>
  <c r="R187" i="16"/>
  <c r="AC32" i="8"/>
  <c r="R149" i="16"/>
  <c r="R53" i="16"/>
  <c r="R208" i="16"/>
  <c r="R160" i="16"/>
  <c r="R75" i="16"/>
  <c r="R30" i="16"/>
  <c r="R146" i="16"/>
  <c r="R50" i="16"/>
  <c r="R48" i="16"/>
  <c r="R96" i="16"/>
  <c r="R144" i="16"/>
  <c r="R364" i="16"/>
  <c r="R65" i="16"/>
  <c r="R55" i="16"/>
  <c r="R266" i="16"/>
  <c r="R78" i="16"/>
  <c r="R31" i="16"/>
  <c r="R186" i="16"/>
  <c r="R105" i="16"/>
  <c r="R211" i="16"/>
  <c r="R271" i="16"/>
  <c r="R319" i="16"/>
  <c r="R217" i="16"/>
  <c r="R206" i="16"/>
  <c r="R231" i="16"/>
  <c r="R329" i="16"/>
  <c r="R260" i="16"/>
  <c r="R308" i="16"/>
  <c r="R356" i="16"/>
  <c r="R334" i="16"/>
  <c r="R365" i="16"/>
  <c r="R322" i="16"/>
  <c r="R309" i="16"/>
  <c r="R338" i="16"/>
  <c r="R47" i="16"/>
  <c r="R194" i="16"/>
  <c r="R121" i="16"/>
  <c r="R219" i="16"/>
  <c r="R275" i="16"/>
  <c r="R323" i="16"/>
  <c r="R225" i="16"/>
  <c r="R222" i="16"/>
  <c r="R241" i="16"/>
  <c r="R337" i="16"/>
  <c r="R264" i="16"/>
  <c r="R312" i="16"/>
  <c r="R360" i="16"/>
  <c r="R326" i="16"/>
  <c r="R213" i="16"/>
  <c r="R97" i="16"/>
  <c r="R189" i="16"/>
  <c r="R133" i="16"/>
  <c r="R37" i="16"/>
  <c r="R200" i="16"/>
  <c r="R152" i="16"/>
  <c r="R59" i="16"/>
  <c r="R130" i="16"/>
  <c r="R34" i="16"/>
  <c r="R56" i="16"/>
  <c r="R104" i="16"/>
  <c r="R238" i="16"/>
  <c r="R45" i="16"/>
  <c r="R42" i="16"/>
  <c r="R301" i="16"/>
  <c r="R232" i="16"/>
  <c r="R285" i="16"/>
  <c r="R228" i="16"/>
  <c r="R155" i="16"/>
  <c r="R204" i="16"/>
  <c r="R150" i="16"/>
  <c r="R184" i="16"/>
  <c r="R54" i="16"/>
  <c r="R24" i="16"/>
  <c r="R87" i="16"/>
  <c r="R180" i="16"/>
  <c r="R38" i="16"/>
  <c r="R28" i="16"/>
  <c r="R156" i="16"/>
  <c r="R52" i="16"/>
  <c r="R363" i="16"/>
  <c r="R173" i="16"/>
  <c r="R123" i="16"/>
  <c r="R72" i="16"/>
  <c r="R169" i="16"/>
  <c r="R115" i="16"/>
  <c r="R76" i="16"/>
  <c r="R141" i="16"/>
  <c r="R67" i="16"/>
  <c r="R138" i="16"/>
  <c r="R100" i="16"/>
  <c r="R294" i="16"/>
  <c r="R101" i="16"/>
  <c r="R23" i="16"/>
  <c r="R98" i="16"/>
  <c r="R120" i="16"/>
  <c r="R286" i="16"/>
  <c r="R93" i="16"/>
  <c r="R148" i="16"/>
  <c r="R90" i="16"/>
  <c r="R124" i="16"/>
  <c r="R366" i="16"/>
  <c r="R368" i="16"/>
  <c r="O26" i="16"/>
  <c r="O324" i="16"/>
  <c r="O33" i="16"/>
  <c r="O34" i="16"/>
  <c r="O226" i="16"/>
  <c r="O89" i="16"/>
  <c r="O281" i="16"/>
  <c r="O350" i="16"/>
  <c r="O277" i="16"/>
  <c r="O181" i="16"/>
  <c r="O85" i="16"/>
  <c r="O305" i="16"/>
  <c r="O138" i="16"/>
  <c r="O357" i="16"/>
  <c r="O298" i="16"/>
  <c r="O50" i="16"/>
  <c r="O242" i="16"/>
  <c r="O105" i="16"/>
  <c r="O49" i="16"/>
  <c r="O349" i="16"/>
  <c r="O234" i="16"/>
  <c r="O17" i="16"/>
  <c r="O66" i="16"/>
  <c r="O258" i="16"/>
  <c r="O121" i="16"/>
  <c r="O313" i="16"/>
  <c r="O261" i="16"/>
  <c r="O165" i="16"/>
  <c r="O69" i="16"/>
  <c r="O302" i="16"/>
  <c r="O206" i="16"/>
  <c r="O110" i="16"/>
  <c r="O14" i="16"/>
  <c r="O52" i="16"/>
  <c r="O100" i="16"/>
  <c r="O148" i="16"/>
  <c r="O196" i="16"/>
  <c r="O11" i="16"/>
  <c r="O177" i="16"/>
  <c r="O364" i="16"/>
  <c r="O273" i="16"/>
  <c r="O365" i="16"/>
  <c r="O337" i="16"/>
  <c r="O257" i="16"/>
  <c r="O42" i="16"/>
  <c r="O250" i="16"/>
  <c r="O114" i="16"/>
  <c r="O361" i="16"/>
  <c r="O332" i="16"/>
  <c r="O209" i="16"/>
  <c r="O225" i="16"/>
  <c r="O218" i="16"/>
  <c r="O130" i="16"/>
  <c r="O326" i="16"/>
  <c r="O185" i="16"/>
  <c r="O355" i="16"/>
  <c r="O325" i="16"/>
  <c r="O229" i="16"/>
  <c r="O133" i="16"/>
  <c r="O346" i="16"/>
  <c r="O113" i="16"/>
  <c r="O145" i="16"/>
  <c r="O193" i="16"/>
  <c r="O186" i="16"/>
  <c r="O146" i="16"/>
  <c r="O360" i="16"/>
  <c r="O266" i="16"/>
  <c r="O81" i="16"/>
  <c r="O161" i="16"/>
  <c r="O154" i="16"/>
  <c r="O162" i="16"/>
  <c r="O25" i="16"/>
  <c r="O217" i="16"/>
  <c r="O320" i="16"/>
  <c r="O309" i="16"/>
  <c r="O213" i="16"/>
  <c r="O117" i="16"/>
  <c r="O21" i="16"/>
  <c r="O254" i="16"/>
  <c r="O158" i="16"/>
  <c r="O62" i="16"/>
  <c r="O28" i="16"/>
  <c r="O76" i="16"/>
  <c r="O124" i="16"/>
  <c r="O172" i="16"/>
  <c r="O241" i="16"/>
  <c r="O344" i="16"/>
  <c r="O129" i="16"/>
  <c r="O122" i="16"/>
  <c r="O178" i="16"/>
  <c r="O41" i="16"/>
  <c r="O233" i="16"/>
  <c r="O328" i="16"/>
  <c r="O301" i="16"/>
  <c r="O205" i="16"/>
  <c r="O109" i="16"/>
  <c r="O13" i="16"/>
  <c r="O246" i="16"/>
  <c r="O150" i="16"/>
  <c r="O54" i="16"/>
  <c r="O32" i="16"/>
  <c r="O80" i="16"/>
  <c r="O353" i="16"/>
  <c r="O338" i="16"/>
  <c r="O74" i="16"/>
  <c r="O65" i="16"/>
  <c r="O58" i="16"/>
  <c r="O18" i="16"/>
  <c r="O210" i="16"/>
  <c r="O354" i="16"/>
  <c r="O362" i="16"/>
  <c r="O201" i="16"/>
  <c r="O341" i="16"/>
  <c r="O173" i="16"/>
  <c r="O29" i="16"/>
  <c r="O222" i="16"/>
  <c r="O94" i="16"/>
  <c r="O24" i="16"/>
  <c r="O92" i="16"/>
  <c r="O152" i="16"/>
  <c r="O208" i="16"/>
  <c r="O256" i="16"/>
  <c r="O304" i="16"/>
  <c r="O27" i="16"/>
  <c r="O75" i="16"/>
  <c r="O123" i="16"/>
  <c r="O171" i="16"/>
  <c r="O219" i="16"/>
  <c r="O267" i="16"/>
  <c r="O315" i="16"/>
  <c r="O264" i="16"/>
  <c r="O35" i="16"/>
  <c r="O131" i="16"/>
  <c r="O227" i="16"/>
  <c r="O275" i="16"/>
  <c r="O279" i="16"/>
  <c r="O321" i="16"/>
  <c r="O314" i="16"/>
  <c r="O82" i="16"/>
  <c r="O249" i="16"/>
  <c r="O333" i="16"/>
  <c r="O157" i="16"/>
  <c r="O352" i="16"/>
  <c r="O214" i="16"/>
  <c r="O86" i="16"/>
  <c r="O36" i="16"/>
  <c r="O96" i="16"/>
  <c r="O156" i="16"/>
  <c r="O212" i="16"/>
  <c r="O260" i="16"/>
  <c r="O308" i="16"/>
  <c r="O31" i="16"/>
  <c r="O79" i="16"/>
  <c r="O127" i="16"/>
  <c r="O175" i="16"/>
  <c r="O223" i="16"/>
  <c r="O271" i="16"/>
  <c r="O319" i="16"/>
  <c r="O289" i="16"/>
  <c r="O282" i="16"/>
  <c r="O98" i="16"/>
  <c r="O265" i="16"/>
  <c r="O317" i="16"/>
  <c r="O149" i="16"/>
  <c r="O334" i="16"/>
  <c r="O198" i="16"/>
  <c r="O78" i="16"/>
  <c r="O40" i="16"/>
  <c r="O104" i="16"/>
  <c r="O160" i="16"/>
  <c r="O216" i="16"/>
  <c r="O312" i="16"/>
  <c r="O83" i="16"/>
  <c r="O179" i="16"/>
  <c r="O323" i="16"/>
  <c r="O202" i="16"/>
  <c r="O90" i="16"/>
  <c r="O194" i="16"/>
  <c r="O297" i="16"/>
  <c r="O293" i="16"/>
  <c r="O141" i="16"/>
  <c r="O318" i="16"/>
  <c r="O190" i="16"/>
  <c r="O70" i="16"/>
  <c r="O44" i="16"/>
  <c r="O108" i="16"/>
  <c r="O164" i="16"/>
  <c r="O220" i="16"/>
  <c r="O268" i="16"/>
  <c r="O316" i="16"/>
  <c r="O39" i="16"/>
  <c r="O87" i="16"/>
  <c r="O135" i="16"/>
  <c r="O183" i="16"/>
  <c r="O231" i="16"/>
  <c r="O327" i="16"/>
  <c r="O274" i="16"/>
  <c r="O329" i="16"/>
  <c r="O285" i="16"/>
  <c r="O125" i="16"/>
  <c r="O310" i="16"/>
  <c r="O182" i="16"/>
  <c r="O46" i="16"/>
  <c r="O48" i="16"/>
  <c r="O112" i="16"/>
  <c r="O168" i="16"/>
  <c r="O224" i="16"/>
  <c r="O272" i="16"/>
  <c r="O322" i="16"/>
  <c r="O43" i="16"/>
  <c r="O91" i="16"/>
  <c r="O139" i="16"/>
  <c r="O187" i="16"/>
  <c r="O235" i="16"/>
  <c r="O283" i="16"/>
  <c r="O331" i="16"/>
  <c r="O290" i="16"/>
  <c r="O345" i="16"/>
  <c r="O269" i="16"/>
  <c r="O101" i="16"/>
  <c r="O294" i="16"/>
  <c r="O174" i="16"/>
  <c r="O38" i="16"/>
  <c r="O56" i="16"/>
  <c r="O116" i="16"/>
  <c r="O176" i="16"/>
  <c r="O228" i="16"/>
  <c r="O276" i="16"/>
  <c r="O330" i="16"/>
  <c r="O47" i="16"/>
  <c r="O95" i="16"/>
  <c r="O143" i="16"/>
  <c r="O191" i="16"/>
  <c r="O239" i="16"/>
  <c r="O287" i="16"/>
  <c r="O335" i="16"/>
  <c r="O211" i="16"/>
  <c r="O263" i="16"/>
  <c r="O97" i="16"/>
  <c r="O306" i="16"/>
  <c r="O351" i="16"/>
  <c r="O253" i="16"/>
  <c r="O93" i="16"/>
  <c r="O286" i="16"/>
  <c r="O166" i="16"/>
  <c r="O30" i="16"/>
  <c r="O60" i="16"/>
  <c r="O120" i="16"/>
  <c r="O180" i="16"/>
  <c r="O232" i="16"/>
  <c r="O280" i="16"/>
  <c r="O340" i="16"/>
  <c r="O51" i="16"/>
  <c r="O99" i="16"/>
  <c r="O147" i="16"/>
  <c r="O195" i="16"/>
  <c r="O243" i="16"/>
  <c r="O291" i="16"/>
  <c r="O339" i="16"/>
  <c r="O240" i="16"/>
  <c r="O107" i="16"/>
  <c r="O347" i="16"/>
  <c r="O207" i="16"/>
  <c r="O170" i="16"/>
  <c r="O57" i="16"/>
  <c r="O359" i="16"/>
  <c r="O245" i="16"/>
  <c r="O77" i="16"/>
  <c r="O278" i="16"/>
  <c r="O142" i="16"/>
  <c r="O22" i="16"/>
  <c r="O64" i="16"/>
  <c r="O128" i="16"/>
  <c r="O184" i="16"/>
  <c r="O236" i="16"/>
  <c r="O284" i="16"/>
  <c r="O348" i="16"/>
  <c r="O55" i="16"/>
  <c r="O103" i="16"/>
  <c r="O151" i="16"/>
  <c r="O199" i="16"/>
  <c r="O247" i="16"/>
  <c r="O295" i="16"/>
  <c r="O343" i="16"/>
  <c r="O356" i="16"/>
  <c r="O155" i="16"/>
  <c r="O203" i="16"/>
  <c r="O251" i="16"/>
  <c r="O159" i="16"/>
  <c r="O303" i="16"/>
  <c r="O307" i="16"/>
  <c r="O167" i="16"/>
  <c r="O311" i="16"/>
  <c r="O106" i="16"/>
  <c r="O73" i="16"/>
  <c r="O336" i="16"/>
  <c r="O237" i="16"/>
  <c r="O61" i="16"/>
  <c r="O270" i="16"/>
  <c r="O134" i="16"/>
  <c r="O363" i="16"/>
  <c r="O68" i="16"/>
  <c r="O132" i="16"/>
  <c r="O188" i="16"/>
  <c r="O288" i="16"/>
  <c r="O59" i="16"/>
  <c r="O299" i="16"/>
  <c r="O137" i="16"/>
  <c r="O342" i="16"/>
  <c r="O221" i="16"/>
  <c r="O53" i="16"/>
  <c r="O262" i="16"/>
  <c r="O126" i="16"/>
  <c r="O12" i="16"/>
  <c r="O72" i="16"/>
  <c r="O136" i="16"/>
  <c r="O192" i="16"/>
  <c r="O244" i="16"/>
  <c r="O292" i="16"/>
  <c r="O15" i="16"/>
  <c r="O63" i="16"/>
  <c r="O111" i="16"/>
  <c r="O255" i="16"/>
  <c r="O153" i="16"/>
  <c r="O358" i="16"/>
  <c r="O197" i="16"/>
  <c r="O45" i="16"/>
  <c r="O238" i="16"/>
  <c r="O118" i="16"/>
  <c r="O16" i="16"/>
  <c r="O84" i="16"/>
  <c r="O140" i="16"/>
  <c r="O200" i="16"/>
  <c r="O248" i="16"/>
  <c r="O296" i="16"/>
  <c r="O19" i="16"/>
  <c r="O67" i="16"/>
  <c r="O115" i="16"/>
  <c r="O163" i="16"/>
  <c r="O259" i="16"/>
  <c r="O169" i="16"/>
  <c r="O189" i="16"/>
  <c r="O37" i="16"/>
  <c r="O230" i="16"/>
  <c r="O102" i="16"/>
  <c r="O20" i="16"/>
  <c r="O88" i="16"/>
  <c r="O144" i="16"/>
  <c r="O204" i="16"/>
  <c r="O252" i="16"/>
  <c r="O300" i="16"/>
  <c r="O23" i="16"/>
  <c r="O71" i="16"/>
  <c r="O119" i="16"/>
  <c r="O215" i="16"/>
  <c r="O366" i="16"/>
  <c r="Q368" i="16"/>
  <c r="P363" i="16"/>
  <c r="P326" i="16"/>
  <c r="P224" i="16"/>
  <c r="P360" i="16"/>
  <c r="P310" i="16"/>
  <c r="P184" i="16"/>
  <c r="P304" i="16"/>
  <c r="P256" i="16"/>
  <c r="P355" i="16"/>
  <c r="P195" i="16"/>
  <c r="P218" i="16"/>
  <c r="P353" i="16"/>
  <c r="P301" i="16"/>
  <c r="P187" i="16"/>
  <c r="P299" i="16"/>
  <c r="P251" i="16"/>
  <c r="P182" i="16"/>
  <c r="P14" i="16"/>
  <c r="P209" i="16"/>
  <c r="P156" i="16"/>
  <c r="P106" i="16"/>
  <c r="P135" i="16"/>
  <c r="P100" i="16"/>
  <c r="P177" i="16"/>
  <c r="P129" i="16"/>
  <c r="P81" i="16"/>
  <c r="P41" i="16"/>
  <c r="P350" i="16"/>
  <c r="P266" i="16"/>
  <c r="P356" i="16"/>
  <c r="P347" i="16"/>
  <c r="P214" i="16"/>
  <c r="P170" i="16"/>
  <c r="P173" i="16"/>
  <c r="P296" i="16"/>
  <c r="P345" i="16"/>
  <c r="P201" i="16"/>
  <c r="P121" i="16"/>
  <c r="P330" i="16"/>
  <c r="P240" i="16"/>
  <c r="P211" i="16"/>
  <c r="P348" i="16"/>
  <c r="P286" i="16"/>
  <c r="P319" i="16"/>
  <c r="P292" i="16"/>
  <c r="P244" i="16"/>
  <c r="P331" i="16"/>
  <c r="P78" i="16"/>
  <c r="P206" i="16"/>
  <c r="P341" i="16"/>
  <c r="P277" i="16"/>
  <c r="P134" i="16"/>
  <c r="P287" i="16"/>
  <c r="P239" i="16"/>
  <c r="P154" i="16"/>
  <c r="P139" i="16"/>
  <c r="P197" i="16"/>
  <c r="P144" i="16"/>
  <c r="P82" i="16"/>
  <c r="P111" i="16"/>
  <c r="P88" i="16"/>
  <c r="P165" i="16"/>
  <c r="P117" i="16"/>
  <c r="P69" i="16"/>
  <c r="P339" i="16"/>
  <c r="P90" i="16"/>
  <c r="P11" i="16"/>
  <c r="P358" i="16"/>
  <c r="P290" i="16"/>
  <c r="P258" i="16"/>
  <c r="P344" i="16"/>
  <c r="P278" i="16"/>
  <c r="P297" i="16"/>
  <c r="P288" i="16"/>
  <c r="P236" i="16"/>
  <c r="P323" i="16"/>
  <c r="P147" i="16"/>
  <c r="P202" i="16"/>
  <c r="P337" i="16"/>
  <c r="P269" i="16"/>
  <c r="P118" i="16"/>
  <c r="P283" i="16"/>
  <c r="P235" i="16"/>
  <c r="P146" i="16"/>
  <c r="P123" i="16"/>
  <c r="P193" i="16"/>
  <c r="P140" i="16"/>
  <c r="P74" i="16"/>
  <c r="P103" i="16"/>
  <c r="P84" i="16"/>
  <c r="P161" i="16"/>
  <c r="P113" i="16"/>
  <c r="P15" i="16"/>
  <c r="P56" i="16"/>
  <c r="P40" i="16"/>
  <c r="P188" i="16"/>
  <c r="P151" i="16"/>
  <c r="P300" i="16"/>
  <c r="P293" i="16"/>
  <c r="P98" i="16"/>
  <c r="P314" i="16"/>
  <c r="P210" i="16"/>
  <c r="P155" i="16"/>
  <c r="P364" i="16"/>
  <c r="P318" i="16"/>
  <c r="P192" i="16"/>
  <c r="P208" i="16"/>
  <c r="P340" i="16"/>
  <c r="P270" i="16"/>
  <c r="P265" i="16"/>
  <c r="P284" i="16"/>
  <c r="P228" i="16"/>
  <c r="P315" i="16"/>
  <c r="P83" i="16"/>
  <c r="P198" i="16"/>
  <c r="P333" i="16"/>
  <c r="P261" i="16"/>
  <c r="P94" i="16"/>
  <c r="P279" i="16"/>
  <c r="P231" i="16"/>
  <c r="P138" i="16"/>
  <c r="P107" i="16"/>
  <c r="P189" i="16"/>
  <c r="P136" i="16"/>
  <c r="P66" i="16"/>
  <c r="P95" i="16"/>
  <c r="P80" i="16"/>
  <c r="P157" i="16"/>
  <c r="P109" i="16"/>
  <c r="P264" i="16"/>
  <c r="P361" i="16"/>
  <c r="P307" i="16"/>
  <c r="P86" i="16"/>
  <c r="P108" i="16"/>
  <c r="P89" i="16"/>
  <c r="P302" i="16"/>
  <c r="P247" i="16"/>
  <c r="P125" i="16"/>
  <c r="P248" i="16"/>
  <c r="P243" i="16"/>
  <c r="P92" i="16"/>
  <c r="P346" i="16"/>
  <c r="P343" i="16"/>
  <c r="P327" i="16"/>
  <c r="P336" i="16"/>
  <c r="P262" i="16"/>
  <c r="P233" i="16"/>
  <c r="P280" i="16"/>
  <c r="P220" i="16"/>
  <c r="P305" i="16"/>
  <c r="P242" i="16"/>
  <c r="P194" i="16"/>
  <c r="P329" i="16"/>
  <c r="P253" i="16"/>
  <c r="P163" i="16"/>
  <c r="P275" i="16"/>
  <c r="P227" i="16"/>
  <c r="P130" i="16"/>
  <c r="P91" i="16"/>
  <c r="P185" i="16"/>
  <c r="P132" i="16"/>
  <c r="P183" i="16"/>
  <c r="P87" i="16"/>
  <c r="P76" i="16"/>
  <c r="P153" i="16"/>
  <c r="P105" i="16"/>
  <c r="P312" i="16"/>
  <c r="P313" i="16"/>
  <c r="P259" i="16"/>
  <c r="P217" i="16"/>
  <c r="P12" i="16"/>
  <c r="P46" i="16"/>
  <c r="P351" i="16"/>
  <c r="P295" i="16"/>
  <c r="P96" i="16"/>
  <c r="P335" i="16"/>
  <c r="P291" i="16"/>
  <c r="P119" i="16"/>
  <c r="P306" i="16"/>
  <c r="P322" i="16"/>
  <c r="P142" i="16"/>
  <c r="P332" i="16"/>
  <c r="P254" i="16"/>
  <c r="P174" i="16"/>
  <c r="P276" i="16"/>
  <c r="P212" i="16"/>
  <c r="P289" i="16"/>
  <c r="P238" i="16"/>
  <c r="P190" i="16"/>
  <c r="P325" i="16"/>
  <c r="P245" i="16"/>
  <c r="P131" i="16"/>
  <c r="P271" i="16"/>
  <c r="P223" i="16"/>
  <c r="P122" i="16"/>
  <c r="P75" i="16"/>
  <c r="P178" i="16"/>
  <c r="P128" i="16"/>
  <c r="P175" i="16"/>
  <c r="P79" i="16"/>
  <c r="P72" i="16"/>
  <c r="P149" i="16"/>
  <c r="P101" i="16"/>
  <c r="P63" i="16"/>
  <c r="P226" i="16"/>
  <c r="P199" i="16"/>
  <c r="P164" i="16"/>
  <c r="P137" i="16"/>
  <c r="P249" i="16"/>
  <c r="P205" i="16"/>
  <c r="P294" i="16"/>
  <c r="P150" i="16"/>
  <c r="P169" i="16"/>
  <c r="P354" i="16"/>
  <c r="P298" i="16"/>
  <c r="P281" i="16"/>
  <c r="P328" i="16"/>
  <c r="P246" i="16"/>
  <c r="P110" i="16"/>
  <c r="P272" i="16"/>
  <c r="P204" i="16"/>
  <c r="P273" i="16"/>
  <c r="P234" i="16"/>
  <c r="P186" i="16"/>
  <c r="P321" i="16"/>
  <c r="P237" i="16"/>
  <c r="P99" i="16"/>
  <c r="P267" i="16"/>
  <c r="P215" i="16"/>
  <c r="P114" i="16"/>
  <c r="P17" i="16"/>
  <c r="P172" i="16"/>
  <c r="P124" i="16"/>
  <c r="P167" i="16"/>
  <c r="P71" i="16"/>
  <c r="P68" i="16"/>
  <c r="P145" i="16"/>
  <c r="P97" i="16"/>
  <c r="P47" i="16"/>
  <c r="P320" i="16"/>
  <c r="P158" i="16"/>
  <c r="P171" i="16"/>
  <c r="P77" i="16"/>
  <c r="P352" i="16"/>
  <c r="P162" i="16"/>
  <c r="P334" i="16"/>
  <c r="P250" i="16"/>
  <c r="P179" i="16"/>
  <c r="P324" i="16"/>
  <c r="P232" i="16"/>
  <c r="P115" i="16"/>
  <c r="P268" i="16"/>
  <c r="P196" i="16"/>
  <c r="P257" i="16"/>
  <c r="P230" i="16"/>
  <c r="P180" i="16"/>
  <c r="P317" i="16"/>
  <c r="P229" i="16"/>
  <c r="P67" i="16"/>
  <c r="P263" i="16"/>
  <c r="P207" i="16"/>
  <c r="P102" i="16"/>
  <c r="P221" i="16"/>
  <c r="P168" i="16"/>
  <c r="P120" i="16"/>
  <c r="P159" i="16"/>
  <c r="P13" i="16"/>
  <c r="P16" i="16"/>
  <c r="P141" i="16"/>
  <c r="P93" i="16"/>
  <c r="P62" i="16"/>
  <c r="K32" i="8"/>
  <c r="P166" i="16"/>
  <c r="P127" i="16"/>
  <c r="P338" i="16"/>
  <c r="P285" i="16"/>
  <c r="P73" i="16"/>
  <c r="P282" i="16"/>
  <c r="P311" i="16"/>
  <c r="P216" i="16"/>
  <c r="P241" i="16"/>
  <c r="P219" i="16"/>
  <c r="P116" i="16"/>
  <c r="P252" i="16"/>
  <c r="P349" i="16"/>
  <c r="P152" i="16"/>
  <c r="P359" i="16"/>
  <c r="P126" i="16"/>
  <c r="P148" i="16"/>
  <c r="P342" i="16"/>
  <c r="P274" i="16"/>
  <c r="P362" i="16"/>
  <c r="P316" i="16"/>
  <c r="P200" i="16"/>
  <c r="P308" i="16"/>
  <c r="P260" i="16"/>
  <c r="P176" i="16"/>
  <c r="P225" i="16"/>
  <c r="P222" i="16"/>
  <c r="P357" i="16"/>
  <c r="P309" i="16"/>
  <c r="P203" i="16"/>
  <c r="P303" i="16"/>
  <c r="P255" i="16"/>
  <c r="P191" i="16"/>
  <c r="P70" i="16"/>
  <c r="P213" i="16"/>
  <c r="P160" i="16"/>
  <c r="P112" i="16"/>
  <c r="P143" i="16"/>
  <c r="P104" i="16"/>
  <c r="P181" i="16"/>
  <c r="P133" i="16"/>
  <c r="P85" i="16"/>
  <c r="P57" i="16"/>
  <c r="P23" i="16"/>
  <c r="P52" i="16"/>
  <c r="P32" i="16"/>
  <c r="P28" i="16"/>
  <c r="P21" i="16"/>
  <c r="P20" i="16"/>
  <c r="P27" i="16"/>
  <c r="P48" i="16"/>
  <c r="P44" i="16"/>
  <c r="P18" i="16"/>
  <c r="P37" i="16"/>
  <c r="P64" i="16"/>
  <c r="P25" i="16"/>
  <c r="P42" i="16"/>
  <c r="P43" i="16"/>
  <c r="P53" i="16"/>
  <c r="P59" i="16"/>
  <c r="P33" i="16"/>
  <c r="P58" i="16"/>
  <c r="P29" i="16"/>
  <c r="P49" i="16"/>
  <c r="P45" i="16"/>
  <c r="P31" i="16"/>
  <c r="P26" i="16"/>
  <c r="P65" i="16"/>
  <c r="P61" i="16"/>
  <c r="P22" i="16"/>
  <c r="P24" i="16"/>
  <c r="P38" i="16"/>
  <c r="P34" i="16"/>
  <c r="P30" i="16"/>
  <c r="P54" i="16"/>
  <c r="P50" i="16"/>
  <c r="P60" i="16"/>
  <c r="P19" i="16"/>
  <c r="P39" i="16"/>
  <c r="P35" i="16"/>
  <c r="P36" i="16"/>
  <c r="P55" i="16"/>
  <c r="P51" i="16"/>
  <c r="R8" i="16"/>
  <c r="B36" i="8" s="1"/>
  <c r="P365" i="16"/>
  <c r="P366" i="16"/>
  <c r="P368" i="16"/>
  <c r="O367" i="16"/>
  <c r="AL14" i="16"/>
  <c r="AM13" i="16"/>
  <c r="AN13" i="16" s="1"/>
  <c r="R367" i="16"/>
  <c r="AC367" i="16"/>
  <c r="AC15" i="16"/>
  <c r="AC13" i="16"/>
  <c r="AC11" i="16"/>
  <c r="AC12" i="16"/>
  <c r="AC37" i="16"/>
  <c r="Q367" i="16"/>
  <c r="AC26" i="16"/>
  <c r="B92" i="8"/>
  <c r="AS13" i="16"/>
  <c r="AT12" i="16"/>
  <c r="AU12" i="16" s="1"/>
  <c r="P367" i="16"/>
  <c r="AC25" i="16"/>
  <c r="AC19" i="16"/>
  <c r="E92" i="8" l="1"/>
  <c r="Y92" i="8" s="1"/>
  <c r="U92" i="8"/>
  <c r="B93" i="8"/>
  <c r="AT13" i="16"/>
  <c r="AU13" i="16" s="1"/>
  <c r="AS14" i="16"/>
  <c r="AL15" i="16"/>
  <c r="AM14" i="16"/>
  <c r="AN14" i="16" s="1"/>
  <c r="O49" i="8"/>
  <c r="O48" i="8"/>
  <c r="O47" i="8"/>
  <c r="K49" i="8"/>
  <c r="K47" i="8"/>
  <c r="K48" i="8"/>
  <c r="E91" i="8"/>
  <c r="Y91" i="8" s="1"/>
  <c r="AU11" i="16"/>
  <c r="U91" i="8" s="1"/>
  <c r="M48" i="8"/>
  <c r="M49" i="8"/>
  <c r="M47" i="8"/>
  <c r="M119" i="8" l="1"/>
  <c r="M120" i="8"/>
  <c r="M117" i="8"/>
  <c r="M118" i="8"/>
  <c r="Q120" i="8"/>
  <c r="Q119" i="8"/>
  <c r="Q117" i="8"/>
  <c r="Q118" i="8"/>
  <c r="O119" i="8"/>
  <c r="O120" i="8"/>
  <c r="O118" i="8"/>
  <c r="O117" i="8"/>
  <c r="AL16" i="16"/>
  <c r="AM15" i="16"/>
  <c r="AN15" i="16" s="1"/>
  <c r="B94" i="8"/>
  <c r="AS15" i="16"/>
  <c r="AT14" i="16"/>
  <c r="AU14" i="16" s="1"/>
  <c r="U94" i="8" s="1"/>
  <c r="U93" i="8"/>
  <c r="E93" i="8"/>
  <c r="Y93" i="8" s="1"/>
  <c r="E94" i="8" l="1"/>
  <c r="Y94" i="8" s="1"/>
  <c r="B95" i="8"/>
  <c r="AS16" i="16"/>
  <c r="AT15" i="16"/>
  <c r="AU15" i="16" s="1"/>
  <c r="U95" i="8" s="1"/>
  <c r="AL17" i="16"/>
  <c r="AM16" i="16"/>
  <c r="AN16" i="16" s="1"/>
  <c r="E95" i="8" l="1"/>
  <c r="Y95" i="8" s="1"/>
  <c r="AL18" i="16"/>
  <c r="AM17" i="16"/>
  <c r="AN17" i="16" s="1"/>
  <c r="B96" i="8"/>
  <c r="E96" i="8" s="1"/>
  <c r="Y96" i="8" s="1"/>
  <c r="AS17" i="16"/>
  <c r="AT16" i="16"/>
  <c r="AU16" i="16" s="1"/>
  <c r="U96" i="8" s="1"/>
  <c r="B97" i="8" l="1"/>
  <c r="AT17" i="16"/>
  <c r="AU17" i="16" s="1"/>
  <c r="AS18" i="16"/>
  <c r="AL19" i="16"/>
  <c r="AM18" i="16"/>
  <c r="AN18" i="16" s="1"/>
  <c r="AM19" i="16" l="1"/>
  <c r="AN19" i="16" s="1"/>
  <c r="AL20" i="16"/>
  <c r="B98" i="8"/>
  <c r="AT18" i="16"/>
  <c r="AU18" i="16" s="1"/>
  <c r="AS19" i="16"/>
  <c r="E97" i="8"/>
  <c r="Y97" i="8" s="1"/>
  <c r="U97" i="8"/>
  <c r="B99" i="8" l="1"/>
  <c r="AS20" i="16"/>
  <c r="AT19" i="16"/>
  <c r="AU19" i="16" s="1"/>
  <c r="E98" i="8"/>
  <c r="Y98" i="8" s="1"/>
  <c r="U98" i="8"/>
  <c r="AM20" i="16"/>
  <c r="AN20" i="16" s="1"/>
  <c r="AL21" i="16"/>
  <c r="AL22" i="16" l="1"/>
  <c r="AM21" i="16"/>
  <c r="AN21" i="16" s="1"/>
  <c r="B100" i="8"/>
  <c r="AT20" i="16"/>
  <c r="AU20" i="16" s="1"/>
  <c r="AS21" i="16"/>
  <c r="E99" i="8"/>
  <c r="Y99" i="8" s="1"/>
  <c r="U99" i="8"/>
  <c r="B101" i="8" l="1"/>
  <c r="AT21" i="16"/>
  <c r="AU21" i="16" s="1"/>
  <c r="AS22" i="16"/>
  <c r="E100" i="8"/>
  <c r="Y100" i="8" s="1"/>
  <c r="U100" i="8"/>
  <c r="AL23" i="16"/>
  <c r="AM22" i="16"/>
  <c r="AN22" i="16" s="1"/>
  <c r="AL24" i="16" l="1"/>
  <c r="AM23" i="16"/>
  <c r="AN23" i="16" s="1"/>
  <c r="B102" i="8"/>
  <c r="AS23" i="16"/>
  <c r="AT22" i="16"/>
  <c r="AU22" i="16" s="1"/>
  <c r="E101" i="8"/>
  <c r="Y101" i="8" s="1"/>
  <c r="U101" i="8"/>
  <c r="W108" i="8"/>
  <c r="B103" i="8" l="1"/>
  <c r="AT23" i="16"/>
  <c r="AU23" i="16" s="1"/>
  <c r="AS24" i="16"/>
  <c r="U102" i="8"/>
  <c r="E102" i="8"/>
  <c r="Y102" i="8" s="1"/>
  <c r="AM24" i="16"/>
  <c r="AN24" i="16" s="1"/>
  <c r="AL25" i="16"/>
  <c r="B104" i="8" l="1"/>
  <c r="AS25" i="16"/>
  <c r="AT24" i="16"/>
  <c r="AU24" i="16" s="1"/>
  <c r="AM25" i="16"/>
  <c r="AN25" i="16" s="1"/>
  <c r="AL26" i="16"/>
  <c r="E103" i="8"/>
  <c r="Y103" i="8" s="1"/>
  <c r="U103" i="8"/>
  <c r="AL27" i="16" l="1"/>
  <c r="AM26" i="16"/>
  <c r="AN26" i="16" s="1"/>
  <c r="B105" i="8"/>
  <c r="AS26" i="16"/>
  <c r="AT25" i="16"/>
  <c r="AU25" i="16" s="1"/>
  <c r="E104" i="8"/>
  <c r="Y104" i="8" s="1"/>
  <c r="U104" i="8"/>
  <c r="B106" i="8" l="1"/>
  <c r="AS27" i="16"/>
  <c r="AT26" i="16"/>
  <c r="AU26" i="16" s="1"/>
  <c r="E105" i="8"/>
  <c r="Y105" i="8" s="1"/>
  <c r="U105" i="8"/>
  <c r="AM27" i="16"/>
  <c r="AN27" i="16" s="1"/>
  <c r="AL28" i="16"/>
  <c r="AL29" i="16" l="1"/>
  <c r="AM28" i="16"/>
  <c r="AN28" i="16" s="1"/>
  <c r="AS28" i="16"/>
  <c r="AT27" i="16"/>
  <c r="AU27" i="16" s="1"/>
  <c r="U106" i="8"/>
  <c r="E106" i="8"/>
  <c r="Y106" i="8" s="1"/>
  <c r="AS29" i="16" l="1"/>
  <c r="AT28" i="16"/>
  <c r="AU28" i="16" s="1"/>
  <c r="AM29" i="16"/>
  <c r="AN29" i="16" s="1"/>
  <c r="AL30" i="16"/>
  <c r="AM30" i="16" l="1"/>
  <c r="AN30" i="16" s="1"/>
  <c r="AL31" i="16"/>
  <c r="AT29" i="16"/>
  <c r="AU29" i="16" s="1"/>
  <c r="AS30" i="16"/>
  <c r="AT30" i="16" l="1"/>
  <c r="AU30" i="16" s="1"/>
  <c r="AS31" i="16"/>
  <c r="AL32" i="16"/>
  <c r="AM31" i="16"/>
  <c r="AN31" i="16" s="1"/>
  <c r="AM32" i="16" l="1"/>
  <c r="AN32" i="16" s="1"/>
  <c r="AL33" i="16"/>
  <c r="AS32" i="16"/>
  <c r="AT31" i="16"/>
  <c r="AU31" i="16" s="1"/>
  <c r="AT32" i="16" l="1"/>
  <c r="AU32" i="16" s="1"/>
  <c r="AS33" i="16"/>
  <c r="AM33" i="16"/>
  <c r="AN33" i="16" s="1"/>
  <c r="AL34" i="16"/>
  <c r="AM34" i="16" l="1"/>
  <c r="AN34" i="16" s="1"/>
  <c r="AL35" i="16"/>
  <c r="AT33" i="16"/>
  <c r="AU33" i="16" s="1"/>
  <c r="AS34" i="16"/>
  <c r="AS35" i="16" l="1"/>
  <c r="AT34" i="16"/>
  <c r="AU34" i="16" s="1"/>
  <c r="AM35" i="16"/>
  <c r="AN35" i="16" s="1"/>
  <c r="AL36" i="16"/>
  <c r="AL37" i="16" l="1"/>
  <c r="AM36" i="16"/>
  <c r="AN36" i="16" s="1"/>
  <c r="AT35" i="16"/>
  <c r="AU35" i="16" s="1"/>
  <c r="AS36" i="16"/>
  <c r="AS37" i="16" l="1"/>
  <c r="AT36" i="16"/>
  <c r="AU36" i="16" s="1"/>
  <c r="AL38" i="16"/>
  <c r="AM37" i="16"/>
  <c r="AN37" i="16" s="1"/>
  <c r="AL39" i="16" l="1"/>
  <c r="AM38" i="16"/>
  <c r="AN38" i="16" s="1"/>
  <c r="AS38" i="16"/>
  <c r="AT37" i="16"/>
  <c r="AU37" i="16" s="1"/>
  <c r="AT38" i="16" l="1"/>
  <c r="AU38" i="16" s="1"/>
  <c r="AS39" i="16"/>
  <c r="AM39" i="16"/>
  <c r="AN39" i="16" s="1"/>
  <c r="AL40" i="16"/>
  <c r="AL41" i="16" l="1"/>
  <c r="AM40" i="16"/>
  <c r="AN40" i="16" s="1"/>
  <c r="AS40" i="16"/>
  <c r="AT39" i="16"/>
  <c r="AU39" i="16" s="1"/>
  <c r="AS41" i="16" l="1"/>
  <c r="AT40" i="16"/>
  <c r="AU40" i="16" s="1"/>
  <c r="AL42" i="16"/>
  <c r="AM41" i="16"/>
  <c r="AN41" i="16" s="1"/>
  <c r="AL43" i="16" l="1"/>
  <c r="AM42" i="16"/>
  <c r="AN42" i="16" s="1"/>
  <c r="AS42" i="16"/>
  <c r="AT41" i="16"/>
  <c r="AU41" i="16" s="1"/>
  <c r="AS43" i="16" l="1"/>
  <c r="AT42" i="16"/>
  <c r="AU42" i="16" s="1"/>
  <c r="AM43" i="16"/>
  <c r="AN43" i="16" s="1"/>
  <c r="AL44" i="16"/>
  <c r="AL45" i="16" l="1"/>
  <c r="AM44" i="16"/>
  <c r="AN44" i="16" s="1"/>
  <c r="AT43" i="16"/>
  <c r="AU43" i="16" s="1"/>
  <c r="AS44" i="16"/>
  <c r="AT44" i="16" l="1"/>
  <c r="AU44" i="16" s="1"/>
  <c r="AS45" i="16"/>
  <c r="AM45" i="16"/>
  <c r="AN45" i="16" s="1"/>
  <c r="AL46" i="16"/>
  <c r="AM46" i="16" l="1"/>
  <c r="AN46" i="16" s="1"/>
  <c r="AL47" i="16"/>
  <c r="AS46" i="16"/>
  <c r="AT45" i="16"/>
  <c r="AU45" i="16" s="1"/>
  <c r="AS47" i="16" l="1"/>
  <c r="AT46" i="16"/>
  <c r="AU46" i="16" s="1"/>
  <c r="AL48" i="16"/>
  <c r="AM47" i="16"/>
  <c r="AN47" i="16" s="1"/>
  <c r="AM48" i="16" l="1"/>
  <c r="AN48" i="16" s="1"/>
  <c r="AL49" i="16"/>
  <c r="AT47" i="16"/>
  <c r="AU47" i="16" s="1"/>
  <c r="AS48" i="16"/>
  <c r="AS49" i="16" l="1"/>
  <c r="AT48" i="16"/>
  <c r="AU48" i="16" s="1"/>
  <c r="AL50" i="16"/>
  <c r="AM49" i="16"/>
  <c r="AN49" i="16" s="1"/>
  <c r="AM50" i="16" l="1"/>
  <c r="AN50" i="16" s="1"/>
  <c r="AL51" i="16"/>
  <c r="AT49" i="16"/>
  <c r="AU49" i="16" s="1"/>
  <c r="AS50" i="16"/>
  <c r="AT50" i="16" l="1"/>
  <c r="AU50" i="16" s="1"/>
  <c r="AS51" i="16"/>
  <c r="AL52" i="16"/>
  <c r="AM51" i="16"/>
  <c r="AN51" i="16" s="1"/>
  <c r="AM52" i="16" l="1"/>
  <c r="AN52" i="16" s="1"/>
  <c r="AL53" i="16"/>
  <c r="AT51" i="16"/>
  <c r="AU51" i="16" s="1"/>
  <c r="AS52" i="16"/>
  <c r="AS53" i="16" l="1"/>
  <c r="AT52" i="16"/>
  <c r="AU52" i="16" s="1"/>
  <c r="AM53" i="16"/>
  <c r="AN53" i="16" s="1"/>
  <c r="AL54" i="16"/>
  <c r="AM54" i="16" l="1"/>
  <c r="AN54" i="16" s="1"/>
  <c r="AL55" i="16"/>
  <c r="AS54" i="16"/>
  <c r="AT53" i="16"/>
  <c r="AU53" i="16" s="1"/>
  <c r="AS55" i="16" l="1"/>
  <c r="AT54" i="16"/>
  <c r="AU54" i="16" s="1"/>
  <c r="AL56" i="16"/>
  <c r="AM55" i="16"/>
  <c r="AN55" i="16" s="1"/>
  <c r="AM56" i="16" l="1"/>
  <c r="AN56" i="16" s="1"/>
  <c r="AL57" i="16"/>
  <c r="AS56" i="16"/>
  <c r="AT55" i="16"/>
  <c r="AU55" i="16" s="1"/>
  <c r="AT56" i="16" l="1"/>
  <c r="AU56" i="16" s="1"/>
  <c r="AS57" i="16"/>
  <c r="AM57" i="16"/>
  <c r="AN57" i="16" s="1"/>
  <c r="AL58" i="16"/>
  <c r="AM58" i="16" l="1"/>
  <c r="AN58" i="16" s="1"/>
  <c r="AL59" i="16"/>
  <c r="AT57" i="16"/>
  <c r="AU57" i="16" s="1"/>
  <c r="AS58" i="16"/>
  <c r="AS59" i="16" l="1"/>
  <c r="AT58" i="16"/>
  <c r="AU58" i="16" s="1"/>
  <c r="AM59" i="16"/>
  <c r="AN59" i="16" s="1"/>
  <c r="AL60" i="16"/>
  <c r="AM60" i="16" l="1"/>
  <c r="AN60" i="16" s="1"/>
  <c r="AL61" i="16"/>
  <c r="AS60" i="16"/>
  <c r="AT59" i="16"/>
  <c r="AU59" i="16" s="1"/>
  <c r="AT60" i="16" l="1"/>
  <c r="AU60" i="16" s="1"/>
  <c r="AS61" i="16"/>
  <c r="AL62" i="16"/>
  <c r="AM61" i="16"/>
  <c r="AN61" i="16" s="1"/>
  <c r="AM62" i="16" l="1"/>
  <c r="AN62" i="16" s="1"/>
  <c r="AL63" i="16"/>
  <c r="AT61" i="16"/>
  <c r="AU61" i="16" s="1"/>
  <c r="AS62" i="16"/>
  <c r="AT62" i="16" l="1"/>
  <c r="AU62" i="16" s="1"/>
  <c r="AS63" i="16"/>
  <c r="AM63" i="16"/>
  <c r="AN63" i="16" s="1"/>
  <c r="AL64" i="16"/>
  <c r="AL65" i="16" l="1"/>
  <c r="AM64" i="16"/>
  <c r="AN64" i="16" s="1"/>
  <c r="AT63" i="16"/>
  <c r="AU63" i="16" s="1"/>
  <c r="AS64" i="16"/>
  <c r="AS65" i="16" l="1"/>
  <c r="AT64" i="16"/>
  <c r="AU64" i="16" s="1"/>
  <c r="AM65" i="16"/>
  <c r="AN65" i="16" s="1"/>
  <c r="AL66" i="16"/>
  <c r="AL67" i="16" l="1"/>
  <c r="AM66" i="16"/>
  <c r="AN66" i="16" s="1"/>
  <c r="AT65" i="16"/>
  <c r="AU65" i="16" s="1"/>
  <c r="AS66" i="16"/>
  <c r="AT66" i="16" l="1"/>
  <c r="AU66" i="16" s="1"/>
  <c r="AS67" i="16"/>
  <c r="AL68" i="16"/>
  <c r="AM67" i="16"/>
  <c r="AN67" i="16" s="1"/>
  <c r="AM68" i="16" l="1"/>
  <c r="AN68" i="16" s="1"/>
  <c r="AL69" i="16"/>
  <c r="AS68" i="16"/>
  <c r="AT67" i="16"/>
  <c r="AU67" i="16" s="1"/>
  <c r="AT68" i="16" l="1"/>
  <c r="AU68" i="16" s="1"/>
  <c r="AS69" i="16"/>
  <c r="AL70" i="16"/>
  <c r="AM69" i="16"/>
  <c r="AN69" i="16" s="1"/>
  <c r="AL71" i="16" l="1"/>
  <c r="AM70" i="16"/>
  <c r="AN70" i="16" s="1"/>
  <c r="AS70" i="16"/>
  <c r="AT69" i="16"/>
  <c r="AU69" i="16" s="1"/>
  <c r="AS71" i="16" l="1"/>
  <c r="AT70" i="16"/>
  <c r="AU70" i="16" s="1"/>
  <c r="AL72" i="16"/>
  <c r="AM71" i="16"/>
  <c r="AN71" i="16" s="1"/>
  <c r="AL73" i="16" l="1"/>
  <c r="AM72" i="16"/>
  <c r="AN72" i="16" s="1"/>
  <c r="AS72" i="16"/>
  <c r="AT71" i="16"/>
  <c r="AU71" i="16" s="1"/>
  <c r="AT72" i="16" l="1"/>
  <c r="AU72" i="16" s="1"/>
  <c r="AS73" i="16"/>
  <c r="AL74" i="16"/>
  <c r="AM73" i="16"/>
  <c r="AN73" i="16" s="1"/>
  <c r="AM74" i="16" l="1"/>
  <c r="AN74" i="16" s="1"/>
  <c r="AL75" i="16"/>
  <c r="AS74" i="16"/>
  <c r="AT73" i="16"/>
  <c r="AU73" i="16" s="1"/>
  <c r="AS75" i="16" l="1"/>
  <c r="AT74" i="16"/>
  <c r="AU74" i="16" s="1"/>
  <c r="AL76" i="16"/>
  <c r="AM75" i="16"/>
  <c r="AN75" i="16" s="1"/>
  <c r="AL77" i="16" l="1"/>
  <c r="AM76" i="16"/>
  <c r="AN76" i="16" s="1"/>
  <c r="AT75" i="16"/>
  <c r="AU75" i="16" s="1"/>
  <c r="AS76" i="16"/>
  <c r="AT76" i="16" l="1"/>
  <c r="AU76" i="16" s="1"/>
  <c r="AS77" i="16"/>
  <c r="AL78" i="16"/>
  <c r="AM77" i="16"/>
  <c r="AN77" i="16" s="1"/>
  <c r="AL79" i="16" l="1"/>
  <c r="AM78" i="16"/>
  <c r="AN78" i="16" s="1"/>
  <c r="AT77" i="16"/>
  <c r="AU77" i="16" s="1"/>
  <c r="AS78" i="16"/>
  <c r="AT78" i="16" l="1"/>
  <c r="AU78" i="16" s="1"/>
  <c r="AS79" i="16"/>
  <c r="AM79" i="16"/>
  <c r="AN79" i="16" s="1"/>
  <c r="AL80" i="16"/>
  <c r="AL81" i="16" l="1"/>
  <c r="AM80" i="16"/>
  <c r="AN80" i="16" s="1"/>
  <c r="AS80" i="16"/>
  <c r="AT79" i="16"/>
  <c r="AU79" i="16" s="1"/>
  <c r="AT80" i="16" l="1"/>
  <c r="AU80" i="16" s="1"/>
  <c r="AS81" i="16"/>
  <c r="AL82" i="16"/>
  <c r="AM81" i="16"/>
  <c r="AN81" i="16" s="1"/>
  <c r="AL83" i="16" l="1"/>
  <c r="AM82" i="16"/>
  <c r="AN82" i="16" s="1"/>
  <c r="AT81" i="16"/>
  <c r="AU81" i="16" s="1"/>
  <c r="AS82" i="16"/>
  <c r="AT82" i="16" l="1"/>
  <c r="AU82" i="16" s="1"/>
  <c r="AS83" i="16"/>
  <c r="AL84" i="16"/>
  <c r="AM83" i="16"/>
  <c r="AN83" i="16" s="1"/>
  <c r="AM84" i="16" l="1"/>
  <c r="AN84" i="16" s="1"/>
  <c r="AL85" i="16"/>
  <c r="AS84" i="16"/>
  <c r="AT83" i="16"/>
  <c r="AU83" i="16" s="1"/>
  <c r="AS85" i="16" l="1"/>
  <c r="AT84" i="16"/>
  <c r="AU84" i="16" s="1"/>
  <c r="AL86" i="16"/>
  <c r="AM85" i="16"/>
  <c r="AN85" i="16" s="1"/>
  <c r="AM86" i="16" l="1"/>
  <c r="AN86" i="16" s="1"/>
  <c r="AL87" i="16"/>
  <c r="AS86" i="16"/>
  <c r="AT85" i="16"/>
  <c r="AU85" i="16" s="1"/>
  <c r="AS87" i="16" l="1"/>
  <c r="AT86" i="16"/>
  <c r="AU86" i="16" s="1"/>
  <c r="AM87" i="16"/>
  <c r="AN87" i="16" s="1"/>
  <c r="AL88" i="16"/>
  <c r="AL89" i="16" l="1"/>
  <c r="AM88" i="16"/>
  <c r="AN88" i="16" s="1"/>
  <c r="AT87" i="16"/>
  <c r="AU87" i="16" s="1"/>
  <c r="AS88" i="16"/>
  <c r="AT88" i="16" l="1"/>
  <c r="AU88" i="16" s="1"/>
  <c r="AS89" i="16"/>
  <c r="AM89" i="16"/>
  <c r="AN89" i="16" s="1"/>
  <c r="AL90" i="16"/>
  <c r="AL91" i="16" l="1"/>
  <c r="AM90" i="16"/>
  <c r="AN90" i="16" s="1"/>
  <c r="AS90" i="16"/>
  <c r="AT89" i="16"/>
  <c r="AU89" i="16" s="1"/>
  <c r="AT90" i="16" l="1"/>
  <c r="AU90" i="16" s="1"/>
  <c r="AS91" i="16"/>
  <c r="AL92" i="16"/>
  <c r="AM91" i="16"/>
  <c r="AN91" i="16" s="1"/>
  <c r="AM92" i="16" l="1"/>
  <c r="AN92" i="16" s="1"/>
  <c r="AL93" i="16"/>
  <c r="AS92" i="16"/>
  <c r="AT91" i="16"/>
  <c r="AU91" i="16" s="1"/>
  <c r="AT92" i="16" l="1"/>
  <c r="AU92" i="16" s="1"/>
  <c r="AS93" i="16"/>
  <c r="AM93" i="16"/>
  <c r="AN93" i="16" s="1"/>
  <c r="AL94" i="16"/>
  <c r="AL95" i="16" l="1"/>
  <c r="AM94" i="16"/>
  <c r="AN94" i="16" s="1"/>
  <c r="AS94" i="16"/>
  <c r="AT93" i="16"/>
  <c r="AU93" i="16" s="1"/>
  <c r="AS95" i="16" l="1"/>
  <c r="AT94" i="16"/>
  <c r="AU94" i="16" s="1"/>
  <c r="AM95" i="16"/>
  <c r="AN95" i="16" s="1"/>
  <c r="AL96" i="16"/>
  <c r="AL97" i="16" l="1"/>
  <c r="AM96" i="16"/>
  <c r="AN96" i="16" s="1"/>
  <c r="AS96" i="16"/>
  <c r="AT95" i="16"/>
  <c r="AU95" i="16" s="1"/>
  <c r="AT96" i="16" l="1"/>
  <c r="AU96" i="16" s="1"/>
  <c r="AS97" i="16"/>
  <c r="AM97" i="16"/>
  <c r="AN97" i="16" s="1"/>
  <c r="AL98" i="16"/>
  <c r="AL99" i="16" l="1"/>
  <c r="AM98" i="16"/>
  <c r="AN98" i="16" s="1"/>
  <c r="AS98" i="16"/>
  <c r="AT97" i="16"/>
  <c r="AU97" i="16" s="1"/>
  <c r="AS99" i="16" l="1"/>
  <c r="AT98" i="16"/>
  <c r="AU98" i="16" s="1"/>
  <c r="AM99" i="16"/>
  <c r="AN99" i="16" s="1"/>
  <c r="AL100" i="16"/>
  <c r="AL101" i="16" l="1"/>
  <c r="AM100" i="16"/>
  <c r="AN100" i="16" s="1"/>
  <c r="AT99" i="16"/>
  <c r="AU99" i="16" s="1"/>
  <c r="AS100" i="16"/>
  <c r="AS101" i="16" l="1"/>
  <c r="AT100" i="16"/>
  <c r="AU100" i="16" s="1"/>
  <c r="AM101" i="16"/>
  <c r="AN101" i="16" s="1"/>
  <c r="AL102" i="16"/>
  <c r="AL103" i="16" l="1"/>
  <c r="AM102" i="16"/>
  <c r="AN102" i="16" s="1"/>
  <c r="AT101" i="16"/>
  <c r="AU101" i="16" s="1"/>
  <c r="AS102" i="16"/>
  <c r="AS103" i="16" l="1"/>
  <c r="AT102" i="16"/>
  <c r="AU102" i="16" s="1"/>
  <c r="AL104" i="16"/>
  <c r="AM103" i="16"/>
  <c r="AN103" i="16" s="1"/>
  <c r="AL105" i="16" l="1"/>
  <c r="AM104" i="16"/>
  <c r="AN104" i="16" s="1"/>
  <c r="AS104" i="16"/>
  <c r="AT103" i="16"/>
  <c r="AU103" i="16" s="1"/>
  <c r="AS105" i="16" l="1"/>
  <c r="AT104" i="16"/>
  <c r="AU104" i="16" s="1"/>
  <c r="AL106" i="16"/>
  <c r="AM105" i="16"/>
  <c r="AN105" i="16" s="1"/>
  <c r="AL107" i="16" l="1"/>
  <c r="AM106" i="16"/>
  <c r="AN106" i="16" s="1"/>
  <c r="AS106" i="16"/>
  <c r="AT105" i="16"/>
  <c r="AU105" i="16" s="1"/>
  <c r="AS107" i="16" l="1"/>
  <c r="AT106" i="16"/>
  <c r="AU106" i="16" s="1"/>
  <c r="AL108" i="16"/>
  <c r="AM107" i="16"/>
  <c r="AN107" i="16" s="1"/>
  <c r="AM108" i="16" l="1"/>
  <c r="AN108" i="16" s="1"/>
  <c r="AL109" i="16"/>
  <c r="AS108" i="16"/>
  <c r="AT107" i="16"/>
  <c r="AU107" i="16" s="1"/>
  <c r="AT108" i="16" l="1"/>
  <c r="AU108" i="16" s="1"/>
  <c r="AS109" i="16"/>
  <c r="AL110" i="16"/>
  <c r="AM109" i="16"/>
  <c r="AN109" i="16" s="1"/>
  <c r="AL111" i="16" l="1"/>
  <c r="AM110" i="16"/>
  <c r="AN110" i="16" s="1"/>
  <c r="AT109" i="16"/>
  <c r="AU109" i="16" s="1"/>
  <c r="AS110" i="16"/>
  <c r="AT110" i="16" l="1"/>
  <c r="AU110" i="16" s="1"/>
  <c r="AS111" i="16"/>
  <c r="AL112" i="16"/>
  <c r="AM111" i="16"/>
  <c r="AN111" i="16" s="1"/>
  <c r="AL113" i="16" l="1"/>
  <c r="AM112" i="16"/>
  <c r="AN112" i="16" s="1"/>
  <c r="AT111" i="16"/>
  <c r="AU111" i="16" s="1"/>
  <c r="AS112" i="16"/>
  <c r="AS113" i="16" l="1"/>
  <c r="AT112" i="16"/>
  <c r="AU112" i="16" s="1"/>
  <c r="AM113" i="16"/>
  <c r="AN113" i="16" s="1"/>
  <c r="AL114" i="16"/>
  <c r="AL115" i="16" l="1"/>
  <c r="AM114" i="16"/>
  <c r="AN114" i="16" s="1"/>
  <c r="AS114" i="16"/>
  <c r="AT113" i="16"/>
  <c r="AU113" i="16" s="1"/>
  <c r="AS115" i="16" l="1"/>
  <c r="AT114" i="16"/>
  <c r="AU114" i="16" s="1"/>
  <c r="AM115" i="16"/>
  <c r="AN115" i="16" s="1"/>
  <c r="AL116" i="16"/>
  <c r="AL117" i="16" l="1"/>
  <c r="AM116" i="16"/>
  <c r="AN116" i="16" s="1"/>
  <c r="AS116" i="16"/>
  <c r="AT115" i="16"/>
  <c r="AU115" i="16" s="1"/>
  <c r="AT116" i="16" l="1"/>
  <c r="AU116" i="16" s="1"/>
  <c r="AS117" i="16"/>
  <c r="AM117" i="16"/>
  <c r="AN117" i="16" s="1"/>
  <c r="AL118" i="16"/>
  <c r="AL119" i="16" l="1"/>
  <c r="AM118" i="16"/>
  <c r="AN118" i="16" s="1"/>
  <c r="AT117" i="16"/>
  <c r="AU117" i="16" s="1"/>
  <c r="AS118" i="16"/>
  <c r="AS119" i="16" l="1"/>
  <c r="AT118" i="16"/>
  <c r="AU118" i="16" s="1"/>
  <c r="AL120" i="16"/>
  <c r="AM119" i="16"/>
  <c r="AN119" i="16" s="1"/>
  <c r="AL121" i="16" l="1"/>
  <c r="AM120" i="16"/>
  <c r="AN120" i="16" s="1"/>
  <c r="AT119" i="16"/>
  <c r="AU119" i="16" s="1"/>
  <c r="AS120" i="16"/>
  <c r="AT120" i="16" l="1"/>
  <c r="AU120" i="16" s="1"/>
  <c r="AS121" i="16"/>
  <c r="AM121" i="16"/>
  <c r="AN121" i="16" s="1"/>
  <c r="AL122" i="16"/>
  <c r="AM122" i="16" l="1"/>
  <c r="AN122" i="16" s="1"/>
  <c r="AL123" i="16"/>
  <c r="AT121" i="16"/>
  <c r="AU121" i="16" s="1"/>
  <c r="AS122" i="16"/>
  <c r="AT122" i="16" l="1"/>
  <c r="AU122" i="16" s="1"/>
  <c r="AS123" i="16"/>
  <c r="AM123" i="16"/>
  <c r="AN123" i="16" s="1"/>
  <c r="AL124" i="16"/>
  <c r="AL125" i="16" l="1"/>
  <c r="AM124" i="16"/>
  <c r="AN124" i="16" s="1"/>
  <c r="AT123" i="16"/>
  <c r="AU123" i="16" s="1"/>
  <c r="AS124" i="16"/>
  <c r="AT124" i="16" l="1"/>
  <c r="AU124" i="16" s="1"/>
  <c r="AS125" i="16"/>
  <c r="AL126" i="16"/>
  <c r="AM125" i="16"/>
  <c r="AN125" i="16" s="1"/>
  <c r="AL127" i="16" l="1"/>
  <c r="AM126" i="16"/>
  <c r="AN126" i="16" s="1"/>
  <c r="AS126" i="16"/>
  <c r="AT125" i="16"/>
  <c r="AU125" i="16" s="1"/>
  <c r="AS127" i="16" l="1"/>
  <c r="AT126" i="16"/>
  <c r="AU126" i="16" s="1"/>
  <c r="AL128" i="16"/>
  <c r="AM127" i="16"/>
  <c r="AN127" i="16" s="1"/>
  <c r="AL129" i="16" l="1"/>
  <c r="AM128" i="16"/>
  <c r="AN128" i="16" s="1"/>
  <c r="AT127" i="16"/>
  <c r="AU127" i="16" s="1"/>
  <c r="AS128" i="16"/>
  <c r="AT128" i="16" l="1"/>
  <c r="AU128" i="16" s="1"/>
  <c r="AS129" i="16"/>
  <c r="AL130" i="16"/>
  <c r="AM129" i="16"/>
  <c r="AN129" i="16" s="1"/>
  <c r="AM130" i="16" l="1"/>
  <c r="AN130" i="16" s="1"/>
  <c r="AL131" i="16"/>
  <c r="AS130" i="16"/>
  <c r="AT129" i="16"/>
  <c r="AU129" i="16" s="1"/>
  <c r="AS131" i="16" l="1"/>
  <c r="AT130" i="16"/>
  <c r="AU130" i="16" s="1"/>
  <c r="AL132" i="16"/>
  <c r="AM131" i="16"/>
  <c r="AN131" i="16" s="1"/>
  <c r="AM132" i="16" l="1"/>
  <c r="AN132" i="16" s="1"/>
  <c r="AL133" i="16"/>
  <c r="AT131" i="16"/>
  <c r="AU131" i="16" s="1"/>
  <c r="AS132" i="16"/>
  <c r="AT132" i="16" l="1"/>
  <c r="AU132" i="16" s="1"/>
  <c r="AS133" i="16"/>
  <c r="AL134" i="16"/>
  <c r="AM133" i="16"/>
  <c r="AN133" i="16" s="1"/>
  <c r="AM134" i="16" l="1"/>
  <c r="AN134" i="16" s="1"/>
  <c r="AL135" i="16"/>
  <c r="AT133" i="16"/>
  <c r="AU133" i="16" s="1"/>
  <c r="AS134" i="16"/>
  <c r="AT134" i="16" l="1"/>
  <c r="AU134" i="16" s="1"/>
  <c r="AS135" i="16"/>
  <c r="AM135" i="16"/>
  <c r="AN135" i="16" s="1"/>
  <c r="AL136" i="16"/>
  <c r="AL137" i="16" l="1"/>
  <c r="AM136" i="16"/>
  <c r="AN136" i="16" s="1"/>
  <c r="AT135" i="16"/>
  <c r="AU135" i="16" s="1"/>
  <c r="AS136" i="16"/>
  <c r="AS137" i="16" l="1"/>
  <c r="AT136" i="16"/>
  <c r="AU136" i="16" s="1"/>
  <c r="AM137" i="16"/>
  <c r="AN137" i="16" s="1"/>
  <c r="AL138" i="16"/>
  <c r="AM138" i="16" l="1"/>
  <c r="AN138" i="16" s="1"/>
  <c r="AL139" i="16"/>
  <c r="AT137" i="16"/>
  <c r="AU137" i="16" s="1"/>
  <c r="AS138" i="16"/>
  <c r="AS139" i="16" l="1"/>
  <c r="AT138" i="16"/>
  <c r="AU138" i="16" s="1"/>
  <c r="AL140" i="16"/>
  <c r="AM139" i="16"/>
  <c r="AN139" i="16" s="1"/>
  <c r="AL141" i="16" l="1"/>
  <c r="AM140" i="16"/>
  <c r="AN140" i="16" s="1"/>
  <c r="AS140" i="16"/>
  <c r="AT139" i="16"/>
  <c r="AU139" i="16" s="1"/>
  <c r="AT140" i="16" l="1"/>
  <c r="AU140" i="16" s="1"/>
  <c r="AS141" i="16"/>
  <c r="AM141" i="16"/>
  <c r="AN141" i="16" s="1"/>
  <c r="AL142" i="16"/>
  <c r="AL143" i="16" l="1"/>
  <c r="AM142" i="16"/>
  <c r="AN142" i="16" s="1"/>
  <c r="AS142" i="16"/>
  <c r="AT141" i="16"/>
  <c r="AU141" i="16" s="1"/>
  <c r="AS143" i="16" l="1"/>
  <c r="AT142" i="16"/>
  <c r="AU142" i="16" s="1"/>
  <c r="AM143" i="16"/>
  <c r="AN143" i="16" s="1"/>
  <c r="AL144" i="16"/>
  <c r="AL145" i="16" l="1"/>
  <c r="AM144" i="16"/>
  <c r="AN144" i="16" s="1"/>
  <c r="AT143" i="16"/>
  <c r="AU143" i="16" s="1"/>
  <c r="AS144" i="16"/>
  <c r="AS145" i="16" l="1"/>
  <c r="AT144" i="16"/>
  <c r="AU144" i="16" s="1"/>
  <c r="AM145" i="16"/>
  <c r="AN145" i="16" s="1"/>
  <c r="AL146" i="16"/>
  <c r="AL147" i="16" l="1"/>
  <c r="AM146" i="16"/>
  <c r="AN146" i="16" s="1"/>
  <c r="AS146" i="16"/>
  <c r="AT145" i="16"/>
  <c r="AU145" i="16" s="1"/>
  <c r="AT146" i="16" l="1"/>
  <c r="AU146" i="16" s="1"/>
  <c r="AS147" i="16"/>
  <c r="AM147" i="16"/>
  <c r="AN147" i="16" s="1"/>
  <c r="AL148" i="16"/>
  <c r="AL149" i="16" l="1"/>
  <c r="AM148" i="16"/>
  <c r="AN148" i="16" s="1"/>
  <c r="AS148" i="16"/>
  <c r="AT147" i="16"/>
  <c r="AU147" i="16" s="1"/>
  <c r="AS149" i="16" l="1"/>
  <c r="AT148" i="16"/>
  <c r="AU148" i="16" s="1"/>
  <c r="AM149" i="16"/>
  <c r="AN149" i="16" s="1"/>
  <c r="AL150" i="16"/>
  <c r="AL151" i="16" l="1"/>
  <c r="AM150" i="16"/>
  <c r="AN150" i="16" s="1"/>
  <c r="AS150" i="16"/>
  <c r="AT149" i="16"/>
  <c r="AU149" i="16" s="1"/>
  <c r="AT150" i="16" l="1"/>
  <c r="AU150" i="16" s="1"/>
  <c r="AS151" i="16"/>
  <c r="AM151" i="16"/>
  <c r="AN151" i="16" s="1"/>
  <c r="AL152" i="16"/>
  <c r="AL153" i="16" l="1"/>
  <c r="AM152" i="16"/>
  <c r="AN152" i="16" s="1"/>
  <c r="AS152" i="16"/>
  <c r="AT151" i="16"/>
  <c r="AU151" i="16" s="1"/>
  <c r="AS153" i="16" l="1"/>
  <c r="AT152" i="16"/>
  <c r="AU152" i="16" s="1"/>
  <c r="AM153" i="16"/>
  <c r="AN153" i="16" s="1"/>
  <c r="AL154" i="16"/>
  <c r="AL155" i="16" l="1"/>
  <c r="AM154" i="16"/>
  <c r="AN154" i="16" s="1"/>
  <c r="AS154" i="16"/>
  <c r="AT153" i="16"/>
  <c r="AU153" i="16" s="1"/>
  <c r="AT154" i="16" l="1"/>
  <c r="AU154" i="16" s="1"/>
  <c r="AS155" i="16"/>
  <c r="AM155" i="16"/>
  <c r="AN155" i="16" s="1"/>
  <c r="AL156" i="16"/>
  <c r="AM156" i="16" l="1"/>
  <c r="AN156" i="16" s="1"/>
  <c r="AL157" i="16"/>
  <c r="AS156" i="16"/>
  <c r="AT155" i="16"/>
  <c r="AU155" i="16" s="1"/>
  <c r="AS157" i="16" l="1"/>
  <c r="AT156" i="16"/>
  <c r="AU156" i="16" s="1"/>
  <c r="AM157" i="16"/>
  <c r="AN157" i="16" s="1"/>
  <c r="AL158" i="16"/>
  <c r="AM158" i="16" l="1"/>
  <c r="AN158" i="16" s="1"/>
  <c r="AL159" i="16"/>
  <c r="AT157" i="16"/>
  <c r="AU157" i="16" s="1"/>
  <c r="AS158" i="16"/>
  <c r="AS159" i="16" l="1"/>
  <c r="AT158" i="16"/>
  <c r="AU158" i="16" s="1"/>
  <c r="AM159" i="16"/>
  <c r="AN159" i="16" s="1"/>
  <c r="AL160" i="16"/>
  <c r="AM160" i="16" l="1"/>
  <c r="AN160" i="16" s="1"/>
  <c r="AL161" i="16"/>
  <c r="AT159" i="16"/>
  <c r="AU159" i="16" s="1"/>
  <c r="AS160" i="16"/>
  <c r="AS161" i="16" l="1"/>
  <c r="AT160" i="16"/>
  <c r="AU160" i="16" s="1"/>
  <c r="AM161" i="16"/>
  <c r="AN161" i="16" s="1"/>
  <c r="AL162" i="16"/>
  <c r="AM162" i="16" l="1"/>
  <c r="AN162" i="16" s="1"/>
  <c r="AL163" i="16"/>
  <c r="AT161" i="16"/>
  <c r="AU161" i="16" s="1"/>
  <c r="AS162" i="16"/>
  <c r="AS163" i="16" l="1"/>
  <c r="AT162" i="16"/>
  <c r="AU162" i="16" s="1"/>
  <c r="AL164" i="16"/>
  <c r="AM163" i="16"/>
  <c r="AN163" i="16" s="1"/>
  <c r="AM164" i="16" l="1"/>
  <c r="AN164" i="16" s="1"/>
  <c r="AL165" i="16"/>
  <c r="AS164" i="16"/>
  <c r="AT163" i="16"/>
  <c r="AU163" i="16" s="1"/>
  <c r="AT164" i="16" l="1"/>
  <c r="AU164" i="16" s="1"/>
  <c r="AS165" i="16"/>
  <c r="AM165" i="16"/>
  <c r="AN165" i="16" s="1"/>
  <c r="AL166" i="16"/>
  <c r="AL167" i="16" l="1"/>
  <c r="AM166" i="16"/>
  <c r="AN166" i="16" s="1"/>
  <c r="AS166" i="16"/>
  <c r="AT165" i="16"/>
  <c r="AU165" i="16" s="1"/>
  <c r="AS167" i="16" l="1"/>
  <c r="AT166" i="16"/>
  <c r="AU166" i="16" s="1"/>
  <c r="AL168" i="16"/>
  <c r="AM167" i="16"/>
  <c r="AN167" i="16" s="1"/>
  <c r="AM168" i="16" l="1"/>
  <c r="AN168" i="16" s="1"/>
  <c r="AL169" i="16"/>
  <c r="AS168" i="16"/>
  <c r="AT167" i="16"/>
  <c r="AU167" i="16" s="1"/>
  <c r="AS169" i="16" l="1"/>
  <c r="AT168" i="16"/>
  <c r="AU168" i="16" s="1"/>
  <c r="AL170" i="16"/>
  <c r="AM169" i="16"/>
  <c r="AN169" i="16" s="1"/>
  <c r="AL171" i="16" l="1"/>
  <c r="AM170" i="16"/>
  <c r="AN170" i="16" s="1"/>
  <c r="AS170" i="16"/>
  <c r="AT169" i="16"/>
  <c r="AU169" i="16" s="1"/>
  <c r="AT170" i="16" l="1"/>
  <c r="AU170" i="16" s="1"/>
  <c r="AS171" i="16"/>
  <c r="AL172" i="16"/>
  <c r="AM171" i="16"/>
  <c r="AN171" i="16" s="1"/>
  <c r="AL173" i="16" l="1"/>
  <c r="AM172" i="16"/>
  <c r="AN172" i="16" s="1"/>
  <c r="AS172" i="16"/>
  <c r="AT171" i="16"/>
  <c r="AU171" i="16" s="1"/>
  <c r="AS173" i="16" l="1"/>
  <c r="AT172" i="16"/>
  <c r="AU172" i="16" s="1"/>
  <c r="AM173" i="16"/>
  <c r="AN173" i="16" s="1"/>
  <c r="AL174" i="16"/>
  <c r="AM174" i="16" l="1"/>
  <c r="AN174" i="16" s="1"/>
  <c r="AL175" i="16"/>
  <c r="AS174" i="16"/>
  <c r="AT173" i="16"/>
  <c r="AU173" i="16" s="1"/>
  <c r="AT174" i="16" l="1"/>
  <c r="AU174" i="16" s="1"/>
  <c r="AS175" i="16"/>
  <c r="AL176" i="16"/>
  <c r="AM175" i="16"/>
  <c r="AN175" i="16" s="1"/>
  <c r="AM176" i="16" l="1"/>
  <c r="AN176" i="16" s="1"/>
  <c r="AL177" i="16"/>
  <c r="AS176" i="16"/>
  <c r="AT175" i="16"/>
  <c r="AU175" i="16" s="1"/>
  <c r="AT176" i="16" l="1"/>
  <c r="AU176" i="16" s="1"/>
  <c r="AS177" i="16"/>
  <c r="AL178" i="16"/>
  <c r="AM177" i="16"/>
  <c r="AN177" i="16" s="1"/>
  <c r="AL179" i="16" l="1"/>
  <c r="AM178" i="16"/>
  <c r="AN178" i="16" s="1"/>
  <c r="AS178" i="16"/>
  <c r="AT177" i="16"/>
  <c r="AU177" i="16" s="1"/>
  <c r="AT178" i="16" l="1"/>
  <c r="AU178" i="16" s="1"/>
  <c r="AS179" i="16"/>
  <c r="AM179" i="16"/>
  <c r="AN179" i="16" s="1"/>
  <c r="AL180" i="16"/>
  <c r="AM180" i="16" l="1"/>
  <c r="AN180" i="16" s="1"/>
  <c r="AL181" i="16"/>
  <c r="AT179" i="16"/>
  <c r="AU179" i="16" s="1"/>
  <c r="AS180" i="16"/>
  <c r="AS181" i="16" l="1"/>
  <c r="AT180" i="16"/>
  <c r="AU180" i="16" s="1"/>
  <c r="AL182" i="16"/>
  <c r="AM181" i="16"/>
  <c r="AN181" i="16" s="1"/>
  <c r="AL183" i="16" l="1"/>
  <c r="AM182" i="16"/>
  <c r="AN182" i="16" s="1"/>
  <c r="AS182" i="16"/>
  <c r="AT181" i="16"/>
  <c r="AU181" i="16" s="1"/>
  <c r="AT182" i="16" l="1"/>
  <c r="AU182" i="16" s="1"/>
  <c r="AS183" i="16"/>
  <c r="AM183" i="16"/>
  <c r="AN183" i="16" s="1"/>
  <c r="AL184" i="16"/>
  <c r="AM184" i="16" l="1"/>
  <c r="AN184" i="16" s="1"/>
  <c r="AL185" i="16"/>
  <c r="AS184" i="16"/>
  <c r="AT183" i="16"/>
  <c r="AU183" i="16" s="1"/>
  <c r="AT184" i="16" l="1"/>
  <c r="AU184" i="16" s="1"/>
  <c r="AS185" i="16"/>
  <c r="AM185" i="16"/>
  <c r="AN185" i="16" s="1"/>
  <c r="AL186" i="16"/>
  <c r="AM186" i="16" l="1"/>
  <c r="AN186" i="16" s="1"/>
  <c r="AL187" i="16"/>
  <c r="AS186" i="16"/>
  <c r="AT185" i="16"/>
  <c r="AU185" i="16" s="1"/>
  <c r="AS187" i="16" l="1"/>
  <c r="AT186" i="16"/>
  <c r="AU186" i="16" s="1"/>
  <c r="AL188" i="16"/>
  <c r="AM187" i="16"/>
  <c r="AN187" i="16" s="1"/>
  <c r="AM188" i="16" l="1"/>
  <c r="AN188" i="16" s="1"/>
  <c r="AL189" i="16"/>
  <c r="AT187" i="16"/>
  <c r="AU187" i="16" s="1"/>
  <c r="AS188" i="16"/>
  <c r="AS189" i="16" l="1"/>
  <c r="AT188" i="16"/>
  <c r="AU188" i="16" s="1"/>
  <c r="AM189" i="16"/>
  <c r="AN189" i="16" s="1"/>
  <c r="AL190" i="16"/>
  <c r="AL191" i="16" l="1"/>
  <c r="AM190" i="16"/>
  <c r="AN190" i="16" s="1"/>
  <c r="AS190" i="16"/>
  <c r="AT189" i="16"/>
  <c r="AU189" i="16" s="1"/>
  <c r="AS191" i="16" l="1"/>
  <c r="AT190" i="16"/>
  <c r="AU190" i="16" s="1"/>
  <c r="AM191" i="16"/>
  <c r="AN191" i="16" s="1"/>
  <c r="AL192" i="16"/>
  <c r="AL193" i="16" l="1"/>
  <c r="AM192" i="16"/>
  <c r="AN192" i="16" s="1"/>
  <c r="AS192" i="16"/>
  <c r="AT191" i="16"/>
  <c r="AU191" i="16" s="1"/>
  <c r="AT192" i="16" l="1"/>
  <c r="AU192" i="16" s="1"/>
  <c r="AS193" i="16"/>
  <c r="AL194" i="16"/>
  <c r="AM193" i="16"/>
  <c r="AN193" i="16" s="1"/>
  <c r="AM194" i="16" l="1"/>
  <c r="AN194" i="16" s="1"/>
  <c r="AL195" i="16"/>
  <c r="AT193" i="16"/>
  <c r="AU193" i="16" s="1"/>
  <c r="AS194" i="16"/>
  <c r="AS195" i="16" l="1"/>
  <c r="AT194" i="16"/>
  <c r="AU194" i="16" s="1"/>
  <c r="AL196" i="16"/>
  <c r="AM195" i="16"/>
  <c r="AN195" i="16" s="1"/>
  <c r="AM196" i="16" l="1"/>
  <c r="AN196" i="16" s="1"/>
  <c r="AL197" i="16"/>
  <c r="AS196" i="16"/>
  <c r="AT195" i="16"/>
  <c r="AU195" i="16" s="1"/>
  <c r="AS197" i="16" l="1"/>
  <c r="AT196" i="16"/>
  <c r="AU196" i="16" s="1"/>
  <c r="AM197" i="16"/>
  <c r="AN197" i="16" s="1"/>
  <c r="AL198" i="16"/>
  <c r="AL199" i="16" l="1"/>
  <c r="AM198" i="16"/>
  <c r="AN198" i="16" s="1"/>
  <c r="AS198" i="16"/>
  <c r="AT197" i="16"/>
  <c r="AU197" i="16" s="1"/>
  <c r="AS199" i="16" l="1"/>
  <c r="AT198" i="16"/>
  <c r="AU198" i="16" s="1"/>
  <c r="AL200" i="16"/>
  <c r="AM199" i="16"/>
  <c r="AN199" i="16" s="1"/>
  <c r="AL201" i="16" l="1"/>
  <c r="AM200" i="16"/>
  <c r="AN200" i="16" s="1"/>
  <c r="AS200" i="16"/>
  <c r="AT199" i="16"/>
  <c r="AU199" i="16" s="1"/>
  <c r="AS201" i="16" l="1"/>
  <c r="AT200" i="16"/>
  <c r="AU200" i="16" s="1"/>
  <c r="AM201" i="16"/>
  <c r="AN201" i="16" s="1"/>
  <c r="AL202" i="16"/>
  <c r="AL203" i="16" l="1"/>
  <c r="AM202" i="16"/>
  <c r="AN202" i="16" s="1"/>
  <c r="AT201" i="16"/>
  <c r="AU201" i="16" s="1"/>
  <c r="AS202" i="16"/>
  <c r="AS203" i="16" l="1"/>
  <c r="AT202" i="16"/>
  <c r="AU202" i="16" s="1"/>
  <c r="AM203" i="16"/>
  <c r="AN203" i="16" s="1"/>
  <c r="AL204" i="16"/>
  <c r="AL205" i="16" l="1"/>
  <c r="AM204" i="16"/>
  <c r="AN204" i="16" s="1"/>
  <c r="AT203" i="16"/>
  <c r="AU203" i="16" s="1"/>
  <c r="AS204" i="16"/>
  <c r="AT204" i="16" l="1"/>
  <c r="AU204" i="16" s="1"/>
  <c r="AS205" i="16"/>
  <c r="AM205" i="16"/>
  <c r="AN205" i="16" s="1"/>
  <c r="AL206" i="16"/>
  <c r="AM206" i="16" l="1"/>
  <c r="AN206" i="16" s="1"/>
  <c r="AL207" i="16"/>
  <c r="AS206" i="16"/>
  <c r="AT205" i="16"/>
  <c r="AU205" i="16" s="1"/>
  <c r="AS207" i="16" l="1"/>
  <c r="AT206" i="16"/>
  <c r="AU206" i="16" s="1"/>
  <c r="AL208" i="16"/>
  <c r="AM207" i="16"/>
  <c r="AN207" i="16" s="1"/>
  <c r="AM208" i="16" l="1"/>
  <c r="AN208" i="16" s="1"/>
  <c r="AL209" i="16"/>
  <c r="AT207" i="16"/>
  <c r="AU207" i="16" s="1"/>
  <c r="AS208" i="16"/>
  <c r="AT208" i="16" l="1"/>
  <c r="AU208" i="16" s="1"/>
  <c r="AS209" i="16"/>
  <c r="AM209" i="16"/>
  <c r="AN209" i="16" s="1"/>
  <c r="AL210" i="16"/>
  <c r="AL211" i="16" l="1"/>
  <c r="AM210" i="16"/>
  <c r="AN210" i="16" s="1"/>
  <c r="AS210" i="16"/>
  <c r="AT209" i="16"/>
  <c r="AU209" i="16" s="1"/>
  <c r="AT210" i="16" l="1"/>
  <c r="AU210" i="16" s="1"/>
  <c r="AS211" i="16"/>
  <c r="AM211" i="16"/>
  <c r="AN211" i="16" s="1"/>
  <c r="AL212" i="16"/>
  <c r="AM212" i="16" l="1"/>
  <c r="AN212" i="16" s="1"/>
  <c r="AL213" i="16"/>
  <c r="AT211" i="16"/>
  <c r="AU211" i="16" s="1"/>
  <c r="AS212" i="16"/>
  <c r="AT212" i="16" l="1"/>
  <c r="AU212" i="16" s="1"/>
  <c r="AS213" i="16"/>
  <c r="AL214" i="16"/>
  <c r="AM213" i="16"/>
  <c r="AN213" i="16" s="1"/>
  <c r="AL215" i="16" l="1"/>
  <c r="AM214" i="16"/>
  <c r="AN214" i="16" s="1"/>
  <c r="AS214" i="16"/>
  <c r="AT213" i="16"/>
  <c r="AU213" i="16" s="1"/>
  <c r="AT214" i="16" l="1"/>
  <c r="AU214" i="16" s="1"/>
  <c r="AS215" i="16"/>
  <c r="AM215" i="16"/>
  <c r="AN215" i="16" s="1"/>
  <c r="AL216" i="16"/>
  <c r="AL217" i="16" l="1"/>
  <c r="AM216" i="16"/>
  <c r="AN216" i="16" s="1"/>
  <c r="AS216" i="16"/>
  <c r="AT215" i="16"/>
  <c r="AU215" i="16" s="1"/>
  <c r="AS217" i="16" l="1"/>
  <c r="AT216" i="16"/>
  <c r="AU216" i="16" s="1"/>
  <c r="AM217" i="16"/>
  <c r="AN217" i="16" s="1"/>
  <c r="AL218" i="16"/>
  <c r="AL219" i="16" l="1"/>
  <c r="AM218" i="16"/>
  <c r="AN218" i="16" s="1"/>
  <c r="AT217" i="16"/>
  <c r="AU217" i="16" s="1"/>
  <c r="AS218" i="16"/>
  <c r="AS219" i="16" l="1"/>
  <c r="AT218" i="16"/>
  <c r="AU218" i="16" s="1"/>
  <c r="AL220" i="16"/>
  <c r="AM219" i="16"/>
  <c r="AN219" i="16" s="1"/>
  <c r="AL221" i="16" l="1"/>
  <c r="AM220" i="16"/>
  <c r="AN220" i="16" s="1"/>
  <c r="AT219" i="16"/>
  <c r="AU219" i="16" s="1"/>
  <c r="AS220" i="16"/>
  <c r="AT220" i="16" l="1"/>
  <c r="AU220" i="16" s="1"/>
  <c r="AS221" i="16"/>
  <c r="AL222" i="16"/>
  <c r="AM221" i="16"/>
  <c r="AN221" i="16" s="1"/>
  <c r="AL223" i="16" l="1"/>
  <c r="AM222" i="16"/>
  <c r="AN222" i="16" s="1"/>
  <c r="AS222" i="16"/>
  <c r="AT221" i="16"/>
  <c r="AU221" i="16" s="1"/>
  <c r="AS223" i="16" l="1"/>
  <c r="AT222" i="16"/>
  <c r="AU222" i="16" s="1"/>
  <c r="AM223" i="16"/>
  <c r="AN223" i="16" s="1"/>
  <c r="AL224" i="16"/>
  <c r="AL225" i="16" l="1"/>
  <c r="AM224" i="16"/>
  <c r="AN224" i="16" s="1"/>
  <c r="AT223" i="16"/>
  <c r="AU223" i="16" s="1"/>
  <c r="AS224" i="16"/>
  <c r="AT224" i="16" l="1"/>
  <c r="AU224" i="16" s="1"/>
  <c r="AS225" i="16"/>
  <c r="AL226" i="16"/>
  <c r="AM225" i="16"/>
  <c r="AN225" i="16" s="1"/>
  <c r="AL227" i="16" l="1"/>
  <c r="AM226" i="16"/>
  <c r="AN226" i="16" s="1"/>
  <c r="AT225" i="16"/>
  <c r="AU225" i="16" s="1"/>
  <c r="AS226" i="16"/>
  <c r="AT226" i="16" l="1"/>
  <c r="AU226" i="16" s="1"/>
  <c r="AS227" i="16"/>
  <c r="AL228" i="16"/>
  <c r="AM227" i="16"/>
  <c r="AN227" i="16" s="1"/>
  <c r="AM228" i="16" l="1"/>
  <c r="AN228" i="16" s="1"/>
  <c r="AL229" i="16"/>
  <c r="AT227" i="16"/>
  <c r="AU227" i="16" s="1"/>
  <c r="AS228" i="16"/>
  <c r="AS229" i="16" l="1"/>
  <c r="AT228" i="16"/>
  <c r="AU228" i="16" s="1"/>
  <c r="AL230" i="16"/>
  <c r="AM229" i="16"/>
  <c r="AN229" i="16" s="1"/>
  <c r="AM230" i="16" l="1"/>
  <c r="AN230" i="16" s="1"/>
  <c r="AL231" i="16"/>
  <c r="AS230" i="16"/>
  <c r="AT229" i="16"/>
  <c r="AU229" i="16" s="1"/>
  <c r="AT230" i="16" l="1"/>
  <c r="AU230" i="16" s="1"/>
  <c r="AS231" i="16"/>
  <c r="AL232" i="16"/>
  <c r="AM231" i="16"/>
  <c r="AN231" i="16" s="1"/>
  <c r="AL233" i="16" l="1"/>
  <c r="AM232" i="16"/>
  <c r="AN232" i="16" s="1"/>
  <c r="AS232" i="16"/>
  <c r="AT231" i="16"/>
  <c r="AU231" i="16" s="1"/>
  <c r="AT232" i="16" l="1"/>
  <c r="AU232" i="16" s="1"/>
  <c r="AS233" i="16"/>
  <c r="AL234" i="16"/>
  <c r="AM233" i="16"/>
  <c r="AN233" i="16" s="1"/>
  <c r="AL235" i="16" l="1"/>
  <c r="AM234" i="16"/>
  <c r="AN234" i="16" s="1"/>
  <c r="AS234" i="16"/>
  <c r="AT233" i="16"/>
  <c r="AU233" i="16" s="1"/>
  <c r="AS235" i="16" l="1"/>
  <c r="AT234" i="16"/>
  <c r="AU234" i="16" s="1"/>
  <c r="AL236" i="16"/>
  <c r="AM235" i="16"/>
  <c r="AN235" i="16" s="1"/>
  <c r="AL237" i="16" l="1"/>
  <c r="AM236" i="16"/>
  <c r="AN236" i="16" s="1"/>
  <c r="AT235" i="16"/>
  <c r="AU235" i="16" s="1"/>
  <c r="AS236" i="16"/>
  <c r="AS237" i="16" l="1"/>
  <c r="AT236" i="16"/>
  <c r="AU236" i="16" s="1"/>
  <c r="AM237" i="16"/>
  <c r="AN237" i="16" s="1"/>
  <c r="AL238" i="16"/>
  <c r="AL239" i="16" l="1"/>
  <c r="AM238" i="16"/>
  <c r="AN238" i="16" s="1"/>
  <c r="AT237" i="16"/>
  <c r="AU237" i="16" s="1"/>
  <c r="AS238" i="16"/>
  <c r="AS239" i="16" l="1"/>
  <c r="AT238" i="16"/>
  <c r="AU238" i="16" s="1"/>
  <c r="AL240" i="16"/>
  <c r="AM239" i="16"/>
  <c r="AN239" i="16" s="1"/>
  <c r="AM240" i="16" l="1"/>
  <c r="AN240" i="16" s="1"/>
  <c r="AL241" i="16"/>
  <c r="AT239" i="16"/>
  <c r="AU239" i="16" s="1"/>
  <c r="AS240" i="16"/>
  <c r="AS241" i="16" l="1"/>
  <c r="AT240" i="16"/>
  <c r="AU240" i="16" s="1"/>
  <c r="AM241" i="16"/>
  <c r="AN241" i="16" s="1"/>
  <c r="AL242" i="16"/>
  <c r="AL243" i="16" l="1"/>
  <c r="AM242" i="16"/>
  <c r="AN242" i="16" s="1"/>
  <c r="AT241" i="16"/>
  <c r="AU241" i="16" s="1"/>
  <c r="AS242" i="16"/>
  <c r="AT242" i="16" l="1"/>
  <c r="AU242" i="16" s="1"/>
  <c r="AS243" i="16"/>
  <c r="AM243" i="16"/>
  <c r="AN243" i="16" s="1"/>
  <c r="AL244" i="16"/>
  <c r="AL245" i="16" l="1"/>
  <c r="AM244" i="16"/>
  <c r="AN244" i="16" s="1"/>
  <c r="AS244" i="16"/>
  <c r="AT243" i="16"/>
  <c r="AU243" i="16" s="1"/>
  <c r="AT244" i="16" l="1"/>
  <c r="AU244" i="16" s="1"/>
  <c r="AS245" i="16"/>
  <c r="AL246" i="16"/>
  <c r="AM245" i="16"/>
  <c r="AN245" i="16" s="1"/>
  <c r="AL247" i="16" l="1"/>
  <c r="AM246" i="16"/>
  <c r="AN246" i="16" s="1"/>
  <c r="AS246" i="16"/>
  <c r="AT245" i="16"/>
  <c r="AU245" i="16" s="1"/>
  <c r="AT246" i="16" l="1"/>
  <c r="AU246" i="16" s="1"/>
  <c r="AS247" i="16"/>
  <c r="AL248" i="16"/>
  <c r="AM247" i="16"/>
  <c r="AN247" i="16" s="1"/>
  <c r="AL249" i="16" l="1"/>
  <c r="AM248" i="16"/>
  <c r="AN248" i="16" s="1"/>
  <c r="AT247" i="16"/>
  <c r="AU247" i="16" s="1"/>
  <c r="AS248" i="16"/>
  <c r="AS249" i="16" l="1"/>
  <c r="AT248" i="16"/>
  <c r="AU248" i="16" s="1"/>
  <c r="AM249" i="16"/>
  <c r="AN249" i="16" s="1"/>
  <c r="AL250" i="16"/>
  <c r="AL251" i="16" l="1"/>
  <c r="AM250" i="16"/>
  <c r="AN250" i="16" s="1"/>
  <c r="AT249" i="16"/>
  <c r="AU249" i="16" s="1"/>
  <c r="AS250" i="16"/>
  <c r="AT250" i="16" l="1"/>
  <c r="AU250" i="16" s="1"/>
  <c r="AS251" i="16"/>
  <c r="AL252" i="16"/>
  <c r="AM251" i="16"/>
  <c r="AN251" i="16" s="1"/>
  <c r="AL253" i="16" l="1"/>
  <c r="AM252" i="16"/>
  <c r="AN252" i="16" s="1"/>
  <c r="AS252" i="16"/>
  <c r="AT251" i="16"/>
  <c r="AU251" i="16" s="1"/>
  <c r="AS253" i="16" l="1"/>
  <c r="AT252" i="16"/>
  <c r="AU252" i="16" s="1"/>
  <c r="AL254" i="16"/>
  <c r="AM253" i="16"/>
  <c r="AN253" i="16" s="1"/>
  <c r="AL255" i="16" l="1"/>
  <c r="AM254" i="16"/>
  <c r="AN254" i="16" s="1"/>
  <c r="AT253" i="16"/>
  <c r="AU253" i="16" s="1"/>
  <c r="AS254" i="16"/>
  <c r="AS255" i="16" l="1"/>
  <c r="AT254" i="16"/>
  <c r="AU254" i="16" s="1"/>
  <c r="AL256" i="16"/>
  <c r="AM255" i="16"/>
  <c r="AN255" i="16" s="1"/>
  <c r="AL257" i="16" l="1"/>
  <c r="AM256" i="16"/>
  <c r="AN256" i="16" s="1"/>
  <c r="AT255" i="16"/>
  <c r="AU255" i="16" s="1"/>
  <c r="AS256" i="16"/>
  <c r="AT256" i="16" l="1"/>
  <c r="AU256" i="16" s="1"/>
  <c r="AS257" i="16"/>
  <c r="AM257" i="16"/>
  <c r="AN257" i="16" s="1"/>
  <c r="AL258" i="16"/>
  <c r="AL259" i="16" l="1"/>
  <c r="AM258" i="16"/>
  <c r="AN258" i="16" s="1"/>
  <c r="AS258" i="16"/>
  <c r="AT257" i="16"/>
  <c r="AU257" i="16" s="1"/>
  <c r="AT258" i="16" l="1"/>
  <c r="AU258" i="16" s="1"/>
  <c r="AS259" i="16"/>
  <c r="AM259" i="16"/>
  <c r="AN259" i="16" s="1"/>
  <c r="AL260" i="16"/>
  <c r="AL261" i="16" l="1"/>
  <c r="AM260" i="16"/>
  <c r="AN260" i="16" s="1"/>
  <c r="AS260" i="16"/>
  <c r="AT259" i="16"/>
  <c r="AU259" i="16" s="1"/>
  <c r="AS261" i="16" l="1"/>
  <c r="AT260" i="16"/>
  <c r="AU260" i="16" s="1"/>
  <c r="AL262" i="16"/>
  <c r="AM261" i="16"/>
  <c r="AN261" i="16" s="1"/>
  <c r="AM262" i="16" l="1"/>
  <c r="AN262" i="16" s="1"/>
  <c r="AL263" i="16"/>
  <c r="AT261" i="16"/>
  <c r="AU261" i="16" s="1"/>
  <c r="AS262" i="16"/>
  <c r="AS263" i="16" l="1"/>
  <c r="AT262" i="16"/>
  <c r="AU262" i="16" s="1"/>
  <c r="AL264" i="16"/>
  <c r="AM263" i="16"/>
  <c r="AN263" i="16" s="1"/>
  <c r="AM264" i="16" l="1"/>
  <c r="AN264" i="16" s="1"/>
  <c r="AL265" i="16"/>
  <c r="AT263" i="16"/>
  <c r="AU263" i="16" s="1"/>
  <c r="AS264" i="16"/>
  <c r="AT264" i="16" l="1"/>
  <c r="AU264" i="16" s="1"/>
  <c r="AS265" i="16"/>
  <c r="AL266" i="16"/>
  <c r="AM265" i="16"/>
  <c r="AN265" i="16" s="1"/>
  <c r="AL267" i="16" l="1"/>
  <c r="AM266" i="16"/>
  <c r="AN266" i="16" s="1"/>
  <c r="AS266" i="16"/>
  <c r="AT265" i="16"/>
  <c r="AU265" i="16" s="1"/>
  <c r="AS267" i="16" l="1"/>
  <c r="AT266" i="16"/>
  <c r="AU266" i="16" s="1"/>
  <c r="AL268" i="16"/>
  <c r="AM267" i="16"/>
  <c r="AN267" i="16" s="1"/>
  <c r="AL269" i="16" l="1"/>
  <c r="AM268" i="16"/>
  <c r="AN268" i="16" s="1"/>
  <c r="AT267" i="16"/>
  <c r="AU267" i="16" s="1"/>
  <c r="AS268" i="16"/>
  <c r="AT268" i="16" l="1"/>
  <c r="AU268" i="16" s="1"/>
  <c r="AS269" i="16"/>
  <c r="AM269" i="16"/>
  <c r="AN269" i="16" s="1"/>
  <c r="AL270" i="16"/>
  <c r="AM270" i="16" l="1"/>
  <c r="AN270" i="16" s="1"/>
  <c r="AL271" i="16"/>
  <c r="AT269" i="16"/>
  <c r="AU269" i="16" s="1"/>
  <c r="AS270" i="16"/>
  <c r="AS271" i="16" l="1"/>
  <c r="AT270" i="16"/>
  <c r="AU270" i="16" s="1"/>
  <c r="AM271" i="16"/>
  <c r="AN271" i="16" s="1"/>
  <c r="AL272" i="16"/>
  <c r="AL273" i="16" l="1"/>
  <c r="AM272" i="16"/>
  <c r="AN272" i="16" s="1"/>
  <c r="AS272" i="16"/>
  <c r="AT271" i="16"/>
  <c r="AU271" i="16" s="1"/>
  <c r="AS273" i="16" l="1"/>
  <c r="AT272" i="16"/>
  <c r="AU272" i="16" s="1"/>
  <c r="AL274" i="16"/>
  <c r="AM273" i="16"/>
  <c r="AN273" i="16" s="1"/>
  <c r="AL275" i="16" l="1"/>
  <c r="AM274" i="16"/>
  <c r="AN274" i="16" s="1"/>
  <c r="AS274" i="16"/>
  <c r="AT273" i="16"/>
  <c r="AU273" i="16" s="1"/>
  <c r="AS275" i="16" l="1"/>
  <c r="AT274" i="16"/>
  <c r="AU274" i="16" s="1"/>
  <c r="AM275" i="16"/>
  <c r="AN275" i="16" s="1"/>
  <c r="AL276" i="16"/>
  <c r="AM276" i="16" l="1"/>
  <c r="AN276" i="16" s="1"/>
  <c r="AL277" i="16"/>
  <c r="AT275" i="16"/>
  <c r="AU275" i="16" s="1"/>
  <c r="AS276" i="16"/>
  <c r="AT276" i="16" l="1"/>
  <c r="AU276" i="16" s="1"/>
  <c r="AS277" i="16"/>
  <c r="AM277" i="16"/>
  <c r="AN277" i="16" s="1"/>
  <c r="AL278" i="16"/>
  <c r="AL279" i="16" l="1"/>
  <c r="AM278" i="16"/>
  <c r="AN278" i="16" s="1"/>
  <c r="AT277" i="16"/>
  <c r="AU277" i="16" s="1"/>
  <c r="AS278" i="16"/>
  <c r="AT278" i="16" l="1"/>
  <c r="AU278" i="16" s="1"/>
  <c r="AS279" i="16"/>
  <c r="AM279" i="16"/>
  <c r="AN279" i="16" s="1"/>
  <c r="AL280" i="16"/>
  <c r="AL281" i="16" l="1"/>
  <c r="AM280" i="16"/>
  <c r="AN280" i="16" s="1"/>
  <c r="AS280" i="16"/>
  <c r="AT279" i="16"/>
  <c r="AU279" i="16" s="1"/>
  <c r="AT280" i="16" l="1"/>
  <c r="AU280" i="16" s="1"/>
  <c r="AS281" i="16"/>
  <c r="AM281" i="16"/>
  <c r="AN281" i="16" s="1"/>
  <c r="AL282" i="16"/>
  <c r="AM282" i="16" l="1"/>
  <c r="AN282" i="16" s="1"/>
  <c r="AL283" i="16"/>
  <c r="AT281" i="16"/>
  <c r="AU281" i="16" s="1"/>
  <c r="AS282" i="16"/>
  <c r="AS283" i="16" l="1"/>
  <c r="AT282" i="16"/>
  <c r="AU282" i="16" s="1"/>
  <c r="AL284" i="16"/>
  <c r="AM283" i="16"/>
  <c r="AN283" i="16" s="1"/>
  <c r="AM284" i="16" l="1"/>
  <c r="AN284" i="16" s="1"/>
  <c r="AL285" i="16"/>
  <c r="AT283" i="16"/>
  <c r="AU283" i="16" s="1"/>
  <c r="AS284" i="16"/>
  <c r="AS285" i="16" l="1"/>
  <c r="AT284" i="16"/>
  <c r="AU284" i="16" s="1"/>
  <c r="AL286" i="16"/>
  <c r="AM285" i="16"/>
  <c r="AN285" i="16" s="1"/>
  <c r="AL287" i="16" l="1"/>
  <c r="AM286" i="16"/>
  <c r="AN286" i="16" s="1"/>
  <c r="AT285" i="16"/>
  <c r="AU285" i="16" s="1"/>
  <c r="AS286" i="16"/>
  <c r="AS287" i="16" l="1"/>
  <c r="AT286" i="16"/>
  <c r="AU286" i="16" s="1"/>
  <c r="AL288" i="16"/>
  <c r="AM287" i="16"/>
  <c r="AN287" i="16" s="1"/>
  <c r="AM288" i="16" l="1"/>
  <c r="AN288" i="16" s="1"/>
  <c r="AL289" i="16"/>
  <c r="AT287" i="16"/>
  <c r="AU287" i="16" s="1"/>
  <c r="AS288" i="16"/>
  <c r="AT288" i="16" l="1"/>
  <c r="AU288" i="16" s="1"/>
  <c r="AS289" i="16"/>
  <c r="AM289" i="16"/>
  <c r="AN289" i="16" s="1"/>
  <c r="AL290" i="16"/>
  <c r="AL291" i="16" l="1"/>
  <c r="AM290" i="16"/>
  <c r="AN290" i="16" s="1"/>
  <c r="AT289" i="16"/>
  <c r="AU289" i="16" s="1"/>
  <c r="AS290" i="16"/>
  <c r="AS291" i="16" l="1"/>
  <c r="AT290" i="16"/>
  <c r="AU290" i="16" s="1"/>
  <c r="AM291" i="16"/>
  <c r="AN291" i="16" s="1"/>
  <c r="AL292" i="16"/>
  <c r="AM292" i="16" l="1"/>
  <c r="AN292" i="16" s="1"/>
  <c r="AL293" i="16"/>
  <c r="AT291" i="16"/>
  <c r="AU291" i="16" s="1"/>
  <c r="AS292" i="16"/>
  <c r="AS293" i="16" l="1"/>
  <c r="AT292" i="16"/>
  <c r="AU292" i="16" s="1"/>
  <c r="AL294" i="16"/>
  <c r="AM293" i="16"/>
  <c r="AN293" i="16" s="1"/>
  <c r="AM294" i="16" l="1"/>
  <c r="AN294" i="16" s="1"/>
  <c r="AL295" i="16"/>
  <c r="AS294" i="16"/>
  <c r="AT293" i="16"/>
  <c r="AU293" i="16" s="1"/>
  <c r="AS295" i="16" l="1"/>
  <c r="AT294" i="16"/>
  <c r="AU294" i="16" s="1"/>
  <c r="AM295" i="16"/>
  <c r="AN295" i="16" s="1"/>
  <c r="AL296" i="16"/>
  <c r="AM296" i="16" l="1"/>
  <c r="AN296" i="16" s="1"/>
  <c r="AL297" i="16"/>
  <c r="AT295" i="16"/>
  <c r="AU295" i="16" s="1"/>
  <c r="AS296" i="16"/>
  <c r="AS297" i="16" l="1"/>
  <c r="AT296" i="16"/>
  <c r="AU296" i="16" s="1"/>
  <c r="AM297" i="16"/>
  <c r="AN297" i="16" s="1"/>
  <c r="AL298" i="16"/>
  <c r="AL299" i="16" l="1"/>
  <c r="AM298" i="16"/>
  <c r="AN298" i="16" s="1"/>
  <c r="AT297" i="16"/>
  <c r="AU297" i="16" s="1"/>
  <c r="AS298" i="16"/>
  <c r="AT298" i="16" l="1"/>
  <c r="AU298" i="16" s="1"/>
  <c r="AS299" i="16"/>
  <c r="AM299" i="16"/>
  <c r="AN299" i="16" s="1"/>
  <c r="AL300" i="16"/>
  <c r="AM300" i="16" l="1"/>
  <c r="AN300" i="16" s="1"/>
  <c r="AL301" i="16"/>
  <c r="AS300" i="16"/>
  <c r="AT299" i="16"/>
  <c r="AU299" i="16" s="1"/>
  <c r="AS301" i="16" l="1"/>
  <c r="AT300" i="16"/>
  <c r="AU300" i="16" s="1"/>
  <c r="AM301" i="16"/>
  <c r="AN301" i="16" s="1"/>
  <c r="AL302" i="16"/>
  <c r="AM302" i="16" l="1"/>
  <c r="AN302" i="16" s="1"/>
  <c r="AL303" i="16"/>
  <c r="AT301" i="16"/>
  <c r="AU301" i="16" s="1"/>
  <c r="AS302" i="16"/>
  <c r="AT302" i="16" l="1"/>
  <c r="AU302" i="16" s="1"/>
  <c r="AS303" i="16"/>
  <c r="AL304" i="16"/>
  <c r="AM303" i="16"/>
  <c r="AN303" i="16" s="1"/>
  <c r="AM304" i="16" l="1"/>
  <c r="AN304" i="16" s="1"/>
  <c r="AL305" i="16"/>
  <c r="AT303" i="16"/>
  <c r="AU303" i="16" s="1"/>
  <c r="AS304" i="16"/>
  <c r="AS305" i="16" l="1"/>
  <c r="AT304" i="16"/>
  <c r="AU304" i="16" s="1"/>
  <c r="AL306" i="16"/>
  <c r="AM305" i="16"/>
  <c r="AN305" i="16" s="1"/>
  <c r="AM306" i="16" l="1"/>
  <c r="AN306" i="16" s="1"/>
  <c r="AL307" i="16"/>
  <c r="AS306" i="16"/>
  <c r="AT305" i="16"/>
  <c r="AU305" i="16" s="1"/>
  <c r="AS307" i="16" l="1"/>
  <c r="AT306" i="16"/>
  <c r="AU306" i="16" s="1"/>
  <c r="AL308" i="16"/>
  <c r="AM307" i="16"/>
  <c r="AN307" i="16" s="1"/>
  <c r="AL309" i="16" l="1"/>
  <c r="AM308" i="16"/>
  <c r="AN308" i="16" s="1"/>
  <c r="AS308" i="16"/>
  <c r="AT307" i="16"/>
  <c r="AU307" i="16" s="1"/>
  <c r="AT308" i="16" l="1"/>
  <c r="AU308" i="16" s="1"/>
  <c r="AS309" i="16"/>
  <c r="AL310" i="16"/>
  <c r="AM309" i="16"/>
  <c r="AN309" i="16" s="1"/>
  <c r="AM310" i="16" l="1"/>
  <c r="AN310" i="16" s="1"/>
  <c r="AL311" i="16"/>
  <c r="AT309" i="16"/>
  <c r="AU309" i="16" s="1"/>
  <c r="AS310" i="16"/>
  <c r="AS311" i="16" l="1"/>
  <c r="AT310" i="16"/>
  <c r="AU310" i="16" s="1"/>
  <c r="AL312" i="16"/>
  <c r="AM311" i="16"/>
  <c r="AN311" i="16" s="1"/>
  <c r="AM312" i="16" l="1"/>
  <c r="AN312" i="16" s="1"/>
  <c r="AL313" i="16"/>
  <c r="AT311" i="16"/>
  <c r="AU311" i="16" s="1"/>
  <c r="AS312" i="16"/>
  <c r="AS313" i="16" l="1"/>
  <c r="AT312" i="16"/>
  <c r="AU312" i="16" s="1"/>
  <c r="AL314" i="16"/>
  <c r="AM313" i="16"/>
  <c r="AN313" i="16" s="1"/>
  <c r="AM314" i="16" l="1"/>
  <c r="AN314" i="16" s="1"/>
  <c r="AL315" i="16"/>
  <c r="AS314" i="16"/>
  <c r="AT313" i="16"/>
  <c r="AU313" i="16" s="1"/>
  <c r="AT314" i="16" l="1"/>
  <c r="AU314" i="16" s="1"/>
  <c r="AS315" i="16"/>
  <c r="AM315" i="16"/>
  <c r="AN315" i="16" s="1"/>
  <c r="AL316" i="16"/>
  <c r="AM316" i="16" l="1"/>
  <c r="AN316" i="16" s="1"/>
  <c r="AL317" i="16"/>
  <c r="AT315" i="16"/>
  <c r="AU315" i="16" s="1"/>
  <c r="AS316" i="16"/>
  <c r="AS317" i="16" l="1"/>
  <c r="AT316" i="16"/>
  <c r="AU316" i="16" s="1"/>
  <c r="AM317" i="16"/>
  <c r="AN317" i="16" s="1"/>
  <c r="AL318" i="16"/>
  <c r="AM318" i="16" l="1"/>
  <c r="AN318" i="16" s="1"/>
  <c r="AL319" i="16"/>
  <c r="AS318" i="16"/>
  <c r="AT317" i="16"/>
  <c r="AU317" i="16" s="1"/>
  <c r="AS319" i="16" l="1"/>
  <c r="AT318" i="16"/>
  <c r="AU318" i="16" s="1"/>
  <c r="AL320" i="16"/>
  <c r="AM319" i="16"/>
  <c r="AN319" i="16" s="1"/>
  <c r="AM320" i="16" l="1"/>
  <c r="AN320" i="16" s="1"/>
  <c r="AL321" i="16"/>
  <c r="AS320" i="16"/>
  <c r="AT319" i="16"/>
  <c r="AU319" i="16" s="1"/>
  <c r="AS321" i="16" l="1"/>
  <c r="AT320" i="16"/>
  <c r="AU320" i="16" s="1"/>
  <c r="AL322" i="16"/>
  <c r="AM321" i="16"/>
  <c r="AN321" i="16" s="1"/>
  <c r="AM322" i="16" l="1"/>
  <c r="AN322" i="16" s="1"/>
  <c r="AL323" i="16"/>
  <c r="AS322" i="16"/>
  <c r="AT321" i="16"/>
  <c r="AU321" i="16" s="1"/>
  <c r="AT322" i="16" l="1"/>
  <c r="AU322" i="16" s="1"/>
  <c r="AS323" i="16"/>
  <c r="AM323" i="16"/>
  <c r="AN323" i="16" s="1"/>
  <c r="AL324" i="16"/>
  <c r="AM324" i="16" l="1"/>
  <c r="AN324" i="16" s="1"/>
  <c r="AL325" i="16"/>
  <c r="AS324" i="16"/>
  <c r="AT323" i="16"/>
  <c r="AU323" i="16" s="1"/>
  <c r="AT324" i="16" l="1"/>
  <c r="AU324" i="16" s="1"/>
  <c r="AS325" i="16"/>
  <c r="AM325" i="16"/>
  <c r="AN325" i="16" s="1"/>
  <c r="AL326" i="16"/>
  <c r="AL327" i="16" l="1"/>
  <c r="AM326" i="16"/>
  <c r="AN326" i="16" s="1"/>
  <c r="AS326" i="16"/>
  <c r="AT325" i="16"/>
  <c r="AU325" i="16" s="1"/>
  <c r="AS327" i="16" l="1"/>
  <c r="AT326" i="16"/>
  <c r="AU326" i="16" s="1"/>
  <c r="AL328" i="16"/>
  <c r="AM327" i="16"/>
  <c r="AN327" i="16" s="1"/>
  <c r="AL329" i="16" l="1"/>
  <c r="AM328" i="16"/>
  <c r="AN328" i="16" s="1"/>
  <c r="AS328" i="16"/>
  <c r="AT327" i="16"/>
  <c r="AU327" i="16" s="1"/>
  <c r="AS329" i="16" l="1"/>
  <c r="AT328" i="16"/>
  <c r="AU328" i="16" s="1"/>
  <c r="AL330" i="16"/>
  <c r="AM329" i="16"/>
  <c r="AN329" i="16" s="1"/>
  <c r="AM330" i="16" l="1"/>
  <c r="AN330" i="16" s="1"/>
  <c r="AL331" i="16"/>
  <c r="AS330" i="16"/>
  <c r="AT329" i="16"/>
  <c r="AU329" i="16" s="1"/>
  <c r="AT330" i="16" l="1"/>
  <c r="AU330" i="16" s="1"/>
  <c r="AS331" i="16"/>
  <c r="AL332" i="16"/>
  <c r="AM331" i="16"/>
  <c r="AN331" i="16" s="1"/>
  <c r="AL333" i="16" l="1"/>
  <c r="AM332" i="16"/>
  <c r="AN332" i="16" s="1"/>
  <c r="AT331" i="16"/>
  <c r="AU331" i="16" s="1"/>
  <c r="AS332" i="16"/>
  <c r="AS333" i="16" l="1"/>
  <c r="AT332" i="16"/>
  <c r="AU332" i="16" s="1"/>
  <c r="AL334" i="16"/>
  <c r="AM333" i="16"/>
  <c r="AN333" i="16" s="1"/>
  <c r="AM334" i="16" l="1"/>
  <c r="AN334" i="16" s="1"/>
  <c r="AL335" i="16"/>
  <c r="AS334" i="16"/>
  <c r="AT333" i="16"/>
  <c r="AU333" i="16" s="1"/>
  <c r="AT334" i="16" l="1"/>
  <c r="AU334" i="16" s="1"/>
  <c r="AS335" i="16"/>
  <c r="AM335" i="16"/>
  <c r="AN335" i="16" s="1"/>
  <c r="AL336" i="16"/>
  <c r="AM336" i="16" l="1"/>
  <c r="AN336" i="16" s="1"/>
  <c r="AL337" i="16"/>
  <c r="AS336" i="16"/>
  <c r="AT335" i="16"/>
  <c r="AU335" i="16" s="1"/>
  <c r="AT336" i="16" l="1"/>
  <c r="AU336" i="16" s="1"/>
  <c r="AS337" i="16"/>
  <c r="AM337" i="16"/>
  <c r="AN337" i="16" s="1"/>
  <c r="AL338" i="16"/>
  <c r="AL339" i="16" l="1"/>
  <c r="AM338" i="16"/>
  <c r="AN338" i="16" s="1"/>
  <c r="AS338" i="16"/>
  <c r="AT337" i="16"/>
  <c r="AU337" i="16" s="1"/>
  <c r="AT338" i="16" l="1"/>
  <c r="AU338" i="16" s="1"/>
  <c r="AS339" i="16"/>
  <c r="AL340" i="16"/>
  <c r="AM339" i="16"/>
  <c r="AN339" i="16" s="1"/>
  <c r="AM340" i="16" l="1"/>
  <c r="AN340" i="16" s="1"/>
  <c r="AL341" i="16"/>
  <c r="AS340" i="16"/>
  <c r="AT339" i="16"/>
  <c r="AU339" i="16" s="1"/>
  <c r="AS341" i="16" l="1"/>
  <c r="AT340" i="16"/>
  <c r="AU340" i="16" s="1"/>
  <c r="AM341" i="16"/>
  <c r="AN341" i="16" s="1"/>
  <c r="AL342" i="16"/>
  <c r="AM342" i="16" l="1"/>
  <c r="AN342" i="16" s="1"/>
  <c r="AL343" i="16"/>
  <c r="AT341" i="16"/>
  <c r="AU341" i="16" s="1"/>
  <c r="AS342" i="16"/>
  <c r="AS343" i="16" l="1"/>
  <c r="AT342" i="16"/>
  <c r="AU342" i="16" s="1"/>
  <c r="AL344" i="16"/>
  <c r="AM343" i="16"/>
  <c r="AN343" i="16" s="1"/>
  <c r="AM344" i="16" l="1"/>
  <c r="AN344" i="16" s="1"/>
  <c r="AL345" i="16"/>
  <c r="AS344" i="16"/>
  <c r="AT343" i="16"/>
  <c r="AU343" i="16" s="1"/>
  <c r="AS345" i="16" l="1"/>
  <c r="AT344" i="16"/>
  <c r="AU344" i="16" s="1"/>
  <c r="AM345" i="16"/>
  <c r="AN345" i="16" s="1"/>
  <c r="AL346" i="16"/>
  <c r="AL347" i="16" l="1"/>
  <c r="AM346" i="16"/>
  <c r="AN346" i="16" s="1"/>
  <c r="AS346" i="16"/>
  <c r="AT345" i="16"/>
  <c r="AU345" i="16" s="1"/>
  <c r="AS347" i="16" l="1"/>
  <c r="AT346" i="16"/>
  <c r="AU346" i="16" s="1"/>
  <c r="AL348" i="16"/>
  <c r="AM347" i="16"/>
  <c r="AN347" i="16" s="1"/>
  <c r="AM348" i="16" l="1"/>
  <c r="AN348" i="16" s="1"/>
  <c r="AL349" i="16"/>
  <c r="AS348" i="16"/>
  <c r="AT347" i="16"/>
  <c r="AU347" i="16" s="1"/>
  <c r="AS349" i="16" l="1"/>
  <c r="AT348" i="16"/>
  <c r="AU348" i="16" s="1"/>
  <c r="AM349" i="16"/>
  <c r="AN349" i="16" s="1"/>
  <c r="AL350" i="16"/>
  <c r="AM350" i="16" l="1"/>
  <c r="AN350" i="16" s="1"/>
  <c r="AL351" i="16"/>
  <c r="AT349" i="16"/>
  <c r="AU349" i="16" s="1"/>
  <c r="AS350" i="16"/>
  <c r="AT350" i="16" l="1"/>
  <c r="AU350" i="16" s="1"/>
  <c r="AS351" i="16"/>
  <c r="AM351" i="16"/>
  <c r="AN351" i="16" s="1"/>
  <c r="AL352" i="16"/>
  <c r="AL353" i="16" l="1"/>
  <c r="AM352" i="16"/>
  <c r="AN352" i="16" s="1"/>
  <c r="AS352" i="16"/>
  <c r="AT351" i="16"/>
  <c r="AU351" i="16" s="1"/>
  <c r="AT352" i="16" l="1"/>
  <c r="AU352" i="16" s="1"/>
  <c r="AS353" i="16"/>
  <c r="AL354" i="16"/>
  <c r="AM353" i="16"/>
  <c r="AN353" i="16" s="1"/>
  <c r="AM354" i="16" l="1"/>
  <c r="AN354" i="16" s="1"/>
  <c r="AL355" i="16"/>
  <c r="AS354" i="16"/>
  <c r="AT353" i="16"/>
  <c r="AU353" i="16" s="1"/>
  <c r="AS355" i="16" l="1"/>
  <c r="AT354" i="16"/>
  <c r="AU354" i="16" s="1"/>
  <c r="AL356" i="16"/>
  <c r="AM355" i="16"/>
  <c r="AN355" i="16" s="1"/>
  <c r="AL357" i="16" l="1"/>
  <c r="AM356" i="16"/>
  <c r="AN356" i="16" s="1"/>
  <c r="AT355" i="16"/>
  <c r="AU355" i="16" s="1"/>
  <c r="AS356" i="16"/>
  <c r="AS357" i="16" l="1"/>
  <c r="AT356" i="16"/>
  <c r="AU356" i="16" s="1"/>
  <c r="AL358" i="16"/>
  <c r="AM357" i="16"/>
  <c r="AN357" i="16" s="1"/>
  <c r="AL359" i="16" l="1"/>
  <c r="AM358" i="16"/>
  <c r="AN358" i="16" s="1"/>
  <c r="AS358" i="16"/>
  <c r="AT357" i="16"/>
  <c r="AU357" i="16" s="1"/>
  <c r="AT358" i="16" l="1"/>
  <c r="AU358" i="16" s="1"/>
  <c r="AS359" i="16"/>
  <c r="AM359" i="16"/>
  <c r="AN359" i="16" s="1"/>
  <c r="AL360" i="16"/>
  <c r="AL361" i="16" l="1"/>
  <c r="AM360" i="16"/>
  <c r="AN360" i="16" s="1"/>
  <c r="AT359" i="16"/>
  <c r="AU359" i="16" s="1"/>
  <c r="AS360" i="16"/>
  <c r="AS361" i="16" l="1"/>
  <c r="AT360" i="16"/>
  <c r="AU360" i="16" s="1"/>
  <c r="AM361" i="16"/>
  <c r="AN361" i="16" s="1"/>
  <c r="AL362" i="16"/>
  <c r="AL363" i="16" l="1"/>
  <c r="AM362" i="16"/>
  <c r="AN362" i="16" s="1"/>
  <c r="AS362" i="16"/>
  <c r="AT361" i="16"/>
  <c r="AU361" i="16" s="1"/>
  <c r="AT362" i="16" l="1"/>
  <c r="AU362" i="16" s="1"/>
  <c r="AS363" i="16"/>
  <c r="AL364" i="16"/>
  <c r="AM363" i="16"/>
  <c r="AN363" i="16" s="1"/>
  <c r="AL365" i="16" l="1"/>
  <c r="AM364" i="16"/>
  <c r="AN364" i="16" s="1"/>
  <c r="AS364" i="16"/>
  <c r="AT363" i="16"/>
  <c r="AU363" i="16" s="1"/>
  <c r="AT364" i="16" l="1"/>
  <c r="AU364" i="16" s="1"/>
  <c r="AS365" i="16"/>
  <c r="AM365" i="16"/>
  <c r="AN365" i="16" s="1"/>
  <c r="AL366" i="16"/>
  <c r="AL367" i="16" l="1"/>
  <c r="AM366" i="16"/>
  <c r="AN366" i="16" s="1"/>
  <c r="AS366" i="16"/>
  <c r="AT365" i="16"/>
  <c r="AU365" i="16" s="1"/>
  <c r="AS367" i="16" l="1"/>
  <c r="AT366" i="16"/>
  <c r="AU366" i="16" s="1"/>
  <c r="AL368" i="16"/>
  <c r="AM368" i="16" s="1"/>
  <c r="AN368" i="16" s="1"/>
  <c r="AM367" i="16"/>
  <c r="AN367" i="16" s="1"/>
  <c r="AT367" i="16" l="1"/>
  <c r="AU367" i="16" s="1"/>
  <c r="AS368" i="16"/>
  <c r="AT368" i="16" s="1"/>
  <c r="AU368" i="16" s="1"/>
</calcChain>
</file>

<file path=xl/sharedStrings.xml><?xml version="1.0" encoding="utf-8"?>
<sst xmlns="http://schemas.openxmlformats.org/spreadsheetml/2006/main" count="9867" uniqueCount="914">
  <si>
    <t>South East</t>
  </si>
  <si>
    <t>South West</t>
  </si>
  <si>
    <t>Isles of Scilly</t>
  </si>
  <si>
    <t/>
  </si>
  <si>
    <t>Adur</t>
  </si>
  <si>
    <t>District</t>
  </si>
  <si>
    <t>Allerdale</t>
  </si>
  <si>
    <t>Amber Valley</t>
  </si>
  <si>
    <t>Arun</t>
  </si>
  <si>
    <t>Ashfield</t>
  </si>
  <si>
    <t>Ashford</t>
  </si>
  <si>
    <t>Aylesbury Vale</t>
  </si>
  <si>
    <t>Babergh</t>
  </si>
  <si>
    <t>Barrow-in-Furness</t>
  </si>
  <si>
    <t>Basildon</t>
  </si>
  <si>
    <t>Bassetlaw</t>
  </si>
  <si>
    <t>Blaby</t>
  </si>
  <si>
    <t>Bolsover</t>
  </si>
  <si>
    <t>Boston</t>
  </si>
  <si>
    <t>Braintree</t>
  </si>
  <si>
    <t>Breckland</t>
  </si>
  <si>
    <t>Brentwood</t>
  </si>
  <si>
    <t>Broadland</t>
  </si>
  <si>
    <t>Bromsgrove</t>
  </si>
  <si>
    <t>Broxbourne</t>
  </si>
  <si>
    <t>Broxtowe</t>
  </si>
  <si>
    <t>Burnley</t>
  </si>
  <si>
    <t>Cambridge</t>
  </si>
  <si>
    <t>Cannock Chase</t>
  </si>
  <si>
    <t>Canterbury</t>
  </si>
  <si>
    <t>Carlisle</t>
  </si>
  <si>
    <t>Castle Point</t>
  </si>
  <si>
    <t>Charnwood</t>
  </si>
  <si>
    <t>Chelmsford</t>
  </si>
  <si>
    <t>Cheltenham</t>
  </si>
  <si>
    <t>Cherwell</t>
  </si>
  <si>
    <t>Chesterfield</t>
  </si>
  <si>
    <t>Chichester</t>
  </si>
  <si>
    <t>Chiltern</t>
  </si>
  <si>
    <t>Chorley</t>
  </si>
  <si>
    <t>Christchurch</t>
  </si>
  <si>
    <t>Colchester</t>
  </si>
  <si>
    <t>Copeland</t>
  </si>
  <si>
    <t>Corby</t>
  </si>
  <si>
    <t>Cotswold</t>
  </si>
  <si>
    <t>Craven</t>
  </si>
  <si>
    <t>Crawley</t>
  </si>
  <si>
    <t>Dacorum</t>
  </si>
  <si>
    <t>Dartford</t>
  </si>
  <si>
    <t>Daventry</t>
  </si>
  <si>
    <t>Derbyshire Dales</t>
  </si>
  <si>
    <t>Dover</t>
  </si>
  <si>
    <t>East Cambridgeshire</t>
  </si>
  <si>
    <t>East Devon</t>
  </si>
  <si>
    <t>East Dorset</t>
  </si>
  <si>
    <t>East Hampshire</t>
  </si>
  <si>
    <t>East Hertfordshire</t>
  </si>
  <si>
    <t>East Lindsey</t>
  </si>
  <si>
    <t>East Northamptonshire</t>
  </si>
  <si>
    <t>East Staffordshire</t>
  </si>
  <si>
    <t>Eastbourne</t>
  </si>
  <si>
    <t>Eastleigh</t>
  </si>
  <si>
    <t>Eden</t>
  </si>
  <si>
    <t>Elmbridge</t>
  </si>
  <si>
    <t>Epping Forest</t>
  </si>
  <si>
    <t>Erewash</t>
  </si>
  <si>
    <t>Exeter</t>
  </si>
  <si>
    <t>Fareham</t>
  </si>
  <si>
    <t>Fenland</t>
  </si>
  <si>
    <t>Forest Heath</t>
  </si>
  <si>
    <t>Forest of Dean</t>
  </si>
  <si>
    <t>Fylde</t>
  </si>
  <si>
    <t>Gedling</t>
  </si>
  <si>
    <t>Gloucester</t>
  </si>
  <si>
    <t>Gosport</t>
  </si>
  <si>
    <t>Gravesham</t>
  </si>
  <si>
    <t>Great Yarmouth</t>
  </si>
  <si>
    <t>Guildford</t>
  </si>
  <si>
    <t>Hambleton</t>
  </si>
  <si>
    <t>Harborough</t>
  </si>
  <si>
    <t>Harlow</t>
  </si>
  <si>
    <t>Harrogate</t>
  </si>
  <si>
    <t>Hart</t>
  </si>
  <si>
    <t>Hastings</t>
  </si>
  <si>
    <t>Havant</t>
  </si>
  <si>
    <t>Hertsmere</t>
  </si>
  <si>
    <t>High Peak</t>
  </si>
  <si>
    <t>Horsham</t>
  </si>
  <si>
    <t>Huntingdonshire</t>
  </si>
  <si>
    <t>Hyndburn</t>
  </si>
  <si>
    <t>Ipswich</t>
  </si>
  <si>
    <t>Kettering</t>
  </si>
  <si>
    <t>Lancaster</t>
  </si>
  <si>
    <t>Lewes</t>
  </si>
  <si>
    <t>Lichfield</t>
  </si>
  <si>
    <t>Lincoln</t>
  </si>
  <si>
    <t>Maidstone</t>
  </si>
  <si>
    <t>Maldon</t>
  </si>
  <si>
    <t>Malvern Hills</t>
  </si>
  <si>
    <t>Mansfield</t>
  </si>
  <si>
    <t>Melton</t>
  </si>
  <si>
    <t>Mendip</t>
  </si>
  <si>
    <t>Mid Devon</t>
  </si>
  <si>
    <t>Mid Suffolk</t>
  </si>
  <si>
    <t>Mid Sussex</t>
  </si>
  <si>
    <t>Mole Valley</t>
  </si>
  <si>
    <t>New Forest</t>
  </si>
  <si>
    <t>Newcastle-under-Lyme</t>
  </si>
  <si>
    <t>North Devon</t>
  </si>
  <si>
    <t>North Dorset</t>
  </si>
  <si>
    <t>North East Derbyshire</t>
  </si>
  <si>
    <t>North Hertfordshire</t>
  </si>
  <si>
    <t>North Kesteven</t>
  </si>
  <si>
    <t>North Norfolk</t>
  </si>
  <si>
    <t>North Warwickshire</t>
  </si>
  <si>
    <t>North West Leicestershire</t>
  </si>
  <si>
    <t>Northampton</t>
  </si>
  <si>
    <t>Norwich</t>
  </si>
  <si>
    <t>Oxford</t>
  </si>
  <si>
    <t>Pendle</t>
  </si>
  <si>
    <t>Preston</t>
  </si>
  <si>
    <t>Purbeck</t>
  </si>
  <si>
    <t>Redditch</t>
  </si>
  <si>
    <t>Ribble Valley</t>
  </si>
  <si>
    <t>Richmondshire</t>
  </si>
  <si>
    <t>Rochford</t>
  </si>
  <si>
    <t>Rossendale</t>
  </si>
  <si>
    <t>Rother</t>
  </si>
  <si>
    <t>Rugby</t>
  </si>
  <si>
    <t>Runnymede</t>
  </si>
  <si>
    <t>Rushcliffe</t>
  </si>
  <si>
    <t>Rushmoor</t>
  </si>
  <si>
    <t>Ryedale</t>
  </si>
  <si>
    <t>Scarborough</t>
  </si>
  <si>
    <t>Sedgemoor</t>
  </si>
  <si>
    <t>Selby</t>
  </si>
  <si>
    <t>Sevenoaks</t>
  </si>
  <si>
    <t>South Bucks</t>
  </si>
  <si>
    <t>South Cambridgeshire</t>
  </si>
  <si>
    <t>South Derbyshire</t>
  </si>
  <si>
    <t>South Hams</t>
  </si>
  <si>
    <t>South Holland</t>
  </si>
  <si>
    <t>South Kesteven</t>
  </si>
  <si>
    <t>South Lakeland</t>
  </si>
  <si>
    <t>South Norfolk</t>
  </si>
  <si>
    <t>South Northamptonshire</t>
  </si>
  <si>
    <t>South Oxfordshire</t>
  </si>
  <si>
    <t>South Ribble</t>
  </si>
  <si>
    <t>South Somerset</t>
  </si>
  <si>
    <t>South Staffordshire</t>
  </si>
  <si>
    <t>Spelthorne</t>
  </si>
  <si>
    <t>St Albans</t>
  </si>
  <si>
    <t>St Edmundsbury</t>
  </si>
  <si>
    <t>Stafford</t>
  </si>
  <si>
    <t>Staffordshire Moorlands</t>
  </si>
  <si>
    <t>Stevenage</t>
  </si>
  <si>
    <t>Stratford-on-Avon</t>
  </si>
  <si>
    <t>Stroud</t>
  </si>
  <si>
    <t>Suffolk Coastal</t>
  </si>
  <si>
    <t>Surrey Heath</t>
  </si>
  <si>
    <t>Swale</t>
  </si>
  <si>
    <t>Tamworth</t>
  </si>
  <si>
    <t>Tandridge</t>
  </si>
  <si>
    <t>Taunton Deane</t>
  </si>
  <si>
    <t>Teignbridge</t>
  </si>
  <si>
    <t>Tendring</t>
  </si>
  <si>
    <t>Test Valley</t>
  </si>
  <si>
    <t>Tewkesbury</t>
  </si>
  <si>
    <t>Thanet</t>
  </si>
  <si>
    <t>Three Rivers</t>
  </si>
  <si>
    <t>Torridge</t>
  </si>
  <si>
    <t>Tunbridge Wells</t>
  </si>
  <si>
    <t>Uttlesford</t>
  </si>
  <si>
    <t>Vale of White Horse</t>
  </si>
  <si>
    <t>Warwick</t>
  </si>
  <si>
    <t>Watford</t>
  </si>
  <si>
    <t>Waveney</t>
  </si>
  <si>
    <t>Waverley</t>
  </si>
  <si>
    <t>Wealden</t>
  </si>
  <si>
    <t>Wellingborough</t>
  </si>
  <si>
    <t>Welwyn Hatfield</t>
  </si>
  <si>
    <t>West Devon</t>
  </si>
  <si>
    <t>West Dorset</t>
  </si>
  <si>
    <t>West Lancashire</t>
  </si>
  <si>
    <t>West Lindsey</t>
  </si>
  <si>
    <t>West Oxfordshire</t>
  </si>
  <si>
    <t>West Somerset</t>
  </si>
  <si>
    <t>Westminster</t>
  </si>
  <si>
    <t>Winchester</t>
  </si>
  <si>
    <t>Woking</t>
  </si>
  <si>
    <t>Worcester</t>
  </si>
  <si>
    <t>Worthing</t>
  </si>
  <si>
    <t>Wychavon</t>
  </si>
  <si>
    <t>Wycombe</t>
  </si>
  <si>
    <t>Wyre</t>
  </si>
  <si>
    <t>Wyre Forest</t>
  </si>
  <si>
    <t>Barnet</t>
  </si>
  <si>
    <t>Bexley</t>
  </si>
  <si>
    <t>Brent</t>
  </si>
  <si>
    <t>Bromley</t>
  </si>
  <si>
    <t>Camden</t>
  </si>
  <si>
    <t>Croydon</t>
  </si>
  <si>
    <t>Ealing</t>
  </si>
  <si>
    <t>Enfield</t>
  </si>
  <si>
    <t>Greenwich</t>
  </si>
  <si>
    <t>Hackney</t>
  </si>
  <si>
    <t>Haringey</t>
  </si>
  <si>
    <t>Harrow</t>
  </si>
  <si>
    <t>Havering</t>
  </si>
  <si>
    <t>Hillingdon</t>
  </si>
  <si>
    <t>Hounslow</t>
  </si>
  <si>
    <t>Islington</t>
  </si>
  <si>
    <t>Lambeth</t>
  </si>
  <si>
    <t>Lewisham</t>
  </si>
  <si>
    <t>Merton</t>
  </si>
  <si>
    <t>Newham</t>
  </si>
  <si>
    <t>Redbridge</t>
  </si>
  <si>
    <t>Southwark</t>
  </si>
  <si>
    <t>Sutton</t>
  </si>
  <si>
    <t>Tower Hamlets</t>
  </si>
  <si>
    <t>Waltham Forest</t>
  </si>
  <si>
    <t>Wandsworth</t>
  </si>
  <si>
    <t>Barnsley</t>
  </si>
  <si>
    <t>Birmingham</t>
  </si>
  <si>
    <t>Bolton</t>
  </si>
  <si>
    <t>Bradford</t>
  </si>
  <si>
    <t>Bury</t>
  </si>
  <si>
    <t>Calderdale</t>
  </si>
  <si>
    <t>Coventry</t>
  </si>
  <si>
    <t>Doncaster</t>
  </si>
  <si>
    <t>Dudley</t>
  </si>
  <si>
    <t>Gateshead</t>
  </si>
  <si>
    <t>Kirklees</t>
  </si>
  <si>
    <t>Knowsley</t>
  </si>
  <si>
    <t>Leeds</t>
  </si>
  <si>
    <t>Liverpool</t>
  </si>
  <si>
    <t>Manchester</t>
  </si>
  <si>
    <t>Newcastle upon Tyne</t>
  </si>
  <si>
    <t>North Tyneside</t>
  </si>
  <si>
    <t>Oldham</t>
  </si>
  <si>
    <t>Rochdale</t>
  </si>
  <si>
    <t>Rotherham</t>
  </si>
  <si>
    <t>Salford</t>
  </si>
  <si>
    <t>Sandwell</t>
  </si>
  <si>
    <t>Sefton</t>
  </si>
  <si>
    <t>Sheffield</t>
  </si>
  <si>
    <t>Solihull</t>
  </si>
  <si>
    <t>South Tyneside</t>
  </si>
  <si>
    <t>St Helens</t>
  </si>
  <si>
    <t>Stockport</t>
  </si>
  <si>
    <t>Sunderland</t>
  </si>
  <si>
    <t>Tameside</t>
  </si>
  <si>
    <t>Trafford</t>
  </si>
  <si>
    <t>Wakefield</t>
  </si>
  <si>
    <t>Walsall</t>
  </si>
  <si>
    <t>Wigan</t>
  </si>
  <si>
    <t>Wirral</t>
  </si>
  <si>
    <t>Wolverhampton</t>
  </si>
  <si>
    <t>Bath &amp; North East Somerset</t>
  </si>
  <si>
    <t>Bedford</t>
  </si>
  <si>
    <t>Blackburn with Darwen</t>
  </si>
  <si>
    <t>Blackpool</t>
  </si>
  <si>
    <t>Bournemouth</t>
  </si>
  <si>
    <t>Bracknell Forest</t>
  </si>
  <si>
    <t>Darlington</t>
  </si>
  <si>
    <t>Derby</t>
  </si>
  <si>
    <t>Durham</t>
  </si>
  <si>
    <t>East Riding of Yorkshire</t>
  </si>
  <si>
    <t>Halton</t>
  </si>
  <si>
    <t>Hartlepool</t>
  </si>
  <si>
    <t>Isle of Wight</t>
  </si>
  <si>
    <t>Leicester</t>
  </si>
  <si>
    <t>Luton</t>
  </si>
  <si>
    <t>Medway</t>
  </si>
  <si>
    <t>Middlesbrough</t>
  </si>
  <si>
    <t>Milton Keynes</t>
  </si>
  <si>
    <t>North East Lincolnshire</t>
  </si>
  <si>
    <t>North Lincolnshire</t>
  </si>
  <si>
    <t>North Somerset</t>
  </si>
  <si>
    <t>Nottingham</t>
  </si>
  <si>
    <t>Peterborough</t>
  </si>
  <si>
    <t>Plymouth</t>
  </si>
  <si>
    <t>Poole</t>
  </si>
  <si>
    <t>Portsmouth</t>
  </si>
  <si>
    <t>Reading</t>
  </si>
  <si>
    <t>Rutland</t>
  </si>
  <si>
    <t>Slough</t>
  </si>
  <si>
    <t>South Gloucestershire</t>
  </si>
  <si>
    <t>Southampton</t>
  </si>
  <si>
    <t>Southend-on-Sea</t>
  </si>
  <si>
    <t>Stockton-on-Tees</t>
  </si>
  <si>
    <t>Stoke-on-Trent</t>
  </si>
  <si>
    <t>Swindon</t>
  </si>
  <si>
    <t>Thurrock</t>
  </si>
  <si>
    <t>Torbay</t>
  </si>
  <si>
    <t>Warrington</t>
  </si>
  <si>
    <t>West Berkshire</t>
  </si>
  <si>
    <t>Wiltshire</t>
  </si>
  <si>
    <t>Wokingham</t>
  </si>
  <si>
    <t>York</t>
  </si>
  <si>
    <t>Buckinghamshire</t>
  </si>
  <si>
    <t>County</t>
  </si>
  <si>
    <t>Cambridgeshire</t>
  </si>
  <si>
    <t>Central Bedfordshire</t>
  </si>
  <si>
    <t>Cheshire East</t>
  </si>
  <si>
    <t>Cornwall</t>
  </si>
  <si>
    <t>Cumbria</t>
  </si>
  <si>
    <t>Derbyshire</t>
  </si>
  <si>
    <t>Devon</t>
  </si>
  <si>
    <t>Dorset</t>
  </si>
  <si>
    <t>East Sussex</t>
  </si>
  <si>
    <t>Essex</t>
  </si>
  <si>
    <t>Gloucestershire</t>
  </si>
  <si>
    <t>Hampshire</t>
  </si>
  <si>
    <t>Hertfordshire</t>
  </si>
  <si>
    <t>Kent</t>
  </si>
  <si>
    <t>Lancashire</t>
  </si>
  <si>
    <t>Leicestershire</t>
  </si>
  <si>
    <t>Lincolnshire</t>
  </si>
  <si>
    <t>Norfolk</t>
  </si>
  <si>
    <t>North Yorkshire</t>
  </si>
  <si>
    <t>Northamptonshire</t>
  </si>
  <si>
    <t>Northumberland</t>
  </si>
  <si>
    <t>Nottinghamshire</t>
  </si>
  <si>
    <t>Oxfordshire</t>
  </si>
  <si>
    <t>Shropshire</t>
  </si>
  <si>
    <t>Somerset</t>
  </si>
  <si>
    <t>Staffordshire</t>
  </si>
  <si>
    <t>Suffolk</t>
  </si>
  <si>
    <t>Surrey</t>
  </si>
  <si>
    <t>Warwickshire</t>
  </si>
  <si>
    <t>West Sussex</t>
  </si>
  <si>
    <t>Worcestershire</t>
  </si>
  <si>
    <t>Authority</t>
  </si>
  <si>
    <t>Authority:</t>
  </si>
  <si>
    <t>Sparse</t>
  </si>
  <si>
    <t>Hammersmith &amp; Fulham</t>
  </si>
  <si>
    <t>Kensington &amp; Chelsea</t>
  </si>
  <si>
    <t>Barking &amp; Dagenham</t>
  </si>
  <si>
    <t>Region</t>
  </si>
  <si>
    <t>Average</t>
  </si>
  <si>
    <t>Top Quartile</t>
  </si>
  <si>
    <t>Bottom Quartile</t>
  </si>
  <si>
    <t>Basingstoke &amp; Deane</t>
  </si>
  <si>
    <t>Epsom &amp; Ewell</t>
  </si>
  <si>
    <t>Hinckley &amp; Bosworth</t>
  </si>
  <si>
    <t>Newark &amp; Sherwood</t>
  </si>
  <si>
    <t>Nuneaton &amp; Bedworth</t>
  </si>
  <si>
    <t>Oadby &amp; Wigston</t>
  </si>
  <si>
    <t>Reigate &amp; Banstead</t>
  </si>
  <si>
    <t>Tonbridge &amp; Malling</t>
  </si>
  <si>
    <t>Weymouth &amp; Portland</t>
  </si>
  <si>
    <t>2nd Quartile</t>
  </si>
  <si>
    <t>3rd Quartile</t>
  </si>
  <si>
    <t>Rank</t>
  </si>
  <si>
    <t>out of</t>
  </si>
  <si>
    <t>u</t>
  </si>
  <si>
    <t>Key Benchmark Comparisons:</t>
  </si>
  <si>
    <t>J</t>
  </si>
  <si>
    <t>L</t>
  </si>
  <si>
    <t>Authority performance is better than benchmark.</t>
  </si>
  <si>
    <t>Authority performance is lower than benchmark.</t>
  </si>
  <si>
    <t>Indicator: (click in box for list of indicators)</t>
  </si>
  <si>
    <t>Top 20 authorities</t>
  </si>
  <si>
    <t>Value</t>
  </si>
  <si>
    <t>Period:</t>
  </si>
  <si>
    <t>Source:</t>
  </si>
  <si>
    <t>East Midlands</t>
  </si>
  <si>
    <t>West Midlands</t>
  </si>
  <si>
    <t>East of England</t>
  </si>
  <si>
    <t>City of London</t>
  </si>
  <si>
    <t>Significant Rural</t>
  </si>
  <si>
    <t>Analysis by rural / urban classification</t>
  </si>
  <si>
    <t>Sparse?</t>
  </si>
  <si>
    <t>Score</t>
  </si>
  <si>
    <t>in order</t>
  </si>
  <si>
    <t>North West</t>
  </si>
  <si>
    <t>King's Lynn &amp; West Norfolk</t>
  </si>
  <si>
    <t>Class</t>
  </si>
  <si>
    <t>Lower Level Rural/Urban Classification</t>
  </si>
  <si>
    <t>County Level Rural/Urban Classification</t>
  </si>
  <si>
    <t>SD</t>
  </si>
  <si>
    <t>Predominantly Rural</t>
  </si>
  <si>
    <t>London</t>
  </si>
  <si>
    <t>Predominantly Urban</t>
  </si>
  <si>
    <t>Yorkshire &amp; Humberside</t>
  </si>
  <si>
    <t>MD</t>
  </si>
  <si>
    <t>UA</t>
  </si>
  <si>
    <t>Bristol, City of</t>
  </si>
  <si>
    <t>SC</t>
  </si>
  <si>
    <t>NE</t>
  </si>
  <si>
    <t>Herefordshire, County of</t>
  </si>
  <si>
    <t>Kingston upon Hull, City of</t>
  </si>
  <si>
    <t>Kingston upon Thames</t>
  </si>
  <si>
    <t>Richmond upon Thames</t>
  </si>
  <si>
    <t>St. Helens</t>
  </si>
  <si>
    <t>Unitary</t>
  </si>
  <si>
    <t>Metropolitan District</t>
  </si>
  <si>
    <t>Class Ref</t>
  </si>
  <si>
    <t>Local authority</t>
  </si>
  <si>
    <t>?</t>
  </si>
  <si>
    <t>Bottom</t>
  </si>
  <si>
    <t>Highest</t>
  </si>
  <si>
    <t>Lowest</t>
  </si>
  <si>
    <t>Ref for lists</t>
  </si>
  <si>
    <t>Lookup for source in cell G2 ends here</t>
  </si>
  <si>
    <t>Chosen Indicator</t>
  </si>
  <si>
    <t>Chosen Year</t>
  </si>
  <si>
    <t>Chosen Authority</t>
  </si>
  <si>
    <t>Authorities</t>
  </si>
  <si>
    <t>Family Ranking</t>
  </si>
  <si>
    <t>Lookup on Profile</t>
  </si>
  <si>
    <t>Display Name</t>
  </si>
  <si>
    <t>Family &amp; Indicator Name</t>
  </si>
  <si>
    <t>Metropolitan Districts</t>
  </si>
  <si>
    <t>Unitaries</t>
  </si>
  <si>
    <t>Counties</t>
  </si>
  <si>
    <t>Districts</t>
  </si>
  <si>
    <t>O</t>
  </si>
  <si>
    <t>Other Authorities</t>
  </si>
  <si>
    <t>Metropolitan</t>
  </si>
  <si>
    <t>Other Authority</t>
  </si>
  <si>
    <t>Closest fifteen authorities as generated by the new nearest neighbour model</t>
  </si>
  <si>
    <t>Code</t>
  </si>
  <si>
    <t>Comparator 1</t>
  </si>
  <si>
    <t>Comparator 2</t>
  </si>
  <si>
    <t>Comparator 3</t>
  </si>
  <si>
    <t>Comparator 4</t>
  </si>
  <si>
    <t>Comparator 5</t>
  </si>
  <si>
    <t>Comparator 6</t>
  </si>
  <si>
    <t>Comparator 7</t>
  </si>
  <si>
    <t>Comparator 8</t>
  </si>
  <si>
    <t>Comparator 9</t>
  </si>
  <si>
    <t>Comparator 10</t>
  </si>
  <si>
    <t>Comparator 11</t>
  </si>
  <si>
    <t>Comparator 12</t>
  </si>
  <si>
    <t>Comparator 13</t>
  </si>
  <si>
    <t>Comparator 14</t>
  </si>
  <si>
    <t>Comparator 15</t>
  </si>
  <si>
    <t>London Boroughs</t>
  </si>
  <si>
    <t>E5011</t>
  </si>
  <si>
    <t>E5012</t>
  </si>
  <si>
    <t>E5013</t>
  </si>
  <si>
    <t>E5014</t>
  </si>
  <si>
    <t>E5015</t>
  </si>
  <si>
    <t>E5016</t>
  </si>
  <si>
    <t>E5017</t>
  </si>
  <si>
    <t>E5018</t>
  </si>
  <si>
    <t>E5019</t>
  </si>
  <si>
    <t>E5020</t>
  </si>
  <si>
    <t>E5021</t>
  </si>
  <si>
    <t>E5022</t>
  </si>
  <si>
    <t>E5030</t>
  </si>
  <si>
    <t>E5031</t>
  </si>
  <si>
    <t>E5032</t>
  </si>
  <si>
    <t>E5033</t>
  </si>
  <si>
    <t>E5034</t>
  </si>
  <si>
    <t>E5035</t>
  </si>
  <si>
    <t>E5036</t>
  </si>
  <si>
    <t>E5037</t>
  </si>
  <si>
    <t>E5038</t>
  </si>
  <si>
    <t>E5039</t>
  </si>
  <si>
    <t>E5040</t>
  </si>
  <si>
    <t>E5041</t>
  </si>
  <si>
    <t>E5042</t>
  </si>
  <si>
    <t>E5043</t>
  </si>
  <si>
    <t>E5044</t>
  </si>
  <si>
    <t>E5045</t>
  </si>
  <si>
    <t>E5046</t>
  </si>
  <si>
    <t>E5047</t>
  </si>
  <si>
    <t>E5048</t>
  </si>
  <si>
    <t>E5049</t>
  </si>
  <si>
    <t>E4201</t>
  </si>
  <si>
    <t>E4202</t>
  </si>
  <si>
    <t>E4203</t>
  </si>
  <si>
    <t>E4204</t>
  </si>
  <si>
    <t>E4205</t>
  </si>
  <si>
    <t>E4206</t>
  </si>
  <si>
    <t>E4207</t>
  </si>
  <si>
    <t>E4208</t>
  </si>
  <si>
    <t>E4209</t>
  </si>
  <si>
    <t>E4210</t>
  </si>
  <si>
    <t>E4301</t>
  </si>
  <si>
    <t>E4302</t>
  </si>
  <si>
    <t>E4303</t>
  </si>
  <si>
    <t>E4304</t>
  </si>
  <si>
    <t>E4305</t>
  </si>
  <si>
    <t>E4401</t>
  </si>
  <si>
    <t>E4402</t>
  </si>
  <si>
    <t>E4403</t>
  </si>
  <si>
    <t>E4404</t>
  </si>
  <si>
    <t>E4501</t>
  </si>
  <si>
    <t>E4502</t>
  </si>
  <si>
    <t>E4503</t>
  </si>
  <si>
    <t>E4504</t>
  </si>
  <si>
    <t>E4505</t>
  </si>
  <si>
    <t>E4601</t>
  </si>
  <si>
    <t>E4602</t>
  </si>
  <si>
    <t>E4603</t>
  </si>
  <si>
    <t>E4604</t>
  </si>
  <si>
    <t>E4605</t>
  </si>
  <si>
    <t>E4606</t>
  </si>
  <si>
    <t>E4607</t>
  </si>
  <si>
    <t>E4701</t>
  </si>
  <si>
    <t>E4702</t>
  </si>
  <si>
    <t>E4703</t>
  </si>
  <si>
    <t>E4704</t>
  </si>
  <si>
    <t>E4705</t>
  </si>
  <si>
    <t>Unitary Authorities</t>
  </si>
  <si>
    <t>E0101</t>
  </si>
  <si>
    <t>E0202</t>
  </si>
  <si>
    <t>E2301</t>
  </si>
  <si>
    <t>E2302</t>
  </si>
  <si>
    <t>E1202</t>
  </si>
  <si>
    <t>E0301</t>
  </si>
  <si>
    <t>E1401</t>
  </si>
  <si>
    <t>E0102</t>
  </si>
  <si>
    <t>E0203</t>
  </si>
  <si>
    <t>E0801</t>
  </si>
  <si>
    <t>E1301</t>
  </si>
  <si>
    <t>E1001</t>
  </si>
  <si>
    <t>E1302</t>
  </si>
  <si>
    <t>E0603</t>
  </si>
  <si>
    <t>E2001</t>
  </si>
  <si>
    <t>E0601</t>
  </si>
  <si>
    <t>E0701</t>
  </si>
  <si>
    <t>E1801</t>
  </si>
  <si>
    <t>E2101</t>
  </si>
  <si>
    <t>E2002</t>
  </si>
  <si>
    <t>E2401</t>
  </si>
  <si>
    <t>E0201</t>
  </si>
  <si>
    <t>E2201</t>
  </si>
  <si>
    <t>E0702</t>
  </si>
  <si>
    <t>E0401</t>
  </si>
  <si>
    <t>E2003</t>
  </si>
  <si>
    <t>E2004</t>
  </si>
  <si>
    <t>E0104</t>
  </si>
  <si>
    <t>E2901</t>
  </si>
  <si>
    <t>E3001</t>
  </si>
  <si>
    <t>E0501</t>
  </si>
  <si>
    <t>E1101</t>
  </si>
  <si>
    <t>E1201</t>
  </si>
  <si>
    <t>E1701</t>
  </si>
  <si>
    <t>E0303</t>
  </si>
  <si>
    <t>E0703</t>
  </si>
  <si>
    <t>E2402</t>
  </si>
  <si>
    <t>E3202</t>
  </si>
  <si>
    <t>E0304</t>
  </si>
  <si>
    <t>E0103</t>
  </si>
  <si>
    <t>E1702</t>
  </si>
  <si>
    <t>E1501</t>
  </si>
  <si>
    <t>E0704</t>
  </si>
  <si>
    <t>E3401</t>
  </si>
  <si>
    <t>E3901</t>
  </si>
  <si>
    <t>E1502</t>
  </si>
  <si>
    <t>E1102</t>
  </si>
  <si>
    <t>E0602</t>
  </si>
  <si>
    <t>E0302</t>
  </si>
  <si>
    <t>E0604</t>
  </si>
  <si>
    <t>E3902</t>
  </si>
  <si>
    <t>E0305</t>
  </si>
  <si>
    <t>E0306</t>
  </si>
  <si>
    <t>E3201</t>
  </si>
  <si>
    <t>E2701</t>
  </si>
  <si>
    <t>E0421</t>
  </si>
  <si>
    <t>E0521</t>
  </si>
  <si>
    <t>E0920</t>
  </si>
  <si>
    <t>E1021</t>
  </si>
  <si>
    <t>E1121</t>
  </si>
  <si>
    <t>E1221</t>
  </si>
  <si>
    <t>E1421</t>
  </si>
  <si>
    <t>E1521</t>
  </si>
  <si>
    <t>E1620</t>
  </si>
  <si>
    <t>E1721</t>
  </si>
  <si>
    <t>E1821</t>
  </si>
  <si>
    <t>E1920</t>
  </si>
  <si>
    <t>E2221</t>
  </si>
  <si>
    <t>E2321</t>
  </si>
  <si>
    <t>E2421</t>
  </si>
  <si>
    <t>E2520</t>
  </si>
  <si>
    <t>E2620</t>
  </si>
  <si>
    <t>E2721</t>
  </si>
  <si>
    <t>E2820</t>
  </si>
  <si>
    <t>E3021</t>
  </si>
  <si>
    <t>E3120</t>
  </si>
  <si>
    <t>E3320</t>
  </si>
  <si>
    <t>E3421</t>
  </si>
  <si>
    <t>E3520</t>
  </si>
  <si>
    <t>E3620</t>
  </si>
  <si>
    <t>E3720</t>
  </si>
  <si>
    <t>E3820</t>
  </si>
  <si>
    <t>Non-Metropolitan Districts</t>
  </si>
  <si>
    <t>E0431</t>
  </si>
  <si>
    <t>E0432</t>
  </si>
  <si>
    <t>E0434</t>
  </si>
  <si>
    <t>E0435</t>
  </si>
  <si>
    <t>E0531</t>
  </si>
  <si>
    <t>E0532</t>
  </si>
  <si>
    <t>E0533</t>
  </si>
  <si>
    <t>E0551</t>
  </si>
  <si>
    <t>E0536</t>
  </si>
  <si>
    <t>E0931</t>
  </si>
  <si>
    <t>E0932</t>
  </si>
  <si>
    <t>E0933</t>
  </si>
  <si>
    <t>E0934</t>
  </si>
  <si>
    <t>E0935</t>
  </si>
  <si>
    <t>E0936</t>
  </si>
  <si>
    <t>E1031</t>
  </si>
  <si>
    <t>E1032</t>
  </si>
  <si>
    <t>E1033</t>
  </si>
  <si>
    <t>E1035</t>
  </si>
  <si>
    <t>E1036</t>
  </si>
  <si>
    <t>E1037</t>
  </si>
  <si>
    <t>E1038</t>
  </si>
  <si>
    <t>E1039</t>
  </si>
  <si>
    <t>E1131</t>
  </si>
  <si>
    <t>E1132</t>
  </si>
  <si>
    <t>E1133</t>
  </si>
  <si>
    <t>E1134</t>
  </si>
  <si>
    <t>E1136</t>
  </si>
  <si>
    <t>E1137</t>
  </si>
  <si>
    <t>E1139</t>
  </si>
  <si>
    <t>E1140</t>
  </si>
  <si>
    <t>E1232</t>
  </si>
  <si>
    <t>E1233</t>
  </si>
  <si>
    <t>E1234</t>
  </si>
  <si>
    <t>E1236</t>
  </si>
  <si>
    <t>E1237</t>
  </si>
  <si>
    <t>E1238</t>
  </si>
  <si>
    <t>E1432</t>
  </si>
  <si>
    <t>E1433</t>
  </si>
  <si>
    <t>E1435</t>
  </si>
  <si>
    <t>E1436</t>
  </si>
  <si>
    <t>E1437</t>
  </si>
  <si>
    <t>E1531</t>
  </si>
  <si>
    <t>E1532</t>
  </si>
  <si>
    <t>E1533</t>
  </si>
  <si>
    <t>E1534</t>
  </si>
  <si>
    <t>E1535</t>
  </si>
  <si>
    <t>E1536</t>
  </si>
  <si>
    <t>E1537</t>
  </si>
  <si>
    <t>E1538</t>
  </si>
  <si>
    <t>E1539</t>
  </si>
  <si>
    <t>E1540</t>
  </si>
  <si>
    <t>E1542</t>
  </si>
  <si>
    <t>E1544</t>
  </si>
  <si>
    <t>E1631</t>
  </si>
  <si>
    <t>E1632</t>
  </si>
  <si>
    <t>E1633</t>
  </si>
  <si>
    <t>E1634</t>
  </si>
  <si>
    <t>E1635</t>
  </si>
  <si>
    <t>E1636</t>
  </si>
  <si>
    <t>E1731</t>
  </si>
  <si>
    <t>E1732</t>
  </si>
  <si>
    <t>E1733</t>
  </si>
  <si>
    <t>E1734</t>
  </si>
  <si>
    <t>E1735</t>
  </si>
  <si>
    <t>E1736</t>
  </si>
  <si>
    <t>E1737</t>
  </si>
  <si>
    <t>E1738</t>
  </si>
  <si>
    <t>E1740</t>
  </si>
  <si>
    <t>E1742</t>
  </si>
  <si>
    <t>E1743</t>
  </si>
  <si>
    <t>E1831</t>
  </si>
  <si>
    <t>E1835</t>
  </si>
  <si>
    <t>E1837</t>
  </si>
  <si>
    <t>E1838</t>
  </si>
  <si>
    <t>E1839</t>
  </si>
  <si>
    <t>E1851</t>
  </si>
  <si>
    <t>E1931</t>
  </si>
  <si>
    <t>E1932</t>
  </si>
  <si>
    <t>E1933</t>
  </si>
  <si>
    <t>E1934</t>
  </si>
  <si>
    <t>E1935</t>
  </si>
  <si>
    <t>E1936</t>
  </si>
  <si>
    <t>E1937</t>
  </si>
  <si>
    <t>E1938</t>
  </si>
  <si>
    <t>E1939</t>
  </si>
  <si>
    <t>E1940</t>
  </si>
  <si>
    <t>E2231</t>
  </si>
  <si>
    <t>E2232</t>
  </si>
  <si>
    <t>E2233</t>
  </si>
  <si>
    <t>E2234</t>
  </si>
  <si>
    <t>E2236</t>
  </si>
  <si>
    <t>E2237</t>
  </si>
  <si>
    <t>E2239</t>
  </si>
  <si>
    <t>E2240</t>
  </si>
  <si>
    <t>E2241</t>
  </si>
  <si>
    <t>E2242</t>
  </si>
  <si>
    <t>E2243</t>
  </si>
  <si>
    <t>E2244</t>
  </si>
  <si>
    <t>E2333</t>
  </si>
  <si>
    <t>E2334</t>
  </si>
  <si>
    <t>E2335</t>
  </si>
  <si>
    <t>E2336</t>
  </si>
  <si>
    <t>E2337</t>
  </si>
  <si>
    <t>E2338</t>
  </si>
  <si>
    <t>E2339</t>
  </si>
  <si>
    <t>E2340</t>
  </si>
  <si>
    <t>E2341</t>
  </si>
  <si>
    <t>E2342</t>
  </si>
  <si>
    <t>E2343</t>
  </si>
  <si>
    <t>E2344</t>
  </si>
  <si>
    <t>E2431</t>
  </si>
  <si>
    <t>E2432</t>
  </si>
  <si>
    <t>E2433</t>
  </si>
  <si>
    <t>E2434</t>
  </si>
  <si>
    <t>E2436</t>
  </si>
  <si>
    <t>E2437</t>
  </si>
  <si>
    <t>E2438</t>
  </si>
  <si>
    <t>E2531</t>
  </si>
  <si>
    <t>E2532</t>
  </si>
  <si>
    <t>E2533</t>
  </si>
  <si>
    <t>E2534</t>
  </si>
  <si>
    <t>E2535</t>
  </si>
  <si>
    <t>E2536</t>
  </si>
  <si>
    <t>E2537</t>
  </si>
  <si>
    <t>E2631</t>
  </si>
  <si>
    <t>E2632</t>
  </si>
  <si>
    <t>E2633</t>
  </si>
  <si>
    <t>E2634</t>
  </si>
  <si>
    <t>E2635</t>
  </si>
  <si>
    <t>E2636</t>
  </si>
  <si>
    <t>E2637</t>
  </si>
  <si>
    <t>E2731</t>
  </si>
  <si>
    <t>E2732</t>
  </si>
  <si>
    <t>E2734</t>
  </si>
  <si>
    <t>E2736</t>
  </si>
  <si>
    <t>E2753</t>
  </si>
  <si>
    <t>E2755</t>
  </si>
  <si>
    <t>E2757</t>
  </si>
  <si>
    <t>E2831</t>
  </si>
  <si>
    <t>E2832</t>
  </si>
  <si>
    <t>E2833</t>
  </si>
  <si>
    <t>E2834</t>
  </si>
  <si>
    <t>E2835</t>
  </si>
  <si>
    <t>E2836</t>
  </si>
  <si>
    <t>E2837</t>
  </si>
  <si>
    <t>E3031</t>
  </si>
  <si>
    <t>E3032</t>
  </si>
  <si>
    <t>E3033</t>
  </si>
  <si>
    <t>E3034</t>
  </si>
  <si>
    <t>E3035</t>
  </si>
  <si>
    <t>E3036</t>
  </si>
  <si>
    <t>E3038</t>
  </si>
  <si>
    <t>E3131</t>
  </si>
  <si>
    <t>E3132</t>
  </si>
  <si>
    <t>E3133</t>
  </si>
  <si>
    <t>E3134</t>
  </si>
  <si>
    <t>E3135</t>
  </si>
  <si>
    <t>E3331</t>
  </si>
  <si>
    <t>E3332</t>
  </si>
  <si>
    <t>E3333</t>
  </si>
  <si>
    <t>E3334</t>
  </si>
  <si>
    <t>E3335</t>
  </si>
  <si>
    <t>E3431</t>
  </si>
  <si>
    <t>E3432</t>
  </si>
  <si>
    <t>E3433</t>
  </si>
  <si>
    <t>E3434</t>
  </si>
  <si>
    <t>E3435</t>
  </si>
  <si>
    <t>E3436</t>
  </si>
  <si>
    <t>E3437</t>
  </si>
  <si>
    <t>E3439</t>
  </si>
  <si>
    <t>E3531</t>
  </si>
  <si>
    <t>E3532</t>
  </si>
  <si>
    <t>E3533</t>
  </si>
  <si>
    <t>E3534</t>
  </si>
  <si>
    <t>E3535</t>
  </si>
  <si>
    <t>E3536</t>
  </si>
  <si>
    <t>E3537</t>
  </si>
  <si>
    <t>E3631</t>
  </si>
  <si>
    <t>E3632</t>
  </si>
  <si>
    <t>E3633</t>
  </si>
  <si>
    <t>E3634</t>
  </si>
  <si>
    <t>E3635</t>
  </si>
  <si>
    <t>E3636</t>
  </si>
  <si>
    <t>E3637</t>
  </si>
  <si>
    <t>E3638</t>
  </si>
  <si>
    <t>E3639</t>
  </si>
  <si>
    <t>E3640</t>
  </si>
  <si>
    <t>E3641</t>
  </si>
  <si>
    <t>E3731</t>
  </si>
  <si>
    <t>E3732</t>
  </si>
  <si>
    <t>E3733</t>
  </si>
  <si>
    <t>E3734</t>
  </si>
  <si>
    <t>E3735</t>
  </si>
  <si>
    <t>E3831</t>
  </si>
  <si>
    <t>E3832</t>
  </si>
  <si>
    <t>E3833</t>
  </si>
  <si>
    <t>E3834</t>
  </si>
  <si>
    <t>E3835</t>
  </si>
  <si>
    <t>E3836</t>
  </si>
  <si>
    <t>E3837</t>
  </si>
  <si>
    <t>Data Format</t>
  </si>
  <si>
    <t>Text format</t>
  </si>
  <si>
    <t>Top</t>
  </si>
  <si>
    <t>Med</t>
  </si>
  <si>
    <t>Bot</t>
  </si>
  <si>
    <t>Polarity</t>
  </si>
  <si>
    <t>Formatted</t>
  </si>
  <si>
    <t>Display Format</t>
  </si>
  <si>
    <t>Page title:</t>
  </si>
  <si>
    <t>Name:</t>
  </si>
  <si>
    <t>Hlookup for formula in column AX on Filtered sheet.</t>
  </si>
  <si>
    <t>Copy data into 'Data' sheet</t>
  </si>
  <si>
    <t>Complete Indicator sheet</t>
  </si>
  <si>
    <r>
      <t xml:space="preserve">Indicator </t>
    </r>
    <r>
      <rPr>
        <sz val="10"/>
        <color rgb="FFFF0000"/>
        <rFont val="Arial"/>
        <family val="2"/>
      </rPr>
      <t>(must match name on 'Data' sheet)</t>
    </r>
  </si>
  <si>
    <r>
      <t xml:space="preserve">Periods Inc </t>
    </r>
    <r>
      <rPr>
        <sz val="10"/>
        <color rgb="FFFF0000"/>
        <rFont val="Arial"/>
        <family val="2"/>
      </rPr>
      <t>(must math period on 'Data' sheet)</t>
    </r>
  </si>
  <si>
    <t>County Durham</t>
  </si>
  <si>
    <t>Redcar &amp; Cleveland</t>
  </si>
  <si>
    <t>%</t>
  </si>
  <si>
    <t>Brighton &amp; Hove</t>
  </si>
  <si>
    <t>Cheshire West &amp; Chester</t>
  </si>
  <si>
    <t>Telford &amp; Wrekin</t>
  </si>
  <si>
    <t>Windsor &amp; Maidenhead</t>
  </si>
  <si>
    <t>Bristol</t>
  </si>
  <si>
    <t>Herefordshire</t>
  </si>
  <si>
    <t>Kingston upon Hull</t>
  </si>
  <si>
    <t>Sparse Rankings &amp; Average</t>
  </si>
  <si>
    <t>Remember to find &amp; replace blanks with a number</t>
  </si>
  <si>
    <t>Boundary Name - paste in the authority list, &amp; any differences in listing will be highlighted for checking in column B</t>
  </si>
  <si>
    <t>.</t>
  </si>
  <si>
    <t>Kept in for future use</t>
  </si>
  <si>
    <t>Kept in case used for non spare member as well</t>
  </si>
  <si>
    <t>Scores match Data</t>
  </si>
  <si>
    <t>Check Class Analysis Graph</t>
  </si>
  <si>
    <t>Averages match Table</t>
  </si>
  <si>
    <t>Score is the same for all 3 Tables</t>
  </si>
  <si>
    <t>Chosen Auth is highlighted and correct score showing</t>
  </si>
  <si>
    <t>Check Ranking Tables</t>
  </si>
  <si>
    <t>Scores match Table</t>
  </si>
  <si>
    <t>Check Benchmark graph</t>
  </si>
  <si>
    <t>Smily faces</t>
  </si>
  <si>
    <t>Out of amount</t>
  </si>
  <si>
    <t>Averages</t>
  </si>
  <si>
    <t>Quartile description</t>
  </si>
  <si>
    <t>Check table is correct</t>
  </si>
  <si>
    <t>Check Quartiles are correct</t>
  </si>
  <si>
    <t>Class Analysis Graph</t>
  </si>
  <si>
    <t>Regional/County Table</t>
  </si>
  <si>
    <t>Family Table</t>
  </si>
  <si>
    <t>Top 20 Table</t>
  </si>
  <si>
    <t>Benchmark graph</t>
  </si>
  <si>
    <t>Table</t>
  </si>
  <si>
    <t>Quartile graph</t>
  </si>
  <si>
    <t>Check Titles are correct</t>
  </si>
  <si>
    <t>Check all Sparse Authorites are available to choose</t>
  </si>
  <si>
    <t>Check Source</t>
  </si>
  <si>
    <t>Recycling Rate</t>
  </si>
  <si>
    <t>Annual up to 30 September 2013</t>
  </si>
  <si>
    <t>Annual up to 31 December 2013</t>
  </si>
  <si>
    <t>Info</t>
  </si>
  <si>
    <t>You only have to put the indicator name and period on once no matter how many time it shows up on the data sheet</t>
  </si>
  <si>
    <t>e.g.</t>
  </si>
  <si>
    <t>Waste</t>
  </si>
  <si>
    <t>You would put the following on indicator sheet</t>
  </si>
  <si>
    <t>Data Sheet</t>
  </si>
  <si>
    <t>The data comes in whole number but needs to be displayed as %'s (0.87 in this instance)</t>
  </si>
  <si>
    <t>Ensuring Indicators &amp; Periods match the 'Data' sheet</t>
  </si>
  <si>
    <t>Enter the polarity A = Ascending , D =  Descending</t>
  </si>
  <si>
    <t>Complete cell B3, this will become the page titles on the 'Profile' sheet.</t>
  </si>
  <si>
    <t>Ensuring Authority names match the 'classifications' sheet.</t>
  </si>
  <si>
    <t>Make sure the formula is carries over in row 1 for each column of data.</t>
  </si>
  <si>
    <t>'.' = Whole Number, '%' = Percentage (some data comes in a whole number and needs to be displayed as %'s)</t>
  </si>
  <si>
    <r>
      <t xml:space="preserve">Ranking in first table on 'Profile' sheet (rows 36-40) is calculated by the authories that are in the chosen class and </t>
    </r>
    <r>
      <rPr>
        <b/>
        <sz val="10"/>
        <rFont val="Arial"/>
        <family val="2"/>
      </rPr>
      <t>have data</t>
    </r>
    <r>
      <rPr>
        <sz val="10"/>
        <rFont val="Arial"/>
        <family val="2"/>
      </rPr>
      <t xml:space="preserve"> (so 'out of' figure may not match the classsifications sheets exactly)</t>
    </r>
  </si>
  <si>
    <t>Rural figure for UA's in row 38 on 'Profile' sheet is calculated buy all authorites that are UA and are Significant Rural, Rural-80 and Rural-50.</t>
  </si>
  <si>
    <t>Only Sparse authorities are included in the drop down list (cell J5) on the 'Profile' sheet but all authorities in chosen class with data are included in calculations</t>
  </si>
  <si>
    <t>How To's</t>
  </si>
  <si>
    <t>To add a completely new authority</t>
  </si>
  <si>
    <t>Name of Authority changed</t>
  </si>
  <si>
    <t>Enter new data\indicator</t>
  </si>
  <si>
    <t>Choose Class on Filtered data sheet from drop down in cell D1</t>
  </si>
  <si>
    <t>To include or delete an authority from the drop down list (cell J5) on the 'Profile' sheet , enter 'Sparse' or delete it in column K on 'classifications sheet' (this will then amend the lookup list in column F,G on 'Filtered Data' sheet).</t>
  </si>
  <si>
    <t>- If data is for only one name amend the 'classifications' sheet (completeing information for all columns) and the 'Filtered Data' sheet column C, however, if you have data for the old name and new name then add it to the 'classifications' sheet and the 'Filtered Data' sheet column C.</t>
  </si>
  <si>
    <t>- Enter it onto the 'classifications' sheet (completeing information for all columns) and the 'Filtered Data' sheet column C.</t>
  </si>
  <si>
    <t>Choose Indicator from drop down menu in cell W5 on 'Profile' sheet (data must be entered onto data sheet and indicator sheet)</t>
  </si>
  <si>
    <t xml:space="preserve"> Guide</t>
  </si>
  <si>
    <t>Choose Period from drop down menu in cell W13 on 'Profile' sheet (data must be entered onto data sheet and indicator sheet)</t>
  </si>
  <si>
    <t>%.</t>
  </si>
  <si>
    <t>..</t>
  </si>
  <si>
    <t>%%</t>
  </si>
  <si>
    <t>Check Rows 8,9,10,11 are correct</t>
  </si>
  <si>
    <t>Check Table matches Rows 8,9,10,11</t>
  </si>
  <si>
    <t>Check no of councils in text under Quartiles graph is correct</t>
  </si>
  <si>
    <t>Quartiles are showing (polarity &amp; score)</t>
  </si>
  <si>
    <t>D</t>
  </si>
  <si>
    <t>2012/13</t>
  </si>
  <si>
    <t>Department for Transport statistics</t>
  </si>
  <si>
    <t>Proportion of residents who do any cycling, at least once per month</t>
  </si>
  <si>
    <t>Cycling Statistics</t>
  </si>
  <si>
    <t>2010/11</t>
  </si>
  <si>
    <t>2011/12</t>
  </si>
  <si>
    <t>Urban with City and Town</t>
  </si>
  <si>
    <t xml:space="preserve">Mainly Rural (rural including hub towns &gt;=80%) </t>
  </si>
  <si>
    <t>Urban with Minor Conurbation</t>
  </si>
  <si>
    <t>Urban with Significant Rural (rural including hub towns 26-49%)</t>
  </si>
  <si>
    <t xml:space="preserve">Largely Rural (rural including hub towns 50-79%) </t>
  </si>
  <si>
    <t>Urban with Major Conurbation</t>
  </si>
  <si>
    <t>2013/14</t>
  </si>
  <si>
    <t>2014/15</t>
  </si>
  <si>
    <t>2015/16</t>
  </si>
  <si>
    <t>Folkestone &amp; Hythe</t>
  </si>
  <si>
    <t>2016/17</t>
  </si>
  <si>
    <t>Ave.</t>
  </si>
  <si>
    <t>2017/18</t>
  </si>
  <si>
    <t>2018/19</t>
  </si>
  <si>
    <t>Bournemouth, Christchurch and Poole</t>
  </si>
  <si>
    <t>Dorset Council</t>
  </si>
  <si>
    <t>East Suffolk</t>
  </si>
  <si>
    <t>Somerset West and Taunton</t>
  </si>
  <si>
    <t>West Suffolk</t>
  </si>
  <si>
    <t>Bournemouth, Christchurch &amp; Poole</t>
  </si>
  <si>
    <t xml:space="preserve">Predominantly Rural </t>
  </si>
  <si>
    <t>Somerset West &amp; Taunton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</si>
</sst>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_-* #,##0_-;\-* #,##0_-;_-* &quot;-&quot;??_-;_-@_-"/>
    <numFmt numFmtId="165" formatCode="_-* #,##0.0000_-;\-* #,##0.0000_-;_-* &quot;-&quot;??_-;_-@_-"/>
    <numFmt numFmtId="166" formatCode="#,##0_ ;\-#,##0\ "/>
    <numFmt numFmtId="167" formatCode="[$-10409]#,##0;\(#,##0\)"/>
    <numFmt numFmtId="168" formatCode="#,##0;\(#,##0\);\ \-\ "/>
    <numFmt numFmtId="169" formatCode="_(* #,##0.00_);_(* \(#,##0.00\);_(* &quot;-&quot;??_);_(@_)"/>
    <numFmt numFmtId="170" formatCode="0_)"/>
  </numFmts>
  <fonts count="66">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8"/>
      <name val="Arial"/>
      <family val="2"/>
    </font>
    <font>
      <sz val="10"/>
      <name val="Arial"/>
      <family val="2"/>
    </font>
    <font>
      <sz val="10"/>
      <name val="Arial"/>
      <family val="2"/>
    </font>
    <font>
      <i/>
      <sz val="10"/>
      <name val="Arial"/>
      <family val="2"/>
    </font>
    <font>
      <sz val="10"/>
      <color indexed="9"/>
      <name val="Wingdings"/>
      <charset val="2"/>
    </font>
    <font>
      <sz val="10"/>
      <color indexed="17"/>
      <name val="Wingdings"/>
      <charset val="2"/>
    </font>
    <font>
      <b/>
      <sz val="10"/>
      <color indexed="9"/>
      <name val="Arial"/>
      <family val="2"/>
    </font>
    <font>
      <sz val="8"/>
      <name val="Arial"/>
      <family val="2"/>
    </font>
    <font>
      <sz val="11"/>
      <color theme="1"/>
      <name val="Calibri"/>
      <family val="2"/>
      <scheme val="minor"/>
    </font>
    <font>
      <sz val="10"/>
      <color rgb="FFFF0000"/>
      <name val="Arial"/>
      <family val="2"/>
    </font>
    <font>
      <sz val="11"/>
      <color rgb="FFFF0000"/>
      <name val="Calibri"/>
      <family val="2"/>
      <scheme val="minor"/>
    </font>
    <font>
      <b/>
      <sz val="12"/>
      <color theme="1"/>
      <name val="Calibri"/>
      <family val="2"/>
      <scheme val="minor"/>
    </font>
    <font>
      <sz val="10"/>
      <name val="MS Sans Serif"/>
      <family val="2"/>
    </font>
    <font>
      <sz val="11"/>
      <name val="Calibri"/>
      <family val="2"/>
      <scheme val="minor"/>
    </font>
    <font>
      <sz val="11"/>
      <name val="Calibri"/>
      <family val="2"/>
    </font>
    <font>
      <sz val="12"/>
      <color theme="1"/>
      <name val="Calibri"/>
      <family val="2"/>
      <scheme val="minor"/>
    </font>
    <font>
      <u/>
      <sz val="10"/>
      <color indexed="12"/>
      <name val="Arial"/>
      <family val="2"/>
    </font>
    <font>
      <u/>
      <sz val="11"/>
      <color theme="10"/>
      <name val="Calibri"/>
      <family val="2"/>
    </font>
    <font>
      <b/>
      <sz val="8"/>
      <color theme="0" tint="-0.34998626667073579"/>
      <name val="Arial"/>
      <family val="2"/>
    </font>
    <font>
      <sz val="8"/>
      <color theme="0" tint="-0.34998626667073579"/>
      <name val="Arial"/>
      <family val="2"/>
    </font>
    <font>
      <b/>
      <sz val="10"/>
      <color rgb="FF0070C0"/>
      <name val="Wingdings"/>
      <charset val="2"/>
    </font>
    <font>
      <b/>
      <sz val="10"/>
      <color rgb="FFFF0000"/>
      <name val="Arial"/>
      <family val="2"/>
    </font>
    <font>
      <sz val="10"/>
      <name val="Arial"/>
      <family val="2"/>
    </font>
    <font>
      <sz val="8"/>
      <color indexed="8"/>
      <name val="Arial"/>
      <family val="2"/>
    </font>
    <font>
      <b/>
      <sz val="10"/>
      <color indexed="8"/>
      <name val="Arial"/>
      <family val="2"/>
    </font>
    <font>
      <b/>
      <i/>
      <sz val="10"/>
      <color indexed="8"/>
      <name val="Arial"/>
      <family val="2"/>
    </font>
    <font>
      <sz val="10"/>
      <color indexed="8"/>
      <name val="Arial"/>
      <family val="2"/>
    </font>
    <font>
      <i/>
      <sz val="10"/>
      <color indexed="8"/>
      <name val="Arial"/>
      <family val="2"/>
    </font>
    <font>
      <sz val="11"/>
      <color rgb="FFFF0000"/>
      <name val="Calibri"/>
      <family val="2"/>
    </font>
    <font>
      <vertAlign val="superscript"/>
      <sz val="8"/>
      <color indexed="8"/>
      <name val="Arial"/>
      <family val="2"/>
    </font>
    <font>
      <vertAlign val="superscript"/>
      <sz val="8"/>
      <name val="Arial"/>
      <family val="2"/>
    </font>
    <font>
      <sz val="12"/>
      <name val="Utah"/>
    </font>
    <font>
      <sz val="8"/>
      <name val="Utah"/>
    </font>
    <font>
      <i/>
      <sz val="12"/>
      <name val="Arial"/>
      <family val="2"/>
    </font>
    <font>
      <sz val="12"/>
      <name val="Arial"/>
      <family val="2"/>
    </font>
    <font>
      <sz val="10"/>
      <color theme="0" tint="-0.499984740745262"/>
      <name val="Arial"/>
      <family val="2"/>
    </font>
    <font>
      <b/>
      <sz val="10"/>
      <color theme="0" tint="-0.499984740745262"/>
      <name val="Arial"/>
      <family val="2"/>
    </font>
    <font>
      <b/>
      <sz val="11"/>
      <color theme="1"/>
      <name val="Calibri"/>
      <family val="2"/>
      <scheme val="minor"/>
    </font>
    <font>
      <sz val="9"/>
      <color theme="1"/>
      <name val="Calibri"/>
      <family val="2"/>
      <scheme val="minor"/>
    </font>
    <font>
      <b/>
      <sz val="10"/>
      <color theme="1"/>
      <name val="Arial"/>
      <family val="2"/>
    </font>
    <font>
      <sz val="10"/>
      <name val="Tahoma"/>
      <family val="2"/>
    </font>
    <font>
      <b/>
      <sz val="12"/>
      <name val="Tahoma"/>
      <family val="2"/>
    </font>
    <font>
      <b/>
      <sz val="10"/>
      <name val="Tahoma"/>
      <family val="2"/>
    </font>
    <font>
      <sz val="8"/>
      <color theme="0" tint="-0.34998626667073579"/>
      <name val="Tahoma"/>
      <family val="2"/>
    </font>
    <font>
      <b/>
      <sz val="10"/>
      <color theme="1"/>
      <name val="Tahoma"/>
      <family val="2"/>
    </font>
    <font>
      <sz val="8"/>
      <name val="Tahoma"/>
      <family val="2"/>
    </font>
    <font>
      <b/>
      <u/>
      <sz val="11"/>
      <color theme="7" tint="-0.249977111117893"/>
      <name val="Tahoma"/>
      <family val="2"/>
    </font>
    <font>
      <b/>
      <u/>
      <sz val="12"/>
      <color theme="7" tint="-0.249977111117893"/>
      <name val="Tahoma"/>
      <family val="2"/>
    </font>
    <font>
      <b/>
      <sz val="10"/>
      <color indexed="17"/>
      <name val="Tahoma"/>
      <family val="2"/>
    </font>
    <font>
      <b/>
      <sz val="10"/>
      <color theme="0"/>
      <name val="Tahoma"/>
      <family val="2"/>
    </font>
    <font>
      <b/>
      <sz val="10"/>
      <color theme="6" tint="-0.499984740745262"/>
      <name val="Tahoma"/>
      <family val="2"/>
    </font>
    <font>
      <sz val="10"/>
      <color rgb="FFF8F8F8"/>
      <name val="Tahoma"/>
      <family val="2"/>
    </font>
  </fonts>
  <fills count="23">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indexed="9"/>
      </patternFill>
    </fill>
    <fill>
      <patternFill patternType="solid">
        <fgColor theme="0" tint="-0.249977111117893"/>
        <bgColor indexed="64"/>
      </patternFill>
    </fill>
    <fill>
      <patternFill patternType="solid">
        <fgColor rgb="FFDDDDDD"/>
        <bgColor indexed="64"/>
      </patternFill>
    </fill>
    <fill>
      <patternFill patternType="solid">
        <fgColor rgb="FFC0C0C0"/>
        <bgColor indexed="64"/>
      </patternFill>
    </fill>
    <fill>
      <patternFill patternType="solid">
        <fgColor rgb="FFF8F8F8"/>
        <bgColor indexed="64"/>
      </patternFill>
    </fill>
  </fills>
  <borders count="3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17"/>
      </top>
      <bottom style="thin">
        <color indexed="17"/>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ck">
        <color auto="1"/>
      </left>
      <right/>
      <top/>
      <bottom/>
      <diagonal/>
    </border>
    <border>
      <left style="thick">
        <color auto="1"/>
      </left>
      <right/>
      <top/>
      <bottom style="thin">
        <color indexed="64"/>
      </bottom>
      <diagonal/>
    </border>
    <border>
      <left/>
      <right/>
      <top style="thin">
        <color indexed="17"/>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diagonal/>
    </border>
    <border>
      <left/>
      <right style="hair">
        <color theme="1" tint="0.499984740745262"/>
      </right>
      <top/>
      <bottom/>
      <diagonal/>
    </border>
    <border>
      <left style="hair">
        <color theme="1" tint="0.499984740745262"/>
      </left>
      <right/>
      <top/>
      <bottom style="hair">
        <color theme="1" tint="0.499984740745262"/>
      </bottom>
      <diagonal/>
    </border>
    <border>
      <left/>
      <right/>
      <top/>
      <bottom style="hair">
        <color theme="1" tint="0.499984740745262"/>
      </bottom>
      <diagonal/>
    </border>
    <border>
      <left style="hair">
        <color theme="1" tint="0.499984740745262"/>
      </left>
      <right style="hair">
        <color theme="1" tint="0.499984740745262"/>
      </right>
      <top style="hair">
        <color theme="1" tint="0.499984740745262"/>
      </top>
      <bottom/>
      <diagonal/>
    </border>
    <border>
      <left style="thin">
        <color indexed="64"/>
      </left>
      <right style="hair">
        <color theme="1" tint="0.499984740745262"/>
      </right>
      <top style="hair">
        <color theme="1" tint="0.499984740745262"/>
      </top>
      <bottom style="thin">
        <color indexed="64"/>
      </bottom>
      <diagonal/>
    </border>
    <border>
      <left style="hair">
        <color theme="1" tint="0.499984740745262"/>
      </left>
      <right style="thin">
        <color indexed="64"/>
      </right>
      <top style="hair">
        <color theme="1" tint="0.499984740745262"/>
      </top>
      <bottom style="thin">
        <color indexed="64"/>
      </bottom>
      <diagonal/>
    </border>
    <border>
      <left style="thin">
        <color indexed="64"/>
      </left>
      <right style="hair">
        <color theme="1" tint="0.499984740745262"/>
      </right>
      <top style="thin">
        <color indexed="64"/>
      </top>
      <bottom style="hair">
        <color theme="1" tint="0.499984740745262"/>
      </bottom>
      <diagonal/>
    </border>
    <border>
      <left style="hair">
        <color theme="1" tint="0.499984740745262"/>
      </left>
      <right style="hair">
        <color theme="1" tint="0.499984740745262"/>
      </right>
      <top style="thin">
        <color indexed="64"/>
      </top>
      <bottom style="hair">
        <color theme="1" tint="0.499984740745262"/>
      </bottom>
      <diagonal/>
    </border>
    <border>
      <left style="hair">
        <color theme="1" tint="0.499984740745262"/>
      </left>
      <right style="thin">
        <color indexed="64"/>
      </right>
      <top style="thin">
        <color indexed="64"/>
      </top>
      <bottom style="hair">
        <color theme="1" tint="0.499984740745262"/>
      </bottom>
      <diagonal/>
    </border>
    <border>
      <left style="hair">
        <color theme="1" tint="0.499984740745262"/>
      </left>
      <right style="hair">
        <color theme="1" tint="0.499984740745262"/>
      </right>
      <top style="hair">
        <color theme="1" tint="0.499984740745262"/>
      </top>
      <bottom style="thin">
        <color indexed="64"/>
      </bottom>
      <diagonal/>
    </border>
    <border>
      <left style="thin">
        <color indexed="64"/>
      </left>
      <right/>
      <top style="hair">
        <color theme="1" tint="0.499984740745262"/>
      </top>
      <bottom style="hair">
        <color theme="1" tint="0.499984740745262"/>
      </bottom>
      <diagonal/>
    </border>
    <border>
      <left style="thin">
        <color indexed="64"/>
      </left>
      <right/>
      <top style="hair">
        <color theme="1" tint="0.499984740745262"/>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theme="1" tint="0.499984740745262"/>
      </top>
      <bottom style="hair">
        <color theme="1" tint="0.499984740745262"/>
      </bottom>
      <diagonal/>
    </border>
    <border>
      <left style="thin">
        <color indexed="64"/>
      </left>
      <right style="thin">
        <color indexed="64"/>
      </right>
      <top style="hair">
        <color theme="1" tint="0.499984740745262"/>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17"/>
      </top>
      <bottom style="thin">
        <color indexed="64"/>
      </bottom>
      <diagonal/>
    </border>
  </borders>
  <cellStyleXfs count="63">
    <xf numFmtId="0" fontId="0" fillId="0" borderId="0"/>
    <xf numFmtId="43" fontId="15" fillId="0" borderId="0" applyFont="0" applyFill="0" applyBorder="0" applyAlignment="0" applyProtection="0"/>
    <xf numFmtId="0" fontId="22" fillId="0" borderId="0"/>
    <xf numFmtId="0" fontId="22" fillId="0" borderId="0"/>
    <xf numFmtId="9" fontId="16" fillId="0" borderId="0" applyFont="0" applyFill="0" applyBorder="0" applyAlignment="0" applyProtection="0"/>
    <xf numFmtId="0" fontId="26" fillId="0" borderId="0"/>
    <xf numFmtId="0" fontId="11" fillId="0" borderId="0"/>
    <xf numFmtId="0" fontId="10" fillId="3" borderId="0" applyNumberFormat="0" applyBorder="0" applyAlignment="0" applyProtection="0"/>
    <xf numFmtId="0" fontId="10" fillId="3"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9" fillId="0" borderId="0" applyFont="0" applyFill="0" applyBorder="0" applyAlignment="0" applyProtection="0"/>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2" borderId="10" applyNumberFormat="0" applyFont="0" applyAlignment="0" applyProtection="0"/>
    <xf numFmtId="0" fontId="10" fillId="2" borderId="10" applyNumberFormat="0" applyFont="0" applyAlignment="0" applyProtection="0"/>
    <xf numFmtId="9" fontId="10" fillId="0" borderId="0" applyFont="0" applyFill="0" applyBorder="0" applyAlignment="0" applyProtection="0"/>
    <xf numFmtId="37" fontId="11" fillId="0" borderId="0"/>
    <xf numFmtId="9" fontId="11"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0" fontId="36" fillId="0" borderId="0"/>
    <xf numFmtId="44" fontId="36" fillId="0" borderId="0" applyFont="0" applyFill="0" applyBorder="0" applyAlignment="0" applyProtection="0"/>
    <xf numFmtId="169" fontId="11" fillId="0" borderId="0" applyFont="0" applyFill="0" applyBorder="0" applyAlignment="0" applyProtection="0"/>
    <xf numFmtId="0" fontId="45" fillId="18" borderId="0"/>
    <xf numFmtId="0" fontId="8" fillId="0" borderId="0"/>
    <xf numFmtId="0" fontId="7" fillId="0" borderId="0"/>
    <xf numFmtId="43" fontId="7" fillId="0" borderId="0" applyFont="0" applyFill="0" applyBorder="0" applyAlignment="0" applyProtection="0"/>
    <xf numFmtId="9" fontId="7" fillId="0" borderId="0" applyFont="0" applyFill="0" applyBorder="0" applyAlignment="0" applyProtection="0"/>
  </cellStyleXfs>
  <cellXfs count="360">
    <xf numFmtId="0" fontId="0" fillId="0" borderId="0" xfId="0"/>
    <xf numFmtId="0" fontId="0" fillId="0" borderId="0" xfId="0" applyBorder="1"/>
    <xf numFmtId="0" fontId="0" fillId="0" borderId="3" xfId="0" applyBorder="1"/>
    <xf numFmtId="0" fontId="0" fillId="0" borderId="4" xfId="0" applyBorder="1"/>
    <xf numFmtId="0" fontId="0" fillId="0" borderId="5" xfId="0" applyBorder="1"/>
    <xf numFmtId="0" fontId="0" fillId="15" borderId="0" xfId="0" applyFill="1"/>
    <xf numFmtId="0" fontId="25" fillId="0" borderId="0" xfId="0" applyFont="1" applyAlignment="1">
      <alignment wrapText="1"/>
    </xf>
    <xf numFmtId="0" fontId="25" fillId="0" borderId="0" xfId="0" applyFont="1" applyAlignment="1">
      <alignment horizontal="left" wrapText="1"/>
    </xf>
    <xf numFmtId="0" fontId="0" fillId="0" borderId="0" xfId="0" applyFill="1"/>
    <xf numFmtId="0" fontId="11" fillId="0" borderId="0" xfId="0" applyFont="1" applyFill="1" applyAlignment="1">
      <alignment horizontal="left"/>
    </xf>
    <xf numFmtId="0" fontId="11" fillId="0" borderId="0" xfId="5" applyNumberFormat="1" applyFont="1" applyFill="1" applyAlignment="1">
      <alignment horizontal="center"/>
    </xf>
    <xf numFmtId="0" fontId="27" fillId="0" borderId="0" xfId="0" applyFont="1" applyFill="1"/>
    <xf numFmtId="0" fontId="11" fillId="0" borderId="0" xfId="5" applyFont="1" applyFill="1" applyAlignment="1">
      <alignment horizontal="center"/>
    </xf>
    <xf numFmtId="0" fontId="0" fillId="0" borderId="0" xfId="5" applyNumberFormat="1" applyFont="1" applyFill="1" applyAlignment="1">
      <alignment horizontal="center"/>
    </xf>
    <xf numFmtId="0" fontId="23" fillId="0" borderId="0" xfId="0" applyFont="1" applyFill="1" applyAlignment="1">
      <alignment horizontal="left"/>
    </xf>
    <xf numFmtId="0" fontId="28" fillId="0" borderId="0" xfId="0" applyFont="1"/>
    <xf numFmtId="0" fontId="23" fillId="0" borderId="0" xfId="0" applyFont="1" applyFill="1" applyBorder="1"/>
    <xf numFmtId="0" fontId="24" fillId="0" borderId="0" xfId="0" applyFont="1" applyFill="1"/>
    <xf numFmtId="0" fontId="12" fillId="0" borderId="0" xfId="0" applyFont="1" applyFill="1" applyBorder="1"/>
    <xf numFmtId="0" fontId="0" fillId="0" borderId="0" xfId="0" applyFont="1" applyFill="1"/>
    <xf numFmtId="0" fontId="12" fillId="0" borderId="4" xfId="0" applyFont="1" applyFill="1" applyBorder="1"/>
    <xf numFmtId="0" fontId="0" fillId="0" borderId="0" xfId="0" applyFont="1"/>
    <xf numFmtId="0" fontId="0" fillId="0" borderId="0" xfId="0" applyFont="1" applyFill="1" applyAlignment="1">
      <alignment horizontal="left"/>
    </xf>
    <xf numFmtId="0" fontId="12" fillId="0" borderId="0" xfId="0" applyFont="1" applyFill="1"/>
    <xf numFmtId="0" fontId="0" fillId="17" borderId="0" xfId="0" applyFill="1" applyBorder="1"/>
    <xf numFmtId="0" fontId="0" fillId="17" borderId="0" xfId="0" applyFill="1"/>
    <xf numFmtId="0" fontId="0" fillId="0" borderId="0" xfId="0" applyFill="1" applyBorder="1"/>
    <xf numFmtId="0" fontId="0" fillId="0" borderId="9" xfId="0" applyFill="1" applyBorder="1"/>
    <xf numFmtId="0" fontId="0" fillId="0" borderId="1" xfId="0" applyNumberFormat="1" applyFill="1" applyBorder="1" applyAlignment="1">
      <alignment horizontal="left"/>
    </xf>
    <xf numFmtId="0" fontId="0" fillId="0" borderId="0" xfId="0" applyNumberFormat="1" applyFill="1" applyBorder="1" applyAlignment="1">
      <alignment horizontal="left"/>
    </xf>
    <xf numFmtId="0" fontId="12" fillId="0" borderId="0" xfId="0" applyNumberFormat="1" applyFont="1" applyFill="1" applyBorder="1" applyAlignment="1">
      <alignment horizontal="right"/>
    </xf>
    <xf numFmtId="0" fontId="23" fillId="0" borderId="1" xfId="0" applyNumberFormat="1" applyFont="1" applyFill="1" applyBorder="1" applyAlignment="1">
      <alignment horizontal="left"/>
    </xf>
    <xf numFmtId="0" fontId="12" fillId="0" borderId="0" xfId="0" applyNumberFormat="1" applyFont="1" applyFill="1" applyBorder="1"/>
    <xf numFmtId="0" fontId="12" fillId="0" borderId="1" xfId="0" applyFont="1" applyFill="1" applyBorder="1"/>
    <xf numFmtId="1" fontId="0" fillId="0" borderId="0" xfId="0" applyNumberFormat="1" applyFill="1" applyBorder="1" applyAlignment="1">
      <alignment horizontal="left"/>
    </xf>
    <xf numFmtId="1" fontId="0" fillId="0" borderId="0" xfId="0" applyNumberFormat="1" applyFill="1" applyBorder="1"/>
    <xf numFmtId="0" fontId="0" fillId="0" borderId="0" xfId="0" applyNumberFormat="1" applyFill="1" applyBorder="1"/>
    <xf numFmtId="0" fontId="0" fillId="0" borderId="0" xfId="0" applyNumberFormat="1" applyFill="1" applyBorder="1" applyAlignment="1">
      <alignment horizontal="right"/>
    </xf>
    <xf numFmtId="0" fontId="0" fillId="0" borderId="1" xfId="0" applyFill="1" applyBorder="1"/>
    <xf numFmtId="2" fontId="0" fillId="0" borderId="0" xfId="0" applyNumberFormat="1" applyFill="1" applyBorder="1" applyAlignment="1">
      <alignment horizontal="left"/>
    </xf>
    <xf numFmtId="0" fontId="0" fillId="0" borderId="8" xfId="0" applyFill="1" applyBorder="1"/>
    <xf numFmtId="0" fontId="23" fillId="0" borderId="0" xfId="0" applyFont="1" applyFill="1" applyBorder="1" applyAlignment="1">
      <alignment horizontal="left"/>
    </xf>
    <xf numFmtId="0" fontId="0" fillId="17" borderId="0" xfId="0" applyFont="1" applyFill="1"/>
    <xf numFmtId="0" fontId="17" fillId="0" borderId="0" xfId="0" applyFont="1" applyFill="1" applyBorder="1"/>
    <xf numFmtId="0" fontId="23" fillId="0" borderId="0" xfId="0" applyNumberFormat="1" applyFont="1" applyFill="1" applyBorder="1" applyAlignment="1">
      <alignment horizontal="left" wrapText="1"/>
    </xf>
    <xf numFmtId="1" fontId="0" fillId="0" borderId="1" xfId="0" applyNumberFormat="1" applyFill="1" applyBorder="1" applyAlignment="1">
      <alignment horizontal="left"/>
    </xf>
    <xf numFmtId="1" fontId="17" fillId="0" borderId="0" xfId="0" applyNumberFormat="1" applyFont="1" applyFill="1" applyBorder="1" applyAlignment="1">
      <alignment horizontal="left"/>
    </xf>
    <xf numFmtId="0" fontId="12" fillId="0" borderId="3" xfId="0" applyNumberFormat="1" applyFont="1" applyFill="1" applyBorder="1" applyAlignment="1">
      <alignment horizontal="left"/>
    </xf>
    <xf numFmtId="0" fontId="12" fillId="0" borderId="4" xfId="0" applyNumberFormat="1" applyFont="1" applyFill="1" applyBorder="1"/>
    <xf numFmtId="0" fontId="12" fillId="0" borderId="4" xfId="0" applyNumberFormat="1" applyFont="1" applyFill="1" applyBorder="1" applyAlignment="1">
      <alignment horizontal="right"/>
    </xf>
    <xf numFmtId="0" fontId="12" fillId="0" borderId="3" xfId="0" applyFont="1" applyFill="1" applyBorder="1"/>
    <xf numFmtId="0" fontId="12" fillId="0" borderId="4" xfId="0" applyNumberFormat="1" applyFont="1" applyFill="1" applyBorder="1" applyAlignment="1">
      <alignment horizontal="left"/>
    </xf>
    <xf numFmtId="0" fontId="12" fillId="0" borderId="4" xfId="0" applyFont="1" applyFill="1" applyBorder="1" applyAlignment="1">
      <alignment horizontal="right"/>
    </xf>
    <xf numFmtId="0" fontId="33" fillId="17" borderId="0" xfId="0" applyFont="1" applyFill="1"/>
    <xf numFmtId="0" fontId="32" fillId="0" borderId="0" xfId="0" applyFont="1" applyFill="1"/>
    <xf numFmtId="0" fontId="32" fillId="0" borderId="4" xfId="0" applyFont="1" applyFill="1" applyBorder="1"/>
    <xf numFmtId="0" fontId="33" fillId="0" borderId="0" xfId="0" applyFont="1" applyFill="1"/>
    <xf numFmtId="0" fontId="33" fillId="0" borderId="0" xfId="0" quotePrefix="1" applyFont="1" applyFill="1"/>
    <xf numFmtId="0" fontId="0" fillId="17" borderId="1" xfId="0" applyFill="1" applyBorder="1"/>
    <xf numFmtId="0" fontId="12" fillId="17" borderId="0" xfId="0" applyNumberFormat="1" applyFont="1" applyFill="1" applyBorder="1" applyAlignment="1">
      <alignment horizontal="right"/>
    </xf>
    <xf numFmtId="0" fontId="0" fillId="17" borderId="8" xfId="0" applyFill="1" applyBorder="1"/>
    <xf numFmtId="0" fontId="12" fillId="17" borderId="0" xfId="0" applyFont="1" applyFill="1" applyBorder="1" applyAlignment="1">
      <alignment horizontal="left"/>
    </xf>
    <xf numFmtId="0" fontId="23" fillId="17" borderId="1" xfId="0" applyFont="1" applyFill="1" applyBorder="1"/>
    <xf numFmtId="0" fontId="12" fillId="17" borderId="0" xfId="0" applyFont="1" applyFill="1"/>
    <xf numFmtId="0" fontId="0" fillId="16" borderId="11" xfId="0" applyFill="1" applyBorder="1"/>
    <xf numFmtId="37" fontId="12" fillId="0" borderId="0" xfId="51" applyFont="1"/>
    <xf numFmtId="37" fontId="11" fillId="0" borderId="0" xfId="51"/>
    <xf numFmtId="37" fontId="11" fillId="0" borderId="0" xfId="51" applyFont="1"/>
    <xf numFmtId="37" fontId="0" fillId="0" borderId="0" xfId="51" applyFont="1"/>
    <xf numFmtId="2" fontId="0" fillId="17" borderId="0" xfId="0" applyNumberFormat="1" applyFill="1" applyBorder="1"/>
    <xf numFmtId="2" fontId="12" fillId="0" borderId="4" xfId="0" applyNumberFormat="1" applyFont="1" applyFill="1" applyBorder="1"/>
    <xf numFmtId="2" fontId="0" fillId="0" borderId="0" xfId="0" applyNumberFormat="1" applyFill="1" applyBorder="1"/>
    <xf numFmtId="0" fontId="0" fillId="17" borderId="0" xfId="0" applyFill="1" applyBorder="1" applyAlignment="1">
      <alignment horizontal="right"/>
    </xf>
    <xf numFmtId="0" fontId="0" fillId="17" borderId="0" xfId="0" applyFill="1" applyAlignment="1">
      <alignment horizontal="right"/>
    </xf>
    <xf numFmtId="10" fontId="0" fillId="17" borderId="0" xfId="4" applyNumberFormat="1" applyFont="1" applyFill="1" applyAlignment="1">
      <alignment horizontal="right"/>
    </xf>
    <xf numFmtId="0" fontId="0" fillId="17" borderId="0" xfId="4" applyNumberFormat="1" applyFont="1" applyFill="1" applyAlignment="1">
      <alignment horizontal="right"/>
    </xf>
    <xf numFmtId="0" fontId="12" fillId="0" borderId="0" xfId="0" applyFont="1" applyFill="1" applyBorder="1" applyAlignment="1">
      <alignment horizontal="right"/>
    </xf>
    <xf numFmtId="1" fontId="0" fillId="0" borderId="0" xfId="0" applyNumberFormat="1" applyFill="1" applyBorder="1" applyAlignment="1">
      <alignment horizontal="right"/>
    </xf>
    <xf numFmtId="0" fontId="0" fillId="0" borderId="0" xfId="0" applyFill="1" applyBorder="1" applyAlignment="1">
      <alignment horizontal="right"/>
    </xf>
    <xf numFmtId="0" fontId="0" fillId="17" borderId="12" xfId="0" applyFill="1" applyBorder="1"/>
    <xf numFmtId="0" fontId="0" fillId="0" borderId="12" xfId="0" applyFill="1" applyBorder="1"/>
    <xf numFmtId="10" fontId="0" fillId="17" borderId="0" xfId="4" applyNumberFormat="1" applyFont="1" applyFill="1" applyAlignment="1">
      <alignment horizontal="left"/>
    </xf>
    <xf numFmtId="0" fontId="17" fillId="17" borderId="0" xfId="0" applyNumberFormat="1" applyFont="1" applyFill="1" applyBorder="1"/>
    <xf numFmtId="0" fontId="17" fillId="17" borderId="0" xfId="0" applyNumberFormat="1" applyFont="1" applyFill="1" applyBorder="1" applyAlignment="1">
      <alignment vertical="top"/>
    </xf>
    <xf numFmtId="0" fontId="23" fillId="0" borderId="1" xfId="0" applyNumberFormat="1" applyFont="1" applyFill="1" applyBorder="1" applyAlignment="1">
      <alignment wrapText="1"/>
    </xf>
    <xf numFmtId="0" fontId="23" fillId="0" borderId="0" xfId="0" applyNumberFormat="1" applyFont="1" applyFill="1" applyBorder="1" applyAlignment="1">
      <alignment wrapText="1"/>
    </xf>
    <xf numFmtId="165" fontId="35" fillId="0" borderId="0" xfId="54" applyNumberFormat="1" applyFont="1" applyFill="1" applyBorder="1" applyAlignment="1">
      <alignment horizontal="right"/>
    </xf>
    <xf numFmtId="0" fontId="0" fillId="17" borderId="0" xfId="4" applyNumberFormat="1" applyFont="1" applyFill="1"/>
    <xf numFmtId="0" fontId="12" fillId="17" borderId="0" xfId="4" applyNumberFormat="1" applyFont="1" applyFill="1" applyBorder="1" applyAlignment="1">
      <alignment horizontal="right"/>
    </xf>
    <xf numFmtId="0" fontId="12" fillId="0" borderId="0" xfId="4" applyNumberFormat="1" applyFont="1" applyFill="1"/>
    <xf numFmtId="0" fontId="0" fillId="0" borderId="0" xfId="4" applyNumberFormat="1" applyFont="1" applyFill="1" applyBorder="1" applyAlignment="1">
      <alignment horizontal="right"/>
    </xf>
    <xf numFmtId="0" fontId="12" fillId="0" borderId="0" xfId="4" applyNumberFormat="1" applyFont="1" applyFill="1" applyBorder="1" applyAlignment="1">
      <alignment horizontal="right"/>
    </xf>
    <xf numFmtId="0" fontId="12" fillId="0" borderId="4" xfId="4" applyNumberFormat="1" applyFont="1" applyFill="1" applyBorder="1" applyAlignment="1">
      <alignment horizontal="right"/>
    </xf>
    <xf numFmtId="0" fontId="0" fillId="0" borderId="4" xfId="4" applyNumberFormat="1" applyFont="1" applyFill="1" applyBorder="1"/>
    <xf numFmtId="0" fontId="0" fillId="0" borderId="0" xfId="4" applyNumberFormat="1" applyFont="1" applyFill="1"/>
    <xf numFmtId="2" fontId="17" fillId="0" borderId="0" xfId="0" applyNumberFormat="1" applyFont="1" applyFill="1"/>
    <xf numFmtId="2" fontId="0" fillId="0" borderId="0" xfId="0" applyNumberFormat="1" applyFont="1" applyFill="1"/>
    <xf numFmtId="0" fontId="12" fillId="17" borderId="0" xfId="4" applyNumberFormat="1" applyFont="1" applyFill="1"/>
    <xf numFmtId="0" fontId="12" fillId="17" borderId="0" xfId="4" applyNumberFormat="1" applyFont="1" applyFill="1" applyBorder="1"/>
    <xf numFmtId="0" fontId="11" fillId="17" borderId="0" xfId="4" applyNumberFormat="1" applyFont="1" applyFill="1"/>
    <xf numFmtId="0" fontId="0" fillId="17" borderId="0" xfId="4" applyNumberFormat="1" applyFont="1" applyFill="1" applyBorder="1" applyAlignment="1">
      <alignment horizontal="right"/>
    </xf>
    <xf numFmtId="2" fontId="0" fillId="0" borderId="0" xfId="4" applyNumberFormat="1" applyFont="1" applyFill="1" applyBorder="1" applyAlignment="1">
      <alignment horizontal="right"/>
    </xf>
    <xf numFmtId="1" fontId="0" fillId="0" borderId="0" xfId="4" applyNumberFormat="1" applyFont="1" applyFill="1" applyBorder="1" applyAlignment="1">
      <alignment horizontal="right"/>
    </xf>
    <xf numFmtId="0" fontId="23" fillId="0" borderId="0" xfId="0" applyFont="1"/>
    <xf numFmtId="0" fontId="11" fillId="0" borderId="0" xfId="0" applyFont="1" applyFill="1" applyBorder="1"/>
    <xf numFmtId="168" fontId="44" fillId="0" borderId="0" xfId="37" applyNumberFormat="1" applyFont="1" applyFill="1" applyBorder="1" applyAlignment="1" applyProtection="1">
      <alignment horizontal="left"/>
    </xf>
    <xf numFmtId="0" fontId="24" fillId="0" borderId="0" xfId="0" applyFont="1" applyFill="1" applyBorder="1"/>
    <xf numFmtId="0" fontId="37" fillId="0" borderId="0" xfId="37" applyFont="1" applyFill="1" applyBorder="1" applyAlignment="1" applyProtection="1">
      <alignment horizontal="left" vertical="top" wrapText="1" readingOrder="1"/>
      <protection locked="0"/>
    </xf>
    <xf numFmtId="0" fontId="38" fillId="0" borderId="0" xfId="0" applyFont="1" applyFill="1" applyBorder="1" applyAlignment="1" applyProtection="1">
      <alignment vertical="top" wrapText="1" readingOrder="1"/>
      <protection locked="0"/>
    </xf>
    <xf numFmtId="167" fontId="39" fillId="0" borderId="0" xfId="37" applyNumberFormat="1" applyFont="1" applyFill="1" applyBorder="1" applyAlignment="1" applyProtection="1">
      <alignment horizontal="right" vertical="top" wrapText="1" readingOrder="1"/>
      <protection locked="0"/>
    </xf>
    <xf numFmtId="0" fontId="40" fillId="0" borderId="0" xfId="0" applyFont="1" applyFill="1" applyBorder="1" applyAlignment="1" applyProtection="1">
      <alignment vertical="top" wrapText="1" readingOrder="1"/>
      <protection locked="0"/>
    </xf>
    <xf numFmtId="0" fontId="0" fillId="0" borderId="0" xfId="0" applyFont="1" applyFill="1" applyBorder="1"/>
    <xf numFmtId="167" fontId="41" fillId="0" borderId="0" xfId="37" applyNumberFormat="1" applyFont="1" applyFill="1" applyBorder="1" applyAlignment="1" applyProtection="1">
      <alignment horizontal="right" vertical="top" wrapText="1" readingOrder="1"/>
      <protection locked="0"/>
    </xf>
    <xf numFmtId="0" fontId="40" fillId="0" borderId="0" xfId="37" applyFont="1" applyFill="1" applyBorder="1" applyAlignment="1" applyProtection="1">
      <alignment vertical="top" wrapText="1" readingOrder="1"/>
      <protection locked="0"/>
    </xf>
    <xf numFmtId="0" fontId="11" fillId="0" borderId="0" xfId="37" applyFill="1" applyBorder="1" applyAlignment="1">
      <alignment readingOrder="1"/>
    </xf>
    <xf numFmtId="49" fontId="13" fillId="0" borderId="0" xfId="57" applyNumberFormat="1" applyFont="1" applyFill="1" applyBorder="1" applyAlignment="1">
      <alignment horizontal="right"/>
    </xf>
    <xf numFmtId="49" fontId="46" fillId="0" borderId="0" xfId="58" applyNumberFormat="1" applyFont="1" applyFill="1" applyBorder="1" applyAlignment="1">
      <alignment horizontal="right"/>
    </xf>
    <xf numFmtId="0" fontId="42" fillId="0" borderId="0" xfId="0" applyFont="1" applyFill="1" applyBorder="1"/>
    <xf numFmtId="0" fontId="23" fillId="17" borderId="0" xfId="0" applyFont="1" applyFill="1"/>
    <xf numFmtId="0" fontId="23" fillId="0" borderId="0" xfId="0" applyFont="1" applyFill="1"/>
    <xf numFmtId="0" fontId="0" fillId="17" borderId="0" xfId="0" quotePrefix="1" applyFill="1"/>
    <xf numFmtId="0" fontId="12" fillId="17" borderId="13" xfId="0" applyFont="1" applyFill="1" applyBorder="1"/>
    <xf numFmtId="0" fontId="12" fillId="17" borderId="4" xfId="0" applyFont="1" applyFill="1" applyBorder="1"/>
    <xf numFmtId="0" fontId="0" fillId="17" borderId="4" xfId="0" applyFont="1" applyFill="1" applyBorder="1"/>
    <xf numFmtId="0" fontId="37" fillId="17" borderId="0" xfId="37" applyFont="1" applyFill="1" applyBorder="1" applyAlignment="1" applyProtection="1">
      <alignment horizontal="right" vertical="top" wrapText="1" readingOrder="1"/>
      <protection locked="0"/>
    </xf>
    <xf numFmtId="0" fontId="0" fillId="17" borderId="0" xfId="0" applyFont="1" applyFill="1" applyBorder="1" applyAlignment="1">
      <alignment wrapText="1"/>
    </xf>
    <xf numFmtId="0" fontId="11" fillId="0" borderId="0" xfId="37" applyFill="1" applyBorder="1"/>
    <xf numFmtId="0" fontId="14" fillId="17" borderId="0" xfId="0" applyFont="1" applyFill="1" applyBorder="1"/>
    <xf numFmtId="0" fontId="40" fillId="0" borderId="0" xfId="37" applyFont="1" applyFill="1" applyBorder="1" applyAlignment="1" applyProtection="1">
      <alignment horizontal="right" vertical="top" wrapText="1" readingOrder="1"/>
      <protection locked="0"/>
    </xf>
    <xf numFmtId="167" fontId="40" fillId="0" borderId="0" xfId="37" applyNumberFormat="1" applyFont="1" applyFill="1" applyBorder="1" applyAlignment="1" applyProtection="1">
      <alignment horizontal="right" vertical="top" wrapText="1" readingOrder="1"/>
      <protection locked="0"/>
    </xf>
    <xf numFmtId="0" fontId="41" fillId="0" borderId="0" xfId="37" applyFont="1" applyFill="1" applyBorder="1" applyAlignment="1" applyProtection="1">
      <alignment horizontal="right" vertical="top" wrapText="1" readingOrder="1"/>
      <protection locked="0"/>
    </xf>
    <xf numFmtId="0" fontId="12" fillId="19" borderId="15" xfId="60" applyFont="1" applyFill="1" applyBorder="1" applyProtection="1"/>
    <xf numFmtId="170" fontId="12" fillId="19" borderId="15" xfId="60" applyNumberFormat="1" applyFont="1" applyFill="1" applyBorder="1" applyAlignment="1" applyProtection="1">
      <alignment horizontal="left"/>
    </xf>
    <xf numFmtId="0" fontId="11" fillId="19" borderId="0" xfId="0" applyFont="1" applyFill="1" applyBorder="1"/>
    <xf numFmtId="0" fontId="12" fillId="19" borderId="21" xfId="60" applyFont="1" applyFill="1" applyBorder="1" applyAlignment="1" applyProtection="1">
      <protection locked="0"/>
    </xf>
    <xf numFmtId="0" fontId="12" fillId="19" borderId="16" xfId="60" applyFont="1" applyFill="1" applyBorder="1" applyAlignment="1" applyProtection="1">
      <alignment wrapText="1"/>
    </xf>
    <xf numFmtId="0" fontId="12" fillId="19" borderId="16" xfId="60" applyFont="1" applyFill="1" applyBorder="1" applyAlignment="1" applyProtection="1"/>
    <xf numFmtId="0" fontId="7" fillId="0" borderId="17" xfId="60" applyFill="1" applyBorder="1" applyAlignment="1" applyProtection="1">
      <protection locked="0"/>
    </xf>
    <xf numFmtId="0" fontId="12" fillId="19" borderId="15" xfId="60" applyFont="1" applyFill="1" applyBorder="1" applyAlignment="1" applyProtection="1">
      <alignment horizontal="left"/>
    </xf>
    <xf numFmtId="0" fontId="35" fillId="19" borderId="20" xfId="60" applyFont="1" applyFill="1" applyBorder="1" applyAlignment="1" applyProtection="1">
      <protection locked="0"/>
    </xf>
    <xf numFmtId="167" fontId="38" fillId="0" borderId="0" xfId="37" applyNumberFormat="1" applyFont="1" applyFill="1" applyBorder="1" applyAlignment="1" applyProtection="1">
      <alignment horizontal="right" vertical="top" wrapText="1" readingOrder="1"/>
      <protection locked="0"/>
    </xf>
    <xf numFmtId="0" fontId="13" fillId="17" borderId="0" xfId="0" applyFont="1" applyFill="1" applyBorder="1"/>
    <xf numFmtId="0" fontId="35" fillId="0" borderId="0" xfId="0" applyFont="1" applyFill="1" applyBorder="1" applyAlignment="1" applyProtection="1">
      <alignment vertical="top" wrapText="1" readingOrder="1"/>
      <protection locked="0"/>
    </xf>
    <xf numFmtId="0" fontId="0" fillId="19" borderId="0" xfId="0" applyFont="1" applyFill="1" applyBorder="1"/>
    <xf numFmtId="0" fontId="41" fillId="0" borderId="0" xfId="37" applyFont="1" applyFill="1" applyBorder="1" applyAlignment="1" applyProtection="1">
      <alignment horizontal="right" vertical="top" wrapText="1" readingOrder="1"/>
      <protection locked="0"/>
    </xf>
    <xf numFmtId="0" fontId="37" fillId="0" borderId="0" xfId="37" applyFont="1" applyFill="1" applyBorder="1" applyAlignment="1" applyProtection="1">
      <alignment vertical="top" wrapText="1" readingOrder="1"/>
      <protection locked="0"/>
    </xf>
    <xf numFmtId="0" fontId="40" fillId="0" borderId="0" xfId="37" applyFont="1" applyFill="1" applyBorder="1" applyAlignment="1" applyProtection="1">
      <alignment horizontal="right" vertical="top" wrapText="1" readingOrder="1"/>
      <protection locked="0"/>
    </xf>
    <xf numFmtId="167" fontId="40" fillId="0" borderId="0" xfId="37" applyNumberFormat="1" applyFont="1" applyFill="1" applyBorder="1" applyAlignment="1" applyProtection="1">
      <alignment horizontal="right" vertical="top" wrapText="1" readingOrder="1"/>
      <protection locked="0"/>
    </xf>
    <xf numFmtId="167" fontId="38" fillId="0" borderId="0" xfId="37" applyNumberFormat="1" applyFont="1" applyFill="1" applyBorder="1" applyAlignment="1" applyProtection="1">
      <alignment horizontal="right" vertical="top" wrapText="1" readingOrder="1"/>
      <protection locked="0"/>
    </xf>
    <xf numFmtId="167" fontId="40" fillId="0" borderId="0" xfId="37" applyNumberFormat="1" applyFont="1" applyFill="1" applyBorder="1" applyAlignment="1" applyProtection="1">
      <alignment vertical="top" wrapText="1" readingOrder="1"/>
      <protection locked="0"/>
    </xf>
    <xf numFmtId="167" fontId="38" fillId="0" borderId="0" xfId="37" applyNumberFormat="1" applyFont="1" applyFill="1" applyBorder="1" applyAlignment="1" applyProtection="1">
      <alignment vertical="top" wrapText="1" readingOrder="1"/>
      <protection locked="0"/>
    </xf>
    <xf numFmtId="0" fontId="43" fillId="0" borderId="0" xfId="37" applyFont="1" applyFill="1" applyBorder="1" applyAlignment="1" applyProtection="1">
      <alignment vertical="top" wrapText="1" readingOrder="1"/>
      <protection locked="0"/>
    </xf>
    <xf numFmtId="0" fontId="37" fillId="0" borderId="0" xfId="37" applyFont="1" applyFill="1" applyBorder="1" applyAlignment="1" applyProtection="1">
      <alignment wrapText="1" readingOrder="1"/>
      <protection locked="0"/>
    </xf>
    <xf numFmtId="167" fontId="39" fillId="0" borderId="0" xfId="37" applyNumberFormat="1" applyFont="1" applyAlignment="1" applyProtection="1">
      <alignment horizontal="right" vertical="top" wrapText="1" readingOrder="1"/>
      <protection locked="0"/>
    </xf>
    <xf numFmtId="0" fontId="41" fillId="0" borderId="0" xfId="37" applyFont="1" applyAlignment="1" applyProtection="1">
      <alignment horizontal="right" vertical="top" wrapText="1" readingOrder="1"/>
      <protection locked="0"/>
    </xf>
    <xf numFmtId="167" fontId="41" fillId="0" borderId="0" xfId="37" applyNumberFormat="1" applyFont="1" applyAlignment="1" applyProtection="1">
      <alignment horizontal="right" vertical="top" wrapText="1" readingOrder="1"/>
      <protection locked="0"/>
    </xf>
    <xf numFmtId="0" fontId="41" fillId="0" borderId="4" xfId="37" applyFont="1" applyBorder="1" applyAlignment="1" applyProtection="1">
      <alignment horizontal="right" vertical="top" wrapText="1" readingOrder="1"/>
      <protection locked="0"/>
    </xf>
    <xf numFmtId="0" fontId="41" fillId="0" borderId="0" xfId="37" applyFont="1" applyBorder="1" applyAlignment="1" applyProtection="1">
      <alignment horizontal="right" vertical="top" wrapText="1" readingOrder="1"/>
      <protection locked="0"/>
    </xf>
    <xf numFmtId="0" fontId="37" fillId="0" borderId="0" xfId="37" applyFont="1" applyBorder="1" applyAlignment="1" applyProtection="1">
      <alignment wrapText="1" readingOrder="1"/>
      <protection locked="0"/>
    </xf>
    <xf numFmtId="0" fontId="37" fillId="0" borderId="0" xfId="37" applyFont="1" applyBorder="1" applyAlignment="1" applyProtection="1">
      <alignment horizontal="left" vertical="top" wrapText="1" readingOrder="1"/>
      <protection locked="0"/>
    </xf>
    <xf numFmtId="0" fontId="11" fillId="0" borderId="0" xfId="37"/>
    <xf numFmtId="0" fontId="11" fillId="0" borderId="0" xfId="37" applyAlignment="1">
      <alignment readingOrder="1"/>
    </xf>
    <xf numFmtId="0" fontId="0" fillId="0" borderId="15" xfId="60" applyFont="1" applyFill="1" applyBorder="1" applyProtection="1">
      <protection locked="0"/>
    </xf>
    <xf numFmtId="0" fontId="40" fillId="0" borderId="4" xfId="37" applyFont="1" applyBorder="1" applyAlignment="1" applyProtection="1">
      <alignment horizontal="right" vertical="top" wrapText="1" readingOrder="1"/>
      <protection locked="0"/>
    </xf>
    <xf numFmtId="0" fontId="40" fillId="0" borderId="0" xfId="37" applyFont="1" applyBorder="1" applyAlignment="1" applyProtection="1">
      <alignment horizontal="right" vertical="top" wrapText="1" readingOrder="1"/>
      <protection locked="0"/>
    </xf>
    <xf numFmtId="0" fontId="47" fillId="17" borderId="0" xfId="0" applyNumberFormat="1" applyFont="1" applyFill="1"/>
    <xf numFmtId="0" fontId="48" fillId="17" borderId="0" xfId="0" applyFont="1" applyFill="1"/>
    <xf numFmtId="0" fontId="48" fillId="17" borderId="0" xfId="0" applyFont="1" applyFill="1" applyAlignment="1">
      <alignment horizontal="right"/>
    </xf>
    <xf numFmtId="10" fontId="11" fillId="17" borderId="0" xfId="4" applyNumberFormat="1" applyFont="1" applyFill="1" applyAlignment="1">
      <alignment horizontal="right"/>
    </xf>
    <xf numFmtId="0" fontId="11" fillId="19" borderId="0" xfId="0" applyFont="1" applyFill="1" applyBorder="1" applyAlignment="1">
      <alignment wrapText="1"/>
    </xf>
    <xf numFmtId="0" fontId="13" fillId="17" borderId="4" xfId="0" applyFont="1" applyFill="1" applyBorder="1"/>
    <xf numFmtId="0" fontId="12" fillId="19" borderId="22" xfId="60" applyFont="1" applyFill="1" applyBorder="1" applyProtection="1"/>
    <xf numFmtId="0" fontId="12" fillId="0" borderId="0" xfId="0" applyFont="1" applyFill="1" applyBorder="1" applyProtection="1"/>
    <xf numFmtId="0" fontId="11" fillId="0" borderId="0" xfId="0" applyFont="1" applyFill="1" applyBorder="1" applyAlignment="1" applyProtection="1">
      <alignment wrapText="1"/>
      <protection locked="0"/>
    </xf>
    <xf numFmtId="0" fontId="11" fillId="0" borderId="0" xfId="0" applyFont="1" applyFill="1" applyBorder="1" applyProtection="1">
      <protection locked="0"/>
    </xf>
    <xf numFmtId="0" fontId="0" fillId="0" borderId="0" xfId="0" applyFill="1" applyBorder="1" applyProtection="1">
      <protection locked="0"/>
    </xf>
    <xf numFmtId="0" fontId="49" fillId="17" borderId="1" xfId="0" applyFont="1" applyFill="1" applyBorder="1"/>
    <xf numFmtId="0" fontId="49" fillId="17" borderId="0" xfId="0" applyFont="1" applyFill="1"/>
    <xf numFmtId="0" fontId="49" fillId="17" borderId="1" xfId="0" applyNumberFormat="1" applyFont="1" applyFill="1" applyBorder="1" applyAlignment="1">
      <alignment horizontal="left"/>
    </xf>
    <xf numFmtId="165" fontId="50" fillId="17" borderId="0" xfId="54" applyNumberFormat="1" applyFont="1" applyFill="1" applyBorder="1" applyAlignment="1">
      <alignment horizontal="right"/>
    </xf>
    <xf numFmtId="0" fontId="50" fillId="17" borderId="0" xfId="0" applyFont="1" applyFill="1" applyBorder="1"/>
    <xf numFmtId="0" fontId="50" fillId="17" borderId="3" xfId="0" applyFont="1" applyFill="1" applyBorder="1"/>
    <xf numFmtId="0" fontId="50" fillId="17" borderId="4" xfId="0" applyFont="1" applyFill="1" applyBorder="1"/>
    <xf numFmtId="0" fontId="49" fillId="17" borderId="0" xfId="0" applyFont="1" applyFill="1" applyBorder="1"/>
    <xf numFmtId="1" fontId="49" fillId="17" borderId="0" xfId="0" applyNumberFormat="1" applyFont="1" applyFill="1" applyBorder="1" applyAlignment="1">
      <alignment horizontal="left"/>
    </xf>
    <xf numFmtId="0" fontId="49" fillId="17" borderId="0" xfId="0" applyNumberFormat="1" applyFont="1" applyFill="1" applyBorder="1" applyAlignment="1">
      <alignment horizontal="left"/>
    </xf>
    <xf numFmtId="0" fontId="49" fillId="17" borderId="1" xfId="0" applyNumberFormat="1" applyFont="1" applyFill="1" applyBorder="1" applyAlignment="1">
      <alignment wrapText="1"/>
    </xf>
    <xf numFmtId="0" fontId="49" fillId="17" borderId="0" xfId="0" applyNumberFormat="1" applyFont="1" applyFill="1" applyBorder="1" applyAlignment="1">
      <alignment wrapText="1"/>
    </xf>
    <xf numFmtId="1" fontId="49" fillId="17" borderId="1" xfId="0" applyNumberFormat="1" applyFont="1" applyFill="1" applyBorder="1" applyAlignment="1">
      <alignment horizontal="left"/>
    </xf>
    <xf numFmtId="0" fontId="40" fillId="0" borderId="0" xfId="37" applyFont="1" applyFill="1" applyBorder="1" applyAlignment="1" applyProtection="1">
      <alignment horizontal="right" vertical="top" wrapText="1" readingOrder="1"/>
      <protection locked="0"/>
    </xf>
    <xf numFmtId="167" fontId="40" fillId="0" borderId="0" xfId="37" applyNumberFormat="1" applyFont="1" applyFill="1" applyBorder="1" applyAlignment="1" applyProtection="1">
      <alignment horizontal="right" vertical="top" wrapText="1" readingOrder="1"/>
      <protection locked="0"/>
    </xf>
    <xf numFmtId="0" fontId="0" fillId="0" borderId="0" xfId="0" quotePrefix="1"/>
    <xf numFmtId="0" fontId="0" fillId="0" borderId="0" xfId="0" quotePrefix="1" applyAlignment="1">
      <alignment wrapText="1"/>
    </xf>
    <xf numFmtId="0" fontId="12" fillId="17" borderId="8" xfId="0" applyFont="1" applyFill="1" applyBorder="1"/>
    <xf numFmtId="0" fontId="12" fillId="17" borderId="7" xfId="0" applyFont="1" applyFill="1" applyBorder="1"/>
    <xf numFmtId="0" fontId="52" fillId="0" borderId="25" xfId="60" applyFont="1" applyFill="1" applyBorder="1" applyAlignment="1" applyProtection="1">
      <alignment wrapText="1"/>
      <protection locked="0"/>
    </xf>
    <xf numFmtId="0" fontId="52" fillId="0" borderId="26" xfId="60" applyFont="1" applyFill="1" applyBorder="1" applyAlignment="1" applyProtection="1">
      <alignment wrapText="1"/>
      <protection locked="0"/>
    </xf>
    <xf numFmtId="0" fontId="52" fillId="0" borderId="27" xfId="60" applyFont="1" applyFill="1" applyBorder="1" applyAlignment="1" applyProtection="1">
      <alignment wrapText="1"/>
      <protection locked="0"/>
    </xf>
    <xf numFmtId="0" fontId="52" fillId="0" borderId="23" xfId="60" applyFont="1" applyFill="1" applyBorder="1" applyAlignment="1" applyProtection="1">
      <alignment wrapText="1"/>
      <protection locked="0"/>
    </xf>
    <xf numFmtId="0" fontId="52" fillId="0" borderId="28" xfId="60" applyFont="1" applyFill="1" applyBorder="1" applyAlignment="1" applyProtection="1">
      <alignment wrapText="1"/>
      <protection locked="0"/>
    </xf>
    <xf numFmtId="0" fontId="52" fillId="0" borderId="24" xfId="60" applyFont="1" applyFill="1" applyBorder="1" applyAlignment="1" applyProtection="1">
      <alignment wrapText="1"/>
      <protection locked="0"/>
    </xf>
    <xf numFmtId="0" fontId="52" fillId="0" borderId="29" xfId="60" applyFont="1" applyFill="1" applyBorder="1" applyAlignment="1" applyProtection="1">
      <alignment wrapText="1"/>
      <protection locked="0"/>
    </xf>
    <xf numFmtId="0" fontId="52" fillId="0" borderId="30" xfId="60" applyFont="1" applyFill="1" applyBorder="1" applyAlignment="1" applyProtection="1">
      <alignment vertical="top" wrapText="1"/>
      <protection locked="0"/>
    </xf>
    <xf numFmtId="0" fontId="12" fillId="17" borderId="31" xfId="0" applyFont="1" applyFill="1" applyBorder="1"/>
    <xf numFmtId="0" fontId="52" fillId="0" borderId="32" xfId="60" applyFont="1" applyFill="1" applyBorder="1" applyAlignment="1" applyProtection="1">
      <alignment wrapText="1"/>
      <protection locked="0"/>
    </xf>
    <xf numFmtId="0" fontId="52" fillId="0" borderId="33" xfId="60" applyFont="1" applyFill="1" applyBorder="1" applyAlignment="1" applyProtection="1">
      <alignment vertical="top" wrapText="1"/>
      <protection locked="0"/>
    </xf>
    <xf numFmtId="0" fontId="0" fillId="19" borderId="0" xfId="0" applyFill="1"/>
    <xf numFmtId="0" fontId="52" fillId="0" borderId="31" xfId="60" applyFont="1" applyFill="1" applyBorder="1" applyAlignment="1" applyProtection="1">
      <alignment wrapText="1"/>
      <protection locked="0"/>
    </xf>
    <xf numFmtId="0" fontId="52" fillId="0" borderId="35" xfId="60" applyFont="1" applyFill="1" applyBorder="1" applyAlignment="1" applyProtection="1">
      <alignment wrapText="1"/>
      <protection locked="0"/>
    </xf>
    <xf numFmtId="0" fontId="0" fillId="0" borderId="34" xfId="0" applyBorder="1" applyAlignment="1">
      <alignment horizontal="center"/>
    </xf>
    <xf numFmtId="0" fontId="51" fillId="19" borderId="0" xfId="0" applyFont="1" applyFill="1"/>
    <xf numFmtId="0" fontId="0" fillId="0" borderId="0" xfId="0" quotePrefix="1" applyAlignment="1">
      <alignment horizontal="left" indent="2"/>
    </xf>
    <xf numFmtId="0" fontId="0" fillId="0" borderId="36" xfId="0" applyBorder="1"/>
    <xf numFmtId="0" fontId="0" fillId="0" borderId="11" xfId="0" applyBorder="1"/>
    <xf numFmtId="0" fontId="0" fillId="0" borderId="9" xfId="0" applyBorder="1"/>
    <xf numFmtId="0" fontId="0" fillId="0" borderId="37" xfId="0" applyBorder="1"/>
    <xf numFmtId="0" fontId="0" fillId="0" borderId="34" xfId="0" applyBorder="1"/>
    <xf numFmtId="0" fontId="6" fillId="0" borderId="15" xfId="60" applyFont="1" applyFill="1" applyBorder="1" applyAlignment="1" applyProtection="1">
      <alignment wrapText="1"/>
      <protection locked="0"/>
    </xf>
    <xf numFmtId="0" fontId="52" fillId="0" borderId="0" xfId="0" applyFont="1"/>
    <xf numFmtId="0" fontId="0" fillId="22" borderId="0" xfId="0" applyFill="1"/>
    <xf numFmtId="0" fontId="33" fillId="22" borderId="0" xfId="0" quotePrefix="1" applyFont="1" applyFill="1"/>
    <xf numFmtId="0" fontId="0" fillId="22" borderId="1" xfId="0" applyFill="1" applyBorder="1"/>
    <xf numFmtId="0" fontId="0" fillId="22" borderId="0" xfId="0" applyFill="1" applyBorder="1"/>
    <xf numFmtId="0" fontId="0" fillId="22" borderId="0" xfId="0" applyFont="1" applyFill="1" applyBorder="1"/>
    <xf numFmtId="0" fontId="0" fillId="22" borderId="2" xfId="0" applyFill="1" applyBorder="1"/>
    <xf numFmtId="0" fontId="0" fillId="22" borderId="3" xfId="0" applyFill="1" applyBorder="1"/>
    <xf numFmtId="0" fontId="0" fillId="22" borderId="4" xfId="0" applyFill="1" applyBorder="1"/>
    <xf numFmtId="0" fontId="0" fillId="22" borderId="5" xfId="0" applyFill="1" applyBorder="1"/>
    <xf numFmtId="43" fontId="20" fillId="22" borderId="6" xfId="54" applyNumberFormat="1" applyFont="1" applyFill="1" applyBorder="1"/>
    <xf numFmtId="43" fontId="34" fillId="22" borderId="6" xfId="54" applyNumberFormat="1" applyFont="1" applyFill="1" applyBorder="1" applyAlignment="1">
      <alignment horizontal="center"/>
    </xf>
    <xf numFmtId="0" fontId="19" fillId="22" borderId="6" xfId="0" applyFont="1" applyFill="1" applyBorder="1" applyAlignment="1">
      <alignment horizontal="center"/>
    </xf>
    <xf numFmtId="0" fontId="11" fillId="22" borderId="0" xfId="0" applyFont="1" applyFill="1" applyAlignment="1">
      <alignment vertical="top" wrapText="1"/>
    </xf>
    <xf numFmtId="43" fontId="18" fillId="22" borderId="6" xfId="54" applyNumberFormat="1" applyFont="1" applyFill="1" applyBorder="1" applyAlignment="1">
      <alignment horizontal="center"/>
    </xf>
    <xf numFmtId="0" fontId="18" fillId="22" borderId="6" xfId="0" applyFont="1" applyFill="1" applyBorder="1" applyAlignment="1">
      <alignment horizontal="center"/>
    </xf>
    <xf numFmtId="43" fontId="11" fillId="22" borderId="0" xfId="54" applyNumberFormat="1" applyFont="1" applyFill="1" applyBorder="1" applyAlignment="1">
      <alignment vertical="center" textRotation="90"/>
    </xf>
    <xf numFmtId="43" fontId="18" fillId="22" borderId="14" xfId="54" applyNumberFormat="1" applyFont="1" applyFill="1" applyBorder="1" applyAlignment="1">
      <alignment horizontal="center"/>
    </xf>
    <xf numFmtId="0" fontId="11" fillId="22" borderId="0" xfId="0" applyFont="1" applyFill="1" applyBorder="1" applyAlignment="1">
      <alignment horizontal="center" vertical="center" textRotation="90"/>
    </xf>
    <xf numFmtId="0" fontId="18" fillId="22" borderId="0" xfId="0" applyFont="1" applyFill="1" applyBorder="1" applyAlignment="1">
      <alignment horizontal="center"/>
    </xf>
    <xf numFmtId="2" fontId="0" fillId="22" borderId="0" xfId="0" applyNumberFormat="1" applyFill="1" applyBorder="1" applyAlignment="1">
      <alignment horizontal="center"/>
    </xf>
    <xf numFmtId="2" fontId="0" fillId="22" borderId="0" xfId="0" applyNumberFormat="1" applyFill="1" applyBorder="1" applyAlignment="1"/>
    <xf numFmtId="0" fontId="0" fillId="22" borderId="0" xfId="0" applyFill="1" applyBorder="1" applyAlignment="1">
      <alignment horizontal="center"/>
    </xf>
    <xf numFmtId="0" fontId="11" fillId="22" borderId="0" xfId="0" applyFont="1" applyFill="1" applyBorder="1" applyAlignment="1">
      <alignment horizontal="center"/>
    </xf>
    <xf numFmtId="0" fontId="11" fillId="22" borderId="4" xfId="0" applyFont="1" applyFill="1" applyBorder="1" applyAlignment="1">
      <alignment vertical="top" wrapText="1"/>
    </xf>
    <xf numFmtId="0" fontId="0" fillId="22" borderId="1" xfId="0" applyFont="1" applyFill="1" applyBorder="1"/>
    <xf numFmtId="10" fontId="0" fillId="22" borderId="0" xfId="0" applyNumberFormat="1" applyFont="1" applyFill="1"/>
    <xf numFmtId="0" fontId="0" fillId="22" borderId="0" xfId="0" applyFont="1" applyFill="1"/>
    <xf numFmtId="0" fontId="0" fillId="22" borderId="3" xfId="0" applyFont="1" applyFill="1" applyBorder="1"/>
    <xf numFmtId="0" fontId="0" fillId="22" borderId="4" xfId="0" applyFont="1" applyFill="1" applyBorder="1"/>
    <xf numFmtId="0" fontId="0" fillId="22" borderId="7" xfId="0" applyFill="1" applyBorder="1"/>
    <xf numFmtId="43" fontId="53" fillId="22" borderId="6" xfId="54" applyNumberFormat="1" applyFont="1" applyFill="1" applyBorder="1"/>
    <xf numFmtId="43" fontId="53" fillId="22" borderId="6" xfId="54" applyNumberFormat="1" applyFont="1" applyFill="1" applyBorder="1" applyAlignment="1"/>
    <xf numFmtId="0" fontId="54" fillId="22" borderId="0" xfId="0" applyFont="1" applyFill="1"/>
    <xf numFmtId="0" fontId="54" fillId="22" borderId="0" xfId="0" applyFont="1" applyFill="1" applyAlignment="1">
      <alignment horizontal="left"/>
    </xf>
    <xf numFmtId="0" fontId="57" fillId="22" borderId="0" xfId="0" quotePrefix="1" applyFont="1" applyFill="1"/>
    <xf numFmtId="43" fontId="58" fillId="22" borderId="6" xfId="54" applyNumberFormat="1" applyFont="1" applyFill="1" applyBorder="1"/>
    <xf numFmtId="0" fontId="54" fillId="22" borderId="0" xfId="0" applyFont="1" applyFill="1" applyAlignment="1">
      <alignment vertical="top" wrapText="1"/>
    </xf>
    <xf numFmtId="43" fontId="54" fillId="22" borderId="6" xfId="54" applyNumberFormat="1" applyFont="1" applyFill="1" applyBorder="1"/>
    <xf numFmtId="43" fontId="54" fillId="22" borderId="6" xfId="54" applyNumberFormat="1" applyFont="1" applyFill="1" applyBorder="1" applyAlignment="1"/>
    <xf numFmtId="43" fontId="54" fillId="22" borderId="0" xfId="54" applyNumberFormat="1" applyFont="1" applyFill="1"/>
    <xf numFmtId="43" fontId="54" fillId="22" borderId="6" xfId="54" applyNumberFormat="1" applyFont="1" applyFill="1" applyBorder="1" applyAlignment="1">
      <alignment horizontal="center"/>
    </xf>
    <xf numFmtId="43" fontId="54" fillId="22" borderId="38" xfId="54" applyNumberFormat="1" applyFont="1" applyFill="1" applyBorder="1"/>
    <xf numFmtId="0" fontId="56" fillId="22" borderId="0" xfId="0" applyFont="1" applyFill="1"/>
    <xf numFmtId="0" fontId="56" fillId="22" borderId="0" xfId="0" applyFont="1" applyFill="1" applyAlignment="1"/>
    <xf numFmtId="0" fontId="54" fillId="22" borderId="0" xfId="0" applyFont="1" applyFill="1" applyAlignment="1"/>
    <xf numFmtId="0" fontId="62" fillId="22" borderId="0" xfId="0" applyFont="1" applyFill="1" applyAlignment="1"/>
    <xf numFmtId="0" fontId="54" fillId="22" borderId="0" xfId="0" applyFont="1" applyFill="1" applyAlignment="1">
      <alignment horizontal="center"/>
    </xf>
    <xf numFmtId="2" fontId="54" fillId="22" borderId="0" xfId="0" applyNumberFormat="1" applyFont="1" applyFill="1" applyAlignment="1">
      <alignment horizontal="center"/>
    </xf>
    <xf numFmtId="0" fontId="64" fillId="22" borderId="0" xfId="0" applyFont="1" applyFill="1"/>
    <xf numFmtId="2" fontId="63" fillId="22" borderId="0" xfId="0" applyNumberFormat="1" applyFont="1" applyFill="1" applyAlignment="1"/>
    <xf numFmtId="0" fontId="65" fillId="22" borderId="0" xfId="0" applyFont="1" applyFill="1"/>
    <xf numFmtId="0" fontId="5" fillId="0" borderId="16" xfId="60" applyFont="1" applyFill="1" applyBorder="1" applyAlignment="1" applyProtection="1">
      <protection locked="0"/>
    </xf>
    <xf numFmtId="0" fontId="56" fillId="22" borderId="0" xfId="0" applyFont="1" applyFill="1" applyAlignment="1">
      <alignment horizontal="left"/>
    </xf>
    <xf numFmtId="0" fontId="4" fillId="0" borderId="15" xfId="60" applyFont="1" applyFill="1" applyBorder="1" applyAlignment="1" applyProtection="1">
      <alignment wrapText="1"/>
      <protection locked="0"/>
    </xf>
    <xf numFmtId="0" fontId="3" fillId="0" borderId="15" xfId="60" applyFont="1" applyFill="1" applyBorder="1" applyAlignment="1" applyProtection="1">
      <alignment wrapText="1"/>
      <protection locked="0"/>
    </xf>
    <xf numFmtId="43" fontId="59" fillId="22" borderId="0" xfId="54" applyNumberFormat="1" applyFont="1" applyFill="1" applyBorder="1" applyAlignment="1">
      <alignment vertical="center" textRotation="90"/>
    </xf>
    <xf numFmtId="43" fontId="54" fillId="22" borderId="14" xfId="54" applyNumberFormat="1" applyFont="1" applyFill="1" applyBorder="1"/>
    <xf numFmtId="43" fontId="54" fillId="22" borderId="14" xfId="54" applyNumberFormat="1" applyFont="1" applyFill="1" applyBorder="1" applyAlignment="1"/>
    <xf numFmtId="43" fontId="0" fillId="22" borderId="0" xfId="54" applyNumberFormat="1" applyFont="1" applyFill="1" applyBorder="1"/>
    <xf numFmtId="43" fontId="18" fillId="22" borderId="0" xfId="54" applyNumberFormat="1" applyFont="1" applyFill="1" applyBorder="1" applyAlignment="1">
      <alignment horizontal="center"/>
    </xf>
    <xf numFmtId="43" fontId="0" fillId="22" borderId="0" xfId="54" applyNumberFormat="1" applyFont="1" applyFill="1" applyBorder="1" applyAlignment="1"/>
    <xf numFmtId="0" fontId="2" fillId="0" borderId="15" xfId="60" applyFont="1" applyFill="1" applyBorder="1" applyAlignment="1" applyProtection="1">
      <alignment wrapText="1"/>
      <protection locked="0"/>
    </xf>
    <xf numFmtId="0" fontId="1" fillId="0" borderId="15" xfId="60" applyFont="1" applyFill="1" applyBorder="1" applyAlignment="1" applyProtection="1">
      <alignment wrapText="1"/>
      <protection locked="0"/>
    </xf>
    <xf numFmtId="0" fontId="11" fillId="0" borderId="0" xfId="0" applyFont="1" applyAlignment="1">
      <alignment horizontal="left"/>
    </xf>
    <xf numFmtId="0" fontId="11" fillId="0" borderId="0" xfId="5" applyFont="1" applyAlignment="1">
      <alignment horizontal="center"/>
    </xf>
    <xf numFmtId="0" fontId="27" fillId="0" borderId="0" xfId="0" applyFont="1"/>
    <xf numFmtId="0" fontId="0" fillId="0" borderId="0" xfId="0" applyAlignment="1">
      <alignment horizontal="left"/>
    </xf>
    <xf numFmtId="2" fontId="0" fillId="22" borderId="0" xfId="4" applyNumberFormat="1" applyFont="1" applyFill="1" applyAlignment="1">
      <alignment horizontal="left" vertical="top"/>
    </xf>
    <xf numFmtId="0" fontId="0" fillId="22" borderId="0" xfId="0" applyFill="1" applyBorder="1" applyAlignment="1">
      <alignment horizontal="center"/>
    </xf>
    <xf numFmtId="2" fontId="54" fillId="22" borderId="0" xfId="52" applyNumberFormat="1" applyFont="1" applyFill="1" applyAlignment="1">
      <alignment horizontal="right"/>
    </xf>
    <xf numFmtId="2" fontId="54" fillId="22" borderId="0" xfId="52" applyNumberFormat="1" applyFont="1" applyFill="1" applyAlignment="1">
      <alignment horizontal="center"/>
    </xf>
    <xf numFmtId="1" fontId="54" fillId="22" borderId="0" xfId="0" applyNumberFormat="1" applyFont="1" applyFill="1" applyAlignment="1">
      <alignment horizontal="center"/>
    </xf>
    <xf numFmtId="0" fontId="54" fillId="22" borderId="0" xfId="0" applyFont="1" applyFill="1" applyAlignment="1">
      <alignment horizontal="center"/>
    </xf>
    <xf numFmtId="0" fontId="54" fillId="22" borderId="0" xfId="0" applyFont="1" applyFill="1" applyAlignment="1">
      <alignment horizontal="left"/>
    </xf>
    <xf numFmtId="0" fontId="56" fillId="22" borderId="0" xfId="0" applyFont="1" applyFill="1" applyAlignment="1">
      <alignment horizontal="left"/>
    </xf>
    <xf numFmtId="0" fontId="62" fillId="22" borderId="0" xfId="0" applyFont="1" applyFill="1" applyAlignment="1">
      <alignment horizontal="center"/>
    </xf>
    <xf numFmtId="0" fontId="56" fillId="22" borderId="0" xfId="0" applyFont="1" applyFill="1" applyAlignment="1">
      <alignment horizontal="center"/>
    </xf>
    <xf numFmtId="2" fontId="56" fillId="22" borderId="0" xfId="4" applyNumberFormat="1" applyFont="1" applyFill="1" applyAlignment="1">
      <alignment horizontal="center"/>
    </xf>
    <xf numFmtId="0" fontId="54" fillId="22" borderId="8" xfId="0" applyFont="1" applyFill="1" applyBorder="1" applyAlignment="1">
      <alignment horizontal="left"/>
    </xf>
    <xf numFmtId="0" fontId="54" fillId="22" borderId="9" xfId="0" applyFont="1" applyFill="1" applyBorder="1" applyAlignment="1">
      <alignment horizontal="left"/>
    </xf>
    <xf numFmtId="0" fontId="54" fillId="22" borderId="7" xfId="0" applyFont="1" applyFill="1" applyBorder="1" applyAlignment="1">
      <alignment horizontal="left"/>
    </xf>
    <xf numFmtId="0" fontId="55" fillId="20" borderId="1" xfId="0" applyFont="1" applyFill="1" applyBorder="1" applyAlignment="1" applyProtection="1">
      <alignment horizontal="center" vertical="center" wrapText="1"/>
      <protection locked="0"/>
    </xf>
    <xf numFmtId="0" fontId="55" fillId="20" borderId="0" xfId="0" applyFont="1" applyFill="1" applyBorder="1" applyAlignment="1" applyProtection="1">
      <alignment horizontal="center" vertical="center" wrapText="1"/>
      <protection locked="0"/>
    </xf>
    <xf numFmtId="0" fontId="55" fillId="20" borderId="2" xfId="0" applyFont="1" applyFill="1" applyBorder="1" applyAlignment="1" applyProtection="1">
      <alignment horizontal="center" vertical="center" wrapText="1"/>
      <protection locked="0"/>
    </xf>
    <xf numFmtId="0" fontId="56" fillId="22" borderId="3" xfId="0" applyFont="1" applyFill="1" applyBorder="1" applyAlignment="1" applyProtection="1">
      <alignment horizontal="center" vertical="center" wrapText="1"/>
      <protection locked="0"/>
    </xf>
    <xf numFmtId="0" fontId="56" fillId="22" borderId="4" xfId="0" applyFont="1" applyFill="1" applyBorder="1" applyAlignment="1" applyProtection="1">
      <alignment horizontal="center" vertical="center" wrapText="1"/>
      <protection locked="0"/>
    </xf>
    <xf numFmtId="0" fontId="56" fillId="22" borderId="5" xfId="0" applyFont="1" applyFill="1" applyBorder="1" applyAlignment="1" applyProtection="1">
      <alignment horizontal="center" vertical="center" wrapText="1"/>
      <protection locked="0"/>
    </xf>
    <xf numFmtId="0" fontId="54" fillId="22" borderId="1" xfId="0" applyFont="1" applyFill="1" applyBorder="1" applyAlignment="1" applyProtection="1">
      <alignment horizontal="left" vertical="center" wrapText="1"/>
      <protection locked="0"/>
    </xf>
    <xf numFmtId="0" fontId="54" fillId="22" borderId="0" xfId="0" applyFont="1" applyFill="1" applyBorder="1" applyAlignment="1" applyProtection="1">
      <alignment horizontal="left" vertical="center" wrapText="1"/>
      <protection locked="0"/>
    </xf>
    <xf numFmtId="0" fontId="54" fillId="22" borderId="2" xfId="0" applyFont="1" applyFill="1" applyBorder="1" applyAlignment="1" applyProtection="1">
      <alignment horizontal="left" vertical="center" wrapText="1"/>
      <protection locked="0"/>
    </xf>
    <xf numFmtId="43" fontId="20" fillId="21" borderId="6" xfId="54" applyNumberFormat="1" applyFont="1" applyFill="1" applyBorder="1" applyAlignment="1">
      <alignment horizontal="center"/>
    </xf>
    <xf numFmtId="43" fontId="58" fillId="22" borderId="6" xfId="54" applyNumberFormat="1" applyFont="1" applyFill="1" applyBorder="1" applyAlignment="1">
      <alignment horizontal="center"/>
    </xf>
    <xf numFmtId="0" fontId="12" fillId="22" borderId="8" xfId="0" applyFont="1" applyFill="1" applyBorder="1" applyAlignment="1">
      <alignment horizontal="left" vertical="top"/>
    </xf>
    <xf numFmtId="0" fontId="12" fillId="22" borderId="9" xfId="0" applyFont="1" applyFill="1" applyBorder="1" applyAlignment="1">
      <alignment horizontal="left" vertical="top"/>
    </xf>
    <xf numFmtId="0" fontId="12" fillId="22" borderId="7" xfId="0" applyFont="1" applyFill="1" applyBorder="1" applyAlignment="1">
      <alignment horizontal="left" vertical="top"/>
    </xf>
    <xf numFmtId="0" fontId="12" fillId="22" borderId="1" xfId="0" applyFont="1" applyFill="1" applyBorder="1" applyAlignment="1">
      <alignment horizontal="left" vertical="top"/>
    </xf>
    <xf numFmtId="0" fontId="12" fillId="22" borderId="0" xfId="0" applyFont="1" applyFill="1" applyBorder="1" applyAlignment="1">
      <alignment horizontal="left" vertical="top"/>
    </xf>
    <xf numFmtId="0" fontId="12" fillId="22" borderId="2" xfId="0" applyFont="1" applyFill="1" applyBorder="1" applyAlignment="1">
      <alignment horizontal="left" vertical="top"/>
    </xf>
    <xf numFmtId="0" fontId="14" fillId="22" borderId="4" xfId="0" applyFont="1" applyFill="1" applyBorder="1" applyAlignment="1">
      <alignment horizontal="center"/>
    </xf>
    <xf numFmtId="1" fontId="13" fillId="22" borderId="4" xfId="4" applyNumberFormat="1" applyFont="1" applyFill="1" applyBorder="1" applyAlignment="1">
      <alignment horizontal="center"/>
    </xf>
    <xf numFmtId="0" fontId="0" fillId="22" borderId="4" xfId="0" applyFont="1" applyFill="1" applyBorder="1" applyAlignment="1">
      <alignment horizontal="center"/>
    </xf>
    <xf numFmtId="0" fontId="55" fillId="20" borderId="0" xfId="0" applyFont="1" applyFill="1" applyAlignment="1" applyProtection="1">
      <alignment horizontal="left" vertical="top" wrapText="1"/>
      <protection locked="0"/>
    </xf>
    <xf numFmtId="2" fontId="0" fillId="22" borderId="0" xfId="0" applyNumberFormat="1" applyFill="1" applyBorder="1" applyAlignment="1">
      <alignment horizontal="center"/>
    </xf>
    <xf numFmtId="0" fontId="54" fillId="22" borderId="0" xfId="0" applyFont="1" applyFill="1" applyAlignment="1">
      <alignment horizontal="left" vertical="top" wrapText="1"/>
    </xf>
    <xf numFmtId="0" fontId="54" fillId="22" borderId="0" xfId="0" quotePrefix="1" applyNumberFormat="1" applyFont="1" applyFill="1" applyAlignment="1">
      <alignment horizontal="center"/>
    </xf>
    <xf numFmtId="0" fontId="60" fillId="21" borderId="0" xfId="0" applyFont="1" applyFill="1" applyAlignment="1">
      <alignment horizontal="center" vertical="center"/>
    </xf>
    <xf numFmtId="43" fontId="54" fillId="22" borderId="14" xfId="54" applyNumberFormat="1" applyFont="1" applyFill="1" applyBorder="1" applyAlignment="1">
      <alignment horizontal="center"/>
    </xf>
    <xf numFmtId="164" fontId="54" fillId="22" borderId="6" xfId="54" applyNumberFormat="1" applyFont="1" applyFill="1" applyBorder="1" applyAlignment="1">
      <alignment horizontal="center"/>
    </xf>
    <xf numFmtId="43" fontId="54" fillId="22" borderId="6" xfId="54" applyNumberFormat="1" applyFont="1" applyFill="1" applyBorder="1" applyAlignment="1">
      <alignment horizontal="center"/>
    </xf>
    <xf numFmtId="43" fontId="11" fillId="22" borderId="0" xfId="54" applyNumberFormat="1" applyFont="1" applyFill="1" applyBorder="1" applyAlignment="1">
      <alignment horizontal="center"/>
    </xf>
    <xf numFmtId="164" fontId="54" fillId="22" borderId="14" xfId="54" applyNumberFormat="1" applyFont="1" applyFill="1" applyBorder="1" applyAlignment="1">
      <alignment horizontal="center"/>
    </xf>
    <xf numFmtId="164" fontId="0" fillId="22" borderId="0" xfId="54" applyNumberFormat="1" applyFont="1" applyFill="1" applyBorder="1" applyAlignment="1">
      <alignment horizontal="center"/>
    </xf>
    <xf numFmtId="43" fontId="59" fillId="22" borderId="14" xfId="54" applyNumberFormat="1" applyFont="1" applyFill="1" applyBorder="1" applyAlignment="1">
      <alignment horizontal="center" vertical="center" textRotation="90"/>
    </xf>
    <xf numFmtId="43" fontId="59" fillId="22" borderId="0" xfId="54" applyNumberFormat="1" applyFont="1" applyFill="1" applyBorder="1" applyAlignment="1">
      <alignment horizontal="center" vertical="center" textRotation="90"/>
    </xf>
    <xf numFmtId="0" fontId="61" fillId="21" borderId="0" xfId="0" applyFont="1" applyFill="1" applyAlignment="1">
      <alignment horizontal="center" vertical="center"/>
    </xf>
    <xf numFmtId="0" fontId="12" fillId="22" borderId="9" xfId="0" applyFont="1" applyFill="1" applyBorder="1" applyAlignment="1">
      <alignment horizontal="left" vertical="center" wrapText="1"/>
    </xf>
    <xf numFmtId="0" fontId="12" fillId="22" borderId="7" xfId="0" applyFont="1" applyFill="1" applyBorder="1" applyAlignment="1">
      <alignment horizontal="left" vertical="center" wrapText="1"/>
    </xf>
    <xf numFmtId="0" fontId="12" fillId="22" borderId="0" xfId="0" applyFont="1" applyFill="1" applyBorder="1" applyAlignment="1">
      <alignment horizontal="left" vertical="center" wrapText="1"/>
    </xf>
    <xf numFmtId="0" fontId="12" fillId="22" borderId="2" xfId="0" applyFont="1" applyFill="1" applyBorder="1" applyAlignment="1">
      <alignment horizontal="left" vertical="center" wrapText="1"/>
    </xf>
    <xf numFmtId="0" fontId="12" fillId="22" borderId="8" xfId="0" applyFont="1" applyFill="1" applyBorder="1" applyAlignment="1">
      <alignment horizontal="center" vertical="center"/>
    </xf>
    <xf numFmtId="0" fontId="12" fillId="22" borderId="9" xfId="0" applyFont="1" applyFill="1" applyBorder="1" applyAlignment="1">
      <alignment horizontal="center" vertical="center"/>
    </xf>
    <xf numFmtId="0" fontId="12" fillId="22" borderId="1" xfId="0" applyFont="1" applyFill="1" applyBorder="1" applyAlignment="1">
      <alignment horizontal="center" vertical="center"/>
    </xf>
    <xf numFmtId="0" fontId="12" fillId="22" borderId="0" xfId="0" applyFont="1" applyFill="1" applyBorder="1" applyAlignment="1">
      <alignment horizontal="center" vertical="center"/>
    </xf>
    <xf numFmtId="43" fontId="0" fillId="22" borderId="0" xfId="54" applyNumberFormat="1" applyFont="1" applyFill="1" applyBorder="1" applyAlignment="1">
      <alignment horizontal="center"/>
    </xf>
    <xf numFmtId="0" fontId="56" fillId="20" borderId="1" xfId="0" applyFont="1" applyFill="1" applyBorder="1" applyAlignment="1" applyProtection="1">
      <alignment horizontal="center" vertical="center" wrapText="1"/>
      <protection locked="0"/>
    </xf>
    <xf numFmtId="0" fontId="56" fillId="20" borderId="0" xfId="0" applyFont="1" applyFill="1" applyBorder="1" applyAlignment="1" applyProtection="1">
      <alignment horizontal="center" vertical="center" wrapText="1"/>
      <protection locked="0"/>
    </xf>
    <xf numFmtId="0" fontId="56" fillId="20" borderId="2" xfId="0" applyFont="1" applyFill="1" applyBorder="1" applyAlignment="1" applyProtection="1">
      <alignment horizontal="center" vertical="center" wrapText="1"/>
      <protection locked="0"/>
    </xf>
    <xf numFmtId="2" fontId="56" fillId="22" borderId="0" xfId="4" applyNumberFormat="1" applyFont="1" applyFill="1" applyAlignment="1">
      <alignment horizontal="right"/>
    </xf>
    <xf numFmtId="166" fontId="0" fillId="22" borderId="0" xfId="54" applyNumberFormat="1" applyFont="1" applyFill="1" applyAlignment="1">
      <alignment horizontal="center"/>
    </xf>
    <xf numFmtId="0" fontId="63" fillId="22" borderId="0" xfId="0" quotePrefix="1" applyNumberFormat="1" applyFont="1" applyFill="1" applyAlignment="1">
      <alignment horizontal="center"/>
    </xf>
    <xf numFmtId="0" fontId="23" fillId="17" borderId="1" xfId="0" applyNumberFormat="1" applyFont="1" applyFill="1" applyBorder="1" applyAlignment="1">
      <alignment horizontal="left" wrapText="1"/>
    </xf>
    <xf numFmtId="0" fontId="23" fillId="17" borderId="0" xfId="0" applyNumberFormat="1" applyFont="1" applyFill="1" applyBorder="1" applyAlignment="1">
      <alignment horizontal="left" wrapText="1"/>
    </xf>
    <xf numFmtId="0" fontId="49" fillId="17" borderId="1" xfId="0" applyFont="1" applyFill="1" applyBorder="1" applyAlignment="1">
      <alignment horizontal="left" vertical="top" wrapText="1"/>
    </xf>
    <xf numFmtId="0" fontId="49" fillId="17" borderId="0" xfId="0" applyFont="1" applyFill="1" applyBorder="1" applyAlignment="1">
      <alignment horizontal="left" vertical="top" wrapText="1"/>
    </xf>
    <xf numFmtId="0" fontId="49" fillId="17" borderId="2" xfId="0" applyFont="1" applyFill="1" applyBorder="1" applyAlignment="1">
      <alignment horizontal="left" vertical="top" wrapText="1"/>
    </xf>
    <xf numFmtId="0" fontId="12" fillId="19" borderId="18" xfId="60" applyFont="1" applyFill="1" applyBorder="1" applyAlignment="1" applyProtection="1">
      <alignment horizontal="left" vertical="center" wrapText="1"/>
    </xf>
    <xf numFmtId="0" fontId="12" fillId="19" borderId="19" xfId="60" applyFont="1" applyFill="1" applyBorder="1" applyAlignment="1" applyProtection="1">
      <alignment horizontal="left" vertical="center" wrapText="1"/>
    </xf>
    <xf numFmtId="167" fontId="38" fillId="0" borderId="0" xfId="37" applyNumberFormat="1" applyFont="1" applyFill="1" applyBorder="1" applyAlignment="1" applyProtection="1">
      <alignment horizontal="right" vertical="top" wrapText="1" readingOrder="1"/>
      <protection locked="0"/>
    </xf>
    <xf numFmtId="0" fontId="40" fillId="0" borderId="0" xfId="37" applyFont="1" applyFill="1" applyBorder="1" applyAlignment="1" applyProtection="1">
      <alignment horizontal="right" vertical="top" wrapText="1" readingOrder="1"/>
      <protection locked="0"/>
    </xf>
    <xf numFmtId="167" fontId="40" fillId="0" borderId="0" xfId="37" applyNumberFormat="1" applyFont="1" applyFill="1" applyBorder="1" applyAlignment="1" applyProtection="1">
      <alignment horizontal="right" vertical="top" wrapText="1" readingOrder="1"/>
      <protection locked="0"/>
    </xf>
    <xf numFmtId="0" fontId="0" fillId="0" borderId="0" xfId="0" applyAlignment="1">
      <alignment horizontal="left" vertical="top" wrapText="1"/>
    </xf>
  </cellXfs>
  <cellStyles count="63">
    <cellStyle name="%" xfId="6" xr:uid="{00000000-0005-0000-0000-000000000000}"/>
    <cellStyle name="20% - Accent1 2" xfId="7" xr:uid="{00000000-0005-0000-0000-000001000000}"/>
    <cellStyle name="20% - Accent1 3" xfId="8" xr:uid="{00000000-0005-0000-0000-000002000000}"/>
    <cellStyle name="20% - Accent2 2" xfId="9" xr:uid="{00000000-0005-0000-0000-000003000000}"/>
    <cellStyle name="20% - Accent2 3" xfId="10" xr:uid="{00000000-0005-0000-0000-000004000000}"/>
    <cellStyle name="20% - Accent3 2" xfId="11" xr:uid="{00000000-0005-0000-0000-000005000000}"/>
    <cellStyle name="20% - Accent3 3" xfId="12" xr:uid="{00000000-0005-0000-0000-000006000000}"/>
    <cellStyle name="20% - Accent4 2" xfId="13" xr:uid="{00000000-0005-0000-0000-000007000000}"/>
    <cellStyle name="20% - Accent4 3" xfId="14" xr:uid="{00000000-0005-0000-0000-000008000000}"/>
    <cellStyle name="20% - Accent5 2" xfId="15" xr:uid="{00000000-0005-0000-0000-000009000000}"/>
    <cellStyle name="20% - Accent5 3" xfId="16" xr:uid="{00000000-0005-0000-0000-00000A000000}"/>
    <cellStyle name="20% - Accent6 2" xfId="17" xr:uid="{00000000-0005-0000-0000-00000B000000}"/>
    <cellStyle name="20% - Accent6 3" xfId="18" xr:uid="{00000000-0005-0000-0000-00000C000000}"/>
    <cellStyle name="40% - Accent1 2" xfId="19" xr:uid="{00000000-0005-0000-0000-00000D000000}"/>
    <cellStyle name="40% - Accent1 3" xfId="20" xr:uid="{00000000-0005-0000-0000-00000E000000}"/>
    <cellStyle name="40% - Accent2 2" xfId="21" xr:uid="{00000000-0005-0000-0000-00000F000000}"/>
    <cellStyle name="40% - Accent2 3" xfId="22" xr:uid="{00000000-0005-0000-0000-000010000000}"/>
    <cellStyle name="40% - Accent3 2" xfId="23" xr:uid="{00000000-0005-0000-0000-000011000000}"/>
    <cellStyle name="40% - Accent3 3" xfId="24" xr:uid="{00000000-0005-0000-0000-000012000000}"/>
    <cellStyle name="40% - Accent4 2" xfId="25" xr:uid="{00000000-0005-0000-0000-000013000000}"/>
    <cellStyle name="40% - Accent4 3" xfId="26" xr:uid="{00000000-0005-0000-0000-000014000000}"/>
    <cellStyle name="40% - Accent5 2" xfId="27" xr:uid="{00000000-0005-0000-0000-000015000000}"/>
    <cellStyle name="40% - Accent5 3" xfId="28" xr:uid="{00000000-0005-0000-0000-000016000000}"/>
    <cellStyle name="40% - Accent6 2" xfId="29" xr:uid="{00000000-0005-0000-0000-000017000000}"/>
    <cellStyle name="40% - Accent6 3" xfId="30" xr:uid="{00000000-0005-0000-0000-000018000000}"/>
    <cellStyle name="Comma" xfId="54" builtinId="3"/>
    <cellStyle name="Comma 2" xfId="31" xr:uid="{00000000-0005-0000-0000-00001A000000}"/>
    <cellStyle name="Comma 2 2" xfId="32" xr:uid="{00000000-0005-0000-0000-00001B000000}"/>
    <cellStyle name="Comma 2 3" xfId="33" xr:uid="{00000000-0005-0000-0000-00001C000000}"/>
    <cellStyle name="Comma 2 4" xfId="53" xr:uid="{00000000-0005-0000-0000-00001D000000}"/>
    <cellStyle name="Comma 3" xfId="1" xr:uid="{00000000-0005-0000-0000-00001E000000}"/>
    <cellStyle name="Comma 4" xfId="34" xr:uid="{00000000-0005-0000-0000-00001F000000}"/>
    <cellStyle name="Comma 5" xfId="61" xr:uid="{00000000-0005-0000-0000-000020000000}"/>
    <cellStyle name="Comma_Sheet16" xfId="57" xr:uid="{00000000-0005-0000-0000-000021000000}"/>
    <cellStyle name="Currency 2" xfId="56" xr:uid="{00000000-0005-0000-0000-000022000000}"/>
    <cellStyle name="Hyperlink 2" xfId="35" xr:uid="{00000000-0005-0000-0000-000023000000}"/>
    <cellStyle name="Hyperlink 3" xfId="36" xr:uid="{00000000-0005-0000-0000-000024000000}"/>
    <cellStyle name="Normal" xfId="0" builtinId="0"/>
    <cellStyle name="Normal 2" xfId="37" xr:uid="{00000000-0005-0000-0000-000026000000}"/>
    <cellStyle name="Normal 2 2" xfId="38" xr:uid="{00000000-0005-0000-0000-000027000000}"/>
    <cellStyle name="Normal 2 2 2" xfId="39" xr:uid="{00000000-0005-0000-0000-000028000000}"/>
    <cellStyle name="Normal 2 2 3" xfId="40" xr:uid="{00000000-0005-0000-0000-000029000000}"/>
    <cellStyle name="Normal 2 2 4" xfId="41" xr:uid="{00000000-0005-0000-0000-00002A000000}"/>
    <cellStyle name="Normal 2 2 5" xfId="42" xr:uid="{00000000-0005-0000-0000-00002B000000}"/>
    <cellStyle name="Normal 3" xfId="2" xr:uid="{00000000-0005-0000-0000-00002C000000}"/>
    <cellStyle name="Normal 4" xfId="3" xr:uid="{00000000-0005-0000-0000-00002D000000}"/>
    <cellStyle name="Normal 4 2" xfId="43" xr:uid="{00000000-0005-0000-0000-00002E000000}"/>
    <cellStyle name="Normal 4 3" xfId="44" xr:uid="{00000000-0005-0000-0000-00002F000000}"/>
    <cellStyle name="Normal 4 4" xfId="45" xr:uid="{00000000-0005-0000-0000-000030000000}"/>
    <cellStyle name="Normal 4 5" xfId="46" xr:uid="{00000000-0005-0000-0000-000031000000}"/>
    <cellStyle name="Normal 5" xfId="47" xr:uid="{00000000-0005-0000-0000-000032000000}"/>
    <cellStyle name="Normal 6" xfId="51" xr:uid="{00000000-0005-0000-0000-000033000000}"/>
    <cellStyle name="Normal 7" xfId="55" xr:uid="{00000000-0005-0000-0000-000034000000}"/>
    <cellStyle name="Normal 8" xfId="59" xr:uid="{00000000-0005-0000-0000-000035000000}"/>
    <cellStyle name="Normal 9" xfId="60" xr:uid="{00000000-0005-0000-0000-000036000000}"/>
    <cellStyle name="Normal_Dist_OA_Jun_05_class" xfId="5" xr:uid="{00000000-0005-0000-0000-000037000000}"/>
    <cellStyle name="Normal_QB11" xfId="58" xr:uid="{00000000-0005-0000-0000-000038000000}"/>
    <cellStyle name="Note 2" xfId="48" xr:uid="{00000000-0005-0000-0000-000039000000}"/>
    <cellStyle name="Note 3" xfId="49" xr:uid="{00000000-0005-0000-0000-00003A000000}"/>
    <cellStyle name="Percent" xfId="4" builtinId="5"/>
    <cellStyle name="Percent 2" xfId="50" xr:uid="{00000000-0005-0000-0000-00003C000000}"/>
    <cellStyle name="Percent 3" xfId="52" xr:uid="{00000000-0005-0000-0000-00003D000000}"/>
    <cellStyle name="Percent 4" xfId="62" xr:uid="{00000000-0005-0000-0000-00003E000000}"/>
  </cellStyles>
  <dxfs count="31">
    <dxf>
      <numFmt numFmtId="13" formatCode="0%"/>
    </dxf>
    <dxf>
      <font>
        <color theme="0"/>
      </font>
      <fill>
        <patternFill>
          <bgColor theme="7" tint="0.39994506668294322"/>
        </patternFill>
      </fill>
    </dxf>
    <dxf>
      <font>
        <color theme="0"/>
      </font>
      <fill>
        <patternFill>
          <bgColor theme="7" tint="0.39994506668294322"/>
        </patternFill>
      </fill>
    </dxf>
    <dxf>
      <font>
        <b val="0"/>
        <i val="0"/>
        <color auto="1"/>
      </font>
      <numFmt numFmtId="0" formatCode="General"/>
      <fill>
        <patternFill patternType="solid">
          <bgColor rgb="FFF8F8F8"/>
        </patternFill>
      </fill>
    </dxf>
    <dxf>
      <numFmt numFmtId="14" formatCode="0.00%"/>
    </dxf>
    <dxf>
      <numFmt numFmtId="14" formatCode="0.00%"/>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color theme="0"/>
      </font>
      <fill>
        <patternFill>
          <bgColor theme="0"/>
        </patternFill>
      </fill>
    </dxf>
    <dxf>
      <font>
        <color theme="0"/>
      </font>
      <fill>
        <patternFill>
          <bgColor theme="0"/>
        </patternFill>
      </fill>
    </dxf>
    <dxf>
      <font>
        <color theme="0"/>
      </font>
      <fill>
        <patternFill>
          <bgColor theme="7" tint="0.39994506668294322"/>
        </patternFill>
      </fill>
    </dxf>
    <dxf>
      <font>
        <color theme="0"/>
      </font>
      <fill>
        <patternFill>
          <bgColor theme="0"/>
        </patternFill>
      </fill>
    </dxf>
    <dxf>
      <font>
        <color theme="0"/>
      </font>
      <fill>
        <patternFill>
          <bgColor theme="7" tint="0.39994506668294322"/>
        </patternFill>
      </fill>
    </dxf>
    <dxf>
      <font>
        <b/>
        <i val="0"/>
        <condense val="0"/>
        <extend val="0"/>
        <color indexed="9"/>
      </font>
      <fill>
        <patternFill>
          <bgColor theme="7" tint="0.39994506668294322"/>
        </patternFill>
      </fill>
    </dxf>
    <dxf>
      <font>
        <b/>
        <i val="0"/>
        <color rgb="FF00B050"/>
      </font>
      <fill>
        <patternFill>
          <fgColor auto="1"/>
          <bgColor theme="7" tint="-0.24994659260841701"/>
        </patternFill>
      </fill>
      <border>
        <left style="thin">
          <color rgb="FF336600"/>
        </left>
        <right style="thin">
          <color rgb="FF336600"/>
        </right>
        <top style="thin">
          <color rgb="FF336600"/>
        </top>
        <bottom style="thin">
          <color rgb="FF336600"/>
        </bottom>
      </border>
    </dxf>
    <dxf>
      <font>
        <color rgb="FFFCF305"/>
      </font>
      <fill>
        <patternFill>
          <bgColor theme="7" tint="0.39994506668294322"/>
        </patternFill>
      </fill>
      <border>
        <left style="thin">
          <color rgb="FFFFFF00"/>
        </left>
        <right style="thin">
          <color rgb="FFFFFF00"/>
        </right>
        <top style="thin">
          <color rgb="FFFFFF00"/>
        </top>
        <bottom style="thin">
          <color rgb="FFFFFF00"/>
        </bottom>
      </border>
    </dxf>
    <dxf>
      <font>
        <color rgb="FFFF9900"/>
      </font>
      <fill>
        <patternFill>
          <bgColor theme="7" tint="0.59996337778862885"/>
        </patternFill>
      </fill>
      <border>
        <left style="thin">
          <color rgb="FFFF6600"/>
        </left>
        <right style="thin">
          <color rgb="FFFF6600"/>
        </right>
        <top style="thin">
          <color rgb="FFFF6600"/>
        </top>
        <bottom style="thin">
          <color rgb="FFFF6600"/>
        </bottom>
      </border>
    </dxf>
    <dxf>
      <font>
        <color rgb="FFFF0000"/>
      </font>
      <fill>
        <patternFill>
          <bgColor theme="7" tint="0.79998168889431442"/>
        </patternFill>
      </fill>
      <border>
        <left style="thin">
          <color rgb="FFFF0000"/>
        </left>
        <right style="thin">
          <color rgb="FFFF0000"/>
        </right>
        <top style="thin">
          <color rgb="FFFF0000"/>
        </top>
        <bottom style="thin">
          <color rgb="FFFF0000"/>
        </bottom>
      </border>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0"/>
      </font>
      <fill>
        <patternFill>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F8F8"/>
      <color rgb="FFFCF305"/>
      <color rgb="FFFF9900"/>
      <color rgb="FFFF6600"/>
      <color rgb="FF336600"/>
      <color rgb="FFFFFF00"/>
      <color rgb="FFFFCC00"/>
      <color rgb="FF008000"/>
      <color rgb="FFC0C0C0"/>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811382090846033E-2"/>
          <c:y val="0.10656910066260319"/>
          <c:w val="0.94318861790915465"/>
          <c:h val="0.79816523433588038"/>
        </c:manualLayout>
      </c:layout>
      <c:barChart>
        <c:barDir val="col"/>
        <c:grouping val="clustered"/>
        <c:varyColors val="0"/>
        <c:ser>
          <c:idx val="0"/>
          <c:order val="0"/>
          <c:tx>
            <c:strRef>
              <c:f>Profile!$E$32</c:f>
              <c:strCache>
                <c:ptCount val="1"/>
                <c:pt idx="0">
                  <c:v>Top Quartile</c:v>
                </c:pt>
              </c:strCache>
            </c:strRef>
          </c:tx>
          <c:spPr>
            <a:solidFill>
              <a:schemeClr val="accent4">
                <a:lumMod val="75000"/>
                <a:alpha val="50000"/>
              </a:schemeClr>
            </a:solidFill>
            <a:ln w="38100">
              <a:solidFill>
                <a:srgbClr val="00B050"/>
              </a:solidFill>
            </a:ln>
          </c:spPr>
          <c:invertIfNegative val="0"/>
          <c:cat>
            <c:strRef>
              <c:f>[0]!Marker</c:f>
              <c:strCache>
                <c:ptCount val="16"/>
                <c:pt idx="15">
                  <c:v>u</c:v>
                </c:pt>
              </c:strCache>
            </c:strRef>
          </c:cat>
          <c:val>
            <c:numRef>
              <c:f>[0]!TopQuart</c:f>
              <c:numCache>
                <c:formatCode>General</c:formatCode>
                <c:ptCount val="27"/>
                <c:pt idx="0">
                  <c:v>30.572479096813858</c:v>
                </c:pt>
                <c:pt idx="1">
                  <c:v>27.360615780317239</c:v>
                </c:pt>
                <c:pt idx="2">
                  <c:v>20.569845842883787</c:v>
                </c:pt>
                <c:pt idx="3">
                  <c:v>20.423132463684833</c:v>
                </c:pt>
                <c:pt idx="4">
                  <c:v>19.776634494001861</c:v>
                </c:pt>
                <c:pt idx="5">
                  <c:v>19.764917133210222</c:v>
                </c:pt>
                <c:pt idx="6">
                  <c:v>18.924173536281611</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c:ext xmlns:c16="http://schemas.microsoft.com/office/drawing/2014/chart" uri="{C3380CC4-5D6E-409C-BE32-E72D297353CC}">
              <c16:uniqueId val="{00000000-EC01-40C6-B5B1-A50A25A63B28}"/>
            </c:ext>
          </c:extLst>
        </c:ser>
        <c:ser>
          <c:idx val="1"/>
          <c:order val="1"/>
          <c:tx>
            <c:strRef>
              <c:f>Profile!$N$32</c:f>
              <c:strCache>
                <c:ptCount val="1"/>
                <c:pt idx="0">
                  <c:v>2nd Quartile</c:v>
                </c:pt>
              </c:strCache>
            </c:strRef>
          </c:tx>
          <c:spPr>
            <a:solidFill>
              <a:schemeClr val="accent4">
                <a:lumMod val="60000"/>
                <a:lumOff val="40000"/>
                <a:alpha val="50000"/>
              </a:schemeClr>
            </a:solidFill>
            <a:ln w="31750">
              <a:solidFill>
                <a:srgbClr val="FFFF99"/>
              </a:solidFill>
            </a:ln>
          </c:spPr>
          <c:invertIfNegative val="0"/>
          <c:cat>
            <c:strRef>
              <c:f>[0]!Marker</c:f>
              <c:strCache>
                <c:ptCount val="16"/>
                <c:pt idx="15">
                  <c:v>u</c:v>
                </c:pt>
              </c:strCache>
            </c:strRef>
          </c:cat>
          <c:val>
            <c:numRef>
              <c:f>[0]!SecQuart</c:f>
              <c:numCache>
                <c:formatCode>General</c:formatCode>
                <c:ptCount val="27"/>
                <c:pt idx="0">
                  <c:v>0</c:v>
                </c:pt>
                <c:pt idx="1">
                  <c:v>0</c:v>
                </c:pt>
                <c:pt idx="2">
                  <c:v>0</c:v>
                </c:pt>
                <c:pt idx="3">
                  <c:v>0</c:v>
                </c:pt>
                <c:pt idx="4">
                  <c:v>0</c:v>
                </c:pt>
                <c:pt idx="5">
                  <c:v>0</c:v>
                </c:pt>
                <c:pt idx="6">
                  <c:v>0</c:v>
                </c:pt>
                <c:pt idx="7">
                  <c:v>18.584095297011689</c:v>
                </c:pt>
                <c:pt idx="8">
                  <c:v>18.088342558486225</c:v>
                </c:pt>
                <c:pt idx="9">
                  <c:v>18.082494954980437</c:v>
                </c:pt>
                <c:pt idx="10">
                  <c:v>17.595316909409966</c:v>
                </c:pt>
                <c:pt idx="11">
                  <c:v>17.475104043290408</c:v>
                </c:pt>
                <c:pt idx="12">
                  <c:v>16.292922014594303</c:v>
                </c:pt>
                <c:pt idx="13">
                  <c:v>16.26259547069758</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c:ext xmlns:c16="http://schemas.microsoft.com/office/drawing/2014/chart" uri="{C3380CC4-5D6E-409C-BE32-E72D297353CC}">
              <c16:uniqueId val="{00000001-EC01-40C6-B5B1-A50A25A63B28}"/>
            </c:ext>
          </c:extLst>
        </c:ser>
        <c:ser>
          <c:idx val="2"/>
          <c:order val="2"/>
          <c:tx>
            <c:strRef>
              <c:f>Profile!$X$32</c:f>
              <c:strCache>
                <c:ptCount val="1"/>
                <c:pt idx="0">
                  <c:v>3rd Quartile</c:v>
                </c:pt>
              </c:strCache>
            </c:strRef>
          </c:tx>
          <c:spPr>
            <a:solidFill>
              <a:schemeClr val="accent4">
                <a:lumMod val="40000"/>
                <a:lumOff val="60000"/>
                <a:alpha val="50000"/>
              </a:schemeClr>
            </a:solidFill>
            <a:ln w="31750">
              <a:solidFill>
                <a:schemeClr val="accent6">
                  <a:lumMod val="60000"/>
                  <a:lumOff val="40000"/>
                </a:schemeClr>
              </a:solidFill>
            </a:ln>
          </c:spPr>
          <c:invertIfNegative val="0"/>
          <c:cat>
            <c:strRef>
              <c:f>[0]!Marker</c:f>
              <c:strCache>
                <c:ptCount val="16"/>
                <c:pt idx="15">
                  <c:v>u</c:v>
                </c:pt>
              </c:strCache>
            </c:strRef>
          </c:cat>
          <c:val>
            <c:numRef>
              <c:f>[0]!ThirdQuart</c:f>
              <c:numCache>
                <c:formatCode>General</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16.036007901999703</c:v>
                </c:pt>
                <c:pt idx="15">
                  <c:v>16.018311396308022</c:v>
                </c:pt>
                <c:pt idx="16">
                  <c:v>15.712468668373536</c:v>
                </c:pt>
                <c:pt idx="17">
                  <c:v>15.573799350980138</c:v>
                </c:pt>
                <c:pt idx="18">
                  <c:v>15.032629506703366</c:v>
                </c:pt>
                <c:pt idx="19">
                  <c:v>14.894377995293434</c:v>
                </c:pt>
                <c:pt idx="20">
                  <c:v>0</c:v>
                </c:pt>
                <c:pt idx="21">
                  <c:v>0</c:v>
                </c:pt>
                <c:pt idx="22">
                  <c:v>0</c:v>
                </c:pt>
                <c:pt idx="23">
                  <c:v>0</c:v>
                </c:pt>
                <c:pt idx="24">
                  <c:v>0</c:v>
                </c:pt>
                <c:pt idx="25">
                  <c:v>0</c:v>
                </c:pt>
                <c:pt idx="26">
                  <c:v>0</c:v>
                </c:pt>
              </c:numCache>
            </c:numRef>
          </c:val>
          <c:extLst>
            <c:ext xmlns:c16="http://schemas.microsoft.com/office/drawing/2014/chart" uri="{C3380CC4-5D6E-409C-BE32-E72D297353CC}">
              <c16:uniqueId val="{00000002-EC01-40C6-B5B1-A50A25A63B28}"/>
            </c:ext>
          </c:extLst>
        </c:ser>
        <c:ser>
          <c:idx val="3"/>
          <c:order val="3"/>
          <c:tx>
            <c:strRef>
              <c:f>Profile!$AF$32</c:f>
              <c:strCache>
                <c:ptCount val="1"/>
                <c:pt idx="0">
                  <c:v>Bottom Quartile</c:v>
                </c:pt>
              </c:strCache>
            </c:strRef>
          </c:tx>
          <c:spPr>
            <a:solidFill>
              <a:schemeClr val="accent4">
                <a:lumMod val="20000"/>
                <a:lumOff val="80000"/>
                <a:alpha val="50000"/>
              </a:schemeClr>
            </a:solidFill>
            <a:ln w="31750">
              <a:solidFill>
                <a:srgbClr val="FF0000"/>
              </a:solidFill>
            </a:ln>
          </c:spPr>
          <c:invertIfNegative val="0"/>
          <c:cat>
            <c:strRef>
              <c:f>[0]!Marker</c:f>
              <c:strCache>
                <c:ptCount val="16"/>
                <c:pt idx="15">
                  <c:v>u</c:v>
                </c:pt>
              </c:strCache>
            </c:strRef>
          </c:cat>
          <c:val>
            <c:numRef>
              <c:f>[0]!BotQuart</c:f>
              <c:numCache>
                <c:formatCode>General</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14.778256892169054</c:v>
                </c:pt>
                <c:pt idx="21">
                  <c:v>13.91293811582649</c:v>
                </c:pt>
                <c:pt idx="22">
                  <c:v>13.818832595268283</c:v>
                </c:pt>
                <c:pt idx="23">
                  <c:v>13.772899630201854</c:v>
                </c:pt>
                <c:pt idx="24">
                  <c:v>13.756921881703718</c:v>
                </c:pt>
                <c:pt idx="25">
                  <c:v>13.005470928067698</c:v>
                </c:pt>
                <c:pt idx="26">
                  <c:v>0</c:v>
                </c:pt>
              </c:numCache>
            </c:numRef>
          </c:val>
          <c:extLst>
            <c:ext xmlns:c16="http://schemas.microsoft.com/office/drawing/2014/chart" uri="{C3380CC4-5D6E-409C-BE32-E72D297353CC}">
              <c16:uniqueId val="{00000003-EC01-40C6-B5B1-A50A25A63B28}"/>
            </c:ext>
          </c:extLst>
        </c:ser>
        <c:ser>
          <c:idx val="4"/>
          <c:order val="4"/>
          <c:spPr>
            <a:noFill/>
            <a:ln>
              <a:noFill/>
            </a:ln>
          </c:spPr>
          <c:invertIfNegative val="0"/>
          <c:dLbls>
            <c:spPr>
              <a:noFill/>
              <a:ln>
                <a:noFill/>
              </a:ln>
              <a:effectLst/>
            </c:spPr>
            <c:txPr>
              <a:bodyPr/>
              <a:lstStyle/>
              <a:p>
                <a:pPr>
                  <a:defRPr>
                    <a:solidFill>
                      <a:srgbClr val="0070C0"/>
                    </a:solidFill>
                    <a:latin typeface="Wingdings" panose="05000000000000000000" pitchFamily="2" charset="2"/>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[0]!Marker</c:f>
              <c:strCache>
                <c:ptCount val="16"/>
                <c:pt idx="15">
                  <c:v>u</c:v>
                </c:pt>
              </c:strCache>
            </c:strRef>
          </c:cat>
          <c:val>
            <c:numRef>
              <c:f>[0]!MarkData</c:f>
              <c:numCache>
                <c:formatCode>0.00</c:formatCode>
                <c:ptCount val="27"/>
                <c:pt idx="0">
                  <c:v>30.572479096813858</c:v>
                </c:pt>
                <c:pt idx="1">
                  <c:v>27.360615780317239</c:v>
                </c:pt>
                <c:pt idx="2">
                  <c:v>20.569845842883787</c:v>
                </c:pt>
                <c:pt idx="3">
                  <c:v>20.423132463684833</c:v>
                </c:pt>
                <c:pt idx="4">
                  <c:v>19.776634494001861</c:v>
                </c:pt>
                <c:pt idx="5">
                  <c:v>19.764917133210222</c:v>
                </c:pt>
                <c:pt idx="6">
                  <c:v>18.924173536281611</c:v>
                </c:pt>
                <c:pt idx="7">
                  <c:v>18.584095297011689</c:v>
                </c:pt>
                <c:pt idx="8">
                  <c:v>18.088342558486225</c:v>
                </c:pt>
                <c:pt idx="9">
                  <c:v>18.082494954980437</c:v>
                </c:pt>
                <c:pt idx="10">
                  <c:v>17.595316909409966</c:v>
                </c:pt>
                <c:pt idx="11">
                  <c:v>17.475104043290408</c:v>
                </c:pt>
                <c:pt idx="12">
                  <c:v>16.292922014594303</c:v>
                </c:pt>
                <c:pt idx="13">
                  <c:v>16.26259547069758</c:v>
                </c:pt>
                <c:pt idx="14">
                  <c:v>16.036007901999703</c:v>
                </c:pt>
                <c:pt idx="15">
                  <c:v>16.018311396308022</c:v>
                </c:pt>
                <c:pt idx="16">
                  <c:v>15.712468668373536</c:v>
                </c:pt>
                <c:pt idx="17">
                  <c:v>15.573799350980138</c:v>
                </c:pt>
                <c:pt idx="18">
                  <c:v>15.032629506703366</c:v>
                </c:pt>
                <c:pt idx="19">
                  <c:v>14.894377995293434</c:v>
                </c:pt>
                <c:pt idx="20">
                  <c:v>14.778256892169054</c:v>
                </c:pt>
                <c:pt idx="21">
                  <c:v>13.91293811582649</c:v>
                </c:pt>
                <c:pt idx="22">
                  <c:v>13.818832595268283</c:v>
                </c:pt>
                <c:pt idx="23">
                  <c:v>13.772899630201854</c:v>
                </c:pt>
                <c:pt idx="24">
                  <c:v>13.756921881703718</c:v>
                </c:pt>
                <c:pt idx="25">
                  <c:v>13.005470928067698</c:v>
                </c:pt>
                <c:pt idx="26">
                  <c:v>0</c:v>
                </c:pt>
              </c:numCache>
            </c:numRef>
          </c:val>
          <c:extLst>
            <c:ext xmlns:c16="http://schemas.microsoft.com/office/drawing/2014/chart" uri="{C3380CC4-5D6E-409C-BE32-E72D297353CC}">
              <c16:uniqueId val="{00000004-EC01-40C6-B5B1-A50A25A63B28}"/>
            </c:ext>
          </c:extLst>
        </c:ser>
        <c:dLbls>
          <c:showLegendKey val="0"/>
          <c:showVal val="0"/>
          <c:showCatName val="0"/>
          <c:showSerName val="0"/>
          <c:showPercent val="0"/>
          <c:showBubbleSize val="0"/>
        </c:dLbls>
        <c:gapWidth val="0"/>
        <c:overlap val="100"/>
        <c:axId val="532060416"/>
        <c:axId val="532074496"/>
      </c:barChart>
      <c:catAx>
        <c:axId val="532060416"/>
        <c:scaling>
          <c:orientation val="minMax"/>
        </c:scaling>
        <c:delete val="0"/>
        <c:axPos val="b"/>
        <c:numFmt formatCode="General" sourceLinked="1"/>
        <c:majorTickMark val="none"/>
        <c:minorTickMark val="none"/>
        <c:tickLblPos val="none"/>
        <c:crossAx val="532074496"/>
        <c:crosses val="autoZero"/>
        <c:auto val="1"/>
        <c:lblAlgn val="ctr"/>
        <c:lblOffset val="100"/>
        <c:noMultiLvlLbl val="0"/>
      </c:catAx>
      <c:valAx>
        <c:axId val="532074496"/>
        <c:scaling>
          <c:orientation val="minMax"/>
        </c:scaling>
        <c:delete val="0"/>
        <c:axPos val="l"/>
        <c:numFmt formatCode="0" sourceLinked="0"/>
        <c:majorTickMark val="out"/>
        <c:minorTickMark val="none"/>
        <c:tickLblPos val="nextTo"/>
        <c:txPr>
          <a:bodyPr rot="0" vert="horz"/>
          <a:lstStyle/>
          <a:p>
            <a:pPr>
              <a:defRPr/>
            </a:pPr>
            <a:endParaRPr lang="en-US"/>
          </a:p>
        </c:txPr>
        <c:crossAx val="532060416"/>
        <c:crosses val="autoZero"/>
        <c:crossBetween val="between"/>
      </c:valAx>
      <c:spPr>
        <a:ln>
          <a:noFill/>
        </a:ln>
      </c:spPr>
    </c:plotArea>
    <c:plotVisOnly val="1"/>
    <c:dispBlanksAs val="gap"/>
    <c:showDLblsOverMax val="0"/>
  </c:chart>
  <c:spPr>
    <a:ln>
      <a:noFill/>
    </a:ln>
  </c:spPr>
  <c:printSettings>
    <c:headerFooter alignWithMargins="0"/>
    <c:pageMargins b="0.75000000000000389" l="0.70000000000000062" r="0.70000000000000062" t="0.7500000000000038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74634301285582E-2"/>
          <c:y val="9.1248268821218684E-2"/>
          <c:w val="0.9123717337880537"/>
          <c:h val="0.66160783888545538"/>
        </c:manualLayout>
      </c:layout>
      <c:barChart>
        <c:barDir val="col"/>
        <c:grouping val="clustered"/>
        <c:varyColors val="0"/>
        <c:ser>
          <c:idx val="9"/>
          <c:order val="0"/>
          <c:tx>
            <c:v>Block Data</c:v>
          </c:tx>
          <c:spPr>
            <a:solidFill>
              <a:srgbClr val="8064A2">
                <a:lumMod val="75000"/>
                <a:alpha val="50000"/>
              </a:srgbClr>
            </a:solidFill>
          </c:spPr>
          <c:invertIfNegative val="0"/>
          <c:dPt>
            <c:idx val="0"/>
            <c:invertIfNegative val="0"/>
            <c:bubble3D val="0"/>
            <c:spPr>
              <a:solidFill>
                <a:srgbClr val="8064A2">
                  <a:lumMod val="75000"/>
                  <a:alpha val="75000"/>
                </a:srgbClr>
              </a:solidFill>
            </c:spPr>
            <c:extLst>
              <c:ext xmlns:c16="http://schemas.microsoft.com/office/drawing/2014/chart" uri="{C3380CC4-5D6E-409C-BE32-E72D297353CC}">
                <c16:uniqueId val="{00000000-A058-4FD1-92B1-43DFAADE1867}"/>
              </c:ext>
            </c:extLst>
          </c:dPt>
          <c:cat>
            <c:strRef>
              <c:f>Profile!$D$47:$D$50</c:f>
              <c:strCache>
                <c:ptCount val="3"/>
                <c:pt idx="0">
                  <c:v>Cumbria</c:v>
                </c:pt>
                <c:pt idx="1">
                  <c:v>Counties</c:v>
                </c:pt>
                <c:pt idx="2">
                  <c:v>Regional</c:v>
                </c:pt>
              </c:strCache>
            </c:strRef>
          </c:cat>
          <c:val>
            <c:numRef>
              <c:f>Profile!$E$47:$E$49</c:f>
              <c:numCache>
                <c:formatCode>0.00</c:formatCode>
                <c:ptCount val="3"/>
                <c:pt idx="0">
                  <c:v>16.018311396308022</c:v>
                </c:pt>
                <c:pt idx="1">
                  <c:v>16.892058683650347</c:v>
                </c:pt>
                <c:pt idx="2">
                  <c:v>14.88761663900587</c:v>
                </c:pt>
              </c:numCache>
            </c:numRef>
          </c:val>
          <c:extLst>
            <c:ext xmlns:c16="http://schemas.microsoft.com/office/drawing/2014/chart" uri="{C3380CC4-5D6E-409C-BE32-E72D297353CC}">
              <c16:uniqueId val="{00000001-A058-4FD1-92B1-43DFAADE1867}"/>
            </c:ext>
          </c:extLst>
        </c:ser>
        <c:dLbls>
          <c:showLegendKey val="0"/>
          <c:showVal val="0"/>
          <c:showCatName val="0"/>
          <c:showSerName val="0"/>
          <c:showPercent val="0"/>
          <c:showBubbleSize val="0"/>
        </c:dLbls>
        <c:gapWidth val="39"/>
        <c:overlap val="100"/>
        <c:axId val="532170624"/>
        <c:axId val="532172160"/>
      </c:barChart>
      <c:lineChart>
        <c:grouping val="standard"/>
        <c:varyColors val="0"/>
        <c:ser>
          <c:idx val="0"/>
          <c:order val="1"/>
          <c:tx>
            <c:v>Top Quartile Benchmark</c:v>
          </c:tx>
          <c:spPr>
            <a:ln>
              <a:solidFill>
                <a:schemeClr val="bg2">
                  <a:lumMod val="25000"/>
                </a:schemeClr>
              </a:solidFill>
            </a:ln>
          </c:spPr>
          <c:marker>
            <c:symbol val="none"/>
          </c:marker>
          <c:val>
            <c:numRef>
              <c:f>(Profile!$K$47,Profile!$K$48,Profile!$K$49)</c:f>
              <c:numCache>
                <c:formatCode>General</c:formatCode>
                <c:ptCount val="3"/>
                <c:pt idx="0">
                  <c:v>18.75413441664665</c:v>
                </c:pt>
                <c:pt idx="1">
                  <c:v>18.75413441664665</c:v>
                </c:pt>
                <c:pt idx="2">
                  <c:v>18.75413441664665</c:v>
                </c:pt>
              </c:numCache>
            </c:numRef>
          </c:val>
          <c:smooth val="0"/>
          <c:extLst>
            <c:ext xmlns:c16="http://schemas.microsoft.com/office/drawing/2014/chart" uri="{C3380CC4-5D6E-409C-BE32-E72D297353CC}">
              <c16:uniqueId val="{00000002-A058-4FD1-92B1-43DFAADE1867}"/>
            </c:ext>
          </c:extLst>
        </c:ser>
        <c:ser>
          <c:idx val="1"/>
          <c:order val="2"/>
          <c:tx>
            <c:v>Median</c:v>
          </c:tx>
          <c:spPr>
            <a:ln>
              <a:solidFill>
                <a:srgbClr val="FFFF00"/>
              </a:solidFill>
            </a:ln>
          </c:spPr>
          <c:marker>
            <c:symbol val="none"/>
          </c:marker>
          <c:val>
            <c:numRef>
              <c:f>(Profile!$M$47,Profile!$M$48,Profile!$M$49)</c:f>
              <c:numCache>
                <c:formatCode>General</c:formatCode>
                <c:ptCount val="3"/>
                <c:pt idx="0">
                  <c:v>16.26259547069758</c:v>
                </c:pt>
                <c:pt idx="1">
                  <c:v>16.26259547069758</c:v>
                </c:pt>
                <c:pt idx="2">
                  <c:v>16.26259547069758</c:v>
                </c:pt>
              </c:numCache>
            </c:numRef>
          </c:val>
          <c:smooth val="0"/>
          <c:extLst>
            <c:ext xmlns:c16="http://schemas.microsoft.com/office/drawing/2014/chart" uri="{C3380CC4-5D6E-409C-BE32-E72D297353CC}">
              <c16:uniqueId val="{00000003-A058-4FD1-92B1-43DFAADE1867}"/>
            </c:ext>
          </c:extLst>
        </c:ser>
        <c:ser>
          <c:idx val="2"/>
          <c:order val="3"/>
          <c:tx>
            <c:v>Bottom Quartile Benchmark</c:v>
          </c:tx>
          <c:spPr>
            <a:ln>
              <a:solidFill>
                <a:srgbClr val="FF0000"/>
              </a:solidFill>
            </a:ln>
          </c:spPr>
          <c:marker>
            <c:symbol val="none"/>
          </c:marker>
          <c:val>
            <c:numRef>
              <c:f>(Profile!$O$47,Profile!$O$48,Profile!$O$49)</c:f>
              <c:numCache>
                <c:formatCode>General</c:formatCode>
                <c:ptCount val="3"/>
                <c:pt idx="0">
                  <c:v>14.836317443731243</c:v>
                </c:pt>
                <c:pt idx="1">
                  <c:v>14.836317443731243</c:v>
                </c:pt>
                <c:pt idx="2">
                  <c:v>14.836317443731243</c:v>
                </c:pt>
              </c:numCache>
            </c:numRef>
          </c:val>
          <c:smooth val="0"/>
          <c:extLst>
            <c:ext xmlns:c16="http://schemas.microsoft.com/office/drawing/2014/chart" uri="{C3380CC4-5D6E-409C-BE32-E72D297353CC}">
              <c16:uniqueId val="{00000004-A058-4FD1-92B1-43DFAADE1867}"/>
            </c:ext>
          </c:extLst>
        </c:ser>
        <c:dLbls>
          <c:showLegendKey val="0"/>
          <c:showVal val="0"/>
          <c:showCatName val="0"/>
          <c:showSerName val="0"/>
          <c:showPercent val="0"/>
          <c:showBubbleSize val="0"/>
        </c:dLbls>
        <c:marker val="1"/>
        <c:smooth val="0"/>
        <c:axId val="532170624"/>
        <c:axId val="532172160"/>
      </c:lineChart>
      <c:catAx>
        <c:axId val="532170624"/>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532172160"/>
        <c:crosses val="autoZero"/>
        <c:auto val="1"/>
        <c:lblAlgn val="ctr"/>
        <c:lblOffset val="100"/>
        <c:noMultiLvlLbl val="0"/>
      </c:catAx>
      <c:valAx>
        <c:axId val="532172160"/>
        <c:scaling>
          <c:orientation val="minMax"/>
        </c:scaling>
        <c:delete val="0"/>
        <c:axPos val="l"/>
        <c:majorGridlines>
          <c:spPr>
            <a:ln>
              <a:noFill/>
            </a:ln>
          </c:spPr>
        </c:majorGridlines>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532170624"/>
        <c:crosses val="autoZero"/>
        <c:crossBetween val="between"/>
      </c:valAx>
    </c:plotArea>
    <c:legend>
      <c:legendPos val="b"/>
      <c:legendEntry>
        <c:idx val="0"/>
        <c:delete val="1"/>
      </c:legendEntry>
      <c:layout>
        <c:manualLayout>
          <c:xMode val="edge"/>
          <c:yMode val="edge"/>
          <c:x val="0.10120783739241854"/>
          <c:y val="0.90916944591436211"/>
          <c:w val="0.85546529939571503"/>
          <c:h val="8.4690001676023266E-2"/>
        </c:manualLayout>
      </c:layout>
      <c:overlay val="0"/>
      <c:txPr>
        <a:bodyPr/>
        <a:lstStyle/>
        <a:p>
          <a:pPr>
            <a:defRPr sz="800"/>
          </a:pPr>
          <a:endParaRPr lang="en-US"/>
        </a:p>
      </c:txPr>
    </c:legend>
    <c:plotVisOnly val="1"/>
    <c:dispBlanksAs val="gap"/>
    <c:showDLblsOverMax val="0"/>
  </c:chart>
  <c:spPr>
    <a:solidFill>
      <a:schemeClr val="bg1"/>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355" l="0.70000000000000062" r="0.70000000000000062" t="0.750000000000003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733469848777199E-2"/>
          <c:y val="6.0725521892544924E-2"/>
          <c:w val="0.93589299789538694"/>
          <c:h val="0.66660374406841871"/>
        </c:manualLayout>
      </c:layout>
      <c:barChart>
        <c:barDir val="col"/>
        <c:grouping val="clustered"/>
        <c:varyColors val="0"/>
        <c:ser>
          <c:idx val="0"/>
          <c:order val="0"/>
          <c:spPr>
            <a:solidFill>
              <a:srgbClr val="8064A2">
                <a:lumMod val="75000"/>
                <a:alpha val="50000"/>
              </a:srgbClr>
            </a:solidFill>
          </c:spPr>
          <c:invertIfNegative val="0"/>
          <c:dPt>
            <c:idx val="0"/>
            <c:invertIfNegative val="0"/>
            <c:bubble3D val="0"/>
            <c:spPr>
              <a:solidFill>
                <a:srgbClr val="8064A2">
                  <a:lumMod val="75000"/>
                  <a:alpha val="76000"/>
                </a:srgbClr>
              </a:solidFill>
            </c:spPr>
            <c:extLst>
              <c:ext xmlns:c16="http://schemas.microsoft.com/office/drawing/2014/chart" uri="{C3380CC4-5D6E-409C-BE32-E72D297353CC}">
                <c16:uniqueId val="{00000000-7A1A-48E3-A79A-7986501F8A5D}"/>
              </c:ext>
            </c:extLst>
          </c:dPt>
          <c:cat>
            <c:strRef>
              <c:f>Profile!$F$117:$F$120</c:f>
              <c:strCache>
                <c:ptCount val="4"/>
                <c:pt idx="0">
                  <c:v>Cumbria</c:v>
                </c:pt>
                <c:pt idx="1">
                  <c:v>Predominantly Rural</c:v>
                </c:pt>
                <c:pt idx="2">
                  <c:v>Predominantly Urban</c:v>
                </c:pt>
                <c:pt idx="3">
                  <c:v>Significant Rural</c:v>
                </c:pt>
              </c:strCache>
            </c:strRef>
          </c:cat>
          <c:val>
            <c:numRef>
              <c:f>Profile!$G$117:$G$120</c:f>
              <c:numCache>
                <c:formatCode>0.00</c:formatCode>
                <c:ptCount val="4"/>
                <c:pt idx="0">
                  <c:v>16.018311396308022</c:v>
                </c:pt>
                <c:pt idx="1">
                  <c:v>18.626964915900135</c:v>
                </c:pt>
                <c:pt idx="2">
                  <c:v>17.998465907332488</c:v>
                </c:pt>
                <c:pt idx="3">
                  <c:v>15.587933565659533</c:v>
                </c:pt>
              </c:numCache>
            </c:numRef>
          </c:val>
          <c:extLst>
            <c:ext xmlns:c16="http://schemas.microsoft.com/office/drawing/2014/chart" uri="{C3380CC4-5D6E-409C-BE32-E72D297353CC}">
              <c16:uniqueId val="{00000001-7A1A-48E3-A79A-7986501F8A5D}"/>
            </c:ext>
          </c:extLst>
        </c:ser>
        <c:dLbls>
          <c:showLegendKey val="0"/>
          <c:showVal val="0"/>
          <c:showCatName val="0"/>
          <c:showSerName val="0"/>
          <c:showPercent val="0"/>
          <c:showBubbleSize val="0"/>
        </c:dLbls>
        <c:gapWidth val="39"/>
        <c:overlap val="100"/>
        <c:axId val="539494656"/>
        <c:axId val="539500544"/>
      </c:barChart>
      <c:lineChart>
        <c:grouping val="standard"/>
        <c:varyColors val="0"/>
        <c:ser>
          <c:idx val="1"/>
          <c:order val="1"/>
          <c:tx>
            <c:v>Top Quartile Benchmark</c:v>
          </c:tx>
          <c:spPr>
            <a:ln>
              <a:solidFill>
                <a:schemeClr val="bg2">
                  <a:lumMod val="25000"/>
                </a:schemeClr>
              </a:solidFill>
            </a:ln>
          </c:spPr>
          <c:marker>
            <c:symbol val="none"/>
          </c:marker>
          <c:val>
            <c:numRef>
              <c:f>(Profile!$M$117,Profile!$M$118,Profile!$M$119,Profile!$M$120)</c:f>
              <c:numCache>
                <c:formatCode>General</c:formatCode>
                <c:ptCount val="4"/>
                <c:pt idx="0">
                  <c:v>18.75413441664665</c:v>
                </c:pt>
                <c:pt idx="1">
                  <c:v>18.75413441664665</c:v>
                </c:pt>
                <c:pt idx="2">
                  <c:v>18.75413441664665</c:v>
                </c:pt>
                <c:pt idx="3">
                  <c:v>18.75413441664665</c:v>
                </c:pt>
              </c:numCache>
            </c:numRef>
          </c:val>
          <c:smooth val="0"/>
          <c:extLst>
            <c:ext xmlns:c16="http://schemas.microsoft.com/office/drawing/2014/chart" uri="{C3380CC4-5D6E-409C-BE32-E72D297353CC}">
              <c16:uniqueId val="{00000002-7A1A-48E3-A79A-7986501F8A5D}"/>
            </c:ext>
          </c:extLst>
        </c:ser>
        <c:ser>
          <c:idx val="2"/>
          <c:order val="2"/>
          <c:tx>
            <c:v>Median</c:v>
          </c:tx>
          <c:spPr>
            <a:ln>
              <a:solidFill>
                <a:srgbClr val="FFFF00"/>
              </a:solidFill>
            </a:ln>
          </c:spPr>
          <c:marker>
            <c:symbol val="none"/>
          </c:marker>
          <c:val>
            <c:numRef>
              <c:f>(Profile!$O$117,Profile!$O$118,Profile!$O$119,Profile!$O$120)</c:f>
              <c:numCache>
                <c:formatCode>General</c:formatCode>
                <c:ptCount val="4"/>
                <c:pt idx="0">
                  <c:v>16.26259547069758</c:v>
                </c:pt>
                <c:pt idx="1">
                  <c:v>16.26259547069758</c:v>
                </c:pt>
                <c:pt idx="2">
                  <c:v>16.26259547069758</c:v>
                </c:pt>
                <c:pt idx="3">
                  <c:v>16.26259547069758</c:v>
                </c:pt>
              </c:numCache>
            </c:numRef>
          </c:val>
          <c:smooth val="0"/>
          <c:extLst>
            <c:ext xmlns:c16="http://schemas.microsoft.com/office/drawing/2014/chart" uri="{C3380CC4-5D6E-409C-BE32-E72D297353CC}">
              <c16:uniqueId val="{00000003-7A1A-48E3-A79A-7986501F8A5D}"/>
            </c:ext>
          </c:extLst>
        </c:ser>
        <c:ser>
          <c:idx val="3"/>
          <c:order val="3"/>
          <c:tx>
            <c:v>Bottom Quartile Benchmark</c:v>
          </c:tx>
          <c:spPr>
            <a:ln>
              <a:solidFill>
                <a:srgbClr val="FF0000"/>
              </a:solidFill>
            </a:ln>
          </c:spPr>
          <c:marker>
            <c:symbol val="none"/>
          </c:marker>
          <c:val>
            <c:numRef>
              <c:f>(Profile!$Q$117,Profile!$Q$118,Profile!$Q$119,Profile!$Q$120)</c:f>
              <c:numCache>
                <c:formatCode>General</c:formatCode>
                <c:ptCount val="4"/>
                <c:pt idx="0">
                  <c:v>14.836317443731243</c:v>
                </c:pt>
                <c:pt idx="1">
                  <c:v>14.836317443731243</c:v>
                </c:pt>
                <c:pt idx="2">
                  <c:v>14.836317443731243</c:v>
                </c:pt>
                <c:pt idx="3">
                  <c:v>14.836317443731243</c:v>
                </c:pt>
              </c:numCache>
            </c:numRef>
          </c:val>
          <c:smooth val="0"/>
          <c:extLst>
            <c:ext xmlns:c16="http://schemas.microsoft.com/office/drawing/2014/chart" uri="{C3380CC4-5D6E-409C-BE32-E72D297353CC}">
              <c16:uniqueId val="{00000004-7A1A-48E3-A79A-7986501F8A5D}"/>
            </c:ext>
          </c:extLst>
        </c:ser>
        <c:dLbls>
          <c:showLegendKey val="0"/>
          <c:showVal val="0"/>
          <c:showCatName val="0"/>
          <c:showSerName val="0"/>
          <c:showPercent val="0"/>
          <c:showBubbleSize val="0"/>
        </c:dLbls>
        <c:marker val="1"/>
        <c:smooth val="0"/>
        <c:axId val="539494656"/>
        <c:axId val="539500544"/>
      </c:lineChart>
      <c:catAx>
        <c:axId val="53949465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539500544"/>
        <c:crosses val="autoZero"/>
        <c:auto val="1"/>
        <c:lblAlgn val="ctr"/>
        <c:lblOffset val="100"/>
        <c:noMultiLvlLbl val="0"/>
      </c:catAx>
      <c:valAx>
        <c:axId val="539500544"/>
        <c:scaling>
          <c:orientation val="minMax"/>
        </c:scaling>
        <c:delete val="0"/>
        <c:axPos val="l"/>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539494656"/>
        <c:crosses val="autoZero"/>
        <c:crossBetween val="between"/>
      </c:valAx>
      <c:spPr>
        <a:solidFill>
          <a:srgbClr val="FFFFFF"/>
        </a:solidFill>
        <a:ln w="25400">
          <a:noFill/>
        </a:ln>
      </c:spPr>
    </c:plotArea>
    <c:legend>
      <c:legendPos val="r"/>
      <c:legendEntry>
        <c:idx val="0"/>
        <c:delete val="1"/>
      </c:legendEntry>
      <c:layout>
        <c:manualLayout>
          <c:xMode val="edge"/>
          <c:yMode val="edge"/>
          <c:x val="8.3660564101314561E-2"/>
          <c:y val="0.90819672131147544"/>
          <c:w val="0.82180752947677205"/>
          <c:h val="9.1803278688524559E-2"/>
        </c:manualLayout>
      </c:layout>
      <c:overlay val="0"/>
      <c:spPr>
        <a:noFill/>
        <a:ln w="25400">
          <a:no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377" l="0.70000000000000062" r="0.70000000000000062" t="0.75000000000000377"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57151</xdr:colOff>
      <xdr:row>16</xdr:row>
      <xdr:rowOff>57152</xdr:rowOff>
    </xdr:from>
    <xdr:to>
      <xdr:col>38</xdr:col>
      <xdr:colOff>47625</xdr:colOff>
      <xdr:row>30</xdr:row>
      <xdr:rowOff>104776</xdr:rowOff>
    </xdr:to>
    <xdr:graphicFrame macro="">
      <xdr:nvGraphicFramePr>
        <xdr:cNvPr id="989264" name="Chart 3">
          <a:extLst>
            <a:ext uri="{FF2B5EF4-FFF2-40B4-BE49-F238E27FC236}">
              <a16:creationId xmlns:a16="http://schemas.microsoft.com/office/drawing/2014/main" id="{00000000-0008-0000-0000-000050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85725</xdr:colOff>
      <xdr:row>43</xdr:row>
      <xdr:rowOff>28574</xdr:rowOff>
    </xdr:from>
    <xdr:to>
      <xdr:col>38</xdr:col>
      <xdr:colOff>76200</xdr:colOff>
      <xdr:row>55</xdr:row>
      <xdr:rowOff>123825</xdr:rowOff>
    </xdr:to>
    <xdr:graphicFrame macro="">
      <xdr:nvGraphicFramePr>
        <xdr:cNvPr id="989265" name="Chart 2">
          <a:extLst>
            <a:ext uri="{FF2B5EF4-FFF2-40B4-BE49-F238E27FC236}">
              <a16:creationId xmlns:a16="http://schemas.microsoft.com/office/drawing/2014/main" id="{00000000-0008-0000-0000-000051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113</xdr:row>
      <xdr:rowOff>142875</xdr:rowOff>
    </xdr:from>
    <xdr:to>
      <xdr:col>38</xdr:col>
      <xdr:colOff>104775</xdr:colOff>
      <xdr:row>132</xdr:row>
      <xdr:rowOff>85725</xdr:rowOff>
    </xdr:to>
    <xdr:graphicFrame macro="">
      <xdr:nvGraphicFramePr>
        <xdr:cNvPr id="989266" name="Chart 2">
          <a:extLst>
            <a:ext uri="{FF2B5EF4-FFF2-40B4-BE49-F238E27FC236}">
              <a16:creationId xmlns:a16="http://schemas.microsoft.com/office/drawing/2014/main" id="{00000000-0008-0000-0000-000052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0</xdr:colOff>
      <xdr:row>0</xdr:row>
      <xdr:rowOff>0</xdr:rowOff>
    </xdr:from>
    <xdr:ext cx="409575" cy="247650"/>
    <xdr:pic>
      <xdr:nvPicPr>
        <xdr:cNvPr id="6" name="Picture 4" descr="rsnlogo1.jp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647700"/>
          <a:ext cx="4095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57151</xdr:colOff>
      <xdr:row>16</xdr:row>
      <xdr:rowOff>19050</xdr:rowOff>
    </xdr:from>
    <xdr:to>
      <xdr:col>3</xdr:col>
      <xdr:colOff>28575</xdr:colOff>
      <xdr:row>17</xdr:row>
      <xdr:rowOff>123825</xdr:rowOff>
    </xdr:to>
    <xdr:sp macro="" textlink="D21">
      <xdr:nvSpPr>
        <xdr:cNvPr id="2" name="Rectangle 1">
          <a:extLst>
            <a:ext uri="{FF2B5EF4-FFF2-40B4-BE49-F238E27FC236}">
              <a16:creationId xmlns:a16="http://schemas.microsoft.com/office/drawing/2014/main" id="{00000000-0008-0000-0000-000002000000}"/>
            </a:ext>
          </a:extLst>
        </xdr:cNvPr>
        <xdr:cNvSpPr/>
      </xdr:nvSpPr>
      <xdr:spPr>
        <a:xfrm>
          <a:off x="104776" y="3038475"/>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4BB4C60A-239C-4D12-BD42-53D8C4E5352D}"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123825</xdr:colOff>
      <xdr:row>42</xdr:row>
      <xdr:rowOff>66675</xdr:rowOff>
    </xdr:from>
    <xdr:to>
      <xdr:col>3</xdr:col>
      <xdr:colOff>95249</xdr:colOff>
      <xdr:row>44</xdr:row>
      <xdr:rowOff>9525</xdr:rowOff>
    </xdr:to>
    <xdr:sp macro="" textlink="D21">
      <xdr:nvSpPr>
        <xdr:cNvPr id="8" name="Rectangle 7">
          <a:extLst>
            <a:ext uri="{FF2B5EF4-FFF2-40B4-BE49-F238E27FC236}">
              <a16:creationId xmlns:a16="http://schemas.microsoft.com/office/drawing/2014/main" id="{00000000-0008-0000-0000-000008000000}"/>
            </a:ext>
          </a:extLst>
        </xdr:cNvPr>
        <xdr:cNvSpPr/>
      </xdr:nvSpPr>
      <xdr:spPr>
        <a:xfrm>
          <a:off x="171450" y="7458075"/>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F1C8DFD4-087F-4F86-92F7-3CE9F906857C}"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66675</xdr:colOff>
      <xdr:row>113</xdr:row>
      <xdr:rowOff>19050</xdr:rowOff>
    </xdr:from>
    <xdr:to>
      <xdr:col>3</xdr:col>
      <xdr:colOff>38099</xdr:colOff>
      <xdr:row>114</xdr:row>
      <xdr:rowOff>133350</xdr:rowOff>
    </xdr:to>
    <xdr:sp macro="" textlink="D21">
      <xdr:nvSpPr>
        <xdr:cNvPr id="9" name="Rectangle 8">
          <a:extLst>
            <a:ext uri="{FF2B5EF4-FFF2-40B4-BE49-F238E27FC236}">
              <a16:creationId xmlns:a16="http://schemas.microsoft.com/office/drawing/2014/main" id="{00000000-0008-0000-0000-000009000000}"/>
            </a:ext>
          </a:extLst>
        </xdr:cNvPr>
        <xdr:cNvSpPr/>
      </xdr:nvSpPr>
      <xdr:spPr>
        <a:xfrm>
          <a:off x="114300" y="18573750"/>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F995019D-F542-44B3-ACF6-F17BAA3220FE}"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jects\2007\NNM\Model%20Test%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Model"/>
      <sheetName val="Data"/>
      <sheetName val="YourGroup"/>
      <sheetName val="Macros"/>
      <sheetName val="Master"/>
      <sheetName val="Counties"/>
      <sheetName val="London"/>
      <sheetName val="MetUnit"/>
      <sheetName val="Districts"/>
    </sheetNames>
    <sheetDataSet>
      <sheetData sheetId="0">
        <row r="2">
          <cell r="U2" t="str">
            <v>E0101</v>
          </cell>
        </row>
        <row r="6">
          <cell r="L6" t="e">
            <v>#N/A</v>
          </cell>
        </row>
        <row r="7">
          <cell r="L7" t="e">
            <v>#N/A</v>
          </cell>
        </row>
        <row r="8">
          <cell r="L8" t="e">
            <v>#N/A</v>
          </cell>
        </row>
        <row r="9">
          <cell r="L9" t="e">
            <v>#N/A</v>
          </cell>
        </row>
        <row r="10">
          <cell r="L10" t="e">
            <v>#N/A</v>
          </cell>
        </row>
        <row r="11">
          <cell r="L11" t="e">
            <v>#N/A</v>
          </cell>
        </row>
        <row r="12">
          <cell r="L12" t="e">
            <v>#N/A</v>
          </cell>
        </row>
        <row r="13">
          <cell r="L13" t="e">
            <v>#N/A</v>
          </cell>
        </row>
        <row r="14">
          <cell r="L14" t="e">
            <v>#N/A</v>
          </cell>
        </row>
        <row r="15">
          <cell r="L15" t="e">
            <v>#N/A</v>
          </cell>
        </row>
        <row r="16">
          <cell r="L16" t="e">
            <v>#N/A</v>
          </cell>
        </row>
        <row r="17">
          <cell r="L17" t="e">
            <v>#N/A</v>
          </cell>
        </row>
        <row r="18">
          <cell r="L18" t="e">
            <v>#N/A</v>
          </cell>
        </row>
        <row r="19">
          <cell r="L19" t="e">
            <v>#N/A</v>
          </cell>
        </row>
        <row r="20">
          <cell r="L20" t="e">
            <v>#N/A</v>
          </cell>
        </row>
      </sheetData>
      <sheetData sheetId="1">
        <row r="119">
          <cell r="A119">
            <v>115</v>
          </cell>
          <cell r="AN119">
            <v>0</v>
          </cell>
          <cell r="AW119">
            <v>12.87</v>
          </cell>
        </row>
        <row r="120">
          <cell r="AN120">
            <v>0</v>
          </cell>
          <cell r="AW120">
            <v>8.36</v>
          </cell>
        </row>
        <row r="121">
          <cell r="AN121">
            <v>0</v>
          </cell>
          <cell r="AW121">
            <v>11.66</v>
          </cell>
        </row>
        <row r="122">
          <cell r="AN122">
            <v>0</v>
          </cell>
          <cell r="AW122">
            <v>15.06</v>
          </cell>
        </row>
        <row r="123">
          <cell r="AN123">
            <v>1</v>
          </cell>
          <cell r="AW123">
            <v>22.87</v>
          </cell>
        </row>
        <row r="124">
          <cell r="AN124">
            <v>0</v>
          </cell>
          <cell r="AW124">
            <v>21.61</v>
          </cell>
        </row>
        <row r="125">
          <cell r="AN125">
            <v>0</v>
          </cell>
          <cell r="AW125">
            <v>19.670000000000002</v>
          </cell>
        </row>
        <row r="126">
          <cell r="AN126">
            <v>1</v>
          </cell>
          <cell r="AW126">
            <v>17.41</v>
          </cell>
        </row>
        <row r="127">
          <cell r="AN127">
            <v>0</v>
          </cell>
          <cell r="AW127">
            <v>13.01</v>
          </cell>
        </row>
        <row r="128">
          <cell r="AN128">
            <v>0</v>
          </cell>
          <cell r="AW128">
            <v>28.47</v>
          </cell>
        </row>
        <row r="129">
          <cell r="AN129">
            <v>1</v>
          </cell>
          <cell r="AW129">
            <v>17.3</v>
          </cell>
        </row>
        <row r="130">
          <cell r="AN130">
            <v>1</v>
          </cell>
          <cell r="AW130">
            <v>14.33</v>
          </cell>
        </row>
        <row r="131">
          <cell r="AN131">
            <v>0</v>
          </cell>
          <cell r="AW131">
            <v>13.51</v>
          </cell>
        </row>
        <row r="132">
          <cell r="AN132">
            <v>1</v>
          </cell>
          <cell r="AW132">
            <v>10.039999999999999</v>
          </cell>
        </row>
        <row r="133">
          <cell r="AN133">
            <v>0</v>
          </cell>
          <cell r="AW133">
            <v>14.8</v>
          </cell>
        </row>
        <row r="134">
          <cell r="AN134">
            <v>0</v>
          </cell>
          <cell r="AW134">
            <v>10.76</v>
          </cell>
        </row>
        <row r="135">
          <cell r="AN135">
            <v>1</v>
          </cell>
          <cell r="AW135">
            <v>16.010000000000002</v>
          </cell>
        </row>
        <row r="136">
          <cell r="AN136">
            <v>0</v>
          </cell>
          <cell r="AW136">
            <v>21.8</v>
          </cell>
        </row>
        <row r="137">
          <cell r="AN137">
            <v>0</v>
          </cell>
          <cell r="AW137">
            <v>10.98</v>
          </cell>
        </row>
        <row r="138">
          <cell r="AN138">
            <v>1</v>
          </cell>
          <cell r="AW138">
            <v>18.46</v>
          </cell>
        </row>
        <row r="139">
          <cell r="AN139">
            <v>0</v>
          </cell>
          <cell r="AW139">
            <v>17.93</v>
          </cell>
        </row>
        <row r="140">
          <cell r="AN140">
            <v>0</v>
          </cell>
          <cell r="AW140">
            <v>15.97</v>
          </cell>
        </row>
        <row r="141">
          <cell r="AN141">
            <v>0</v>
          </cell>
          <cell r="AW141">
            <v>21.88</v>
          </cell>
        </row>
        <row r="142">
          <cell r="AN142">
            <v>1</v>
          </cell>
          <cell r="AW142">
            <v>14.03</v>
          </cell>
        </row>
        <row r="143">
          <cell r="AN143">
            <v>0</v>
          </cell>
          <cell r="AW143">
            <v>20.92</v>
          </cell>
        </row>
        <row r="144">
          <cell r="AN144">
            <v>0</v>
          </cell>
          <cell r="AW144">
            <v>10.77</v>
          </cell>
        </row>
        <row r="145">
          <cell r="AN145">
            <v>0</v>
          </cell>
          <cell r="AW145">
            <v>15.39</v>
          </cell>
        </row>
        <row r="146">
          <cell r="AN146">
            <v>0</v>
          </cell>
          <cell r="AW146">
            <v>15.76</v>
          </cell>
        </row>
        <row r="147">
          <cell r="AN147">
            <v>0</v>
          </cell>
          <cell r="AW147">
            <v>16.309999999999999</v>
          </cell>
        </row>
        <row r="148">
          <cell r="AN148">
            <v>0</v>
          </cell>
          <cell r="AW148">
            <v>15.04</v>
          </cell>
        </row>
        <row r="149">
          <cell r="AN149">
            <v>0</v>
          </cell>
          <cell r="AW149">
            <v>7.56</v>
          </cell>
        </row>
        <row r="150">
          <cell r="AN150">
            <v>0</v>
          </cell>
          <cell r="AW150">
            <v>14.41</v>
          </cell>
        </row>
        <row r="151">
          <cell r="AN151">
            <v>1</v>
          </cell>
          <cell r="AW151">
            <v>11.91</v>
          </cell>
        </row>
        <row r="152">
          <cell r="AN152">
            <v>0</v>
          </cell>
          <cell r="AW152">
            <v>10.56</v>
          </cell>
        </row>
        <row r="395">
          <cell r="BA395">
            <v>1</v>
          </cell>
          <cell r="BB395">
            <v>2</v>
          </cell>
          <cell r="BC395">
            <v>3</v>
          </cell>
          <cell r="BD395">
            <v>4</v>
          </cell>
          <cell r="BE395">
            <v>5</v>
          </cell>
          <cell r="BF395">
            <v>6</v>
          </cell>
          <cell r="BG395">
            <v>7</v>
          </cell>
          <cell r="BH395">
            <v>8</v>
          </cell>
          <cell r="BI395">
            <v>9</v>
          </cell>
          <cell r="BJ395">
            <v>10</v>
          </cell>
          <cell r="BK395">
            <v>11</v>
          </cell>
          <cell r="BL395">
            <v>12</v>
          </cell>
          <cell r="BM395">
            <v>13</v>
          </cell>
          <cell r="BN395">
            <v>14</v>
          </cell>
          <cell r="BO395">
            <v>15</v>
          </cell>
          <cell r="BP395">
            <v>16</v>
          </cell>
          <cell r="BQ395">
            <v>17</v>
          </cell>
          <cell r="BR395">
            <v>18</v>
          </cell>
          <cell r="BS395">
            <v>19</v>
          </cell>
          <cell r="BT395">
            <v>20</v>
          </cell>
          <cell r="BU395">
            <v>21</v>
          </cell>
          <cell r="BV395">
            <v>22</v>
          </cell>
          <cell r="BW395">
            <v>23</v>
          </cell>
          <cell r="BX395">
            <v>24</v>
          </cell>
          <cell r="BY395">
            <v>25</v>
          </cell>
          <cell r="BZ395">
            <v>26</v>
          </cell>
          <cell r="CA395">
            <v>27</v>
          </cell>
          <cell r="CB395">
            <v>28</v>
          </cell>
          <cell r="CC395">
            <v>29</v>
          </cell>
          <cell r="CD395">
            <v>30</v>
          </cell>
          <cell r="CE395">
            <v>31</v>
          </cell>
          <cell r="CF395">
            <v>32</v>
          </cell>
          <cell r="CG395">
            <v>33</v>
          </cell>
          <cell r="CH395">
            <v>34</v>
          </cell>
          <cell r="CI395">
            <v>35</v>
          </cell>
          <cell r="CJ395">
            <v>36</v>
          </cell>
          <cell r="CK395">
            <v>37</v>
          </cell>
          <cell r="CL395">
            <v>38</v>
          </cell>
          <cell r="CM395">
            <v>39</v>
          </cell>
          <cell r="CN395">
            <v>40</v>
          </cell>
          <cell r="CO395">
            <v>41</v>
          </cell>
          <cell r="CP395">
            <v>42</v>
          </cell>
          <cell r="CQ395">
            <v>43</v>
          </cell>
          <cell r="CR395">
            <v>44</v>
          </cell>
          <cell r="CS395">
            <v>45</v>
          </cell>
          <cell r="CT395">
            <v>46</v>
          </cell>
          <cell r="CU395">
            <v>47</v>
          </cell>
        </row>
      </sheetData>
      <sheetData sheetId="2">
        <row r="2">
          <cell r="K2">
            <v>0</v>
          </cell>
        </row>
      </sheetData>
      <sheetData sheetId="3">
        <row r="1">
          <cell r="B1" t="b">
            <v>1</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0"/>
  </sheetPr>
  <dimension ref="B1:AV413"/>
  <sheetViews>
    <sheetView showGridLines="0" tabSelected="1" zoomScaleNormal="100" workbookViewId="0">
      <selection activeCell="J5" sqref="J5:S6"/>
    </sheetView>
  </sheetViews>
  <sheetFormatPr defaultColWidth="0" defaultRowHeight="13.2" zeroHeight="1"/>
  <cols>
    <col min="1" max="1" width="0.6640625" style="219" customWidth="1"/>
    <col min="2" max="39" width="2.44140625" style="219" customWidth="1"/>
    <col min="40" max="40" width="2.33203125" style="219" customWidth="1"/>
    <col min="41" max="41" width="3" style="219" customWidth="1"/>
    <col min="42" max="16384" width="0" style="219" hidden="1"/>
  </cols>
  <sheetData>
    <row r="1" spans="2:40" s="251" customFormat="1" ht="19.5" customHeight="1">
      <c r="B1" s="333" t="str">
        <f>VLOOKUP('Filtered Data'!D1,'Filtered Data'!L1:O6,3,FALSE)</f>
        <v>County</v>
      </c>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row>
    <row r="2" spans="2:40" s="251" customFormat="1"/>
    <row r="3" spans="2:40" s="251" customFormat="1" ht="19.5" customHeight="1">
      <c r="B3" s="324" t="str">
        <f>Data!B3</f>
        <v>Cycling Statistics</v>
      </c>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row>
    <row r="4" spans="2:40" s="251" customFormat="1">
      <c r="D4" s="252"/>
      <c r="E4" s="252"/>
    </row>
    <row r="5" spans="2:40" s="251" customFormat="1" ht="15.75" customHeight="1">
      <c r="B5" s="292" t="s">
        <v>334</v>
      </c>
      <c r="C5" s="292"/>
      <c r="D5" s="292"/>
      <c r="E5" s="292"/>
      <c r="J5" s="320" t="s">
        <v>306</v>
      </c>
      <c r="K5" s="320"/>
      <c r="L5" s="320"/>
      <c r="M5" s="320"/>
      <c r="N5" s="320"/>
      <c r="O5" s="320"/>
      <c r="P5" s="320"/>
      <c r="Q5" s="320"/>
      <c r="R5" s="320"/>
      <c r="S5" s="320"/>
      <c r="W5" s="297" t="s">
        <v>362</v>
      </c>
      <c r="X5" s="298"/>
      <c r="Y5" s="298"/>
      <c r="Z5" s="298"/>
      <c r="AA5" s="298"/>
      <c r="AB5" s="298"/>
      <c r="AC5" s="298"/>
      <c r="AD5" s="298"/>
      <c r="AE5" s="298"/>
      <c r="AF5" s="298"/>
      <c r="AG5" s="298"/>
      <c r="AH5" s="298"/>
      <c r="AI5" s="298"/>
      <c r="AJ5" s="298"/>
      <c r="AK5" s="298"/>
      <c r="AL5" s="298"/>
      <c r="AM5" s="299"/>
    </row>
    <row r="6" spans="2:40" s="251" customFormat="1" ht="17.25" customHeight="1">
      <c r="J6" s="320"/>
      <c r="K6" s="320"/>
      <c r="L6" s="320"/>
      <c r="M6" s="320"/>
      <c r="N6" s="320"/>
      <c r="O6" s="320"/>
      <c r="P6" s="320"/>
      <c r="Q6" s="320"/>
      <c r="R6" s="320"/>
      <c r="S6" s="320"/>
      <c r="W6" s="300" t="s">
        <v>888</v>
      </c>
      <c r="X6" s="301"/>
      <c r="Y6" s="301"/>
      <c r="Z6" s="301"/>
      <c r="AA6" s="301"/>
      <c r="AB6" s="301"/>
      <c r="AC6" s="301"/>
      <c r="AD6" s="301"/>
      <c r="AE6" s="301"/>
      <c r="AF6" s="301"/>
      <c r="AG6" s="301"/>
      <c r="AH6" s="301"/>
      <c r="AI6" s="301"/>
      <c r="AJ6" s="301"/>
      <c r="AK6" s="301"/>
      <c r="AL6" s="301"/>
      <c r="AM6" s="302"/>
    </row>
    <row r="7" spans="2:40" s="251" customFormat="1" ht="12.75" customHeight="1">
      <c r="W7" s="300"/>
      <c r="X7" s="301"/>
      <c r="Y7" s="301"/>
      <c r="Z7" s="301"/>
      <c r="AA7" s="301"/>
      <c r="AB7" s="301"/>
      <c r="AC7" s="301"/>
      <c r="AD7" s="301"/>
      <c r="AE7" s="301"/>
      <c r="AF7" s="301"/>
      <c r="AG7" s="301"/>
      <c r="AH7" s="301"/>
      <c r="AI7" s="301"/>
      <c r="AJ7" s="301"/>
      <c r="AK7" s="301"/>
      <c r="AL7" s="301"/>
      <c r="AM7" s="302"/>
    </row>
    <row r="8" spans="2:40" s="251" customFormat="1" ht="12.75" customHeight="1">
      <c r="B8" s="292" t="str">
        <f>IF('Filtered Data'!D1="L","County:","Type of Authority:")</f>
        <v>Type of Authority:</v>
      </c>
      <c r="C8" s="292"/>
      <c r="D8" s="292"/>
      <c r="E8" s="292"/>
      <c r="F8" s="292"/>
      <c r="G8" s="292"/>
      <c r="H8" s="292"/>
      <c r="I8" s="292"/>
      <c r="J8" s="252" t="str">
        <f>IF('Filtered Data'!D1="L",'Filtered Data'!I3,VLOOKUP('Filtered Data'!D1,'Filtered Data'!L1:O5,3,FALSE))</f>
        <v>County</v>
      </c>
      <c r="K8" s="252"/>
      <c r="L8" s="252"/>
      <c r="M8" s="252"/>
      <c r="N8" s="252"/>
      <c r="O8" s="252"/>
      <c r="P8" s="252"/>
      <c r="Q8" s="252"/>
      <c r="R8" s="252"/>
      <c r="W8" s="300"/>
      <c r="X8" s="301"/>
      <c r="Y8" s="301"/>
      <c r="Z8" s="301"/>
      <c r="AA8" s="301"/>
      <c r="AB8" s="301"/>
      <c r="AC8" s="301"/>
      <c r="AD8" s="301"/>
      <c r="AE8" s="301"/>
      <c r="AF8" s="301"/>
      <c r="AG8" s="301"/>
      <c r="AH8" s="301"/>
      <c r="AI8" s="301"/>
      <c r="AJ8" s="301"/>
      <c r="AK8" s="301"/>
      <c r="AL8" s="301"/>
      <c r="AM8" s="302"/>
    </row>
    <row r="9" spans="2:40" s="251" customFormat="1" ht="12.75" customHeight="1">
      <c r="B9" s="292" t="str">
        <f>IF('Filtered Data'!D1="L","Rural Classification:","Region:")</f>
        <v>Region:</v>
      </c>
      <c r="C9" s="292"/>
      <c r="D9" s="292"/>
      <c r="E9" s="292"/>
      <c r="F9" s="292"/>
      <c r="G9" s="292"/>
      <c r="H9" s="292"/>
      <c r="I9" s="292"/>
      <c r="J9" s="252" t="str">
        <f>IF('Filtered Data'!D1="L",'Filtered Data'!H3,'Filtered Data'!G3)</f>
        <v>North West</v>
      </c>
      <c r="K9" s="252"/>
      <c r="L9" s="252"/>
      <c r="M9" s="252"/>
      <c r="N9" s="252"/>
      <c r="O9" s="252"/>
      <c r="P9" s="252"/>
      <c r="Q9" s="252"/>
      <c r="R9" s="252"/>
      <c r="W9" s="300"/>
      <c r="X9" s="301"/>
      <c r="Y9" s="301"/>
      <c r="Z9" s="301"/>
      <c r="AA9" s="301"/>
      <c r="AB9" s="301"/>
      <c r="AC9" s="301"/>
      <c r="AD9" s="301"/>
      <c r="AE9" s="301"/>
      <c r="AF9" s="301"/>
      <c r="AG9" s="301"/>
      <c r="AH9" s="301"/>
      <c r="AI9" s="301"/>
      <c r="AJ9" s="301"/>
      <c r="AK9" s="301"/>
      <c r="AL9" s="301"/>
      <c r="AM9" s="302"/>
    </row>
    <row r="10" spans="2:40" s="251" customFormat="1" ht="12.75" customHeight="1">
      <c r="B10" s="292" t="str">
        <f>IF('Filtered Data'!D1="L","",IF('Filtered Data'!D1="SC","Rural Classification:",IF('Filtered Data'!D1="UA","Rural Classification:","County:")))</f>
        <v>Rural Classification:</v>
      </c>
      <c r="C10" s="292"/>
      <c r="D10" s="292"/>
      <c r="E10" s="292"/>
      <c r="F10" s="292"/>
      <c r="G10" s="292"/>
      <c r="H10" s="292"/>
      <c r="I10" s="292"/>
      <c r="J10" s="292" t="str">
        <f>IF('Filtered Data'!D1="L","",IF('Filtered Data'!D1="MD",'Filtered Data'!I3,IF('Filtered Data'!D1="SD",'Filtered Data'!I3,'Filtered Data'!H3)))</f>
        <v>Predominantly Rural</v>
      </c>
      <c r="K10" s="292"/>
      <c r="L10" s="292"/>
      <c r="M10" s="292"/>
      <c r="N10" s="292"/>
      <c r="O10" s="292"/>
      <c r="P10" s="292"/>
      <c r="Q10" s="292"/>
      <c r="R10" s="292"/>
      <c r="W10" s="300"/>
      <c r="X10" s="301"/>
      <c r="Y10" s="301"/>
      <c r="Z10" s="301"/>
      <c r="AA10" s="301"/>
      <c r="AB10" s="301"/>
      <c r="AC10" s="301"/>
      <c r="AD10" s="301"/>
      <c r="AE10" s="301"/>
      <c r="AF10" s="301"/>
      <c r="AG10" s="301"/>
      <c r="AH10" s="301"/>
      <c r="AI10" s="301"/>
      <c r="AJ10" s="301"/>
      <c r="AK10" s="301"/>
      <c r="AL10" s="301"/>
      <c r="AM10" s="302"/>
    </row>
    <row r="11" spans="2:40" s="251" customFormat="1" ht="12.75" customHeight="1">
      <c r="B11" s="292" t="str">
        <f>IF('Filtered Data'!D1="L","",IF('Filtered Data'!D1="SC","",IF('Filtered Data'!D1="UA","","Rural Classification:")))</f>
        <v/>
      </c>
      <c r="C11" s="292"/>
      <c r="D11" s="292"/>
      <c r="E11" s="292"/>
      <c r="F11" s="292"/>
      <c r="G11" s="292"/>
      <c r="H11" s="292"/>
      <c r="I11" s="292"/>
      <c r="J11" s="252" t="str">
        <f>IF('Filtered Data'!D1="MD",'Filtered Data'!H3,IF('Filtered Data'!D1="SD",'Filtered Data'!H3,""))</f>
        <v/>
      </c>
      <c r="K11" s="252"/>
      <c r="W11" s="306" t="s">
        <v>365</v>
      </c>
      <c r="X11" s="307"/>
      <c r="Y11" s="307"/>
      <c r="Z11" s="307"/>
      <c r="AA11" s="307"/>
      <c r="AB11" s="307"/>
      <c r="AC11" s="307"/>
      <c r="AD11" s="307"/>
      <c r="AE11" s="307"/>
      <c r="AF11" s="307"/>
      <c r="AG11" s="307"/>
      <c r="AH11" s="307"/>
      <c r="AI11" s="307"/>
      <c r="AJ11" s="307"/>
      <c r="AK11" s="307"/>
      <c r="AL11" s="307"/>
      <c r="AM11" s="308"/>
    </row>
    <row r="12" spans="2:40" s="251" customFormat="1" ht="12.75" customHeight="1">
      <c r="W12" s="343" t="s">
        <v>905</v>
      </c>
      <c r="X12" s="344"/>
      <c r="Y12" s="344"/>
      <c r="Z12" s="344"/>
      <c r="AA12" s="344"/>
      <c r="AB12" s="344"/>
      <c r="AC12" s="344"/>
      <c r="AD12" s="344"/>
      <c r="AE12" s="344"/>
      <c r="AF12" s="344"/>
      <c r="AG12" s="344"/>
      <c r="AH12" s="344"/>
      <c r="AI12" s="344"/>
      <c r="AJ12" s="344"/>
      <c r="AK12" s="344"/>
      <c r="AL12" s="344"/>
      <c r="AM12" s="345"/>
    </row>
    <row r="13" spans="2:40" s="251" customFormat="1" ht="12.75" customHeight="1">
      <c r="B13" s="252"/>
      <c r="C13" s="252"/>
      <c r="D13" s="252"/>
      <c r="E13" s="252"/>
      <c r="F13" s="252"/>
      <c r="G13" s="252"/>
      <c r="H13" s="252"/>
      <c r="I13" s="252"/>
      <c r="J13" s="252"/>
      <c r="K13" s="252"/>
      <c r="L13" s="252"/>
      <c r="M13" s="252"/>
      <c r="N13" s="252"/>
      <c r="O13" s="252"/>
      <c r="P13" s="252"/>
      <c r="Q13" s="252"/>
      <c r="R13" s="252"/>
      <c r="W13" s="306" t="s">
        <v>366</v>
      </c>
      <c r="X13" s="307"/>
      <c r="Y13" s="307"/>
      <c r="Z13" s="307"/>
      <c r="AA13" s="307"/>
      <c r="AB13" s="307"/>
      <c r="AC13" s="307"/>
      <c r="AD13" s="307"/>
      <c r="AE13" s="307"/>
      <c r="AF13" s="307"/>
      <c r="AG13" s="307"/>
      <c r="AH13" s="307"/>
      <c r="AI13" s="307"/>
      <c r="AJ13" s="307"/>
      <c r="AK13" s="307"/>
      <c r="AL13" s="307"/>
      <c r="AM13" s="308"/>
    </row>
    <row r="14" spans="2:40" s="251" customFormat="1" ht="25.5" customHeight="1">
      <c r="B14" s="252"/>
      <c r="C14" s="252"/>
      <c r="D14" s="252"/>
      <c r="E14" s="252"/>
      <c r="F14" s="252"/>
      <c r="G14" s="252"/>
      <c r="H14" s="252"/>
      <c r="I14" s="252"/>
      <c r="J14" s="252"/>
      <c r="K14" s="252"/>
      <c r="L14" s="252"/>
      <c r="M14" s="252"/>
      <c r="N14" s="252"/>
      <c r="O14" s="252"/>
      <c r="P14" s="252"/>
      <c r="Q14" s="252"/>
      <c r="R14" s="252"/>
      <c r="W14" s="303" t="str">
        <f>HLOOKUP(W6,Data!4:6,3,FALSE)</f>
        <v>Department for Transport statistics</v>
      </c>
      <c r="X14" s="304"/>
      <c r="Y14" s="304"/>
      <c r="Z14" s="304"/>
      <c r="AA14" s="304"/>
      <c r="AB14" s="304"/>
      <c r="AC14" s="304"/>
      <c r="AD14" s="304"/>
      <c r="AE14" s="304"/>
      <c r="AF14" s="304"/>
      <c r="AG14" s="304"/>
      <c r="AH14" s="304"/>
      <c r="AI14" s="304"/>
      <c r="AJ14" s="304"/>
      <c r="AK14" s="304"/>
      <c r="AL14" s="304"/>
      <c r="AM14" s="305"/>
    </row>
    <row r="15" spans="2:40" s="251" customFormat="1"/>
    <row r="16" spans="2:40">
      <c r="B16" s="311" t="str">
        <f>W6&amp;" - "&amp;W12</f>
        <v>Proportion of residents who do any cycling, at least once per month - 2018/19</v>
      </c>
      <c r="C16" s="312"/>
      <c r="D16" s="312"/>
      <c r="E16" s="312"/>
      <c r="F16" s="312"/>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2"/>
      <c r="AL16" s="312"/>
      <c r="AM16" s="313"/>
    </row>
    <row r="17" spans="2:42">
      <c r="B17" s="314"/>
      <c r="C17" s="315"/>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c r="AL17" s="315"/>
      <c r="AM17" s="316"/>
      <c r="AP17" s="220"/>
    </row>
    <row r="18" spans="2:42">
      <c r="B18" s="221"/>
      <c r="C18" s="222"/>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2"/>
      <c r="AI18" s="222"/>
      <c r="AJ18" s="222"/>
      <c r="AK18" s="222"/>
      <c r="AL18" s="222"/>
      <c r="AM18" s="224"/>
      <c r="AP18" s="220"/>
    </row>
    <row r="19" spans="2:42">
      <c r="B19" s="221"/>
      <c r="C19" s="222"/>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2"/>
      <c r="AI19" s="222"/>
      <c r="AJ19" s="222"/>
      <c r="AK19" s="222"/>
      <c r="AL19" s="222"/>
      <c r="AM19" s="224"/>
      <c r="AP19" s="220"/>
    </row>
    <row r="20" spans="2:42">
      <c r="B20" s="221"/>
      <c r="C20" s="222"/>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2"/>
      <c r="AI20" s="222"/>
      <c r="AJ20" s="222"/>
      <c r="AK20" s="222"/>
      <c r="AL20" s="222"/>
      <c r="AM20" s="224"/>
      <c r="AP20" s="220"/>
    </row>
    <row r="21" spans="2:42">
      <c r="B21" s="221"/>
      <c r="C21" s="222"/>
      <c r="D21" s="223" t="str">
        <f>IF('Filtered Data'!D8=".","",'Filtered Data'!D8)</f>
        <v/>
      </c>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2"/>
      <c r="AI21" s="222"/>
      <c r="AJ21" s="222"/>
      <c r="AK21" s="222"/>
      <c r="AL21" s="222"/>
      <c r="AM21" s="224"/>
      <c r="AP21" s="220"/>
    </row>
    <row r="22" spans="2:42">
      <c r="B22" s="221"/>
      <c r="C22" s="222"/>
      <c r="D22" s="223" t="str">
        <f>'Filtered Data'!D8</f>
        <v>.</v>
      </c>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2"/>
      <c r="AI22" s="222"/>
      <c r="AJ22" s="222"/>
      <c r="AK22" s="222"/>
      <c r="AL22" s="222"/>
      <c r="AM22" s="224"/>
      <c r="AP22" s="220"/>
    </row>
    <row r="23" spans="2:42">
      <c r="B23" s="221"/>
      <c r="C23" s="222"/>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2"/>
      <c r="AI23" s="222"/>
      <c r="AJ23" s="222"/>
      <c r="AK23" s="222"/>
      <c r="AL23" s="222"/>
      <c r="AM23" s="224"/>
      <c r="AP23" s="220"/>
    </row>
    <row r="24" spans="2:42">
      <c r="B24" s="221"/>
      <c r="C24" s="222"/>
      <c r="D24" s="223"/>
      <c r="E24" s="223"/>
      <c r="F24" s="223"/>
      <c r="G24" s="223"/>
      <c r="H24" s="223"/>
      <c r="I24" s="223"/>
      <c r="J24" s="223"/>
      <c r="K24" s="223"/>
      <c r="L24" s="223"/>
      <c r="M24" s="223"/>
      <c r="N24" s="223"/>
      <c r="O24" s="223"/>
      <c r="P24" s="223"/>
      <c r="Q24" s="223"/>
      <c r="R24" s="223"/>
      <c r="S24" s="223"/>
      <c r="T24" s="223"/>
      <c r="U24" s="223"/>
      <c r="V24" s="223"/>
      <c r="W24" s="223"/>
      <c r="X24" s="223"/>
      <c r="Y24" s="223"/>
      <c r="Z24" s="223"/>
      <c r="AA24" s="223"/>
      <c r="AB24" s="223"/>
      <c r="AC24" s="223"/>
      <c r="AD24" s="223"/>
      <c r="AE24" s="223"/>
      <c r="AF24" s="223"/>
      <c r="AG24" s="223"/>
      <c r="AH24" s="222"/>
      <c r="AI24" s="222"/>
      <c r="AJ24" s="222"/>
      <c r="AK24" s="222"/>
      <c r="AL24" s="222"/>
      <c r="AM24" s="224"/>
      <c r="AP24" s="220"/>
    </row>
    <row r="25" spans="2:42">
      <c r="B25" s="221"/>
      <c r="C25" s="222"/>
      <c r="D25" s="223"/>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2"/>
      <c r="AI25" s="222"/>
      <c r="AJ25" s="222"/>
      <c r="AK25" s="222"/>
      <c r="AL25" s="222"/>
      <c r="AM25" s="224"/>
      <c r="AP25" s="220"/>
    </row>
    <row r="26" spans="2:42">
      <c r="B26" s="221"/>
      <c r="C26" s="222"/>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2"/>
      <c r="AI26" s="222"/>
      <c r="AJ26" s="222"/>
      <c r="AK26" s="222"/>
      <c r="AL26" s="222"/>
      <c r="AM26" s="224"/>
      <c r="AP26" s="220"/>
    </row>
    <row r="27" spans="2:42">
      <c r="B27" s="221"/>
      <c r="C27" s="222"/>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2"/>
      <c r="AI27" s="222"/>
      <c r="AJ27" s="222"/>
      <c r="AK27" s="222"/>
      <c r="AL27" s="222"/>
      <c r="AM27" s="224"/>
      <c r="AP27" s="220"/>
    </row>
    <row r="28" spans="2:42">
      <c r="B28" s="221"/>
      <c r="C28" s="222"/>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2"/>
      <c r="AI28" s="222"/>
      <c r="AJ28" s="222"/>
      <c r="AK28" s="222"/>
      <c r="AL28" s="222"/>
      <c r="AM28" s="224"/>
      <c r="AP28" s="220"/>
    </row>
    <row r="29" spans="2:42">
      <c r="B29" s="221"/>
      <c r="C29" s="222"/>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2"/>
      <c r="AI29" s="222"/>
      <c r="AJ29" s="222"/>
      <c r="AK29" s="222"/>
      <c r="AL29" s="222"/>
      <c r="AM29" s="224"/>
      <c r="AP29" s="220"/>
    </row>
    <row r="30" spans="2:42">
      <c r="B30" s="221"/>
      <c r="C30" s="222"/>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2"/>
      <c r="AI30" s="222"/>
      <c r="AJ30" s="222"/>
      <c r="AK30" s="222"/>
      <c r="AL30" s="222"/>
      <c r="AM30" s="224"/>
      <c r="AP30" s="220"/>
    </row>
    <row r="31" spans="2:42">
      <c r="B31" s="221"/>
      <c r="C31" s="222"/>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2"/>
      <c r="AI31" s="222"/>
      <c r="AJ31" s="222"/>
      <c r="AK31" s="222"/>
      <c r="AL31" s="222"/>
      <c r="AM31" s="224"/>
      <c r="AP31" s="220"/>
    </row>
    <row r="32" spans="2:42">
      <c r="B32" s="225"/>
      <c r="C32" s="226"/>
      <c r="D32" s="226"/>
      <c r="E32" s="317" t="s">
        <v>341</v>
      </c>
      <c r="F32" s="319"/>
      <c r="G32" s="319"/>
      <c r="H32" s="319"/>
      <c r="I32" s="319"/>
      <c r="J32" s="319"/>
      <c r="K32" s="318">
        <f>IF('Filtered Data'!$H$8="..",'Filtered Data'!O10,'Filtered Data'!O10/100)</f>
        <v>18.75413441664665</v>
      </c>
      <c r="L32" s="318"/>
      <c r="M32" s="318"/>
      <c r="N32" s="317" t="s">
        <v>352</v>
      </c>
      <c r="O32" s="317"/>
      <c r="P32" s="317"/>
      <c r="Q32" s="317"/>
      <c r="R32" s="317"/>
      <c r="S32" s="317"/>
      <c r="T32" s="318">
        <f>IF('Filtered Data'!$H$8="..",'Filtered Data'!P10,'Filtered Data'!P10/100)</f>
        <v>16.26259547069758</v>
      </c>
      <c r="U32" s="318"/>
      <c r="V32" s="318"/>
      <c r="W32" s="318"/>
      <c r="X32" s="317" t="s">
        <v>353</v>
      </c>
      <c r="Y32" s="317"/>
      <c r="Z32" s="317"/>
      <c r="AA32" s="317"/>
      <c r="AB32" s="317"/>
      <c r="AC32" s="318">
        <f>IF('Filtered Data'!$H$8="..",'Filtered Data'!Q10,'Filtered Data'!Q10/100)</f>
        <v>14.836317443731243</v>
      </c>
      <c r="AD32" s="318"/>
      <c r="AE32" s="318"/>
      <c r="AF32" s="317" t="s">
        <v>342</v>
      </c>
      <c r="AG32" s="317"/>
      <c r="AH32" s="317"/>
      <c r="AI32" s="317"/>
      <c r="AJ32" s="317"/>
      <c r="AK32" s="317"/>
      <c r="AL32" s="317"/>
      <c r="AM32" s="227"/>
      <c r="AP32" s="220"/>
    </row>
    <row r="33" spans="2:42" s="251" customFormat="1">
      <c r="B33" s="251" t="str">
        <f>"The graph &amp; quartile information show data for all "&amp;V37&amp;" "&amp;VLOOKUP('Filtered Data'!D1,'Filtered Data'!L1:O6,3,FALSE)&amp;" councils in England."</f>
        <v>The graph &amp; quartile information show data for all 27 County councils in England.</v>
      </c>
      <c r="AP33" s="253"/>
    </row>
    <row r="34" spans="2:42" s="251" customFormat="1">
      <c r="AP34" s="253"/>
    </row>
    <row r="35" spans="2:42">
      <c r="B35" s="249" t="str">
        <f>J5</f>
        <v>Cumbria</v>
      </c>
      <c r="C35" s="249"/>
      <c r="D35" s="254"/>
      <c r="E35" s="249"/>
      <c r="F35" s="249"/>
      <c r="G35" s="249"/>
      <c r="H35" s="249"/>
      <c r="I35" s="249"/>
      <c r="J35" s="228"/>
      <c r="K35" s="229" t="s">
        <v>356</v>
      </c>
      <c r="L35" s="310">
        <f>IF(ISERROR(IF('Filtered Data'!$H$8="%.",(VLOOKUP(J5,'Filtered Data'!C:H,4,FALSE))/100,(VLOOKUP(J5,'Filtered Data'!C:H,4,FALSE)))),"",(IF('Filtered Data'!$H$8="%.",(VLOOKUP(J5,'Filtered Data'!C:H,4,FALSE))/100,(VLOOKUP(J5,'Filtered Data'!C:H,4,FALSE)))))</f>
        <v>16.018311396308022</v>
      </c>
      <c r="M35" s="310"/>
      <c r="N35" s="310"/>
      <c r="O35" s="310"/>
      <c r="P35" s="250"/>
      <c r="Q35" s="310" t="s">
        <v>354</v>
      </c>
      <c r="R35" s="310"/>
      <c r="S35" s="310"/>
      <c r="T35" s="310"/>
      <c r="U35" s="310"/>
      <c r="V35" s="310"/>
      <c r="W35" s="310"/>
      <c r="AP35" s="220"/>
    </row>
    <row r="36" spans="2:42" ht="12.75" customHeight="1">
      <c r="B36" s="309" t="str">
        <f>'Filtered Data'!R8&amp;" Quartile"</f>
        <v>Third Quartile</v>
      </c>
      <c r="C36" s="309"/>
      <c r="D36" s="309"/>
      <c r="E36" s="309"/>
      <c r="F36" s="309"/>
      <c r="G36" s="309"/>
      <c r="H36" s="309"/>
      <c r="I36" s="309"/>
      <c r="J36" s="309"/>
      <c r="K36" s="309"/>
      <c r="L36" s="309"/>
      <c r="M36" s="309"/>
      <c r="N36" s="309"/>
      <c r="O36" s="309"/>
      <c r="P36" s="309"/>
      <c r="Q36" s="309"/>
      <c r="R36" s="309"/>
      <c r="S36" s="309"/>
      <c r="T36" s="309"/>
      <c r="U36" s="309"/>
      <c r="V36" s="309"/>
      <c r="W36" s="309"/>
      <c r="Z36" s="230" t="s">
        <v>358</v>
      </c>
      <c r="AB36" s="322" t="s">
        <v>360</v>
      </c>
      <c r="AC36" s="322"/>
      <c r="AD36" s="322"/>
      <c r="AE36" s="322"/>
      <c r="AF36" s="322"/>
      <c r="AG36" s="322"/>
      <c r="AH36" s="322"/>
      <c r="AI36" s="322"/>
      <c r="AJ36" s="322"/>
      <c r="AK36" s="322"/>
      <c r="AL36" s="322"/>
      <c r="AM36" s="255"/>
      <c r="AP36" s="220"/>
    </row>
    <row r="37" spans="2:42" ht="12.75" customHeight="1">
      <c r="B37" s="256" t="str">
        <f>VLOOKUP('Filtered Data'!D1,'Filtered Data'!L1:O6,2,FALSE)</f>
        <v>Counties</v>
      </c>
      <c r="C37" s="256"/>
      <c r="D37" s="256"/>
      <c r="E37" s="256"/>
      <c r="F37" s="256"/>
      <c r="G37" s="256"/>
      <c r="H37" s="256"/>
      <c r="I37" s="256"/>
      <c r="J37" s="331" t="s">
        <v>903</v>
      </c>
      <c r="K37" s="232" t="str">
        <f>IF(Q37="","",IF('Filtered Data'!I8="D",IF($L$35&gt;=L37,"J","L"),IF('Filtered Data'!I8="A",IF($L$35&lt;=L37,"J","L"))))</f>
        <v>L</v>
      </c>
      <c r="L37" s="327">
        <f>'Filtered Data'!M9</f>
        <v>16.892058683650347</v>
      </c>
      <c r="M37" s="327"/>
      <c r="N37" s="327"/>
      <c r="O37" s="327"/>
      <c r="P37" s="257"/>
      <c r="Q37" s="326">
        <f>VLOOKUP(J5,'Filtered Data'!C:I,7,FALSE)</f>
        <v>16</v>
      </c>
      <c r="R37" s="326"/>
      <c r="S37" s="260"/>
      <c r="T37" s="259" t="s">
        <v>355</v>
      </c>
      <c r="U37" s="259"/>
      <c r="V37" s="326">
        <f>COUNT('Filtered Data'!I11:I363)</f>
        <v>27</v>
      </c>
      <c r="W37" s="326"/>
      <c r="AB37" s="322"/>
      <c r="AC37" s="322"/>
      <c r="AD37" s="322"/>
      <c r="AE37" s="322"/>
      <c r="AF37" s="322"/>
      <c r="AG37" s="322"/>
      <c r="AH37" s="322"/>
      <c r="AI37" s="322"/>
      <c r="AJ37" s="322"/>
      <c r="AK37" s="322"/>
      <c r="AL37" s="322"/>
      <c r="AM37" s="255"/>
      <c r="AP37" s="220"/>
    </row>
    <row r="38" spans="2:42">
      <c r="B38" s="256" t="str">
        <f>IF('Filtered Data'!D1="L","",IF('Filtered Data'!D1="SD",J10,"Regional"))</f>
        <v>Regional</v>
      </c>
      <c r="C38" s="256"/>
      <c r="D38" s="256"/>
      <c r="E38" s="256"/>
      <c r="F38" s="256"/>
      <c r="G38" s="256"/>
      <c r="H38" s="256"/>
      <c r="I38" s="256"/>
      <c r="J38" s="332"/>
      <c r="K38" s="232" t="str">
        <f>IF(Q38="","",IF('Filtered Data'!I8="D",IF($L$35&gt;=L38,"J","L"),IF('Filtered Data'!I8="A",IF($L$35&lt;=L38,"J","L"))))</f>
        <v>J</v>
      </c>
      <c r="L38" s="327">
        <f>IF('Filtered Data'!D1="L","",IF('Filtered Data'!D1="SD",'Filtered Data'!AJ9,'Filtered Data'!AQ9))</f>
        <v>14.88761663900587</v>
      </c>
      <c r="M38" s="327"/>
      <c r="N38" s="327"/>
      <c r="O38" s="327"/>
      <c r="P38" s="257"/>
      <c r="Q38" s="326">
        <f>IF(ISERROR(IF('Filtered Data'!D1="L","",IF('Filtered Data'!D1="SD",VLOOKUP(J5,'Filtered Data'!L:AK,26,FALSE),(VLOOKUP(J5,'Filtered Data'!L:AR,33,FALSE))))),"",(IF('Filtered Data'!D1="L","",IF('Filtered Data'!D1="SD",VLOOKUP(J5,'Filtered Data'!L:AK,26,FALSE),(VLOOKUP(J5,'Filtered Data'!L:AR,33,FALSE))))))</f>
        <v>1</v>
      </c>
      <c r="R38" s="326"/>
      <c r="S38" s="258"/>
      <c r="T38" s="259" t="str">
        <f>IF(B38="","","out of")</f>
        <v>out of</v>
      </c>
      <c r="U38" s="259"/>
      <c r="V38" s="326">
        <f>IF('Filtered Data'!D1="L","",IF('Filtered Data'!D1="SD",COUNT('Filtered Data'!AK11:AK363),(COUNT('Filtered Data'!AQ11:AQ363))))</f>
        <v>2</v>
      </c>
      <c r="W38" s="326"/>
      <c r="Z38" s="233" t="s">
        <v>359</v>
      </c>
      <c r="AB38" s="322" t="s">
        <v>361</v>
      </c>
      <c r="AC38" s="322"/>
      <c r="AD38" s="322"/>
      <c r="AE38" s="322"/>
      <c r="AF38" s="322"/>
      <c r="AG38" s="322"/>
      <c r="AH38" s="322"/>
      <c r="AI38" s="322"/>
      <c r="AJ38" s="322"/>
      <c r="AK38" s="322"/>
      <c r="AL38" s="322"/>
      <c r="AM38" s="322"/>
      <c r="AP38" s="220"/>
    </row>
    <row r="39" spans="2:42" ht="12.75" customHeight="1">
      <c r="B39" s="275"/>
      <c r="C39" s="275"/>
      <c r="D39" s="275"/>
      <c r="E39" s="275"/>
      <c r="F39" s="275"/>
      <c r="G39" s="275"/>
      <c r="H39" s="275"/>
      <c r="I39" s="275"/>
      <c r="J39" s="274"/>
      <c r="K39" s="235"/>
      <c r="L39" s="325"/>
      <c r="M39" s="325"/>
      <c r="N39" s="325"/>
      <c r="O39" s="325"/>
      <c r="P39" s="276"/>
      <c r="Q39" s="329"/>
      <c r="R39" s="329"/>
      <c r="S39" s="325"/>
      <c r="T39" s="325"/>
      <c r="U39" s="325"/>
      <c r="V39" s="329"/>
      <c r="W39" s="329"/>
      <c r="AB39" s="322"/>
      <c r="AC39" s="322"/>
      <c r="AD39" s="322"/>
      <c r="AE39" s="322"/>
      <c r="AF39" s="322"/>
      <c r="AG39" s="322"/>
      <c r="AH39" s="322"/>
      <c r="AI39" s="322"/>
      <c r="AJ39" s="322"/>
      <c r="AK39" s="322"/>
      <c r="AL39" s="322"/>
      <c r="AM39" s="322"/>
      <c r="AP39" s="220"/>
    </row>
    <row r="40" spans="2:42">
      <c r="B40" s="277"/>
      <c r="C40" s="277"/>
      <c r="D40" s="277"/>
      <c r="E40" s="277"/>
      <c r="F40" s="277"/>
      <c r="G40" s="277"/>
      <c r="H40" s="277"/>
      <c r="I40" s="277"/>
      <c r="J40" s="234"/>
      <c r="K40" s="278" t="str">
        <f>IF(B40="","",IF('Filtered Data'!D1="UA","",(IF($L$35&gt;=L40,"J","L"))))</f>
        <v/>
      </c>
      <c r="L40" s="342"/>
      <c r="M40" s="342"/>
      <c r="N40" s="342"/>
      <c r="O40" s="342"/>
      <c r="P40" s="279"/>
      <c r="Q40" s="330"/>
      <c r="R40" s="330"/>
      <c r="S40" s="328"/>
      <c r="T40" s="328"/>
      <c r="U40" s="328"/>
      <c r="V40" s="330"/>
      <c r="W40" s="330"/>
      <c r="AB40" s="231"/>
      <c r="AC40" s="231"/>
      <c r="AD40" s="231"/>
      <c r="AE40" s="231"/>
      <c r="AF40" s="231"/>
      <c r="AG40" s="231"/>
      <c r="AH40" s="231"/>
      <c r="AI40" s="231"/>
      <c r="AJ40" s="231"/>
      <c r="AK40" s="231"/>
      <c r="AL40" s="231"/>
      <c r="AM40" s="231"/>
      <c r="AP40" s="220"/>
    </row>
    <row r="41" spans="2:42">
      <c r="B41" s="222"/>
      <c r="C41" s="222"/>
      <c r="D41" s="222"/>
      <c r="E41" s="222"/>
      <c r="F41" s="222"/>
      <c r="G41" s="222"/>
      <c r="H41" s="222"/>
      <c r="I41" s="222"/>
      <c r="J41" s="236"/>
      <c r="K41" s="237"/>
      <c r="L41" s="238"/>
      <c r="M41" s="238"/>
      <c r="N41" s="238"/>
      <c r="O41" s="238"/>
      <c r="P41" s="239"/>
      <c r="Q41" s="240"/>
      <c r="R41" s="240"/>
      <c r="S41" s="241"/>
      <c r="T41" s="240"/>
      <c r="U41" s="240"/>
      <c r="V41" s="240"/>
      <c r="W41" s="240"/>
      <c r="AB41" s="242"/>
      <c r="AC41" s="242"/>
      <c r="AD41" s="242"/>
      <c r="AE41" s="242"/>
      <c r="AF41" s="242"/>
      <c r="AG41" s="242"/>
      <c r="AH41" s="242"/>
      <c r="AI41" s="242"/>
      <c r="AJ41" s="242"/>
      <c r="AK41" s="242"/>
      <c r="AL41" s="242"/>
      <c r="AM41" s="242"/>
      <c r="AP41" s="220"/>
    </row>
    <row r="42" spans="2:42">
      <c r="B42" s="338" t="s">
        <v>357</v>
      </c>
      <c r="C42" s="339"/>
      <c r="D42" s="339"/>
      <c r="E42" s="339"/>
      <c r="F42" s="339"/>
      <c r="G42" s="339"/>
      <c r="H42" s="339"/>
      <c r="I42" s="339"/>
      <c r="J42" s="339"/>
      <c r="K42" s="339"/>
      <c r="L42" s="339"/>
      <c r="M42" s="339"/>
      <c r="N42" s="339"/>
      <c r="O42" s="334" t="str">
        <f>W6&amp;" - "&amp;W12</f>
        <v>Proportion of residents who do any cycling, at least once per month - 2018/19</v>
      </c>
      <c r="P42" s="334"/>
      <c r="Q42" s="334"/>
      <c r="R42" s="334"/>
      <c r="S42" s="334"/>
      <c r="T42" s="334"/>
      <c r="U42" s="334"/>
      <c r="V42" s="334"/>
      <c r="W42" s="334"/>
      <c r="X42" s="334"/>
      <c r="Y42" s="334"/>
      <c r="Z42" s="334"/>
      <c r="AA42" s="334"/>
      <c r="AB42" s="334"/>
      <c r="AC42" s="334"/>
      <c r="AD42" s="334"/>
      <c r="AE42" s="334"/>
      <c r="AF42" s="334"/>
      <c r="AG42" s="334"/>
      <c r="AH42" s="334"/>
      <c r="AI42" s="334"/>
      <c r="AJ42" s="334"/>
      <c r="AK42" s="334"/>
      <c r="AL42" s="334"/>
      <c r="AM42" s="335"/>
      <c r="AP42" s="220"/>
    </row>
    <row r="43" spans="2:42">
      <c r="B43" s="340"/>
      <c r="C43" s="341"/>
      <c r="D43" s="341"/>
      <c r="E43" s="341"/>
      <c r="F43" s="341"/>
      <c r="G43" s="341"/>
      <c r="H43" s="341"/>
      <c r="I43" s="341"/>
      <c r="J43" s="341"/>
      <c r="K43" s="341"/>
      <c r="L43" s="341"/>
      <c r="M43" s="341"/>
      <c r="N43" s="341"/>
      <c r="O43" s="336"/>
      <c r="P43" s="336"/>
      <c r="Q43" s="336"/>
      <c r="R43" s="336"/>
      <c r="S43" s="336"/>
      <c r="T43" s="336"/>
      <c r="U43" s="336"/>
      <c r="V43" s="336"/>
      <c r="W43" s="336"/>
      <c r="X43" s="336"/>
      <c r="Y43" s="336"/>
      <c r="Z43" s="336"/>
      <c r="AA43" s="336"/>
      <c r="AB43" s="336"/>
      <c r="AC43" s="336"/>
      <c r="AD43" s="336"/>
      <c r="AE43" s="336"/>
      <c r="AF43" s="336"/>
      <c r="AG43" s="336"/>
      <c r="AH43" s="336"/>
      <c r="AI43" s="336"/>
      <c r="AJ43" s="336"/>
      <c r="AK43" s="336"/>
      <c r="AL43" s="336"/>
      <c r="AM43" s="337"/>
      <c r="AP43" s="220"/>
    </row>
    <row r="44" spans="2:42">
      <c r="B44" s="243"/>
      <c r="C44" s="223"/>
      <c r="D44" s="223"/>
      <c r="E44" s="223"/>
      <c r="F44" s="223"/>
      <c r="G44" s="222"/>
      <c r="H44" s="222"/>
      <c r="I44" s="222"/>
      <c r="J44" s="222"/>
      <c r="K44" s="239"/>
      <c r="L44" s="239"/>
      <c r="M44" s="239"/>
      <c r="N44" s="239"/>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4"/>
      <c r="AP44" s="220"/>
    </row>
    <row r="45" spans="2:42">
      <c r="B45" s="243"/>
      <c r="C45" s="223"/>
      <c r="D45" s="223"/>
      <c r="E45" s="223"/>
      <c r="F45" s="223"/>
      <c r="G45" s="222"/>
      <c r="H45" s="222"/>
      <c r="I45" s="222"/>
      <c r="J45" s="222"/>
      <c r="K45" s="239"/>
      <c r="L45" s="239"/>
      <c r="M45" s="239"/>
      <c r="N45" s="239"/>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4"/>
      <c r="AP45" s="220"/>
    </row>
    <row r="46" spans="2:42">
      <c r="B46" s="243"/>
      <c r="C46" s="223"/>
      <c r="D46" s="223" t="e">
        <f>IF((VLOOKUP(Profile!W6,'Indicator info'!A:B,4,FALSE))=".","",(VLOOKUP(Profile!W6,'Indicator info'!A:B,4,FALSE)))</f>
        <v>#REF!</v>
      </c>
      <c r="E46" s="223"/>
      <c r="F46" s="223"/>
      <c r="G46" s="222"/>
      <c r="H46" s="222"/>
      <c r="I46" s="222"/>
      <c r="J46" s="222"/>
      <c r="K46" s="239" t="s">
        <v>795</v>
      </c>
      <c r="L46" s="239"/>
      <c r="M46" s="239" t="s">
        <v>796</v>
      </c>
      <c r="N46" s="239"/>
      <c r="O46" s="222" t="s">
        <v>797</v>
      </c>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4"/>
      <c r="AP46" s="220"/>
    </row>
    <row r="47" spans="2:42">
      <c r="B47" s="243"/>
      <c r="C47" s="223"/>
      <c r="D47" s="244" t="str">
        <f>B35</f>
        <v>Cumbria</v>
      </c>
      <c r="E47" s="321">
        <f>IF('Filtered Data'!$H$8="..",L35,L35*100)</f>
        <v>16.018311396308022</v>
      </c>
      <c r="F47" s="321"/>
      <c r="G47" s="321"/>
      <c r="H47" s="321"/>
      <c r="I47" s="222"/>
      <c r="J47" s="222"/>
      <c r="K47" s="287">
        <f>IF('Filtered Data'!$H$8="..",K$32,K$32*100)</f>
        <v>18.75413441664665</v>
      </c>
      <c r="L47" s="287"/>
      <c r="M47" s="287">
        <f>IF('Filtered Data'!$H$8="..",T$32,T$32*100)</f>
        <v>16.26259547069758</v>
      </c>
      <c r="N47" s="287"/>
      <c r="O47" s="287">
        <f>IF('Filtered Data'!$H$8="..",AC$32,AC$32*100)</f>
        <v>14.836317443731243</v>
      </c>
      <c r="P47" s="287"/>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4"/>
      <c r="AP47" s="220"/>
    </row>
    <row r="48" spans="2:42">
      <c r="B48" s="243"/>
      <c r="C48" s="223"/>
      <c r="D48" s="245" t="str">
        <f>B37</f>
        <v>Counties</v>
      </c>
      <c r="E48" s="321">
        <f>IF('Filtered Data'!$H$8="..",L37,L37*100)</f>
        <v>16.892058683650347</v>
      </c>
      <c r="F48" s="321"/>
      <c r="G48" s="321"/>
      <c r="H48" s="321"/>
      <c r="I48" s="222"/>
      <c r="J48" s="222"/>
      <c r="K48" s="287">
        <f>IF('Filtered Data'!$H$8="..",K$32,K$32*100)</f>
        <v>18.75413441664665</v>
      </c>
      <c r="L48" s="287"/>
      <c r="M48" s="287">
        <f>IF('Filtered Data'!$H$8="..",T$32,T$32*100)</f>
        <v>16.26259547069758</v>
      </c>
      <c r="N48" s="287"/>
      <c r="O48" s="287">
        <f>IF('Filtered Data'!$H$8="..",AC$32,AC$32*100)</f>
        <v>14.836317443731243</v>
      </c>
      <c r="P48" s="287"/>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4"/>
      <c r="AP48" s="220"/>
    </row>
    <row r="49" spans="2:42">
      <c r="B49" s="243"/>
      <c r="C49" s="223"/>
      <c r="D49" s="244" t="str">
        <f>B38</f>
        <v>Regional</v>
      </c>
      <c r="E49" s="321">
        <f>IF('Filtered Data'!$H$8="..",L38,L38*100)</f>
        <v>14.88761663900587</v>
      </c>
      <c r="F49" s="321"/>
      <c r="G49" s="321"/>
      <c r="H49" s="321"/>
      <c r="I49" s="222"/>
      <c r="J49" s="222"/>
      <c r="K49" s="287">
        <f>IF('Filtered Data'!$H$8="..",K$32,K$32*100)</f>
        <v>18.75413441664665</v>
      </c>
      <c r="L49" s="287"/>
      <c r="M49" s="287">
        <f>IF('Filtered Data'!$H$8="..",T$32,T$32*100)</f>
        <v>16.26259547069758</v>
      </c>
      <c r="N49" s="287"/>
      <c r="O49" s="287">
        <f>IF('Filtered Data'!$H$8="..",AC$32,AC$32*100)</f>
        <v>14.836317443731243</v>
      </c>
      <c r="P49" s="287"/>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4"/>
      <c r="AP49" s="220"/>
    </row>
    <row r="50" spans="2:42">
      <c r="B50" s="243"/>
      <c r="C50" s="223"/>
      <c r="D50" s="244"/>
      <c r="E50" s="321"/>
      <c r="F50" s="321"/>
      <c r="G50" s="321"/>
      <c r="H50" s="321"/>
      <c r="I50" s="222"/>
      <c r="J50" s="222"/>
      <c r="K50" s="287"/>
      <c r="L50" s="287"/>
      <c r="M50" s="287"/>
      <c r="N50" s="287"/>
      <c r="O50" s="287"/>
      <c r="P50" s="287"/>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4"/>
      <c r="AP50" s="220"/>
    </row>
    <row r="51" spans="2:42">
      <c r="B51" s="243"/>
      <c r="C51" s="223"/>
      <c r="D51" s="245"/>
      <c r="E51" s="321"/>
      <c r="F51" s="321"/>
      <c r="G51" s="321"/>
      <c r="H51" s="321"/>
      <c r="I51" s="222"/>
      <c r="J51" s="222"/>
      <c r="K51" s="287"/>
      <c r="L51" s="287"/>
      <c r="M51" s="287"/>
      <c r="N51" s="287"/>
      <c r="O51" s="287"/>
      <c r="P51" s="287"/>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4"/>
      <c r="AP51" s="220"/>
    </row>
    <row r="52" spans="2:42">
      <c r="B52" s="243"/>
      <c r="C52" s="223"/>
      <c r="D52" s="245"/>
      <c r="E52" s="347"/>
      <c r="F52" s="347"/>
      <c r="G52" s="347"/>
      <c r="H52" s="347"/>
      <c r="I52" s="222"/>
      <c r="J52" s="222"/>
      <c r="K52" s="287"/>
      <c r="L52" s="287"/>
      <c r="M52" s="287"/>
      <c r="N52" s="287"/>
      <c r="O52" s="287"/>
      <c r="P52" s="287"/>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4"/>
      <c r="AP52" s="220"/>
    </row>
    <row r="53" spans="2:42">
      <c r="B53" s="243"/>
      <c r="C53" s="223"/>
      <c r="D53" s="223"/>
      <c r="E53" s="223"/>
      <c r="F53" s="223"/>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4"/>
      <c r="AP53" s="220"/>
    </row>
    <row r="54" spans="2:42">
      <c r="B54" s="243"/>
      <c r="C54" s="223"/>
      <c r="D54" s="223"/>
      <c r="E54" s="223"/>
      <c r="F54" s="223"/>
      <c r="G54" s="222"/>
      <c r="H54" s="222"/>
      <c r="I54" s="222"/>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2"/>
      <c r="AG54" s="222"/>
      <c r="AH54" s="222"/>
      <c r="AI54" s="222"/>
      <c r="AJ54" s="222"/>
      <c r="AK54" s="222"/>
      <c r="AL54" s="222"/>
      <c r="AM54" s="224"/>
      <c r="AP54" s="220"/>
    </row>
    <row r="55" spans="2:42">
      <c r="B55" s="243"/>
      <c r="C55" s="223"/>
      <c r="D55" s="223"/>
      <c r="E55" s="223"/>
      <c r="F55" s="223"/>
      <c r="G55" s="222"/>
      <c r="H55" s="222"/>
      <c r="I55" s="222"/>
      <c r="J55" s="222"/>
      <c r="K55" s="222"/>
      <c r="L55" s="222"/>
      <c r="M55" s="222"/>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c r="AL55" s="222"/>
      <c r="AM55" s="224"/>
      <c r="AP55" s="220"/>
    </row>
    <row r="56" spans="2:42">
      <c r="B56" s="246"/>
      <c r="C56" s="247"/>
      <c r="D56" s="247"/>
      <c r="E56" s="247"/>
      <c r="F56" s="247"/>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226"/>
      <c r="AK56" s="226"/>
      <c r="AL56" s="226"/>
      <c r="AM56" s="227"/>
      <c r="AP56" s="220"/>
    </row>
    <row r="57" spans="2:42">
      <c r="B57" s="223"/>
      <c r="C57" s="223"/>
      <c r="D57" s="223"/>
      <c r="E57" s="223"/>
      <c r="F57" s="223"/>
      <c r="G57" s="222"/>
      <c r="H57" s="222"/>
      <c r="I57" s="222"/>
      <c r="J57" s="222"/>
      <c r="K57" s="222"/>
      <c r="L57" s="222"/>
      <c r="M57" s="222"/>
      <c r="N57" s="222"/>
      <c r="O57" s="222"/>
      <c r="P57" s="222"/>
      <c r="Q57" s="222"/>
      <c r="R57" s="222"/>
      <c r="S57" s="222"/>
      <c r="T57" s="222"/>
      <c r="U57" s="222"/>
      <c r="V57" s="222"/>
      <c r="W57" s="222"/>
      <c r="X57" s="222"/>
      <c r="Y57" s="222"/>
      <c r="Z57" s="222"/>
      <c r="AA57" s="222"/>
      <c r="AB57" s="222"/>
      <c r="AC57" s="222"/>
      <c r="AD57" s="222"/>
      <c r="AE57" s="222"/>
      <c r="AF57" s="222"/>
      <c r="AG57" s="222"/>
      <c r="AH57" s="222"/>
      <c r="AI57" s="222"/>
      <c r="AJ57" s="222"/>
      <c r="AK57" s="222"/>
      <c r="AL57" s="222"/>
      <c r="AM57" s="222"/>
      <c r="AP57" s="220"/>
    </row>
    <row r="58" spans="2:42" s="251" customFormat="1" ht="19.5" customHeight="1">
      <c r="B58" s="324" t="str">
        <f>B3</f>
        <v>Cycling Statistics</v>
      </c>
      <c r="C58" s="324"/>
      <c r="D58" s="324"/>
      <c r="E58" s="324"/>
      <c r="F58" s="324"/>
      <c r="G58" s="324"/>
      <c r="H58" s="324"/>
      <c r="I58" s="324"/>
      <c r="J58" s="324"/>
      <c r="K58" s="324"/>
      <c r="L58" s="324"/>
      <c r="M58" s="324"/>
      <c r="N58" s="324"/>
      <c r="O58" s="324"/>
      <c r="P58" s="324"/>
      <c r="Q58" s="324"/>
      <c r="R58" s="324"/>
      <c r="S58" s="324"/>
      <c r="T58" s="324"/>
      <c r="U58" s="324"/>
      <c r="V58" s="324"/>
      <c r="W58" s="324"/>
      <c r="X58" s="324"/>
      <c r="Y58" s="324"/>
      <c r="Z58" s="324"/>
      <c r="AA58" s="324"/>
      <c r="AB58" s="324"/>
      <c r="AC58" s="324"/>
      <c r="AD58" s="324"/>
      <c r="AE58" s="324"/>
      <c r="AF58" s="324"/>
      <c r="AG58" s="324"/>
      <c r="AH58" s="324"/>
      <c r="AI58" s="324"/>
      <c r="AJ58" s="324"/>
      <c r="AK58" s="324"/>
      <c r="AL58" s="324"/>
      <c r="AM58" s="324"/>
      <c r="AN58" s="324"/>
      <c r="AP58" s="253"/>
    </row>
    <row r="59" spans="2:42" s="251" customFormat="1">
      <c r="AP59" s="253"/>
    </row>
    <row r="60" spans="2:42" s="251" customFormat="1" ht="12" customHeight="1">
      <c r="B60" s="261" t="str">
        <f>W6&amp;" - "&amp;W12</f>
        <v>Proportion of residents who do any cycling, at least once per month - 2018/19</v>
      </c>
      <c r="AP60" s="253"/>
    </row>
    <row r="61" spans="2:42" s="251" customFormat="1" ht="12" customHeight="1">
      <c r="AP61" s="253"/>
    </row>
    <row r="62" spans="2:42" s="251" customFormat="1" ht="12" customHeight="1">
      <c r="B62" s="261" t="s">
        <v>363</v>
      </c>
      <c r="AP62" s="253"/>
    </row>
    <row r="63" spans="2:42" s="251" customFormat="1" ht="12" customHeight="1">
      <c r="AP63" s="253"/>
    </row>
    <row r="64" spans="2:42" s="251" customFormat="1" ht="12" customHeight="1">
      <c r="B64" s="295" t="s">
        <v>354</v>
      </c>
      <c r="C64" s="295"/>
      <c r="D64" s="295"/>
      <c r="E64" s="293" t="s">
        <v>333</v>
      </c>
      <c r="F64" s="293"/>
      <c r="G64" s="293"/>
      <c r="H64" s="293"/>
      <c r="I64" s="293"/>
      <c r="J64" s="293"/>
      <c r="K64" s="293"/>
      <c r="L64" s="293"/>
      <c r="M64" s="293"/>
      <c r="N64" s="293"/>
      <c r="O64" s="293"/>
      <c r="P64" s="293"/>
      <c r="Q64" s="293"/>
      <c r="R64" s="293"/>
      <c r="S64" s="293"/>
      <c r="T64" s="293"/>
      <c r="U64" s="295" t="s">
        <v>364</v>
      </c>
      <c r="V64" s="295"/>
      <c r="W64" s="295"/>
      <c r="X64" s="295"/>
      <c r="Y64" s="262"/>
      <c r="Z64" s="262"/>
      <c r="AA64" s="262"/>
      <c r="AB64" s="262"/>
      <c r="AC64" s="263"/>
      <c r="AD64" s="262"/>
      <c r="AE64" s="262"/>
      <c r="AF64" s="262"/>
      <c r="AG64" s="262"/>
      <c r="AH64" s="263"/>
      <c r="AI64" s="262"/>
      <c r="AJ64" s="262"/>
      <c r="AK64" s="262"/>
      <c r="AL64" s="262"/>
      <c r="AP64" s="253"/>
    </row>
    <row r="65" spans="2:42" s="251" customFormat="1" ht="12" customHeight="1">
      <c r="B65" s="323">
        <v>1</v>
      </c>
      <c r="C65" s="291"/>
      <c r="D65" s="291"/>
      <c r="E65" s="292" t="str">
        <f>VLOOKUP(B65,'Filtered Data'!K:L,2,FALSE)</f>
        <v>Cambridgeshire</v>
      </c>
      <c r="F65" s="292"/>
      <c r="G65" s="292"/>
      <c r="H65" s="292"/>
      <c r="I65" s="292"/>
      <c r="J65" s="292"/>
      <c r="K65" s="292"/>
      <c r="L65" s="292"/>
      <c r="M65" s="292"/>
      <c r="N65" s="292"/>
      <c r="O65" s="292"/>
      <c r="P65" s="292"/>
      <c r="Q65" s="292"/>
      <c r="R65" s="292"/>
      <c r="S65" s="292"/>
      <c r="T65" s="292"/>
      <c r="U65" s="289">
        <f>IF('Filtered Data'!$H$8="%.",(VLOOKUP(B65,'Filtered Data'!K:M,3,FALSE))/100,VLOOKUP(B65,'Filtered Data'!K:M,3,FALSE))</f>
        <v>30.572479096813858</v>
      </c>
      <c r="V65" s="289"/>
      <c r="W65" s="289"/>
      <c r="X65" s="289"/>
      <c r="Y65" s="264" t="str">
        <f>IF((VLOOKUP(E65,classifications!C:K,9,FALSE))="Sparse","S","")</f>
        <v/>
      </c>
      <c r="Z65" s="264"/>
      <c r="AA65" s="264"/>
      <c r="AB65" s="264"/>
      <c r="AC65" s="264"/>
      <c r="AD65" s="294"/>
      <c r="AE65" s="294"/>
      <c r="AF65" s="294"/>
      <c r="AG65" s="294"/>
      <c r="AH65" s="294"/>
      <c r="AI65" s="294"/>
      <c r="AJ65" s="294"/>
      <c r="AK65" s="294"/>
      <c r="AL65" s="294"/>
      <c r="AP65" s="253"/>
    </row>
    <row r="66" spans="2:42" s="251" customFormat="1" ht="12" customHeight="1">
      <c r="B66" s="323">
        <v>2</v>
      </c>
      <c r="C66" s="291"/>
      <c r="D66" s="291"/>
      <c r="E66" s="292" t="str">
        <f>VLOOKUP(B66,'Filtered Data'!K:L,2,FALSE)</f>
        <v>Oxfordshire</v>
      </c>
      <c r="F66" s="292"/>
      <c r="G66" s="292"/>
      <c r="H66" s="292"/>
      <c r="I66" s="292"/>
      <c r="J66" s="292"/>
      <c r="K66" s="292"/>
      <c r="L66" s="292"/>
      <c r="M66" s="292"/>
      <c r="N66" s="292"/>
      <c r="O66" s="292"/>
      <c r="P66" s="292"/>
      <c r="Q66" s="292"/>
      <c r="R66" s="292"/>
      <c r="S66" s="292"/>
      <c r="T66" s="292"/>
      <c r="U66" s="289">
        <f>IF('Filtered Data'!$H$8="%.",(VLOOKUP(B66,'Filtered Data'!K:M,3,FALSE))/100,VLOOKUP(B66,'Filtered Data'!K:M,3,FALSE))</f>
        <v>27.360615780317239</v>
      </c>
      <c r="V66" s="289"/>
      <c r="W66" s="289"/>
      <c r="X66" s="289"/>
      <c r="Y66" s="264" t="str">
        <f>IF((VLOOKUP(E66,classifications!C:K,9,FALSE))="Sparse","S","")</f>
        <v/>
      </c>
      <c r="Z66" s="264"/>
      <c r="AA66" s="264"/>
      <c r="AB66" s="264"/>
      <c r="AC66" s="264"/>
      <c r="AD66" s="294"/>
      <c r="AE66" s="294"/>
      <c r="AF66" s="294"/>
      <c r="AG66" s="294"/>
      <c r="AH66" s="294"/>
      <c r="AI66" s="294"/>
      <c r="AJ66" s="294"/>
      <c r="AK66" s="294"/>
      <c r="AL66" s="294"/>
      <c r="AP66" s="253"/>
    </row>
    <row r="67" spans="2:42" s="251" customFormat="1" ht="12" customHeight="1">
      <c r="B67" s="323">
        <v>3</v>
      </c>
      <c r="C67" s="291"/>
      <c r="D67" s="291"/>
      <c r="E67" s="292" t="str">
        <f>VLOOKUP(B67,'Filtered Data'!K:L,2,FALSE)</f>
        <v>Devon</v>
      </c>
      <c r="F67" s="292"/>
      <c r="G67" s="292"/>
      <c r="H67" s="292"/>
      <c r="I67" s="292"/>
      <c r="J67" s="292"/>
      <c r="K67" s="292"/>
      <c r="L67" s="292"/>
      <c r="M67" s="292"/>
      <c r="N67" s="292"/>
      <c r="O67" s="292"/>
      <c r="P67" s="292"/>
      <c r="Q67" s="292"/>
      <c r="R67" s="292"/>
      <c r="S67" s="292"/>
      <c r="T67" s="292"/>
      <c r="U67" s="289">
        <f>IF('Filtered Data'!$H$8="%.",(VLOOKUP(B67,'Filtered Data'!K:M,3,FALSE))/100,VLOOKUP(B67,'Filtered Data'!K:M,3,FALSE))</f>
        <v>20.569845842883787</v>
      </c>
      <c r="V67" s="289"/>
      <c r="W67" s="289"/>
      <c r="X67" s="289"/>
      <c r="Y67" s="264" t="str">
        <f>IF((VLOOKUP(E67,classifications!C:K,9,FALSE))="Sparse","S","")</f>
        <v>S</v>
      </c>
      <c r="Z67" s="264"/>
      <c r="AA67" s="264"/>
      <c r="AB67" s="264"/>
      <c r="AC67" s="264"/>
      <c r="AD67" s="294"/>
      <c r="AE67" s="294"/>
      <c r="AF67" s="294"/>
      <c r="AG67" s="294"/>
      <c r="AH67" s="294"/>
      <c r="AI67" s="294"/>
      <c r="AJ67" s="294"/>
      <c r="AK67" s="294"/>
      <c r="AL67" s="294"/>
      <c r="AP67" s="253"/>
    </row>
    <row r="68" spans="2:42" s="251" customFormat="1" ht="12" customHeight="1">
      <c r="B68" s="323">
        <v>4</v>
      </c>
      <c r="C68" s="291"/>
      <c r="D68" s="291"/>
      <c r="E68" s="292" t="str">
        <f>VLOOKUP(B68,'Filtered Data'!K:L,2,FALSE)</f>
        <v>Surrey</v>
      </c>
      <c r="F68" s="292"/>
      <c r="G68" s="292"/>
      <c r="H68" s="292"/>
      <c r="I68" s="292"/>
      <c r="J68" s="292"/>
      <c r="K68" s="292"/>
      <c r="L68" s="292"/>
      <c r="M68" s="292"/>
      <c r="N68" s="292"/>
      <c r="O68" s="292"/>
      <c r="P68" s="292"/>
      <c r="Q68" s="292"/>
      <c r="R68" s="292"/>
      <c r="S68" s="292"/>
      <c r="T68" s="292"/>
      <c r="U68" s="289">
        <f>IF('Filtered Data'!$H$8="%.",(VLOOKUP(B68,'Filtered Data'!K:M,3,FALSE))/100,VLOOKUP(B68,'Filtered Data'!K:M,3,FALSE))</f>
        <v>20.423132463684833</v>
      </c>
      <c r="V68" s="289"/>
      <c r="W68" s="289"/>
      <c r="X68" s="289"/>
      <c r="Y68" s="264" t="str">
        <f>IF((VLOOKUP(E68,classifications!C:K,9,FALSE))="Sparse","S","")</f>
        <v/>
      </c>
      <c r="Z68" s="264"/>
      <c r="AA68" s="264"/>
      <c r="AB68" s="264"/>
      <c r="AC68" s="264"/>
      <c r="AD68" s="294"/>
      <c r="AE68" s="294"/>
      <c r="AF68" s="294"/>
      <c r="AG68" s="294"/>
      <c r="AH68" s="294"/>
      <c r="AI68" s="294"/>
      <c r="AJ68" s="294"/>
      <c r="AK68" s="294"/>
      <c r="AL68" s="294"/>
      <c r="AP68" s="253"/>
    </row>
    <row r="69" spans="2:42" s="251" customFormat="1" ht="12" customHeight="1">
      <c r="B69" s="323">
        <v>5</v>
      </c>
      <c r="C69" s="291"/>
      <c r="D69" s="291"/>
      <c r="E69" s="292" t="str">
        <f>VLOOKUP(B69,'Filtered Data'!K:L,2,FALSE)</f>
        <v>Norfolk</v>
      </c>
      <c r="F69" s="292"/>
      <c r="G69" s="292"/>
      <c r="H69" s="292"/>
      <c r="I69" s="292"/>
      <c r="J69" s="292"/>
      <c r="K69" s="292"/>
      <c r="L69" s="292"/>
      <c r="M69" s="292"/>
      <c r="N69" s="292"/>
      <c r="O69" s="292"/>
      <c r="P69" s="292"/>
      <c r="Q69" s="292"/>
      <c r="R69" s="292"/>
      <c r="S69" s="292"/>
      <c r="T69" s="292"/>
      <c r="U69" s="289">
        <f>IF('Filtered Data'!$H$8="%.",(VLOOKUP(B69,'Filtered Data'!K:M,3,FALSE))/100,VLOOKUP(B69,'Filtered Data'!K:M,3,FALSE))</f>
        <v>19.776634494001861</v>
      </c>
      <c r="V69" s="289"/>
      <c r="W69" s="289"/>
      <c r="X69" s="289"/>
      <c r="Y69" s="264" t="str">
        <f>IF((VLOOKUP(E69,classifications!C:K,9,FALSE))="Sparse","S","")</f>
        <v>S</v>
      </c>
      <c r="Z69" s="264"/>
      <c r="AA69" s="264"/>
      <c r="AB69" s="264"/>
      <c r="AC69" s="264"/>
      <c r="AD69" s="294"/>
      <c r="AE69" s="294"/>
      <c r="AF69" s="294"/>
      <c r="AG69" s="294"/>
      <c r="AH69" s="294"/>
      <c r="AI69" s="294"/>
      <c r="AJ69" s="294"/>
      <c r="AK69" s="294"/>
      <c r="AL69" s="294"/>
      <c r="AP69" s="253"/>
    </row>
    <row r="70" spans="2:42" s="251" customFormat="1" ht="12" customHeight="1">
      <c r="B70" s="323">
        <v>6</v>
      </c>
      <c r="C70" s="291"/>
      <c r="D70" s="291"/>
      <c r="E70" s="292" t="str">
        <f>VLOOKUP(B70,'Filtered Data'!K:L,2,FALSE)</f>
        <v>Suffolk</v>
      </c>
      <c r="F70" s="292"/>
      <c r="G70" s="292"/>
      <c r="H70" s="292"/>
      <c r="I70" s="292"/>
      <c r="J70" s="292"/>
      <c r="K70" s="292"/>
      <c r="L70" s="292"/>
      <c r="M70" s="292"/>
      <c r="N70" s="292"/>
      <c r="O70" s="292"/>
      <c r="P70" s="292"/>
      <c r="Q70" s="292"/>
      <c r="R70" s="292"/>
      <c r="S70" s="292"/>
      <c r="T70" s="292"/>
      <c r="U70" s="289">
        <f>IF('Filtered Data'!$H$8="%.",(VLOOKUP(B70,'Filtered Data'!K:M,3,FALSE))/100,VLOOKUP(B70,'Filtered Data'!K:M,3,FALSE))</f>
        <v>19.764917133210222</v>
      </c>
      <c r="V70" s="289"/>
      <c r="W70" s="289"/>
      <c r="X70" s="289"/>
      <c r="Y70" s="264" t="str">
        <f>IF((VLOOKUP(E70,classifications!C:K,9,FALSE))="Sparse","S","")</f>
        <v>S</v>
      </c>
      <c r="Z70" s="264"/>
      <c r="AA70" s="264"/>
      <c r="AB70" s="264"/>
      <c r="AC70" s="264"/>
      <c r="AD70" s="294"/>
      <c r="AE70" s="294"/>
      <c r="AF70" s="294"/>
      <c r="AG70" s="294"/>
      <c r="AH70" s="294"/>
      <c r="AI70" s="294"/>
      <c r="AJ70" s="294"/>
      <c r="AK70" s="294"/>
      <c r="AL70" s="294"/>
      <c r="AP70" s="253"/>
    </row>
    <row r="71" spans="2:42" s="251" customFormat="1" ht="12" customHeight="1">
      <c r="B71" s="323">
        <v>7</v>
      </c>
      <c r="C71" s="291"/>
      <c r="D71" s="291"/>
      <c r="E71" s="292" t="str">
        <f>VLOOKUP(B71,'Filtered Data'!K:L,2,FALSE)</f>
        <v>Hampshire</v>
      </c>
      <c r="F71" s="292"/>
      <c r="G71" s="292"/>
      <c r="H71" s="292"/>
      <c r="I71" s="292"/>
      <c r="J71" s="292"/>
      <c r="K71" s="292"/>
      <c r="L71" s="292"/>
      <c r="M71" s="292"/>
      <c r="N71" s="292"/>
      <c r="O71" s="292"/>
      <c r="P71" s="292"/>
      <c r="Q71" s="292"/>
      <c r="R71" s="292"/>
      <c r="S71" s="292"/>
      <c r="T71" s="292"/>
      <c r="U71" s="289">
        <f>IF('Filtered Data'!$H$8="%.",(VLOOKUP(B71,'Filtered Data'!K:M,3,FALSE))/100,VLOOKUP(B71,'Filtered Data'!K:M,3,FALSE))</f>
        <v>18.924173536281611</v>
      </c>
      <c r="V71" s="289"/>
      <c r="W71" s="289"/>
      <c r="X71" s="289"/>
      <c r="Y71" s="264" t="str">
        <f>IF((VLOOKUP(E71,classifications!C:K,9,FALSE))="Sparse","S","")</f>
        <v>S</v>
      </c>
      <c r="Z71" s="264"/>
      <c r="AA71" s="264"/>
      <c r="AB71" s="264"/>
      <c r="AC71" s="264"/>
      <c r="AD71" s="294"/>
      <c r="AE71" s="294"/>
      <c r="AF71" s="294"/>
      <c r="AG71" s="294"/>
      <c r="AH71" s="294"/>
      <c r="AI71" s="294"/>
      <c r="AJ71" s="294"/>
      <c r="AK71" s="294"/>
      <c r="AL71" s="294"/>
      <c r="AP71" s="253"/>
    </row>
    <row r="72" spans="2:42" s="251" customFormat="1" ht="12" customHeight="1">
      <c r="B72" s="323">
        <v>8</v>
      </c>
      <c r="C72" s="291"/>
      <c r="D72" s="291"/>
      <c r="E72" s="292" t="str">
        <f>VLOOKUP(B72,'Filtered Data'!K:L,2,FALSE)</f>
        <v>West Sussex</v>
      </c>
      <c r="F72" s="292"/>
      <c r="G72" s="292"/>
      <c r="H72" s="292"/>
      <c r="I72" s="292"/>
      <c r="J72" s="292"/>
      <c r="K72" s="292"/>
      <c r="L72" s="292"/>
      <c r="M72" s="292"/>
      <c r="N72" s="292"/>
      <c r="O72" s="292"/>
      <c r="P72" s="292"/>
      <c r="Q72" s="292"/>
      <c r="R72" s="292"/>
      <c r="S72" s="292"/>
      <c r="T72" s="292"/>
      <c r="U72" s="289">
        <f>IF('Filtered Data'!$H$8="%.",(VLOOKUP(B72,'Filtered Data'!K:M,3,FALSE))/100,VLOOKUP(B72,'Filtered Data'!K:M,3,FALSE))</f>
        <v>18.584095297011689</v>
      </c>
      <c r="V72" s="289"/>
      <c r="W72" s="289"/>
      <c r="X72" s="289"/>
      <c r="Y72" s="264" t="str">
        <f>IF((VLOOKUP(E72,classifications!C:K,9,FALSE))="Sparse","S","")</f>
        <v/>
      </c>
      <c r="Z72" s="264"/>
      <c r="AA72" s="264"/>
      <c r="AB72" s="264"/>
      <c r="AC72" s="264"/>
      <c r="AD72" s="294"/>
      <c r="AE72" s="294"/>
      <c r="AF72" s="294"/>
      <c r="AG72" s="294"/>
      <c r="AH72" s="294"/>
      <c r="AI72" s="294"/>
      <c r="AJ72" s="294"/>
      <c r="AK72" s="294"/>
      <c r="AL72" s="294"/>
      <c r="AP72" s="253"/>
    </row>
    <row r="73" spans="2:42" s="251" customFormat="1" ht="12" customHeight="1">
      <c r="B73" s="323">
        <v>9</v>
      </c>
      <c r="C73" s="291"/>
      <c r="D73" s="291"/>
      <c r="E73" s="292" t="str">
        <f>VLOOKUP(B73,'Filtered Data'!K:L,2,FALSE)</f>
        <v>North Yorkshire</v>
      </c>
      <c r="F73" s="292"/>
      <c r="G73" s="292"/>
      <c r="H73" s="292"/>
      <c r="I73" s="292"/>
      <c r="J73" s="292"/>
      <c r="K73" s="292"/>
      <c r="L73" s="292"/>
      <c r="M73" s="292"/>
      <c r="N73" s="292"/>
      <c r="O73" s="292"/>
      <c r="P73" s="292"/>
      <c r="Q73" s="292"/>
      <c r="R73" s="292"/>
      <c r="S73" s="292"/>
      <c r="T73" s="292"/>
      <c r="U73" s="289">
        <f>IF('Filtered Data'!$H$8="%.",(VLOOKUP(B73,'Filtered Data'!K:M,3,FALSE))/100,VLOOKUP(B73,'Filtered Data'!K:M,3,FALSE))</f>
        <v>18.088342558486225</v>
      </c>
      <c r="V73" s="289"/>
      <c r="W73" s="289"/>
      <c r="X73" s="289"/>
      <c r="Y73" s="264" t="str">
        <f>IF((VLOOKUP(E73,classifications!C:K,9,FALSE))="Sparse","S","")</f>
        <v>S</v>
      </c>
      <c r="Z73" s="264"/>
      <c r="AA73" s="264"/>
      <c r="AB73" s="264"/>
      <c r="AC73" s="264"/>
      <c r="AD73" s="294"/>
      <c r="AE73" s="294"/>
      <c r="AF73" s="294"/>
      <c r="AG73" s="294"/>
      <c r="AH73" s="294"/>
      <c r="AI73" s="294"/>
      <c r="AJ73" s="294"/>
      <c r="AK73" s="294"/>
      <c r="AL73" s="294"/>
      <c r="AP73" s="253"/>
    </row>
    <row r="74" spans="2:42" s="251" customFormat="1" ht="12" customHeight="1">
      <c r="B74" s="323">
        <v>10</v>
      </c>
      <c r="C74" s="291"/>
      <c r="D74" s="291"/>
      <c r="E74" s="292" t="str">
        <f>VLOOKUP(B74,'Filtered Data'!K:L,2,FALSE)</f>
        <v>Somerset</v>
      </c>
      <c r="F74" s="292"/>
      <c r="G74" s="292"/>
      <c r="H74" s="292"/>
      <c r="I74" s="292"/>
      <c r="J74" s="292"/>
      <c r="K74" s="292"/>
      <c r="L74" s="292"/>
      <c r="M74" s="292"/>
      <c r="N74" s="292"/>
      <c r="O74" s="292"/>
      <c r="P74" s="292"/>
      <c r="Q74" s="292"/>
      <c r="R74" s="292"/>
      <c r="S74" s="292"/>
      <c r="T74" s="292"/>
      <c r="U74" s="289">
        <f>IF('Filtered Data'!$H$8="%.",(VLOOKUP(B74,'Filtered Data'!K:M,3,FALSE))/100,VLOOKUP(B74,'Filtered Data'!K:M,3,FALSE))</f>
        <v>18.082494954980437</v>
      </c>
      <c r="V74" s="289"/>
      <c r="W74" s="289"/>
      <c r="X74" s="289"/>
      <c r="Y74" s="264" t="str">
        <f>IF((VLOOKUP(E74,classifications!C:K,9,FALSE))="Sparse","S","")</f>
        <v/>
      </c>
      <c r="Z74" s="264"/>
      <c r="AA74" s="264"/>
      <c r="AB74" s="264"/>
      <c r="AC74" s="264"/>
      <c r="AD74" s="294"/>
      <c r="AE74" s="294"/>
      <c r="AF74" s="294"/>
      <c r="AG74" s="294"/>
      <c r="AH74" s="294"/>
      <c r="AI74" s="294"/>
      <c r="AJ74" s="294"/>
      <c r="AK74" s="294"/>
      <c r="AL74" s="294"/>
      <c r="AP74" s="253"/>
    </row>
    <row r="75" spans="2:42" s="251" customFormat="1" ht="12" customHeight="1">
      <c r="B75" s="323">
        <v>11</v>
      </c>
      <c r="C75" s="291"/>
      <c r="D75" s="291"/>
      <c r="E75" s="292" t="str">
        <f>VLOOKUP(B75,'Filtered Data'!K:L,2,FALSE)</f>
        <v>Buckinghamshire</v>
      </c>
      <c r="F75" s="292"/>
      <c r="G75" s="292"/>
      <c r="H75" s="292"/>
      <c r="I75" s="292"/>
      <c r="J75" s="292"/>
      <c r="K75" s="292"/>
      <c r="L75" s="292"/>
      <c r="M75" s="292"/>
      <c r="N75" s="292"/>
      <c r="O75" s="292"/>
      <c r="P75" s="292"/>
      <c r="Q75" s="292"/>
      <c r="R75" s="292"/>
      <c r="S75" s="292"/>
      <c r="T75" s="292"/>
      <c r="U75" s="289">
        <f>IF('Filtered Data'!$H$8="%.",(VLOOKUP(B75,'Filtered Data'!K:M,3,FALSE))/100,VLOOKUP(B75,'Filtered Data'!K:M,3,FALSE))</f>
        <v>17.595316909409966</v>
      </c>
      <c r="V75" s="289"/>
      <c r="W75" s="289"/>
      <c r="X75" s="289"/>
      <c r="Y75" s="264" t="str">
        <f>IF((VLOOKUP(E75,classifications!C:K,9,FALSE))="Sparse","S","")</f>
        <v/>
      </c>
      <c r="Z75" s="264"/>
      <c r="AA75" s="264"/>
      <c r="AB75" s="264"/>
      <c r="AC75" s="264"/>
      <c r="AD75" s="294"/>
      <c r="AE75" s="294"/>
      <c r="AF75" s="294"/>
      <c r="AG75" s="294"/>
      <c r="AH75" s="294"/>
      <c r="AI75" s="294"/>
      <c r="AJ75" s="294"/>
      <c r="AK75" s="294"/>
      <c r="AL75" s="294"/>
      <c r="AP75" s="253"/>
    </row>
    <row r="76" spans="2:42" s="251" customFormat="1" ht="12" customHeight="1">
      <c r="B76" s="323">
        <v>12</v>
      </c>
      <c r="C76" s="291"/>
      <c r="D76" s="291"/>
      <c r="E76" s="292" t="str">
        <f>VLOOKUP(B76,'Filtered Data'!K:L,2,FALSE)</f>
        <v>Gloucestershire</v>
      </c>
      <c r="F76" s="292"/>
      <c r="G76" s="292"/>
      <c r="H76" s="292"/>
      <c r="I76" s="292"/>
      <c r="J76" s="292"/>
      <c r="K76" s="292"/>
      <c r="L76" s="292"/>
      <c r="M76" s="292"/>
      <c r="N76" s="292"/>
      <c r="O76" s="292"/>
      <c r="P76" s="292"/>
      <c r="Q76" s="292"/>
      <c r="R76" s="292"/>
      <c r="S76" s="292"/>
      <c r="T76" s="292"/>
      <c r="U76" s="289">
        <f>IF('Filtered Data'!$H$8="%.",(VLOOKUP(B76,'Filtered Data'!K:M,3,FALSE))/100,VLOOKUP(B76,'Filtered Data'!K:M,3,FALSE))</f>
        <v>17.475104043290408</v>
      </c>
      <c r="V76" s="289"/>
      <c r="W76" s="289"/>
      <c r="X76" s="289"/>
      <c r="Y76" s="264" t="str">
        <f>IF((VLOOKUP(E76,classifications!C:K,9,FALSE))="Sparse","S","")</f>
        <v/>
      </c>
      <c r="Z76" s="264"/>
      <c r="AA76" s="264"/>
      <c r="AB76" s="264"/>
      <c r="AC76" s="264"/>
      <c r="AD76" s="294"/>
      <c r="AE76" s="294"/>
      <c r="AF76" s="294"/>
      <c r="AG76" s="294"/>
      <c r="AH76" s="294"/>
      <c r="AI76" s="294"/>
      <c r="AJ76" s="294"/>
      <c r="AK76" s="294"/>
      <c r="AL76" s="294"/>
      <c r="AP76" s="253"/>
    </row>
    <row r="77" spans="2:42" s="251" customFormat="1" ht="12" customHeight="1">
      <c r="B77" s="323">
        <v>13</v>
      </c>
      <c r="C77" s="291"/>
      <c r="D77" s="291"/>
      <c r="E77" s="292" t="str">
        <f>VLOOKUP(B77,'Filtered Data'!K:L,2,FALSE)</f>
        <v>Nottinghamshire</v>
      </c>
      <c r="F77" s="292"/>
      <c r="G77" s="292"/>
      <c r="H77" s="292"/>
      <c r="I77" s="292"/>
      <c r="J77" s="292"/>
      <c r="K77" s="292"/>
      <c r="L77" s="292"/>
      <c r="M77" s="292"/>
      <c r="N77" s="292"/>
      <c r="O77" s="292"/>
      <c r="P77" s="292"/>
      <c r="Q77" s="292"/>
      <c r="R77" s="292"/>
      <c r="S77" s="292"/>
      <c r="T77" s="292"/>
      <c r="U77" s="289">
        <f>IF('Filtered Data'!$H$8="%.",(VLOOKUP(B77,'Filtered Data'!K:M,3,FALSE))/100,VLOOKUP(B77,'Filtered Data'!K:M,3,FALSE))</f>
        <v>16.292922014594303</v>
      </c>
      <c r="V77" s="289"/>
      <c r="W77" s="289"/>
      <c r="X77" s="289"/>
      <c r="Y77" s="264" t="str">
        <f>IF((VLOOKUP(E77,classifications!C:K,9,FALSE))="Sparse","S","")</f>
        <v>S</v>
      </c>
      <c r="Z77" s="264"/>
      <c r="AA77" s="264"/>
      <c r="AB77" s="264"/>
      <c r="AC77" s="264"/>
      <c r="AD77" s="294"/>
      <c r="AE77" s="294"/>
      <c r="AF77" s="294"/>
      <c r="AG77" s="294"/>
      <c r="AH77" s="294"/>
      <c r="AI77" s="294"/>
      <c r="AJ77" s="294"/>
      <c r="AK77" s="294"/>
      <c r="AL77" s="294"/>
      <c r="AP77" s="253"/>
    </row>
    <row r="78" spans="2:42" s="251" customFormat="1" ht="12" customHeight="1">
      <c r="B78" s="323">
        <v>14</v>
      </c>
      <c r="C78" s="291"/>
      <c r="D78" s="291"/>
      <c r="E78" s="292" t="str">
        <f>VLOOKUP(B78,'Filtered Data'!K:L,2,FALSE)</f>
        <v>Kent</v>
      </c>
      <c r="F78" s="292"/>
      <c r="G78" s="292"/>
      <c r="H78" s="292"/>
      <c r="I78" s="292"/>
      <c r="J78" s="292"/>
      <c r="K78" s="292"/>
      <c r="L78" s="292"/>
      <c r="M78" s="292"/>
      <c r="N78" s="292"/>
      <c r="O78" s="292"/>
      <c r="P78" s="292"/>
      <c r="Q78" s="292"/>
      <c r="R78" s="292"/>
      <c r="S78" s="292"/>
      <c r="T78" s="292"/>
      <c r="U78" s="289">
        <f>IF('Filtered Data'!$H$8="%.",(VLOOKUP(B78,'Filtered Data'!K:M,3,FALSE))/100,VLOOKUP(B78,'Filtered Data'!K:M,3,FALSE))</f>
        <v>16.26259547069758</v>
      </c>
      <c r="V78" s="289"/>
      <c r="W78" s="289"/>
      <c r="X78" s="289"/>
      <c r="Y78" s="264" t="str">
        <f>IF((VLOOKUP(E78,classifications!C:K,9,FALSE))="Sparse","S","")</f>
        <v/>
      </c>
      <c r="Z78" s="264"/>
      <c r="AA78" s="264"/>
      <c r="AB78" s="264"/>
      <c r="AC78" s="264"/>
      <c r="AD78" s="294"/>
      <c r="AE78" s="294"/>
      <c r="AF78" s="294"/>
      <c r="AG78" s="294"/>
      <c r="AH78" s="294"/>
      <c r="AI78" s="294"/>
      <c r="AJ78" s="294"/>
      <c r="AK78" s="294"/>
      <c r="AL78" s="294"/>
      <c r="AP78" s="253"/>
    </row>
    <row r="79" spans="2:42" s="251" customFormat="1" ht="12" customHeight="1">
      <c r="B79" s="323">
        <v>15</v>
      </c>
      <c r="C79" s="291"/>
      <c r="D79" s="291"/>
      <c r="E79" s="292" t="str">
        <f>VLOOKUP(B79,'Filtered Data'!K:L,2,FALSE)</f>
        <v>Lincolnshire</v>
      </c>
      <c r="F79" s="292"/>
      <c r="G79" s="292"/>
      <c r="H79" s="292"/>
      <c r="I79" s="292"/>
      <c r="J79" s="292"/>
      <c r="K79" s="292"/>
      <c r="L79" s="292"/>
      <c r="M79" s="292"/>
      <c r="N79" s="292"/>
      <c r="O79" s="292"/>
      <c r="P79" s="292"/>
      <c r="Q79" s="292"/>
      <c r="R79" s="292"/>
      <c r="S79" s="292"/>
      <c r="T79" s="292"/>
      <c r="U79" s="289">
        <f>IF('Filtered Data'!$H$8="%.",(VLOOKUP(B79,'Filtered Data'!K:M,3,FALSE))/100,VLOOKUP(B79,'Filtered Data'!K:M,3,FALSE))</f>
        <v>16.036007901999703</v>
      </c>
      <c r="V79" s="289"/>
      <c r="W79" s="289"/>
      <c r="X79" s="289"/>
      <c r="Y79" s="264" t="str">
        <f>IF((VLOOKUP(E79,classifications!C:K,9,FALSE))="Sparse","S","")</f>
        <v>S</v>
      </c>
      <c r="Z79" s="264"/>
      <c r="AA79" s="264"/>
      <c r="AB79" s="264"/>
      <c r="AC79" s="264"/>
      <c r="AD79" s="294"/>
      <c r="AE79" s="294"/>
      <c r="AF79" s="294"/>
      <c r="AG79" s="294"/>
      <c r="AH79" s="294"/>
      <c r="AI79" s="294"/>
      <c r="AJ79" s="294"/>
      <c r="AK79" s="294"/>
      <c r="AL79" s="294"/>
      <c r="AP79" s="253"/>
    </row>
    <row r="80" spans="2:42" s="251" customFormat="1" ht="12" customHeight="1">
      <c r="B80" s="323">
        <v>16</v>
      </c>
      <c r="C80" s="291"/>
      <c r="D80" s="291"/>
      <c r="E80" s="292" t="str">
        <f>VLOOKUP(B80,'Filtered Data'!K:L,2,FALSE)</f>
        <v>Cumbria</v>
      </c>
      <c r="F80" s="292"/>
      <c r="G80" s="292"/>
      <c r="H80" s="292"/>
      <c r="I80" s="292"/>
      <c r="J80" s="292"/>
      <c r="K80" s="292"/>
      <c r="L80" s="292"/>
      <c r="M80" s="292"/>
      <c r="N80" s="292"/>
      <c r="O80" s="292"/>
      <c r="P80" s="292"/>
      <c r="Q80" s="292"/>
      <c r="R80" s="292"/>
      <c r="S80" s="292"/>
      <c r="T80" s="292"/>
      <c r="U80" s="289">
        <f>IF('Filtered Data'!$H$8="%.",(VLOOKUP(B80,'Filtered Data'!K:M,3,FALSE))/100,VLOOKUP(B80,'Filtered Data'!K:M,3,FALSE))</f>
        <v>16.018311396308022</v>
      </c>
      <c r="V80" s="289"/>
      <c r="W80" s="289"/>
      <c r="X80" s="289"/>
      <c r="Y80" s="264" t="str">
        <f>IF((VLOOKUP(E80,classifications!C:K,9,FALSE))="Sparse","S","")</f>
        <v>S</v>
      </c>
      <c r="Z80" s="264"/>
      <c r="AA80" s="264"/>
      <c r="AB80" s="264"/>
      <c r="AC80" s="264"/>
      <c r="AD80" s="294"/>
      <c r="AE80" s="294"/>
      <c r="AF80" s="294"/>
      <c r="AG80" s="294"/>
      <c r="AH80" s="294"/>
      <c r="AI80" s="294"/>
      <c r="AJ80" s="294"/>
      <c r="AK80" s="294"/>
      <c r="AL80" s="294"/>
      <c r="AP80" s="253"/>
    </row>
    <row r="81" spans="2:48" s="251" customFormat="1" ht="12" customHeight="1">
      <c r="B81" s="323">
        <v>17</v>
      </c>
      <c r="C81" s="291"/>
      <c r="D81" s="291"/>
      <c r="E81" s="292" t="str">
        <f>VLOOKUP(B81,'Filtered Data'!K:L,2,FALSE)</f>
        <v>Warwickshire</v>
      </c>
      <c r="F81" s="292"/>
      <c r="G81" s="292"/>
      <c r="H81" s="292"/>
      <c r="I81" s="292"/>
      <c r="J81" s="292"/>
      <c r="K81" s="292"/>
      <c r="L81" s="292"/>
      <c r="M81" s="292"/>
      <c r="N81" s="292"/>
      <c r="O81" s="292"/>
      <c r="P81" s="292"/>
      <c r="Q81" s="292"/>
      <c r="R81" s="292"/>
      <c r="S81" s="292"/>
      <c r="T81" s="292"/>
      <c r="U81" s="289">
        <f>IF('Filtered Data'!$H$8="%.",(VLOOKUP(B81,'Filtered Data'!K:M,3,FALSE))/100,VLOOKUP(B81,'Filtered Data'!K:M,3,FALSE))</f>
        <v>15.712468668373536</v>
      </c>
      <c r="V81" s="289"/>
      <c r="W81" s="289"/>
      <c r="X81" s="289"/>
      <c r="Y81" s="264" t="str">
        <f>IF((VLOOKUP(E81,classifications!C:K,9,FALSE))="Sparse","S","")</f>
        <v>S</v>
      </c>
      <c r="Z81" s="264"/>
      <c r="AA81" s="264"/>
      <c r="AB81" s="264"/>
      <c r="AC81" s="264"/>
      <c r="AD81" s="294"/>
      <c r="AE81" s="294"/>
      <c r="AF81" s="294"/>
      <c r="AG81" s="294"/>
      <c r="AH81" s="294"/>
      <c r="AI81" s="294"/>
      <c r="AJ81" s="294"/>
      <c r="AK81" s="294"/>
      <c r="AL81" s="294"/>
      <c r="AP81" s="253"/>
    </row>
    <row r="82" spans="2:48" s="251" customFormat="1" ht="12" customHeight="1">
      <c r="B82" s="323">
        <v>18</v>
      </c>
      <c r="C82" s="291"/>
      <c r="D82" s="291"/>
      <c r="E82" s="292" t="str">
        <f>VLOOKUP(B82,'Filtered Data'!K:L,2,FALSE)</f>
        <v>Hertfordshire</v>
      </c>
      <c r="F82" s="292"/>
      <c r="G82" s="292"/>
      <c r="H82" s="292"/>
      <c r="I82" s="292"/>
      <c r="J82" s="292"/>
      <c r="K82" s="292"/>
      <c r="L82" s="292"/>
      <c r="M82" s="292"/>
      <c r="N82" s="292"/>
      <c r="O82" s="292"/>
      <c r="P82" s="292"/>
      <c r="Q82" s="292"/>
      <c r="R82" s="292"/>
      <c r="S82" s="292"/>
      <c r="T82" s="292"/>
      <c r="U82" s="289">
        <f>IF('Filtered Data'!$H$8="%.",(VLOOKUP(B82,'Filtered Data'!K:M,3,FALSE))/100,VLOOKUP(B82,'Filtered Data'!K:M,3,FALSE))</f>
        <v>15.573799350980138</v>
      </c>
      <c r="V82" s="289"/>
      <c r="W82" s="289"/>
      <c r="X82" s="289"/>
      <c r="Y82" s="264" t="str">
        <f>IF((VLOOKUP(E82,classifications!C:K,9,FALSE))="Sparse","S","")</f>
        <v/>
      </c>
      <c r="Z82" s="264"/>
      <c r="AA82" s="264"/>
      <c r="AB82" s="264"/>
      <c r="AC82" s="264"/>
      <c r="AD82" s="294"/>
      <c r="AE82" s="294"/>
      <c r="AF82" s="294"/>
      <c r="AG82" s="294"/>
      <c r="AH82" s="294"/>
      <c r="AI82" s="294"/>
      <c r="AJ82" s="294"/>
      <c r="AK82" s="294"/>
      <c r="AL82" s="294"/>
      <c r="AP82" s="253"/>
    </row>
    <row r="83" spans="2:48" s="251" customFormat="1" ht="12" customHeight="1">
      <c r="B83" s="323">
        <v>19</v>
      </c>
      <c r="C83" s="291"/>
      <c r="D83" s="291"/>
      <c r="E83" s="292" t="str">
        <f>VLOOKUP(B83,'Filtered Data'!K:L,2,FALSE)</f>
        <v>Leicestershire</v>
      </c>
      <c r="F83" s="292"/>
      <c r="G83" s="292"/>
      <c r="H83" s="292"/>
      <c r="I83" s="292"/>
      <c r="J83" s="292"/>
      <c r="K83" s="292"/>
      <c r="L83" s="292"/>
      <c r="M83" s="292"/>
      <c r="N83" s="292"/>
      <c r="O83" s="292"/>
      <c r="P83" s="292"/>
      <c r="Q83" s="292"/>
      <c r="R83" s="292"/>
      <c r="S83" s="292"/>
      <c r="T83" s="292"/>
      <c r="U83" s="289">
        <f>IF('Filtered Data'!$H$8="%.",(VLOOKUP(B83,'Filtered Data'!K:M,3,FALSE))/100,VLOOKUP(B83,'Filtered Data'!K:M,3,FALSE))</f>
        <v>15.032629506703366</v>
      </c>
      <c r="V83" s="289"/>
      <c r="W83" s="289"/>
      <c r="X83" s="289"/>
      <c r="Y83" s="264" t="str">
        <f>IF((VLOOKUP(E83,classifications!C:K,9,FALSE))="Sparse","S","")</f>
        <v>S</v>
      </c>
      <c r="Z83" s="264"/>
      <c r="AA83" s="264"/>
      <c r="AB83" s="264"/>
      <c r="AC83" s="264"/>
      <c r="AD83" s="294"/>
      <c r="AE83" s="294"/>
      <c r="AF83" s="294"/>
      <c r="AG83" s="294"/>
      <c r="AH83" s="294"/>
      <c r="AI83" s="294"/>
      <c r="AJ83" s="294"/>
      <c r="AK83" s="294"/>
      <c r="AL83" s="294"/>
      <c r="AP83" s="253"/>
    </row>
    <row r="84" spans="2:48" s="251" customFormat="1" ht="12" customHeight="1">
      <c r="B84" s="323">
        <v>20</v>
      </c>
      <c r="C84" s="323"/>
      <c r="D84" s="323"/>
      <c r="E84" s="292" t="str">
        <f>VLOOKUP(B84,'Filtered Data'!K:L,2,FALSE)</f>
        <v>Essex</v>
      </c>
      <c r="F84" s="292"/>
      <c r="G84" s="292"/>
      <c r="H84" s="292"/>
      <c r="I84" s="292"/>
      <c r="J84" s="292"/>
      <c r="K84" s="292"/>
      <c r="L84" s="292"/>
      <c r="M84" s="292"/>
      <c r="N84" s="292"/>
      <c r="O84" s="292"/>
      <c r="P84" s="292"/>
      <c r="Q84" s="292"/>
      <c r="R84" s="292"/>
      <c r="S84" s="292"/>
      <c r="T84" s="292"/>
      <c r="U84" s="289">
        <f>IF('Filtered Data'!$H$8="%.",(VLOOKUP(B84,'Filtered Data'!K:M,3,FALSE))/100,VLOOKUP(B84,'Filtered Data'!K:M,3,FALSE))</f>
        <v>14.894377995293434</v>
      </c>
      <c r="V84" s="289"/>
      <c r="W84" s="289"/>
      <c r="X84" s="289"/>
      <c r="Y84" s="264" t="str">
        <f>IF((VLOOKUP(E84,classifications!C:K,9,FALSE))="Sparse","S","")</f>
        <v>S</v>
      </c>
      <c r="Z84" s="264"/>
      <c r="AA84" s="264"/>
      <c r="AB84" s="264"/>
      <c r="AC84" s="264"/>
      <c r="AD84" s="294"/>
      <c r="AE84" s="294"/>
      <c r="AF84" s="294"/>
      <c r="AG84" s="294"/>
      <c r="AH84" s="294"/>
      <c r="AI84" s="294"/>
      <c r="AJ84" s="294"/>
      <c r="AK84" s="294"/>
      <c r="AL84" s="294"/>
      <c r="AP84" s="253"/>
    </row>
    <row r="85" spans="2:48" s="251" customFormat="1" ht="12" customHeight="1">
      <c r="B85" s="348" t="str">
        <f>IF(Q37&lt;=MAX(B65:D84),"",Q37)</f>
        <v/>
      </c>
      <c r="C85" s="348"/>
      <c r="D85" s="348"/>
      <c r="E85" s="292" t="str">
        <f>IF(B85="","",VLOOKUP(B85,'Filtered Data'!K:L,2,FALSE))</f>
        <v/>
      </c>
      <c r="F85" s="292"/>
      <c r="G85" s="292"/>
      <c r="H85" s="292"/>
      <c r="I85" s="292"/>
      <c r="J85" s="292"/>
      <c r="K85" s="292"/>
      <c r="L85" s="292"/>
      <c r="M85" s="292"/>
      <c r="N85" s="292"/>
      <c r="O85" s="292"/>
      <c r="P85" s="292"/>
      <c r="Q85" s="292"/>
      <c r="R85" s="292"/>
      <c r="S85" s="292"/>
      <c r="T85" s="292"/>
      <c r="U85" s="296" t="str">
        <f>IF(B85="","",L35)</f>
        <v/>
      </c>
      <c r="V85" s="296"/>
      <c r="W85" s="296"/>
      <c r="X85" s="296"/>
      <c r="Y85" s="264" t="str">
        <f>IF(B85="","",IF((VLOOKUP(E85,classifications!C:K,9,FALSE))="Sparse","S",""))</f>
        <v/>
      </c>
      <c r="Z85" s="264"/>
      <c r="AA85" s="264"/>
      <c r="AB85" s="264"/>
      <c r="AC85" s="264"/>
      <c r="AD85" s="295"/>
      <c r="AE85" s="295"/>
      <c r="AF85" s="295"/>
      <c r="AG85" s="295"/>
      <c r="AH85" s="295"/>
      <c r="AI85" s="295"/>
      <c r="AJ85" s="295"/>
      <c r="AK85" s="295"/>
      <c r="AL85" s="295"/>
      <c r="AP85" s="253"/>
    </row>
    <row r="86" spans="2:48" s="251" customFormat="1" ht="12" customHeight="1">
      <c r="B86" s="265"/>
      <c r="C86" s="265"/>
      <c r="D86" s="265"/>
      <c r="E86" s="252"/>
      <c r="F86" s="252"/>
      <c r="G86" s="252"/>
      <c r="H86" s="252"/>
      <c r="I86" s="252"/>
      <c r="J86" s="252"/>
      <c r="K86" s="252"/>
      <c r="L86" s="252"/>
      <c r="M86" s="252"/>
      <c r="N86" s="252"/>
      <c r="O86" s="252"/>
      <c r="P86" s="252"/>
      <c r="Q86" s="252"/>
      <c r="R86" s="252"/>
      <c r="S86" s="252"/>
      <c r="T86" s="252"/>
      <c r="U86" s="266"/>
      <c r="V86" s="266"/>
      <c r="W86" s="266"/>
      <c r="X86" s="266"/>
      <c r="AP86" s="253"/>
    </row>
    <row r="87" spans="2:48" s="251" customFormat="1" ht="12" customHeight="1">
      <c r="AP87" s="253"/>
    </row>
    <row r="88" spans="2:48" s="251" customFormat="1" ht="12" customHeight="1">
      <c r="B88" s="261" t="str">
        <f>IF('Filtered Data'!D1="MD","",IF('Filtered Data'!D1="SC","",IF('Filtered Data'!D1="UA","Regional Authorites:","County Authorities:")))</f>
        <v/>
      </c>
      <c r="L88" s="261" t="str">
        <f>IF('Filtered Data'!D1="SC",J9,J10)</f>
        <v>North West</v>
      </c>
      <c r="U88" s="261"/>
      <c r="AD88" s="261"/>
      <c r="AP88" s="253"/>
    </row>
    <row r="89" spans="2:48" s="251" customFormat="1" ht="12" customHeight="1">
      <c r="B89" s="261"/>
      <c r="AP89" s="253"/>
    </row>
    <row r="90" spans="2:48" s="251" customFormat="1" ht="12" customHeight="1">
      <c r="B90" s="295" t="str">
        <f>IF('Filtered Data'!D1="MD","","Rank")</f>
        <v>Rank</v>
      </c>
      <c r="C90" s="295"/>
      <c r="D90" s="295"/>
      <c r="E90" s="293" t="str">
        <f>IF('Filtered Data'!D1="MD","","Authority")</f>
        <v>Authority</v>
      </c>
      <c r="F90" s="293"/>
      <c r="G90" s="293"/>
      <c r="H90" s="293"/>
      <c r="I90" s="293"/>
      <c r="J90" s="293"/>
      <c r="K90" s="293"/>
      <c r="L90" s="293"/>
      <c r="M90" s="293"/>
      <c r="N90" s="293"/>
      <c r="O90" s="271"/>
      <c r="P90" s="271"/>
      <c r="Q90" s="271"/>
      <c r="R90" s="271"/>
      <c r="S90" s="271"/>
      <c r="T90" s="271"/>
      <c r="U90" s="295" t="str">
        <f>IF('Filtered Data'!D1="MD","","Value")</f>
        <v>Value</v>
      </c>
      <c r="V90" s="295"/>
      <c r="W90" s="295"/>
      <c r="X90" s="295"/>
      <c r="AA90" s="295"/>
      <c r="AB90" s="295"/>
      <c r="AC90" s="295"/>
      <c r="AD90" s="293"/>
      <c r="AE90" s="293"/>
      <c r="AF90" s="293"/>
      <c r="AG90" s="293"/>
      <c r="AH90" s="293"/>
      <c r="AI90" s="293"/>
      <c r="AJ90" s="293"/>
      <c r="AK90" s="293"/>
      <c r="AL90" s="293"/>
      <c r="AM90" s="293"/>
      <c r="AN90" s="295"/>
      <c r="AO90" s="295"/>
      <c r="AP90" s="295"/>
      <c r="AV90" s="253"/>
    </row>
    <row r="91" spans="2:48" s="251" customFormat="1" ht="12" customHeight="1">
      <c r="B91" s="323">
        <f>IF('Filtered Data'!$D$1="MD","",IF('Filtered Data'!$D$1="SC",'Filtered Data'!AS11,'Filtered Data'!AL11))</f>
        <v>1</v>
      </c>
      <c r="C91" s="291"/>
      <c r="D91" s="291"/>
      <c r="E91" s="292" t="str">
        <f>IF(B91="","",IF('Filtered Data'!$D$1="SC",VLOOKUP(B91,'Filtered Data'!AS:AU,2,FALSE),VLOOKUP(B91,'Filtered Data'!AL:AN,2,FALSE)))</f>
        <v>Cumbria</v>
      </c>
      <c r="F91" s="292"/>
      <c r="G91" s="292"/>
      <c r="H91" s="292"/>
      <c r="I91" s="292"/>
      <c r="J91" s="292"/>
      <c r="K91" s="292"/>
      <c r="L91" s="292"/>
      <c r="M91" s="292"/>
      <c r="N91" s="292"/>
      <c r="O91" s="292"/>
      <c r="P91" s="292"/>
      <c r="Q91" s="292"/>
      <c r="R91" s="292"/>
      <c r="S91" s="292"/>
      <c r="T91" s="292"/>
      <c r="U91" s="289">
        <f>IF(B91="","",IF('Filtered Data'!$D$1&amp;'Filtered Data'!$H$8="SC%.",(VLOOKUP(B91,'Filtered Data'!AS:AU,3,FALSE))/100,IF('Filtered Data'!$D$1&amp;'Filtered Data'!$H$8="SC%%",(VLOOKUP(B91,'Filtered Data'!AS:AU,3,FALSE)),IF('Filtered Data'!$D$1&amp;'Filtered Data'!$H$8="SC..",(VLOOKUP(B91,'Filtered Data'!AS:AU,3,FALSE)),IF('Filtered Data'!$H$8="%.",VLOOKUP(B91,'Filtered Data'!AL:AN,3,FALSE)/100,VLOOKUP(B91,'Filtered Data'!AL:AN,3,FALSE))))))</f>
        <v>16.018311396308022</v>
      </c>
      <c r="V91" s="289"/>
      <c r="W91" s="289"/>
      <c r="X91" s="289"/>
      <c r="Y91" s="267" t="str">
        <f>IF(E91="","",IF((VLOOKUP(E91,classifications!C:K,9,FALSE))="Sparse","S",""))</f>
        <v>S</v>
      </c>
      <c r="AA91" s="290"/>
      <c r="AB91" s="291"/>
      <c r="AC91" s="291"/>
      <c r="AD91" s="292"/>
      <c r="AE91" s="292"/>
      <c r="AF91" s="292"/>
      <c r="AG91" s="292"/>
      <c r="AH91" s="292"/>
      <c r="AI91" s="292"/>
      <c r="AJ91" s="292"/>
      <c r="AK91" s="292"/>
      <c r="AL91" s="292"/>
      <c r="AM91" s="292"/>
      <c r="AN91" s="288"/>
      <c r="AO91" s="288"/>
      <c r="AP91" s="288"/>
      <c r="AQ91" s="288"/>
      <c r="AR91" s="267"/>
      <c r="AV91" s="253"/>
    </row>
    <row r="92" spans="2:48" s="251" customFormat="1" ht="12" customHeight="1">
      <c r="B92" s="323">
        <f>IF('Filtered Data'!$D$1="MD","",IF('Filtered Data'!$D$1="SC",'Filtered Data'!AS12,'Filtered Data'!AL12))</f>
        <v>2</v>
      </c>
      <c r="C92" s="291"/>
      <c r="D92" s="291"/>
      <c r="E92" s="292" t="str">
        <f>IF(B92="","",IF('Filtered Data'!$D$1="SC",VLOOKUP(B92,'Filtered Data'!AS:AU,2,FALSE),VLOOKUP(B92,'Filtered Data'!AL:AN,2,FALSE)))</f>
        <v>Lancashire</v>
      </c>
      <c r="F92" s="292"/>
      <c r="G92" s="292"/>
      <c r="H92" s="292"/>
      <c r="I92" s="292"/>
      <c r="J92" s="292"/>
      <c r="K92" s="292"/>
      <c r="L92" s="292"/>
      <c r="M92" s="292"/>
      <c r="N92" s="292"/>
      <c r="O92" s="292"/>
      <c r="P92" s="292"/>
      <c r="Q92" s="292"/>
      <c r="R92" s="292"/>
      <c r="S92" s="292"/>
      <c r="T92" s="292"/>
      <c r="U92" s="289">
        <f>IF(B92="","",IF('Filtered Data'!$D$1&amp;'Filtered Data'!$H$8="SC%.",(VLOOKUP(B92,'Filtered Data'!AS:AU,3,FALSE))/100,IF('Filtered Data'!$D$1&amp;'Filtered Data'!$H$8="SC%%",(VLOOKUP(B92,'Filtered Data'!AS:AU,3,FALSE)),IF('Filtered Data'!$D$1&amp;'Filtered Data'!$H$8="SC..",(VLOOKUP(B92,'Filtered Data'!AS:AU,3,FALSE)),IF('Filtered Data'!$H$8="%.",VLOOKUP(B92,'Filtered Data'!AL:AN,3,FALSE)/100,VLOOKUP(B92,'Filtered Data'!AL:AN,3,FALSE))))))</f>
        <v>13.756921881703718</v>
      </c>
      <c r="V92" s="289"/>
      <c r="W92" s="289"/>
      <c r="X92" s="289"/>
      <c r="Y92" s="267" t="str">
        <f>IF(E92="","",IF((VLOOKUP(E92,classifications!C:K,9,FALSE))="Sparse","S",""))</f>
        <v>S</v>
      </c>
      <c r="AA92" s="290"/>
      <c r="AB92" s="291"/>
      <c r="AC92" s="291"/>
      <c r="AD92" s="292"/>
      <c r="AE92" s="292"/>
      <c r="AF92" s="292"/>
      <c r="AG92" s="292"/>
      <c r="AH92" s="292"/>
      <c r="AI92" s="292"/>
      <c r="AJ92" s="292"/>
      <c r="AK92" s="292"/>
      <c r="AL92" s="292"/>
      <c r="AM92" s="292"/>
      <c r="AN92" s="288"/>
      <c r="AO92" s="288"/>
      <c r="AP92" s="288"/>
      <c r="AQ92" s="288"/>
      <c r="AR92" s="267"/>
      <c r="AV92" s="253"/>
    </row>
    <row r="93" spans="2:48" s="251" customFormat="1" ht="12" customHeight="1">
      <c r="B93" s="323" t="str">
        <f>IF('Filtered Data'!$D$1="MD","",IF('Filtered Data'!$D$1="SC",'Filtered Data'!AS13,'Filtered Data'!AL13))</f>
        <v/>
      </c>
      <c r="C93" s="291"/>
      <c r="D93" s="291"/>
      <c r="E93" s="292" t="str">
        <f>IF(B93="","",IF('Filtered Data'!$D$1="SC",VLOOKUP(B93,'Filtered Data'!AS:AU,2,FALSE),VLOOKUP(B93,'Filtered Data'!AL:AN,2,FALSE)))</f>
        <v/>
      </c>
      <c r="F93" s="292"/>
      <c r="G93" s="292"/>
      <c r="H93" s="292"/>
      <c r="I93" s="292"/>
      <c r="J93" s="292"/>
      <c r="K93" s="292"/>
      <c r="L93" s="292"/>
      <c r="M93" s="292"/>
      <c r="N93" s="292"/>
      <c r="O93" s="292"/>
      <c r="P93" s="292"/>
      <c r="Q93" s="292"/>
      <c r="R93" s="292"/>
      <c r="S93" s="292"/>
      <c r="T93" s="292"/>
      <c r="U93" s="289" t="str">
        <f>IF(B93="","",IF('Filtered Data'!$D$1&amp;'Filtered Data'!$H$8="SC%.",(VLOOKUP(B93,'Filtered Data'!AS:AU,3,FALSE))/100,IF('Filtered Data'!$D$1&amp;'Filtered Data'!$H$8="SC%%",(VLOOKUP(B93,'Filtered Data'!AS:AU,3,FALSE)),IF('Filtered Data'!$D$1&amp;'Filtered Data'!$H$8="SC..",(VLOOKUP(B93,'Filtered Data'!AS:AU,3,FALSE)),IF('Filtered Data'!$H$8="%.",VLOOKUP(B93,'Filtered Data'!AL:AN,3,FALSE)/100,VLOOKUP(B93,'Filtered Data'!AL:AN,3,FALSE))))))</f>
        <v/>
      </c>
      <c r="V93" s="289"/>
      <c r="W93" s="289"/>
      <c r="X93" s="289"/>
      <c r="Y93" s="267" t="str">
        <f>IF(E93="","",IF((VLOOKUP(E93,classifications!C:K,9,FALSE))="Sparse","S",""))</f>
        <v/>
      </c>
      <c r="AA93" s="290"/>
      <c r="AB93" s="291"/>
      <c r="AC93" s="291"/>
      <c r="AD93" s="292"/>
      <c r="AE93" s="292"/>
      <c r="AF93" s="292"/>
      <c r="AG93" s="292"/>
      <c r="AH93" s="292"/>
      <c r="AI93" s="292"/>
      <c r="AJ93" s="292"/>
      <c r="AK93" s="292"/>
      <c r="AL93" s="292"/>
      <c r="AM93" s="292"/>
      <c r="AN93" s="288"/>
      <c r="AO93" s="288"/>
      <c r="AP93" s="288"/>
      <c r="AQ93" s="288"/>
      <c r="AR93" s="267"/>
      <c r="AV93" s="253"/>
    </row>
    <row r="94" spans="2:48" s="251" customFormat="1" ht="12" customHeight="1">
      <c r="B94" s="323" t="str">
        <f>IF('Filtered Data'!$D$1="MD","",IF('Filtered Data'!$D$1="SC",'Filtered Data'!AS14,'Filtered Data'!AL14))</f>
        <v/>
      </c>
      <c r="C94" s="291"/>
      <c r="D94" s="291"/>
      <c r="E94" s="292" t="str">
        <f>IF(B94="","",IF('Filtered Data'!$D$1="SC",VLOOKUP(B94,'Filtered Data'!AS:AU,2,FALSE),VLOOKUP(B94,'Filtered Data'!AL:AN,2,FALSE)))</f>
        <v/>
      </c>
      <c r="F94" s="292"/>
      <c r="G94" s="292"/>
      <c r="H94" s="292"/>
      <c r="I94" s="292"/>
      <c r="J94" s="292"/>
      <c r="K94" s="292"/>
      <c r="L94" s="292"/>
      <c r="M94" s="292"/>
      <c r="N94" s="292"/>
      <c r="O94" s="292"/>
      <c r="P94" s="292"/>
      <c r="Q94" s="292"/>
      <c r="R94" s="292"/>
      <c r="S94" s="292"/>
      <c r="T94" s="292"/>
      <c r="U94" s="289" t="str">
        <f>IF(B94="","",IF('Filtered Data'!$D$1&amp;'Filtered Data'!$H$8="SC%.",(VLOOKUP(B94,'Filtered Data'!AS:AU,3,FALSE))/100,IF('Filtered Data'!$D$1&amp;'Filtered Data'!$H$8="SC%%",(VLOOKUP(B94,'Filtered Data'!AS:AU,3,FALSE)),IF('Filtered Data'!$D$1&amp;'Filtered Data'!$H$8="SC..",(VLOOKUP(B94,'Filtered Data'!AS:AU,3,FALSE)),IF('Filtered Data'!$H$8="%.",VLOOKUP(B94,'Filtered Data'!AL:AN,3,FALSE)/100,VLOOKUP(B94,'Filtered Data'!AL:AN,3,FALSE))))))</f>
        <v/>
      </c>
      <c r="V94" s="289"/>
      <c r="W94" s="289"/>
      <c r="X94" s="289"/>
      <c r="Y94" s="267" t="str">
        <f>IF(E94="","",IF((VLOOKUP(E94,classifications!C:K,9,FALSE))="Sparse","S",""))</f>
        <v/>
      </c>
      <c r="AA94" s="290"/>
      <c r="AB94" s="291"/>
      <c r="AC94" s="291"/>
      <c r="AD94" s="292"/>
      <c r="AE94" s="292"/>
      <c r="AF94" s="292"/>
      <c r="AG94" s="292"/>
      <c r="AH94" s="292"/>
      <c r="AI94" s="292"/>
      <c r="AJ94" s="292"/>
      <c r="AK94" s="292"/>
      <c r="AL94" s="292"/>
      <c r="AM94" s="292"/>
      <c r="AN94" s="288"/>
      <c r="AO94" s="288"/>
      <c r="AP94" s="288"/>
      <c r="AQ94" s="288"/>
      <c r="AR94" s="267"/>
      <c r="AV94" s="253"/>
    </row>
    <row r="95" spans="2:48" s="251" customFormat="1" ht="12" customHeight="1">
      <c r="B95" s="323" t="str">
        <f>IF('Filtered Data'!$D$1="MD","",IF('Filtered Data'!$D$1="SC",'Filtered Data'!AS15,'Filtered Data'!AL15))</f>
        <v/>
      </c>
      <c r="C95" s="291"/>
      <c r="D95" s="291"/>
      <c r="E95" s="292" t="str">
        <f>IF(B95="","",IF('Filtered Data'!$D$1="SC",VLOOKUP(B95,'Filtered Data'!AS:AU,2,FALSE),VLOOKUP(B95,'Filtered Data'!AL:AN,2,FALSE)))</f>
        <v/>
      </c>
      <c r="F95" s="292"/>
      <c r="G95" s="292"/>
      <c r="H95" s="292"/>
      <c r="I95" s="292"/>
      <c r="J95" s="292"/>
      <c r="K95" s="292"/>
      <c r="L95" s="292"/>
      <c r="M95" s="292"/>
      <c r="N95" s="292"/>
      <c r="O95" s="292"/>
      <c r="P95" s="292"/>
      <c r="Q95" s="292"/>
      <c r="R95" s="292"/>
      <c r="S95" s="292"/>
      <c r="T95" s="292"/>
      <c r="U95" s="289" t="str">
        <f>IF(B95="","",IF('Filtered Data'!$D$1&amp;'Filtered Data'!$H$8="SC%.",(VLOOKUP(B95,'Filtered Data'!AS:AU,3,FALSE))/100,IF('Filtered Data'!$D$1&amp;'Filtered Data'!$H$8="SC%%",(VLOOKUP(B95,'Filtered Data'!AS:AU,3,FALSE)),IF('Filtered Data'!$D$1&amp;'Filtered Data'!$H$8="SC..",(VLOOKUP(B95,'Filtered Data'!AS:AU,3,FALSE)),IF('Filtered Data'!$H$8="%.",VLOOKUP(B95,'Filtered Data'!AL:AN,3,FALSE)/100,VLOOKUP(B95,'Filtered Data'!AL:AN,3,FALSE))))))</f>
        <v/>
      </c>
      <c r="V95" s="289"/>
      <c r="W95" s="289"/>
      <c r="X95" s="289"/>
      <c r="Y95" s="267" t="str">
        <f>IF(E95="","",IF((VLOOKUP(E95,classifications!C:K,9,FALSE))="Sparse","S",""))</f>
        <v/>
      </c>
      <c r="AA95" s="290"/>
      <c r="AB95" s="291"/>
      <c r="AC95" s="291"/>
      <c r="AD95" s="292"/>
      <c r="AE95" s="292"/>
      <c r="AF95" s="292"/>
      <c r="AG95" s="292"/>
      <c r="AH95" s="292"/>
      <c r="AI95" s="292"/>
      <c r="AJ95" s="292"/>
      <c r="AK95" s="292"/>
      <c r="AL95" s="292"/>
      <c r="AM95" s="292"/>
      <c r="AN95" s="288"/>
      <c r="AO95" s="288"/>
      <c r="AP95" s="288"/>
      <c r="AQ95" s="288"/>
      <c r="AR95" s="267"/>
      <c r="AV95" s="253"/>
    </row>
    <row r="96" spans="2:48" s="251" customFormat="1" ht="12" customHeight="1">
      <c r="B96" s="323" t="str">
        <f>IF('Filtered Data'!$D$1="MD","",IF('Filtered Data'!$D$1="SC",'Filtered Data'!AS16,'Filtered Data'!AL16))</f>
        <v/>
      </c>
      <c r="C96" s="291"/>
      <c r="D96" s="291"/>
      <c r="E96" s="292" t="str">
        <f>IF(B96="","",IF('Filtered Data'!$D$1="SC",VLOOKUP(B96,'Filtered Data'!AS:AU,2,FALSE),VLOOKUP(B96,'Filtered Data'!AL:AN,2,FALSE)))</f>
        <v/>
      </c>
      <c r="F96" s="292"/>
      <c r="G96" s="292"/>
      <c r="H96" s="292"/>
      <c r="I96" s="292"/>
      <c r="J96" s="292"/>
      <c r="K96" s="292"/>
      <c r="L96" s="292"/>
      <c r="M96" s="292"/>
      <c r="N96" s="292"/>
      <c r="O96" s="292"/>
      <c r="P96" s="292"/>
      <c r="Q96" s="292"/>
      <c r="R96" s="292"/>
      <c r="S96" s="292"/>
      <c r="T96" s="292"/>
      <c r="U96" s="289" t="str">
        <f>IF(B96="","",IF('Filtered Data'!$D$1&amp;'Filtered Data'!$H$8="SC%.",(VLOOKUP(B96,'Filtered Data'!AS:AU,3,FALSE))/100,IF('Filtered Data'!$D$1&amp;'Filtered Data'!$H$8="SC%%",(VLOOKUP(B96,'Filtered Data'!AS:AU,3,FALSE)),IF('Filtered Data'!$D$1&amp;'Filtered Data'!$H$8="SC..",(VLOOKUP(B96,'Filtered Data'!AS:AU,3,FALSE)),IF('Filtered Data'!$H$8="%.",VLOOKUP(B96,'Filtered Data'!AL:AN,3,FALSE)/100,VLOOKUP(B96,'Filtered Data'!AL:AN,3,FALSE))))))</f>
        <v/>
      </c>
      <c r="V96" s="289"/>
      <c r="W96" s="289"/>
      <c r="X96" s="289"/>
      <c r="Y96" s="267" t="str">
        <f>IF(E96="","",IF((VLOOKUP(E96,classifications!C:K,9,FALSE))="Sparse","S",""))</f>
        <v/>
      </c>
      <c r="AA96" s="290"/>
      <c r="AB96" s="291"/>
      <c r="AC96" s="291"/>
      <c r="AD96" s="292"/>
      <c r="AE96" s="292"/>
      <c r="AF96" s="292"/>
      <c r="AG96" s="292"/>
      <c r="AH96" s="292"/>
      <c r="AI96" s="292"/>
      <c r="AJ96" s="292"/>
      <c r="AK96" s="292"/>
      <c r="AL96" s="292"/>
      <c r="AM96" s="292"/>
      <c r="AN96" s="288"/>
      <c r="AO96" s="288"/>
      <c r="AP96" s="288"/>
      <c r="AQ96" s="288"/>
      <c r="AR96" s="267"/>
      <c r="AV96" s="253"/>
    </row>
    <row r="97" spans="2:48" s="251" customFormat="1" ht="12" customHeight="1">
      <c r="B97" s="323" t="str">
        <f>IF('Filtered Data'!$D$1="MD","",IF('Filtered Data'!$D$1="SC",'Filtered Data'!AS17,'Filtered Data'!AL17))</f>
        <v/>
      </c>
      <c r="C97" s="291"/>
      <c r="D97" s="291"/>
      <c r="E97" s="292" t="str">
        <f>IF(B97="","",IF('Filtered Data'!$D$1="SC",VLOOKUP(B97,'Filtered Data'!AS:AU,2,FALSE),VLOOKUP(B97,'Filtered Data'!AL:AN,2,FALSE)))</f>
        <v/>
      </c>
      <c r="F97" s="292"/>
      <c r="G97" s="292"/>
      <c r="H97" s="292"/>
      <c r="I97" s="292"/>
      <c r="J97" s="292"/>
      <c r="K97" s="292"/>
      <c r="L97" s="292"/>
      <c r="M97" s="292"/>
      <c r="N97" s="292"/>
      <c r="O97" s="292"/>
      <c r="P97" s="292"/>
      <c r="Q97" s="292"/>
      <c r="R97" s="292"/>
      <c r="S97" s="292"/>
      <c r="T97" s="292"/>
      <c r="U97" s="289" t="str">
        <f>IF(B97="","",IF('Filtered Data'!$D$1&amp;'Filtered Data'!$H$8="SC%.",(VLOOKUP(B97,'Filtered Data'!AS:AU,3,FALSE))/100,IF('Filtered Data'!$D$1&amp;'Filtered Data'!$H$8="SC%%",(VLOOKUP(B97,'Filtered Data'!AS:AU,3,FALSE)),IF('Filtered Data'!$D$1&amp;'Filtered Data'!$H$8="SC..",(VLOOKUP(B97,'Filtered Data'!AS:AU,3,FALSE)),IF('Filtered Data'!$H$8="%.",VLOOKUP(B97,'Filtered Data'!AL:AN,3,FALSE)/100,VLOOKUP(B97,'Filtered Data'!AL:AN,3,FALSE))))))</f>
        <v/>
      </c>
      <c r="V97" s="289"/>
      <c r="W97" s="289"/>
      <c r="X97" s="289"/>
      <c r="Y97" s="267" t="str">
        <f>IF(E97="","",IF((VLOOKUP(E97,classifications!C:K,9,FALSE))="Sparse","S",""))</f>
        <v/>
      </c>
      <c r="AA97" s="290"/>
      <c r="AB97" s="291"/>
      <c r="AC97" s="291"/>
      <c r="AD97" s="292"/>
      <c r="AE97" s="292"/>
      <c r="AF97" s="292"/>
      <c r="AG97" s="292"/>
      <c r="AH97" s="292"/>
      <c r="AI97" s="292"/>
      <c r="AJ97" s="292"/>
      <c r="AK97" s="292"/>
      <c r="AL97" s="292"/>
      <c r="AM97" s="292"/>
      <c r="AN97" s="288"/>
      <c r="AO97" s="288"/>
      <c r="AP97" s="288"/>
      <c r="AQ97" s="288"/>
      <c r="AR97" s="267"/>
      <c r="AV97" s="253"/>
    </row>
    <row r="98" spans="2:48" s="251" customFormat="1" ht="12" customHeight="1">
      <c r="B98" s="323" t="str">
        <f>IF('Filtered Data'!$D$1="MD","",IF('Filtered Data'!$D$1="SC",'Filtered Data'!AS18,'Filtered Data'!AL18))</f>
        <v/>
      </c>
      <c r="C98" s="291"/>
      <c r="D98" s="291"/>
      <c r="E98" s="292" t="str">
        <f>IF(B98="","",IF('Filtered Data'!$D$1="SC",VLOOKUP(B98,'Filtered Data'!AS:AU,2,FALSE),VLOOKUP(B98,'Filtered Data'!AL:AN,2,FALSE)))</f>
        <v/>
      </c>
      <c r="F98" s="292"/>
      <c r="G98" s="292"/>
      <c r="H98" s="292"/>
      <c r="I98" s="292"/>
      <c r="J98" s="292"/>
      <c r="K98" s="292"/>
      <c r="L98" s="292"/>
      <c r="M98" s="292"/>
      <c r="N98" s="292"/>
      <c r="O98" s="292"/>
      <c r="P98" s="292"/>
      <c r="Q98" s="292"/>
      <c r="R98" s="292"/>
      <c r="S98" s="292"/>
      <c r="T98" s="292"/>
      <c r="U98" s="289" t="str">
        <f>IF(B98="","",IF('Filtered Data'!$D$1&amp;'Filtered Data'!$H$8="SC%.",(VLOOKUP(B98,'Filtered Data'!AS:AU,3,FALSE))/100,IF('Filtered Data'!$D$1&amp;'Filtered Data'!$H$8="SC%%",(VLOOKUP(B98,'Filtered Data'!AS:AU,3,FALSE)),IF('Filtered Data'!$D$1&amp;'Filtered Data'!$H$8="SC..",(VLOOKUP(B98,'Filtered Data'!AS:AU,3,FALSE)),IF('Filtered Data'!$H$8="%.",VLOOKUP(B98,'Filtered Data'!AL:AN,3,FALSE)/100,VLOOKUP(B98,'Filtered Data'!AL:AN,3,FALSE))))))</f>
        <v/>
      </c>
      <c r="V98" s="289"/>
      <c r="W98" s="289"/>
      <c r="X98" s="289"/>
      <c r="Y98" s="267" t="str">
        <f>IF(E98="","",IF((VLOOKUP(E98,classifications!C:K,9,FALSE))="Sparse","S",""))</f>
        <v/>
      </c>
      <c r="AA98" s="290"/>
      <c r="AB98" s="291"/>
      <c r="AC98" s="291"/>
      <c r="AD98" s="292"/>
      <c r="AE98" s="292"/>
      <c r="AF98" s="292"/>
      <c r="AG98" s="292"/>
      <c r="AH98" s="292"/>
      <c r="AI98" s="292"/>
      <c r="AJ98" s="292"/>
      <c r="AK98" s="292"/>
      <c r="AL98" s="292"/>
      <c r="AM98" s="292"/>
      <c r="AN98" s="288"/>
      <c r="AO98" s="288"/>
      <c r="AP98" s="288"/>
      <c r="AQ98" s="288"/>
      <c r="AR98" s="267"/>
      <c r="AV98" s="253"/>
    </row>
    <row r="99" spans="2:48" s="251" customFormat="1" ht="12" customHeight="1">
      <c r="B99" s="323" t="str">
        <f>IF('Filtered Data'!$D$1="MD","",IF('Filtered Data'!$D$1="SC",'Filtered Data'!AS19,'Filtered Data'!AL19))</f>
        <v/>
      </c>
      <c r="C99" s="291"/>
      <c r="D99" s="291"/>
      <c r="E99" s="292" t="str">
        <f>IF(B99="","",IF('Filtered Data'!$D$1="SC",VLOOKUP(B99,'Filtered Data'!AS:AU,2,FALSE),VLOOKUP(B99,'Filtered Data'!AL:AN,2,FALSE)))</f>
        <v/>
      </c>
      <c r="F99" s="292"/>
      <c r="G99" s="292"/>
      <c r="H99" s="292"/>
      <c r="I99" s="292"/>
      <c r="J99" s="292"/>
      <c r="K99" s="292"/>
      <c r="L99" s="292"/>
      <c r="M99" s="292"/>
      <c r="N99" s="292"/>
      <c r="O99" s="292"/>
      <c r="P99" s="292"/>
      <c r="Q99" s="292"/>
      <c r="R99" s="292"/>
      <c r="S99" s="292"/>
      <c r="T99" s="292"/>
      <c r="U99" s="289" t="str">
        <f>IF(B99="","",IF('Filtered Data'!$D$1&amp;'Filtered Data'!$H$8="SC%.",(VLOOKUP(B99,'Filtered Data'!AS:AU,3,FALSE))/100,IF('Filtered Data'!$D$1&amp;'Filtered Data'!$H$8="SC%%",(VLOOKUP(B99,'Filtered Data'!AS:AU,3,FALSE)),IF('Filtered Data'!$D$1&amp;'Filtered Data'!$H$8="SC..",(VLOOKUP(B99,'Filtered Data'!AS:AU,3,FALSE)),IF('Filtered Data'!$H$8="%.",VLOOKUP(B99,'Filtered Data'!AL:AN,3,FALSE)/100,VLOOKUP(B99,'Filtered Data'!AL:AN,3,FALSE))))))</f>
        <v/>
      </c>
      <c r="V99" s="289"/>
      <c r="W99" s="289"/>
      <c r="X99" s="289"/>
      <c r="Y99" s="267" t="str">
        <f>IF(E99="","",IF((VLOOKUP(E99,classifications!C:K,9,FALSE))="Sparse","S",""))</f>
        <v/>
      </c>
      <c r="AA99" s="290"/>
      <c r="AB99" s="291"/>
      <c r="AC99" s="291"/>
      <c r="AD99" s="292"/>
      <c r="AE99" s="292"/>
      <c r="AF99" s="292"/>
      <c r="AG99" s="292"/>
      <c r="AH99" s="292"/>
      <c r="AI99" s="292"/>
      <c r="AJ99" s="292"/>
      <c r="AK99" s="292"/>
      <c r="AL99" s="292"/>
      <c r="AM99" s="292"/>
      <c r="AN99" s="288"/>
      <c r="AO99" s="288"/>
      <c r="AP99" s="288"/>
      <c r="AQ99" s="288"/>
      <c r="AR99" s="267"/>
      <c r="AV99" s="253"/>
    </row>
    <row r="100" spans="2:48" s="251" customFormat="1" ht="12" customHeight="1">
      <c r="B100" s="323" t="str">
        <f>IF('Filtered Data'!$D$1="MD","",IF('Filtered Data'!$D$1="SC",'Filtered Data'!AS20,'Filtered Data'!AL20))</f>
        <v/>
      </c>
      <c r="C100" s="291"/>
      <c r="D100" s="291"/>
      <c r="E100" s="292" t="str">
        <f>IF(B100="","",IF('Filtered Data'!$D$1="SC",VLOOKUP(B100,'Filtered Data'!AS:AU,2,FALSE),VLOOKUP(B100,'Filtered Data'!AL:AN,2,FALSE)))</f>
        <v/>
      </c>
      <c r="F100" s="292"/>
      <c r="G100" s="292"/>
      <c r="H100" s="292"/>
      <c r="I100" s="292"/>
      <c r="J100" s="292"/>
      <c r="K100" s="292"/>
      <c r="L100" s="292"/>
      <c r="M100" s="292"/>
      <c r="N100" s="292"/>
      <c r="O100" s="292"/>
      <c r="P100" s="292"/>
      <c r="Q100" s="292"/>
      <c r="R100" s="292"/>
      <c r="S100" s="292"/>
      <c r="T100" s="292"/>
      <c r="U100" s="289" t="str">
        <f>IF(B100="","",IF('Filtered Data'!$D$1&amp;'Filtered Data'!$H$8="SC%.",(VLOOKUP(B100,'Filtered Data'!AS:AU,3,FALSE))/100,IF('Filtered Data'!$D$1&amp;'Filtered Data'!$H$8="SC%%",(VLOOKUP(B100,'Filtered Data'!AS:AU,3,FALSE)),IF('Filtered Data'!$D$1&amp;'Filtered Data'!$H$8="SC..",(VLOOKUP(B100,'Filtered Data'!AS:AU,3,FALSE)),IF('Filtered Data'!$H$8="%.",VLOOKUP(B100,'Filtered Data'!AL:AN,3,FALSE)/100,VLOOKUP(B100,'Filtered Data'!AL:AN,3,FALSE))))))</f>
        <v/>
      </c>
      <c r="V100" s="289"/>
      <c r="W100" s="289"/>
      <c r="X100" s="289"/>
      <c r="Y100" s="267" t="str">
        <f>IF(E100="","",IF((VLOOKUP(E100,classifications!C:K,9,FALSE))="Sparse","S",""))</f>
        <v/>
      </c>
      <c r="AA100" s="290"/>
      <c r="AB100" s="291"/>
      <c r="AC100" s="291"/>
      <c r="AD100" s="292"/>
      <c r="AE100" s="292"/>
      <c r="AF100" s="292"/>
      <c r="AG100" s="292"/>
      <c r="AH100" s="292"/>
      <c r="AI100" s="292"/>
      <c r="AJ100" s="292"/>
      <c r="AK100" s="292"/>
      <c r="AL100" s="292"/>
      <c r="AM100" s="292"/>
      <c r="AN100" s="288"/>
      <c r="AO100" s="288"/>
      <c r="AP100" s="288"/>
      <c r="AQ100" s="288"/>
      <c r="AR100" s="267"/>
      <c r="AV100" s="253"/>
    </row>
    <row r="101" spans="2:48" s="251" customFormat="1" ht="12" customHeight="1">
      <c r="B101" s="323" t="str">
        <f>IF('Filtered Data'!$D$1="MD","",IF('Filtered Data'!$D$1="SC",'Filtered Data'!AS21,'Filtered Data'!AL21))</f>
        <v/>
      </c>
      <c r="C101" s="291"/>
      <c r="D101" s="291"/>
      <c r="E101" s="292" t="str">
        <f>IF(B101="","",IF('Filtered Data'!$D$1="SC",VLOOKUP(B101,'Filtered Data'!AS:AU,2,FALSE),VLOOKUP(B101,'Filtered Data'!AL:AN,2,FALSE)))</f>
        <v/>
      </c>
      <c r="F101" s="292"/>
      <c r="G101" s="292"/>
      <c r="H101" s="292"/>
      <c r="I101" s="292"/>
      <c r="J101" s="292"/>
      <c r="K101" s="292"/>
      <c r="L101" s="292"/>
      <c r="M101" s="292"/>
      <c r="N101" s="292"/>
      <c r="O101" s="292"/>
      <c r="P101" s="292"/>
      <c r="Q101" s="292"/>
      <c r="R101" s="292"/>
      <c r="S101" s="292"/>
      <c r="T101" s="292"/>
      <c r="U101" s="289" t="str">
        <f>IF(B101="","",IF('Filtered Data'!$D$1&amp;'Filtered Data'!$H$8="SC%.",(VLOOKUP(B101,'Filtered Data'!AS:AU,3,FALSE))/100,IF('Filtered Data'!$D$1&amp;'Filtered Data'!$H$8="SC%%",(VLOOKUP(B101,'Filtered Data'!AS:AU,3,FALSE)),IF('Filtered Data'!$D$1&amp;'Filtered Data'!$H$8="SC..",(VLOOKUP(B101,'Filtered Data'!AS:AU,3,FALSE)),IF('Filtered Data'!$H$8="%.",VLOOKUP(B101,'Filtered Data'!AL:AN,3,FALSE)/100,VLOOKUP(B101,'Filtered Data'!AL:AN,3,FALSE))))))</f>
        <v/>
      </c>
      <c r="V101" s="289"/>
      <c r="W101" s="289"/>
      <c r="X101" s="289"/>
      <c r="Y101" s="267" t="str">
        <f>IF(E101="","",IF((VLOOKUP(E101,classifications!C:K,9,FALSE))="Sparse","S",""))</f>
        <v/>
      </c>
      <c r="AA101" s="290"/>
      <c r="AB101" s="291"/>
      <c r="AC101" s="291"/>
      <c r="AD101" s="292"/>
      <c r="AE101" s="292"/>
      <c r="AF101" s="292"/>
      <c r="AG101" s="292"/>
      <c r="AH101" s="292"/>
      <c r="AI101" s="292"/>
      <c r="AJ101" s="292"/>
      <c r="AK101" s="292"/>
      <c r="AL101" s="292"/>
      <c r="AM101" s="292"/>
      <c r="AN101" s="288"/>
      <c r="AO101" s="288"/>
      <c r="AP101" s="288"/>
      <c r="AQ101" s="288"/>
      <c r="AR101" s="267"/>
      <c r="AV101" s="253"/>
    </row>
    <row r="102" spans="2:48" s="251" customFormat="1" ht="12" customHeight="1">
      <c r="B102" s="323" t="str">
        <f>IF('Filtered Data'!$D$1="MD","",IF('Filtered Data'!$D$1="SC",'Filtered Data'!AS22,'Filtered Data'!AL22))</f>
        <v/>
      </c>
      <c r="C102" s="291"/>
      <c r="D102" s="291"/>
      <c r="E102" s="292" t="str">
        <f>IF(B102="","",IF('Filtered Data'!$D$1="SC",VLOOKUP(B102,'Filtered Data'!AS:AU,2,FALSE),VLOOKUP(B102,'Filtered Data'!AL:AN,2,FALSE)))</f>
        <v/>
      </c>
      <c r="F102" s="292"/>
      <c r="G102" s="292"/>
      <c r="H102" s="292"/>
      <c r="I102" s="292"/>
      <c r="J102" s="292"/>
      <c r="K102" s="292"/>
      <c r="L102" s="292"/>
      <c r="M102" s="292"/>
      <c r="N102" s="292"/>
      <c r="O102" s="292"/>
      <c r="P102" s="292"/>
      <c r="Q102" s="292"/>
      <c r="R102" s="292"/>
      <c r="S102" s="292"/>
      <c r="T102" s="292"/>
      <c r="U102" s="289" t="str">
        <f>IF(B102="","",IF('Filtered Data'!$D$1&amp;'Filtered Data'!$H$8="SC%.",(VLOOKUP(B102,'Filtered Data'!AS:AU,3,FALSE))/100,IF('Filtered Data'!$D$1&amp;'Filtered Data'!$H$8="SC%%",(VLOOKUP(B102,'Filtered Data'!AS:AU,3,FALSE)),IF('Filtered Data'!$D$1&amp;'Filtered Data'!$H$8="SC..",(VLOOKUP(B102,'Filtered Data'!AS:AU,3,FALSE)),IF('Filtered Data'!$H$8="%.",VLOOKUP(B102,'Filtered Data'!AL:AN,3,FALSE)/100,VLOOKUP(B102,'Filtered Data'!AL:AN,3,FALSE))))))</f>
        <v/>
      </c>
      <c r="V102" s="289"/>
      <c r="W102" s="289"/>
      <c r="X102" s="289"/>
      <c r="Y102" s="267" t="str">
        <f>IF(E102="","",IF((VLOOKUP(E102,classifications!C:K,9,FALSE))="Sparse","S",""))</f>
        <v/>
      </c>
      <c r="AA102" s="290"/>
      <c r="AB102" s="291"/>
      <c r="AC102" s="291"/>
      <c r="AD102" s="292"/>
      <c r="AE102" s="292"/>
      <c r="AF102" s="292"/>
      <c r="AG102" s="292"/>
      <c r="AH102" s="292"/>
      <c r="AI102" s="292"/>
      <c r="AJ102" s="292"/>
      <c r="AK102" s="292"/>
      <c r="AL102" s="292"/>
      <c r="AM102" s="292"/>
      <c r="AN102" s="288"/>
      <c r="AO102" s="288"/>
      <c r="AP102" s="288"/>
      <c r="AQ102" s="288"/>
      <c r="AR102" s="267"/>
      <c r="AV102" s="253"/>
    </row>
    <row r="103" spans="2:48" s="251" customFormat="1" ht="12" customHeight="1">
      <c r="B103" s="323" t="str">
        <f>IF('Filtered Data'!$D$1="MD","",IF('Filtered Data'!$D$1="SC",'Filtered Data'!AS23,'Filtered Data'!AL23))</f>
        <v/>
      </c>
      <c r="C103" s="291"/>
      <c r="D103" s="291"/>
      <c r="E103" s="292" t="str">
        <f>IF(B103="","",IF('Filtered Data'!$D$1="SC",VLOOKUP(B103,'Filtered Data'!AS:AU,2,FALSE),VLOOKUP(B103,'Filtered Data'!AL:AN,2,FALSE)))</f>
        <v/>
      </c>
      <c r="F103" s="292"/>
      <c r="G103" s="292"/>
      <c r="H103" s="292"/>
      <c r="I103" s="292"/>
      <c r="J103" s="292"/>
      <c r="K103" s="292"/>
      <c r="L103" s="292"/>
      <c r="M103" s="292"/>
      <c r="N103" s="292"/>
      <c r="O103" s="292"/>
      <c r="P103" s="292"/>
      <c r="Q103" s="292"/>
      <c r="R103" s="292"/>
      <c r="S103" s="292"/>
      <c r="T103" s="292"/>
      <c r="U103" s="289" t="str">
        <f>IF(B103="","",IF('Filtered Data'!$D$1&amp;'Filtered Data'!$H$8="SC%.",(VLOOKUP(B103,'Filtered Data'!AS:AU,3,FALSE))/100,IF('Filtered Data'!$D$1&amp;'Filtered Data'!$H$8="SC%%",(VLOOKUP(B103,'Filtered Data'!AS:AU,3,FALSE)),IF('Filtered Data'!$D$1&amp;'Filtered Data'!$H$8="SC..",(VLOOKUP(B103,'Filtered Data'!AS:AU,3,FALSE)),IF('Filtered Data'!$H$8="%.",VLOOKUP(B103,'Filtered Data'!AL:AN,3,FALSE)/100,VLOOKUP(B103,'Filtered Data'!AL:AN,3,FALSE))))))</f>
        <v/>
      </c>
      <c r="V103" s="289"/>
      <c r="W103" s="289"/>
      <c r="X103" s="289"/>
      <c r="Y103" s="267" t="str">
        <f>IF(E103="","",IF((VLOOKUP(E103,classifications!C:K,9,FALSE))="Sparse","S",""))</f>
        <v/>
      </c>
      <c r="AA103" s="290"/>
      <c r="AB103" s="291"/>
      <c r="AC103" s="291"/>
      <c r="AD103" s="292"/>
      <c r="AE103" s="292"/>
      <c r="AF103" s="292"/>
      <c r="AG103" s="292"/>
      <c r="AH103" s="292"/>
      <c r="AI103" s="292"/>
      <c r="AJ103" s="292"/>
      <c r="AK103" s="292"/>
      <c r="AL103" s="292"/>
      <c r="AM103" s="292"/>
      <c r="AN103" s="288"/>
      <c r="AO103" s="288"/>
      <c r="AP103" s="288"/>
      <c r="AQ103" s="288"/>
      <c r="AR103" s="267"/>
      <c r="AV103" s="253"/>
    </row>
    <row r="104" spans="2:48" s="251" customFormat="1" ht="12" customHeight="1">
      <c r="B104" s="323" t="str">
        <f>IF('Filtered Data'!$D$1="MD","",IF('Filtered Data'!$D$1="SC",'Filtered Data'!AS24,'Filtered Data'!AL24))</f>
        <v/>
      </c>
      <c r="C104" s="291"/>
      <c r="D104" s="291"/>
      <c r="E104" s="292" t="str">
        <f>IF(B104="","",IF('Filtered Data'!$D$1="SC",VLOOKUP(B104,'Filtered Data'!AS:AU,2,FALSE),VLOOKUP(B104,'Filtered Data'!AL:AN,2,FALSE)))</f>
        <v/>
      </c>
      <c r="F104" s="292"/>
      <c r="G104" s="292"/>
      <c r="H104" s="292"/>
      <c r="I104" s="292"/>
      <c r="J104" s="292"/>
      <c r="K104" s="292"/>
      <c r="L104" s="292"/>
      <c r="M104" s="292"/>
      <c r="N104" s="292"/>
      <c r="O104" s="292"/>
      <c r="P104" s="292"/>
      <c r="Q104" s="292"/>
      <c r="R104" s="292"/>
      <c r="S104" s="292"/>
      <c r="T104" s="292"/>
      <c r="U104" s="289" t="str">
        <f>IF(B104="","",IF('Filtered Data'!$D$1&amp;'Filtered Data'!$H$8="SC%.",(VLOOKUP(B104,'Filtered Data'!AS:AU,3,FALSE))/100,IF('Filtered Data'!$D$1&amp;'Filtered Data'!$H$8="SC%%",(VLOOKUP(B104,'Filtered Data'!AS:AU,3,FALSE)),IF('Filtered Data'!$D$1&amp;'Filtered Data'!$H$8="SC..",(VLOOKUP(B104,'Filtered Data'!AS:AU,3,FALSE)),IF('Filtered Data'!$H$8="%.",VLOOKUP(B104,'Filtered Data'!AL:AN,3,FALSE)/100,VLOOKUP(B104,'Filtered Data'!AL:AN,3,FALSE))))))</f>
        <v/>
      </c>
      <c r="V104" s="289"/>
      <c r="W104" s="289"/>
      <c r="X104" s="289"/>
      <c r="Y104" s="267" t="str">
        <f>IF(E104="","",IF((VLOOKUP(E104,classifications!C:K,9,FALSE))="Sparse","S",""))</f>
        <v/>
      </c>
      <c r="AA104" s="290"/>
      <c r="AB104" s="291"/>
      <c r="AC104" s="291"/>
      <c r="AD104" s="292"/>
      <c r="AE104" s="292"/>
      <c r="AF104" s="292"/>
      <c r="AG104" s="292"/>
      <c r="AH104" s="292"/>
      <c r="AI104" s="292"/>
      <c r="AJ104" s="292"/>
      <c r="AK104" s="292"/>
      <c r="AL104" s="292"/>
      <c r="AM104" s="292"/>
      <c r="AN104" s="288"/>
      <c r="AO104" s="288"/>
      <c r="AP104" s="288"/>
      <c r="AQ104" s="288"/>
      <c r="AR104" s="267"/>
      <c r="AV104" s="253"/>
    </row>
    <row r="105" spans="2:48" s="251" customFormat="1" ht="12" customHeight="1">
      <c r="B105" s="323" t="str">
        <f>IF('Filtered Data'!$D$1="MD","",IF('Filtered Data'!$D$1="SC",'Filtered Data'!AS25,'Filtered Data'!AL25))</f>
        <v/>
      </c>
      <c r="C105" s="291"/>
      <c r="D105" s="291"/>
      <c r="E105" s="292" t="str">
        <f>IF(B105="","",IF('Filtered Data'!$D$1="SC",VLOOKUP(B105,'Filtered Data'!AS:AU,2,FALSE),VLOOKUP(B105,'Filtered Data'!AL:AN,2,FALSE)))</f>
        <v/>
      </c>
      <c r="F105" s="292"/>
      <c r="G105" s="292"/>
      <c r="H105" s="292"/>
      <c r="I105" s="292"/>
      <c r="J105" s="292"/>
      <c r="K105" s="292"/>
      <c r="L105" s="292"/>
      <c r="M105" s="292"/>
      <c r="N105" s="292"/>
      <c r="O105" s="292"/>
      <c r="P105" s="292"/>
      <c r="Q105" s="292"/>
      <c r="R105" s="292"/>
      <c r="S105" s="292"/>
      <c r="T105" s="292"/>
      <c r="U105" s="289" t="str">
        <f>IF(B105="","",IF('Filtered Data'!$D$1&amp;'Filtered Data'!$H$8="SC%.",(VLOOKUP(B105,'Filtered Data'!AS:AU,3,FALSE))/100,IF('Filtered Data'!$D$1&amp;'Filtered Data'!$H$8="SC%%",(VLOOKUP(B105,'Filtered Data'!AS:AU,3,FALSE)),IF('Filtered Data'!$D$1&amp;'Filtered Data'!$H$8="SC..",(VLOOKUP(B105,'Filtered Data'!AS:AU,3,FALSE)),IF('Filtered Data'!$H$8="%.",VLOOKUP(B105,'Filtered Data'!AL:AN,3,FALSE)/100,VLOOKUP(B105,'Filtered Data'!AL:AN,3,FALSE))))))</f>
        <v/>
      </c>
      <c r="V105" s="289"/>
      <c r="W105" s="289"/>
      <c r="X105" s="289"/>
      <c r="Y105" s="267" t="str">
        <f>IF(E105="","",IF((VLOOKUP(E105,classifications!C:K,9,FALSE))="Sparse","S",""))</f>
        <v/>
      </c>
      <c r="AA105" s="290"/>
      <c r="AB105" s="291"/>
      <c r="AC105" s="291"/>
      <c r="AD105" s="292"/>
      <c r="AE105" s="292"/>
      <c r="AF105" s="292"/>
      <c r="AG105" s="292"/>
      <c r="AH105" s="292"/>
      <c r="AI105" s="292"/>
      <c r="AJ105" s="292"/>
      <c r="AK105" s="292"/>
      <c r="AL105" s="292"/>
      <c r="AM105" s="292"/>
      <c r="AN105" s="288"/>
      <c r="AO105" s="288"/>
      <c r="AP105" s="288"/>
      <c r="AQ105" s="288"/>
      <c r="AR105" s="267"/>
      <c r="AV105" s="253"/>
    </row>
    <row r="106" spans="2:48" s="251" customFormat="1" ht="12" customHeight="1">
      <c r="B106" s="323" t="str">
        <f>IF('Filtered Data'!$D$1="MD","",IF('Filtered Data'!$D$1="SC",'Filtered Data'!AS26,'Filtered Data'!AL26))</f>
        <v/>
      </c>
      <c r="C106" s="291"/>
      <c r="D106" s="291"/>
      <c r="E106" s="292" t="str">
        <f>IF(B106="","",IF('Filtered Data'!$D$1="SC",VLOOKUP(B106,'Filtered Data'!AS:AU,2,FALSE),VLOOKUP(B106,'Filtered Data'!AL:AN,2,FALSE)))</f>
        <v/>
      </c>
      <c r="F106" s="292"/>
      <c r="G106" s="292"/>
      <c r="H106" s="292"/>
      <c r="I106" s="292"/>
      <c r="J106" s="292"/>
      <c r="K106" s="292"/>
      <c r="L106" s="292"/>
      <c r="M106" s="292"/>
      <c r="N106" s="292"/>
      <c r="O106" s="292"/>
      <c r="P106" s="292"/>
      <c r="Q106" s="292"/>
      <c r="R106" s="292"/>
      <c r="S106" s="292"/>
      <c r="T106" s="292"/>
      <c r="U106" s="289" t="str">
        <f>IF(B106="","",IF('Filtered Data'!$D$1&amp;'Filtered Data'!$H$8="SC%.",(VLOOKUP(B106,'Filtered Data'!AS:AU,3,FALSE))/100,IF('Filtered Data'!$D$1&amp;'Filtered Data'!$H$8="SC%%",(VLOOKUP(B106,'Filtered Data'!AS:AU,3,FALSE)),IF('Filtered Data'!$D$1&amp;'Filtered Data'!$H$8="SC..",(VLOOKUP(B106,'Filtered Data'!AS:AU,3,FALSE)),IF('Filtered Data'!$H$8="%.",VLOOKUP(B106,'Filtered Data'!AL:AN,3,FALSE)/100,VLOOKUP(B106,'Filtered Data'!AL:AN,3,FALSE))))))</f>
        <v/>
      </c>
      <c r="V106" s="289"/>
      <c r="W106" s="289"/>
      <c r="X106" s="289"/>
      <c r="Y106" s="267" t="str">
        <f>IF(E106="","",IF((VLOOKUP(E106,classifications!C:K,9,FALSE))="Sparse","S",""))</f>
        <v/>
      </c>
      <c r="AA106" s="290"/>
      <c r="AB106" s="291"/>
      <c r="AC106" s="291"/>
      <c r="AD106" s="292"/>
      <c r="AE106" s="292"/>
      <c r="AF106" s="292"/>
      <c r="AG106" s="292"/>
      <c r="AH106" s="292"/>
      <c r="AI106" s="292"/>
      <c r="AJ106" s="292"/>
      <c r="AK106" s="292"/>
      <c r="AL106" s="292"/>
      <c r="AM106" s="292"/>
      <c r="AN106" s="288"/>
      <c r="AO106" s="288"/>
      <c r="AP106" s="288"/>
      <c r="AQ106" s="288"/>
      <c r="AR106" s="267"/>
      <c r="AV106" s="253"/>
    </row>
    <row r="107" spans="2:48" s="251" customFormat="1" ht="12" customHeight="1">
      <c r="B107" s="291"/>
      <c r="C107" s="291"/>
      <c r="D107" s="291"/>
      <c r="E107" s="293" t="s">
        <v>340</v>
      </c>
      <c r="F107" s="293"/>
      <c r="G107" s="293"/>
      <c r="H107" s="293"/>
      <c r="I107" s="293"/>
      <c r="J107" s="293"/>
      <c r="K107" s="293"/>
      <c r="L107" s="293"/>
      <c r="M107" s="293"/>
      <c r="N107" s="293"/>
      <c r="O107" s="271"/>
      <c r="P107" s="271"/>
      <c r="Q107" s="271"/>
      <c r="R107" s="271"/>
      <c r="S107" s="271"/>
      <c r="T107" s="271"/>
      <c r="U107" s="296">
        <f>L38</f>
        <v>14.88761663900587</v>
      </c>
      <c r="V107" s="296"/>
      <c r="W107" s="296"/>
      <c r="X107" s="296"/>
      <c r="Y107" s="267"/>
      <c r="AA107" s="291"/>
      <c r="AB107" s="291"/>
      <c r="AC107" s="291"/>
      <c r="AD107" s="262"/>
      <c r="AE107" s="262"/>
      <c r="AF107" s="262"/>
      <c r="AG107" s="262"/>
      <c r="AH107" s="262"/>
      <c r="AI107" s="262"/>
      <c r="AJ107" s="262"/>
      <c r="AK107" s="262"/>
      <c r="AL107" s="262"/>
      <c r="AM107" s="268"/>
      <c r="AN107" s="346"/>
      <c r="AO107" s="346"/>
      <c r="AP107" s="346"/>
      <c r="AQ107" s="346"/>
      <c r="AV107" s="253"/>
    </row>
    <row r="108" spans="2:48" s="251" customFormat="1" ht="12" customHeight="1">
      <c r="W108" s="269">
        <f>COUNT(AA91:AB106)</f>
        <v>0</v>
      </c>
    </row>
    <row r="109" spans="2:48" s="251" customFormat="1" ht="19.5" customHeight="1">
      <c r="B109" s="324" t="str">
        <f>B3</f>
        <v>Cycling Statistics</v>
      </c>
      <c r="C109" s="324"/>
      <c r="D109" s="324"/>
      <c r="E109" s="324"/>
      <c r="F109" s="324"/>
      <c r="G109" s="324"/>
      <c r="H109" s="324"/>
      <c r="I109" s="324"/>
      <c r="J109" s="324"/>
      <c r="K109" s="324"/>
      <c r="L109" s="324"/>
      <c r="M109" s="324"/>
      <c r="N109" s="324"/>
      <c r="O109" s="324"/>
      <c r="P109" s="324"/>
      <c r="Q109" s="324"/>
      <c r="R109" s="324"/>
      <c r="S109" s="324"/>
      <c r="T109" s="324"/>
      <c r="U109" s="324"/>
      <c r="V109" s="324"/>
      <c r="W109" s="324"/>
      <c r="X109" s="324"/>
      <c r="Y109" s="324"/>
      <c r="Z109" s="324"/>
      <c r="AA109" s="324"/>
      <c r="AB109" s="324"/>
      <c r="AC109" s="324"/>
      <c r="AD109" s="324"/>
      <c r="AE109" s="324"/>
      <c r="AF109" s="324"/>
      <c r="AG109" s="324"/>
      <c r="AH109" s="324"/>
      <c r="AI109" s="324"/>
      <c r="AJ109" s="324"/>
      <c r="AK109" s="324"/>
      <c r="AL109" s="324"/>
      <c r="AM109" s="324"/>
      <c r="AN109" s="324"/>
    </row>
    <row r="110" spans="2:48" s="251" customFormat="1" ht="12" customHeight="1"/>
    <row r="111" spans="2:48" s="251" customFormat="1" ht="12" customHeight="1">
      <c r="B111" s="293" t="s">
        <v>372</v>
      </c>
      <c r="C111" s="293"/>
      <c r="D111" s="293"/>
      <c r="E111" s="293"/>
      <c r="F111" s="293"/>
      <c r="G111" s="293"/>
      <c r="H111" s="293"/>
      <c r="I111" s="293"/>
      <c r="J111" s="293"/>
      <c r="K111" s="293"/>
      <c r="L111" s="293"/>
      <c r="M111" s="293"/>
      <c r="N111" s="293"/>
      <c r="O111" s="293"/>
      <c r="P111" s="293"/>
      <c r="Q111" s="293"/>
      <c r="R111" s="293"/>
      <c r="S111" s="293"/>
      <c r="T111" s="293"/>
      <c r="U111" s="293"/>
      <c r="V111" s="293"/>
      <c r="W111" s="293"/>
      <c r="X111" s="293"/>
      <c r="Y111" s="293"/>
      <c r="Z111" s="293"/>
      <c r="AA111" s="293"/>
      <c r="AB111" s="293"/>
      <c r="AC111" s="293"/>
      <c r="AD111" s="293"/>
      <c r="AE111" s="293"/>
      <c r="AF111" s="293"/>
      <c r="AG111" s="293"/>
      <c r="AH111" s="293"/>
      <c r="AI111" s="293"/>
      <c r="AJ111" s="293"/>
      <c r="AK111" s="293"/>
      <c r="AL111" s="293"/>
      <c r="AM111" s="293"/>
      <c r="AN111" s="293"/>
    </row>
    <row r="112" spans="2:48" ht="12" customHeight="1"/>
    <row r="113" spans="2:40" ht="12" customHeight="1">
      <c r="B113" s="311" t="str">
        <f>W6&amp;" - "&amp;W12</f>
        <v>Proportion of residents who do any cycling, at least once per month - 2018/19</v>
      </c>
      <c r="C113" s="312"/>
      <c r="D113" s="312"/>
      <c r="E113" s="312"/>
      <c r="F113" s="312"/>
      <c r="G113" s="312"/>
      <c r="H113" s="312"/>
      <c r="I113" s="312"/>
      <c r="J113" s="312"/>
      <c r="K113" s="312"/>
      <c r="L113" s="312"/>
      <c r="M113" s="312"/>
      <c r="N113" s="312"/>
      <c r="O113" s="312"/>
      <c r="P113" s="312"/>
      <c r="Q113" s="312"/>
      <c r="R113" s="312"/>
      <c r="S113" s="312"/>
      <c r="T113" s="312"/>
      <c r="U113" s="312"/>
      <c r="V113" s="312"/>
      <c r="W113" s="312"/>
      <c r="X113" s="312"/>
      <c r="Y113" s="312"/>
      <c r="Z113" s="312"/>
      <c r="AA113" s="312"/>
      <c r="AB113" s="312"/>
      <c r="AC113" s="312"/>
      <c r="AD113" s="312"/>
      <c r="AE113" s="312"/>
      <c r="AF113" s="312"/>
      <c r="AG113" s="312"/>
      <c r="AH113" s="312"/>
      <c r="AI113" s="312"/>
      <c r="AJ113" s="312"/>
      <c r="AK113" s="312"/>
      <c r="AL113" s="312"/>
      <c r="AM113" s="312"/>
      <c r="AN113" s="248"/>
    </row>
    <row r="114" spans="2:40" ht="12" customHeight="1">
      <c r="B114" s="314"/>
      <c r="C114" s="315"/>
      <c r="D114" s="315"/>
      <c r="E114" s="315"/>
      <c r="F114" s="315"/>
      <c r="G114" s="315"/>
      <c r="H114" s="315"/>
      <c r="I114" s="315"/>
      <c r="J114" s="315"/>
      <c r="K114" s="315"/>
      <c r="L114" s="315"/>
      <c r="M114" s="315"/>
      <c r="N114" s="315"/>
      <c r="O114" s="315"/>
      <c r="P114" s="315"/>
      <c r="Q114" s="315"/>
      <c r="R114" s="315"/>
      <c r="S114" s="315"/>
      <c r="T114" s="315"/>
      <c r="U114" s="315"/>
      <c r="V114" s="315"/>
      <c r="W114" s="315"/>
      <c r="X114" s="315"/>
      <c r="Y114" s="315"/>
      <c r="Z114" s="315"/>
      <c r="AA114" s="315"/>
      <c r="AB114" s="315"/>
      <c r="AC114" s="315"/>
      <c r="AD114" s="315"/>
      <c r="AE114" s="315"/>
      <c r="AF114" s="315"/>
      <c r="AG114" s="315"/>
      <c r="AH114" s="315"/>
      <c r="AI114" s="315"/>
      <c r="AJ114" s="315"/>
      <c r="AK114" s="315"/>
      <c r="AL114" s="315"/>
      <c r="AM114" s="315"/>
      <c r="AN114" s="224"/>
    </row>
    <row r="115" spans="2:40" ht="12" customHeight="1">
      <c r="B115" s="221"/>
      <c r="C115" s="222"/>
      <c r="D115" s="222"/>
      <c r="E115" s="222"/>
      <c r="F115" s="222"/>
      <c r="G115" s="222"/>
      <c r="H115" s="222"/>
      <c r="I115" s="222"/>
      <c r="J115" s="222"/>
      <c r="K115" s="222"/>
      <c r="L115" s="222"/>
      <c r="M115" s="222"/>
      <c r="N115" s="222"/>
      <c r="O115" s="222"/>
      <c r="P115" s="222"/>
      <c r="Q115" s="222"/>
      <c r="R115" s="222"/>
      <c r="S115" s="222"/>
      <c r="T115" s="222"/>
      <c r="U115" s="222"/>
      <c r="V115" s="222"/>
      <c r="W115" s="222"/>
      <c r="X115" s="222"/>
      <c r="Y115" s="222"/>
      <c r="Z115" s="222"/>
      <c r="AA115" s="222"/>
      <c r="AB115" s="222"/>
      <c r="AC115" s="222"/>
      <c r="AD115" s="222"/>
      <c r="AE115" s="222"/>
      <c r="AF115" s="222"/>
      <c r="AG115" s="222"/>
      <c r="AH115" s="222"/>
      <c r="AI115" s="222"/>
      <c r="AJ115" s="222"/>
      <c r="AK115" s="222"/>
      <c r="AL115" s="222"/>
      <c r="AM115" s="222"/>
      <c r="AN115" s="224"/>
    </row>
    <row r="116" spans="2:40" ht="12" customHeight="1">
      <c r="B116" s="221"/>
      <c r="C116" s="222"/>
      <c r="D116" s="222"/>
      <c r="E116" s="222"/>
      <c r="L116" s="222"/>
      <c r="M116" s="239" t="s">
        <v>795</v>
      </c>
      <c r="N116" s="239"/>
      <c r="O116" s="239" t="s">
        <v>796</v>
      </c>
      <c r="P116" s="239"/>
      <c r="Q116" s="222" t="s">
        <v>797</v>
      </c>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4"/>
    </row>
    <row r="117" spans="2:40" ht="12" customHeight="1">
      <c r="B117" s="221"/>
      <c r="C117" s="222"/>
      <c r="D117" s="222"/>
      <c r="E117" s="222"/>
      <c r="F117" s="219" t="str">
        <f>J5</f>
        <v>Cumbria</v>
      </c>
      <c r="G117" s="286">
        <f>IF('Filtered Data'!H8="..",L35,L35*100)</f>
        <v>16.018311396308022</v>
      </c>
      <c r="H117" s="286"/>
      <c r="I117" s="286"/>
      <c r="J117" s="286"/>
      <c r="K117" s="286"/>
      <c r="L117" s="222"/>
      <c r="M117" s="287">
        <f>K$47</f>
        <v>18.75413441664665</v>
      </c>
      <c r="N117" s="287"/>
      <c r="O117" s="287">
        <f>M$47</f>
        <v>16.26259547069758</v>
      </c>
      <c r="P117" s="287"/>
      <c r="Q117" s="287">
        <f>O$47</f>
        <v>14.836317443731243</v>
      </c>
      <c r="R117" s="287"/>
      <c r="S117" s="222"/>
      <c r="T117" s="222"/>
      <c r="U117" s="222"/>
      <c r="V117" s="222"/>
      <c r="W117" s="222"/>
      <c r="X117" s="222"/>
      <c r="Y117" s="222"/>
      <c r="Z117" s="222"/>
      <c r="AA117" s="222"/>
      <c r="AB117" s="222"/>
      <c r="AC117" s="222"/>
      <c r="AD117" s="222"/>
      <c r="AE117" s="222"/>
      <c r="AF117" s="222"/>
      <c r="AG117" s="222"/>
      <c r="AH117" s="222"/>
      <c r="AI117" s="222"/>
      <c r="AJ117" s="222"/>
      <c r="AK117" s="222"/>
      <c r="AL117" s="222"/>
      <c r="AM117" s="222"/>
      <c r="AN117" s="224"/>
    </row>
    <row r="118" spans="2:40" ht="12" customHeight="1">
      <c r="B118" s="221"/>
      <c r="C118" s="222"/>
      <c r="D118" s="222"/>
      <c r="E118" s="222"/>
      <c r="F118" s="219" t="s">
        <v>382</v>
      </c>
      <c r="G118" s="286">
        <f>IF('Filtered Data'!H8="%%",(AVERAGEIF('Filtered Data'!AA$10:AA$500,$F118,'Filtered Data'!M$10:M$500))*100,(AVERAGEIF('Filtered Data'!AA$10:AA$500,$F118,'Filtered Data'!M$10:M$500)))</f>
        <v>18.626964915900135</v>
      </c>
      <c r="H118" s="286"/>
      <c r="I118" s="286"/>
      <c r="J118" s="286"/>
      <c r="K118" s="286"/>
      <c r="L118" s="222"/>
      <c r="M118" s="287">
        <f>K$47</f>
        <v>18.75413441664665</v>
      </c>
      <c r="N118" s="287"/>
      <c r="O118" s="287">
        <f>M$47</f>
        <v>16.26259547069758</v>
      </c>
      <c r="P118" s="287"/>
      <c r="Q118" s="287">
        <f>O$47</f>
        <v>14.836317443731243</v>
      </c>
      <c r="R118" s="287"/>
      <c r="S118" s="222"/>
      <c r="T118" s="222"/>
      <c r="U118" s="222"/>
      <c r="V118" s="222"/>
      <c r="W118" s="222"/>
      <c r="X118" s="222"/>
      <c r="Y118" s="222"/>
      <c r="Z118" s="222"/>
      <c r="AA118" s="222"/>
      <c r="AB118" s="222"/>
      <c r="AC118" s="222"/>
      <c r="AD118" s="222"/>
      <c r="AE118" s="222"/>
      <c r="AF118" s="222"/>
      <c r="AG118" s="222"/>
      <c r="AH118" s="222"/>
      <c r="AI118" s="222"/>
      <c r="AJ118" s="222"/>
      <c r="AK118" s="222"/>
      <c r="AL118" s="222"/>
      <c r="AM118" s="222"/>
      <c r="AN118" s="224"/>
    </row>
    <row r="119" spans="2:40" ht="12" customHeight="1">
      <c r="B119" s="221"/>
      <c r="C119" s="222"/>
      <c r="D119" s="222"/>
      <c r="E119" s="222"/>
      <c r="F119" s="219" t="s">
        <v>384</v>
      </c>
      <c r="G119" s="286">
        <f>IF('Filtered Data'!H8="%%",(AVERAGEIF('Filtered Data'!AA$10:AA$500,$F119,'Filtered Data'!M$10:M$500))*100,(AVERAGEIF('Filtered Data'!AA$10:AA$500,$F119,'Filtered Data'!M$10:M$500)))</f>
        <v>17.998465907332488</v>
      </c>
      <c r="H119" s="286"/>
      <c r="I119" s="286"/>
      <c r="J119" s="286"/>
      <c r="K119" s="286"/>
      <c r="L119" s="222"/>
      <c r="M119" s="287">
        <f>K$47</f>
        <v>18.75413441664665</v>
      </c>
      <c r="N119" s="287"/>
      <c r="O119" s="287">
        <f>M$47</f>
        <v>16.26259547069758</v>
      </c>
      <c r="P119" s="287"/>
      <c r="Q119" s="287">
        <f>O$47</f>
        <v>14.836317443731243</v>
      </c>
      <c r="R119" s="287"/>
      <c r="S119" s="222"/>
      <c r="T119" s="222"/>
      <c r="U119" s="222"/>
      <c r="V119" s="222"/>
      <c r="W119" s="222"/>
      <c r="X119" s="222"/>
      <c r="Y119" s="222"/>
      <c r="Z119" s="222"/>
      <c r="AA119" s="222"/>
      <c r="AB119" s="222"/>
      <c r="AC119" s="222"/>
      <c r="AD119" s="222"/>
      <c r="AE119" s="222"/>
      <c r="AF119" s="222"/>
      <c r="AG119" s="222"/>
      <c r="AH119" s="222"/>
      <c r="AI119" s="222"/>
      <c r="AJ119" s="222"/>
      <c r="AK119" s="222"/>
      <c r="AL119" s="222"/>
      <c r="AM119" s="222"/>
      <c r="AN119" s="224"/>
    </row>
    <row r="120" spans="2:40" ht="12" customHeight="1">
      <c r="B120" s="221"/>
      <c r="C120" s="222"/>
      <c r="D120" s="222"/>
      <c r="E120" s="222"/>
      <c r="F120" s="219" t="s">
        <v>371</v>
      </c>
      <c r="G120" s="286">
        <f>IF('Filtered Data'!H8="%%",(AVERAGEIF('Filtered Data'!AA$10:AA$500,$F120,'Filtered Data'!M$10:M$500))*100,(AVERAGEIF('Filtered Data'!AA$10:AA$500,$F120,'Filtered Data'!M$10:M$500)))</f>
        <v>15.587933565659533</v>
      </c>
      <c r="H120" s="286"/>
      <c r="I120" s="286"/>
      <c r="J120" s="286"/>
      <c r="K120" s="286"/>
      <c r="L120" s="222"/>
      <c r="M120" s="287">
        <f>K$47</f>
        <v>18.75413441664665</v>
      </c>
      <c r="N120" s="287"/>
      <c r="O120" s="287">
        <f>M$47</f>
        <v>16.26259547069758</v>
      </c>
      <c r="P120" s="287"/>
      <c r="Q120" s="287">
        <f>O$47</f>
        <v>14.836317443731243</v>
      </c>
      <c r="R120" s="287"/>
      <c r="S120" s="222"/>
      <c r="T120" s="222"/>
      <c r="U120" s="222"/>
      <c r="V120" s="222"/>
      <c r="W120" s="222"/>
      <c r="X120" s="222"/>
      <c r="Y120" s="222"/>
      <c r="Z120" s="222"/>
      <c r="AA120" s="222"/>
      <c r="AB120" s="222"/>
      <c r="AC120" s="222"/>
      <c r="AD120" s="222"/>
      <c r="AE120" s="222"/>
      <c r="AF120" s="222"/>
      <c r="AG120" s="222"/>
      <c r="AH120" s="222"/>
      <c r="AI120" s="222"/>
      <c r="AJ120" s="222"/>
      <c r="AK120" s="222"/>
      <c r="AL120" s="222"/>
      <c r="AM120" s="222"/>
      <c r="AN120" s="224"/>
    </row>
    <row r="121" spans="2:40" ht="12" customHeight="1">
      <c r="B121" s="221"/>
      <c r="C121" s="222"/>
      <c r="D121" s="222"/>
      <c r="E121" s="222"/>
      <c r="F121" s="222"/>
      <c r="G121" s="286"/>
      <c r="H121" s="286"/>
      <c r="I121" s="286"/>
      <c r="J121" s="286"/>
      <c r="K121" s="286"/>
      <c r="L121" s="222"/>
      <c r="M121" s="287"/>
      <c r="N121" s="287"/>
      <c r="O121" s="287"/>
      <c r="P121" s="287"/>
      <c r="Q121" s="287"/>
      <c r="R121" s="287"/>
      <c r="S121" s="222"/>
      <c r="T121" s="222"/>
      <c r="U121" s="222"/>
      <c r="V121" s="222"/>
      <c r="W121" s="222"/>
      <c r="X121" s="222"/>
      <c r="Y121" s="222"/>
      <c r="Z121" s="222"/>
      <c r="AA121" s="222"/>
      <c r="AB121" s="222"/>
      <c r="AC121" s="222"/>
      <c r="AD121" s="222"/>
      <c r="AE121" s="222"/>
      <c r="AF121" s="222"/>
      <c r="AG121" s="222"/>
      <c r="AH121" s="222"/>
      <c r="AI121" s="222"/>
      <c r="AJ121" s="222"/>
      <c r="AK121" s="222"/>
      <c r="AL121" s="222"/>
      <c r="AM121" s="222"/>
      <c r="AN121" s="224"/>
    </row>
    <row r="122" spans="2:40" ht="12" customHeight="1">
      <c r="B122" s="221"/>
      <c r="C122" s="222"/>
      <c r="D122" s="222"/>
      <c r="E122" s="222"/>
      <c r="F122" s="222"/>
      <c r="G122" s="286"/>
      <c r="H122" s="286"/>
      <c r="I122" s="286"/>
      <c r="J122" s="286"/>
      <c r="K122" s="286"/>
      <c r="L122" s="222"/>
      <c r="M122" s="287"/>
      <c r="N122" s="287"/>
      <c r="O122" s="287"/>
      <c r="P122" s="287"/>
      <c r="Q122" s="287"/>
      <c r="R122" s="287"/>
      <c r="S122" s="222"/>
      <c r="T122" s="222"/>
      <c r="U122" s="222"/>
      <c r="V122" s="222"/>
      <c r="W122" s="222"/>
      <c r="X122" s="222"/>
      <c r="Y122" s="222"/>
      <c r="Z122" s="222"/>
      <c r="AA122" s="222"/>
      <c r="AB122" s="222"/>
      <c r="AC122" s="222"/>
      <c r="AD122" s="222"/>
      <c r="AE122" s="222"/>
      <c r="AF122" s="222"/>
      <c r="AG122" s="222"/>
      <c r="AH122" s="222"/>
      <c r="AI122" s="222"/>
      <c r="AJ122" s="222"/>
      <c r="AK122" s="222"/>
      <c r="AL122" s="222"/>
      <c r="AM122" s="222"/>
      <c r="AN122" s="224"/>
    </row>
    <row r="123" spans="2:40" ht="12" customHeight="1">
      <c r="B123" s="221"/>
      <c r="C123" s="222"/>
      <c r="D123" s="222"/>
      <c r="E123" s="222"/>
      <c r="F123" s="222"/>
      <c r="G123" s="286"/>
      <c r="H123" s="286"/>
      <c r="I123" s="286"/>
      <c r="J123" s="286"/>
      <c r="K123" s="286"/>
      <c r="L123" s="222"/>
      <c r="M123" s="287"/>
      <c r="N123" s="287"/>
      <c r="O123" s="287"/>
      <c r="P123" s="287"/>
      <c r="Q123" s="287"/>
      <c r="R123" s="287"/>
      <c r="S123" s="222"/>
      <c r="T123" s="222"/>
      <c r="U123" s="222"/>
      <c r="V123" s="222"/>
      <c r="W123" s="222"/>
      <c r="X123" s="222"/>
      <c r="Y123" s="222"/>
      <c r="Z123" s="222"/>
      <c r="AA123" s="222"/>
      <c r="AB123" s="222"/>
      <c r="AC123" s="222"/>
      <c r="AD123" s="222"/>
      <c r="AE123" s="222"/>
      <c r="AF123" s="222"/>
      <c r="AG123" s="222"/>
      <c r="AH123" s="222"/>
      <c r="AI123" s="222"/>
      <c r="AJ123" s="222"/>
      <c r="AK123" s="222"/>
      <c r="AL123" s="222"/>
      <c r="AM123" s="222"/>
      <c r="AN123" s="224"/>
    </row>
    <row r="124" spans="2:40" ht="12" customHeight="1">
      <c r="B124" s="221"/>
      <c r="C124" s="222"/>
      <c r="D124" s="222"/>
      <c r="E124" s="222"/>
      <c r="F124" s="222"/>
      <c r="G124" s="222"/>
      <c r="H124" s="222"/>
      <c r="I124" s="222"/>
      <c r="J124" s="222"/>
      <c r="K124" s="222"/>
      <c r="L124" s="222"/>
      <c r="M124" s="222"/>
      <c r="N124" s="222"/>
      <c r="O124" s="222"/>
      <c r="P124" s="222"/>
      <c r="Q124" s="222"/>
      <c r="R124" s="222"/>
      <c r="S124" s="222"/>
      <c r="T124" s="222"/>
      <c r="U124" s="222"/>
      <c r="V124" s="222"/>
      <c r="W124" s="222"/>
      <c r="X124" s="222"/>
      <c r="Y124" s="222"/>
      <c r="Z124" s="222"/>
      <c r="AA124" s="222"/>
      <c r="AB124" s="222"/>
      <c r="AC124" s="222"/>
      <c r="AD124" s="222"/>
      <c r="AE124" s="222"/>
      <c r="AF124" s="222"/>
      <c r="AG124" s="222"/>
      <c r="AH124" s="222"/>
      <c r="AI124" s="222"/>
      <c r="AJ124" s="222"/>
      <c r="AK124" s="222"/>
      <c r="AL124" s="222"/>
      <c r="AM124" s="222"/>
      <c r="AN124" s="224"/>
    </row>
    <row r="125" spans="2:40" ht="12" customHeight="1">
      <c r="B125" s="221"/>
      <c r="C125" s="222"/>
      <c r="D125" s="222"/>
      <c r="E125" s="222"/>
      <c r="F125" s="222"/>
      <c r="G125" s="222"/>
      <c r="H125" s="222"/>
      <c r="I125" s="222"/>
      <c r="J125" s="222"/>
      <c r="K125" s="222"/>
      <c r="L125" s="222"/>
      <c r="M125" s="222"/>
      <c r="N125" s="222"/>
      <c r="O125" s="222"/>
      <c r="P125" s="222"/>
      <c r="Q125" s="222"/>
      <c r="R125" s="222"/>
      <c r="S125" s="222"/>
      <c r="T125" s="222"/>
      <c r="U125" s="222"/>
      <c r="V125" s="222"/>
      <c r="W125" s="222"/>
      <c r="X125" s="222"/>
      <c r="Y125" s="222"/>
      <c r="Z125" s="222"/>
      <c r="AA125" s="222"/>
      <c r="AB125" s="222"/>
      <c r="AC125" s="222"/>
      <c r="AD125" s="222"/>
      <c r="AE125" s="222"/>
      <c r="AF125" s="222"/>
      <c r="AG125" s="222"/>
      <c r="AH125" s="222"/>
      <c r="AI125" s="222"/>
      <c r="AJ125" s="222"/>
      <c r="AK125" s="222"/>
      <c r="AL125" s="222"/>
      <c r="AM125" s="222"/>
      <c r="AN125" s="224"/>
    </row>
    <row r="126" spans="2:40" ht="12" customHeight="1">
      <c r="B126" s="221"/>
      <c r="C126" s="222"/>
      <c r="D126" s="222"/>
      <c r="E126" s="222"/>
      <c r="F126" s="222"/>
      <c r="G126" s="222"/>
      <c r="H126" s="222"/>
      <c r="I126" s="222"/>
      <c r="J126" s="222"/>
      <c r="K126" s="222"/>
      <c r="L126" s="222"/>
      <c r="M126" s="222"/>
      <c r="N126" s="222"/>
      <c r="O126" s="222"/>
      <c r="P126" s="222"/>
      <c r="Q126" s="222"/>
      <c r="R126" s="222"/>
      <c r="S126" s="222"/>
      <c r="T126" s="222"/>
      <c r="U126" s="222"/>
      <c r="V126" s="222"/>
      <c r="W126" s="222"/>
      <c r="X126" s="222"/>
      <c r="Y126" s="222"/>
      <c r="Z126" s="222"/>
      <c r="AA126" s="222"/>
      <c r="AB126" s="222"/>
      <c r="AC126" s="222"/>
      <c r="AD126" s="222"/>
      <c r="AE126" s="222"/>
      <c r="AF126" s="222"/>
      <c r="AG126" s="222"/>
      <c r="AH126" s="222"/>
      <c r="AI126" s="222"/>
      <c r="AJ126" s="222"/>
      <c r="AK126" s="222"/>
      <c r="AL126" s="222"/>
      <c r="AM126" s="222"/>
      <c r="AN126" s="224"/>
    </row>
    <row r="127" spans="2:40" ht="12" customHeight="1">
      <c r="B127" s="221"/>
      <c r="C127" s="222"/>
      <c r="D127" s="222"/>
      <c r="E127" s="222"/>
      <c r="F127" s="222"/>
      <c r="G127" s="222"/>
      <c r="H127" s="222"/>
      <c r="I127" s="222"/>
      <c r="J127" s="222"/>
      <c r="K127" s="222"/>
      <c r="L127" s="222"/>
      <c r="M127" s="222"/>
      <c r="N127" s="222"/>
      <c r="O127" s="222"/>
      <c r="P127" s="222"/>
      <c r="Q127" s="222"/>
      <c r="R127" s="222"/>
      <c r="S127" s="222"/>
      <c r="T127" s="222"/>
      <c r="U127" s="222"/>
      <c r="V127" s="222"/>
      <c r="W127" s="222"/>
      <c r="X127" s="222"/>
      <c r="Y127" s="222"/>
      <c r="Z127" s="222"/>
      <c r="AA127" s="222"/>
      <c r="AB127" s="222"/>
      <c r="AC127" s="222"/>
      <c r="AD127" s="222"/>
      <c r="AE127" s="222"/>
      <c r="AF127" s="222"/>
      <c r="AG127" s="222"/>
      <c r="AH127" s="222"/>
      <c r="AI127" s="222"/>
      <c r="AJ127" s="222"/>
      <c r="AK127" s="222"/>
      <c r="AL127" s="222"/>
      <c r="AM127" s="222"/>
      <c r="AN127" s="224"/>
    </row>
    <row r="128" spans="2:40" ht="12" customHeight="1">
      <c r="B128" s="221"/>
      <c r="C128" s="222"/>
      <c r="D128" s="222"/>
      <c r="E128" s="222"/>
      <c r="F128" s="222"/>
      <c r="G128" s="222"/>
      <c r="H128" s="222"/>
      <c r="I128" s="222"/>
      <c r="J128" s="222"/>
      <c r="K128" s="222"/>
      <c r="L128" s="222"/>
      <c r="M128" s="222"/>
      <c r="N128" s="222"/>
      <c r="O128" s="222"/>
      <c r="P128" s="222"/>
      <c r="Q128" s="222"/>
      <c r="R128" s="222"/>
      <c r="S128" s="222"/>
      <c r="T128" s="222"/>
      <c r="U128" s="222"/>
      <c r="V128" s="222"/>
      <c r="W128" s="222"/>
      <c r="X128" s="222"/>
      <c r="Y128" s="222"/>
      <c r="Z128" s="222"/>
      <c r="AA128" s="222"/>
      <c r="AB128" s="222"/>
      <c r="AC128" s="222"/>
      <c r="AD128" s="222"/>
      <c r="AE128" s="222"/>
      <c r="AF128" s="222"/>
      <c r="AG128" s="222"/>
      <c r="AH128" s="222"/>
      <c r="AI128" s="222"/>
      <c r="AJ128" s="222"/>
      <c r="AK128" s="222"/>
      <c r="AL128" s="222"/>
      <c r="AM128" s="222"/>
      <c r="AN128" s="224"/>
    </row>
    <row r="129" spans="2:40" ht="12" customHeight="1">
      <c r="B129" s="221"/>
      <c r="C129" s="222"/>
      <c r="D129" s="222"/>
      <c r="E129" s="222"/>
      <c r="F129" s="222"/>
      <c r="G129" s="222"/>
      <c r="H129" s="222"/>
      <c r="I129" s="222"/>
      <c r="J129" s="222"/>
      <c r="K129" s="222"/>
      <c r="L129" s="222"/>
      <c r="M129" s="222"/>
      <c r="N129" s="222"/>
      <c r="O129" s="222"/>
      <c r="P129" s="222"/>
      <c r="Q129" s="222"/>
      <c r="R129" s="222"/>
      <c r="S129" s="222"/>
      <c r="T129" s="222"/>
      <c r="U129" s="222"/>
      <c r="V129" s="222"/>
      <c r="W129" s="222"/>
      <c r="X129" s="222"/>
      <c r="Y129" s="222"/>
      <c r="Z129" s="222"/>
      <c r="AA129" s="222"/>
      <c r="AB129" s="222"/>
      <c r="AC129" s="222"/>
      <c r="AD129" s="222"/>
      <c r="AE129" s="222"/>
      <c r="AF129" s="222"/>
      <c r="AG129" s="222"/>
      <c r="AH129" s="222"/>
      <c r="AI129" s="222"/>
      <c r="AJ129" s="222"/>
      <c r="AK129" s="222"/>
      <c r="AL129" s="222"/>
      <c r="AM129" s="222"/>
      <c r="AN129" s="224"/>
    </row>
    <row r="130" spans="2:40" ht="12" customHeight="1">
      <c r="B130" s="221"/>
      <c r="C130" s="222"/>
      <c r="D130" s="222"/>
      <c r="E130" s="222"/>
      <c r="F130" s="222"/>
      <c r="G130" s="222"/>
      <c r="H130" s="222"/>
      <c r="I130" s="222"/>
      <c r="J130" s="222"/>
      <c r="K130" s="222"/>
      <c r="L130" s="222"/>
      <c r="M130" s="222"/>
      <c r="N130" s="222"/>
      <c r="O130" s="222"/>
      <c r="P130" s="222"/>
      <c r="Q130" s="222"/>
      <c r="R130" s="222"/>
      <c r="S130" s="222"/>
      <c r="T130" s="222"/>
      <c r="U130" s="222"/>
      <c r="V130" s="222"/>
      <c r="W130" s="222"/>
      <c r="X130" s="222"/>
      <c r="Y130" s="222"/>
      <c r="Z130" s="222"/>
      <c r="AA130" s="222"/>
      <c r="AB130" s="222"/>
      <c r="AC130" s="222"/>
      <c r="AD130" s="222"/>
      <c r="AE130" s="222"/>
      <c r="AF130" s="222"/>
      <c r="AG130" s="222"/>
      <c r="AH130" s="222"/>
      <c r="AI130" s="222"/>
      <c r="AJ130" s="222"/>
      <c r="AK130" s="222"/>
      <c r="AL130" s="222"/>
      <c r="AM130" s="222"/>
      <c r="AN130" s="224"/>
    </row>
    <row r="131" spans="2:40" ht="12" customHeight="1">
      <c r="B131" s="221"/>
      <c r="C131" s="222"/>
      <c r="D131" s="222"/>
      <c r="E131" s="222"/>
      <c r="F131" s="222"/>
      <c r="G131" s="222"/>
      <c r="H131" s="222"/>
      <c r="I131" s="222"/>
      <c r="J131" s="222"/>
      <c r="K131" s="222"/>
      <c r="L131" s="222"/>
      <c r="M131" s="222"/>
      <c r="N131" s="222"/>
      <c r="O131" s="222"/>
      <c r="P131" s="222"/>
      <c r="Q131" s="222"/>
      <c r="R131" s="222"/>
      <c r="S131" s="222"/>
      <c r="T131" s="222"/>
      <c r="U131" s="222"/>
      <c r="V131" s="222"/>
      <c r="W131" s="222"/>
      <c r="X131" s="222"/>
      <c r="Y131" s="222"/>
      <c r="Z131" s="222"/>
      <c r="AA131" s="222"/>
      <c r="AB131" s="222"/>
      <c r="AC131" s="222"/>
      <c r="AD131" s="222"/>
      <c r="AE131" s="222"/>
      <c r="AF131" s="222"/>
      <c r="AG131" s="222"/>
      <c r="AH131" s="222"/>
      <c r="AI131" s="222"/>
      <c r="AJ131" s="222"/>
      <c r="AK131" s="222"/>
      <c r="AL131" s="222"/>
      <c r="AM131" s="222"/>
      <c r="AN131" s="224"/>
    </row>
    <row r="132" spans="2:40" ht="12" customHeight="1">
      <c r="B132" s="221"/>
      <c r="C132" s="222"/>
      <c r="D132" s="222"/>
      <c r="E132" s="222"/>
      <c r="F132" s="222"/>
      <c r="G132" s="222"/>
      <c r="H132" s="222"/>
      <c r="I132" s="222"/>
      <c r="J132" s="222"/>
      <c r="K132" s="222"/>
      <c r="L132" s="222"/>
      <c r="M132" s="222"/>
      <c r="N132" s="222"/>
      <c r="O132" s="222"/>
      <c r="P132" s="222"/>
      <c r="Q132" s="222"/>
      <c r="R132" s="222"/>
      <c r="S132" s="222"/>
      <c r="T132" s="222"/>
      <c r="U132" s="222"/>
      <c r="V132" s="222"/>
      <c r="W132" s="222"/>
      <c r="X132" s="222"/>
      <c r="Y132" s="222"/>
      <c r="Z132" s="222"/>
      <c r="AA132" s="222"/>
      <c r="AB132" s="222"/>
      <c r="AC132" s="222"/>
      <c r="AD132" s="222"/>
      <c r="AE132" s="222"/>
      <c r="AF132" s="222"/>
      <c r="AG132" s="222"/>
      <c r="AH132" s="222"/>
      <c r="AI132" s="222"/>
      <c r="AJ132" s="222"/>
      <c r="AK132" s="222"/>
      <c r="AL132" s="222"/>
      <c r="AM132" s="222"/>
      <c r="AN132" s="224"/>
    </row>
    <row r="133" spans="2:40" ht="12" customHeight="1">
      <c r="B133" s="225"/>
      <c r="C133" s="226"/>
      <c r="D133" s="226"/>
      <c r="E133" s="226"/>
      <c r="F133" s="226"/>
      <c r="G133" s="226"/>
      <c r="H133" s="226"/>
      <c r="I133" s="226"/>
      <c r="J133" s="226"/>
      <c r="K133" s="226"/>
      <c r="L133" s="226"/>
      <c r="M133" s="226"/>
      <c r="N133" s="226"/>
      <c r="O133" s="226"/>
      <c r="P133" s="226"/>
      <c r="Q133" s="226"/>
      <c r="R133" s="226"/>
      <c r="S133" s="226"/>
      <c r="T133" s="226"/>
      <c r="U133" s="226"/>
      <c r="V133" s="226"/>
      <c r="W133" s="226"/>
      <c r="X133" s="226"/>
      <c r="Y133" s="226"/>
      <c r="Z133" s="226"/>
      <c r="AA133" s="226"/>
      <c r="AB133" s="226"/>
      <c r="AC133" s="226"/>
      <c r="AD133" s="226"/>
      <c r="AE133" s="226"/>
      <c r="AF133" s="226"/>
      <c r="AG133" s="226"/>
      <c r="AH133" s="226"/>
      <c r="AI133" s="226"/>
      <c r="AJ133" s="226"/>
      <c r="AK133" s="226"/>
      <c r="AL133" s="226"/>
      <c r="AM133" s="226"/>
      <c r="AN133" s="227"/>
    </row>
    <row r="134" spans="2:40" ht="12" customHeight="1"/>
    <row r="135" spans="2:40" ht="12" customHeight="1"/>
    <row r="136" spans="2:40" hidden="1"/>
    <row r="137" spans="2:40" hidden="1"/>
    <row r="138" spans="2:40" hidden="1"/>
    <row r="139" spans="2:40" hidden="1"/>
    <row r="140" spans="2:40" hidden="1"/>
    <row r="141" spans="2:40" hidden="1"/>
    <row r="142" spans="2:40" hidden="1"/>
    <row r="143" spans="2:40" hidden="1"/>
    <row r="144" spans="2:40"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sheetData>
  <sheetProtection algorithmName="SHA-512" hashValue="toFjmuOWlEtSpJJer25PKGwecjy7bSOl70NsdHB19P7gZdJai+e3U8fnjSX7yDirYiL6II8L/csYAM8rNpPWSA==" saltValue="xc+nlfZY4IpIkjzIP6qOnA==" spinCount="100000" sheet="1" objects="1" scenarios="1" selectLockedCells="1"/>
  <protectedRanges>
    <protectedRange sqref="W12" name="Range3"/>
    <protectedRange sqref="W6" name="Range2"/>
    <protectedRange sqref="J5:S6" name="Range1"/>
  </protectedRanges>
  <mergeCells count="295">
    <mergeCell ref="E104:T104"/>
    <mergeCell ref="E105:T105"/>
    <mergeCell ref="E106:T106"/>
    <mergeCell ref="U90:X90"/>
    <mergeCell ref="B93:D93"/>
    <mergeCell ref="B94:D94"/>
    <mergeCell ref="B95:D95"/>
    <mergeCell ref="B98:D98"/>
    <mergeCell ref="U97:X97"/>
    <mergeCell ref="E97:T97"/>
    <mergeCell ref="E98:T98"/>
    <mergeCell ref="E99:T99"/>
    <mergeCell ref="U101:X101"/>
    <mergeCell ref="U99:X99"/>
    <mergeCell ref="B101:D101"/>
    <mergeCell ref="B99:D99"/>
    <mergeCell ref="B100:D100"/>
    <mergeCell ref="B97:D97"/>
    <mergeCell ref="B96:D96"/>
    <mergeCell ref="U100:X100"/>
    <mergeCell ref="B76:D76"/>
    <mergeCell ref="B90:D90"/>
    <mergeCell ref="B91:D91"/>
    <mergeCell ref="B79:D79"/>
    <mergeCell ref="E76:T76"/>
    <mergeCell ref="B81:D81"/>
    <mergeCell ref="B77:D77"/>
    <mergeCell ref="B83:D83"/>
    <mergeCell ref="B84:D84"/>
    <mergeCell ref="E84:T84"/>
    <mergeCell ref="E81:T81"/>
    <mergeCell ref="E80:T80"/>
    <mergeCell ref="E83:T83"/>
    <mergeCell ref="B78:D78"/>
    <mergeCell ref="E85:T85"/>
    <mergeCell ref="B85:D85"/>
    <mergeCell ref="E91:T91"/>
    <mergeCell ref="B72:D72"/>
    <mergeCell ref="E67:T67"/>
    <mergeCell ref="M47:N47"/>
    <mergeCell ref="M48:N48"/>
    <mergeCell ref="M49:N49"/>
    <mergeCell ref="M50:N50"/>
    <mergeCell ref="M51:N51"/>
    <mergeCell ref="M52:N52"/>
    <mergeCell ref="O47:P47"/>
    <mergeCell ref="O48:P48"/>
    <mergeCell ref="O49:P49"/>
    <mergeCell ref="O50:P50"/>
    <mergeCell ref="O51:P51"/>
    <mergeCell ref="O52:P52"/>
    <mergeCell ref="E49:H49"/>
    <mergeCell ref="E50:H50"/>
    <mergeCell ref="E51:H51"/>
    <mergeCell ref="E52:H52"/>
    <mergeCell ref="E64:T64"/>
    <mergeCell ref="E48:H48"/>
    <mergeCell ref="G117:K117"/>
    <mergeCell ref="B113:AM114"/>
    <mergeCell ref="B111:AN111"/>
    <mergeCell ref="B107:D107"/>
    <mergeCell ref="AD102:AM102"/>
    <mergeCell ref="AD103:AM103"/>
    <mergeCell ref="AD104:AM104"/>
    <mergeCell ref="AA107:AC107"/>
    <mergeCell ref="U107:X107"/>
    <mergeCell ref="B106:D106"/>
    <mergeCell ref="B102:D102"/>
    <mergeCell ref="B103:D103"/>
    <mergeCell ref="B104:D104"/>
    <mergeCell ref="B105:D105"/>
    <mergeCell ref="AA105:AC105"/>
    <mergeCell ref="AD105:AM105"/>
    <mergeCell ref="U104:X104"/>
    <mergeCell ref="AA103:AC103"/>
    <mergeCell ref="AA104:AC104"/>
    <mergeCell ref="AN106:AQ106"/>
    <mergeCell ref="AN107:AQ107"/>
    <mergeCell ref="B109:AN109"/>
    <mergeCell ref="U105:X105"/>
    <mergeCell ref="AD106:AM106"/>
    <mergeCell ref="B1:AN1"/>
    <mergeCell ref="AD70:AL70"/>
    <mergeCell ref="B69:D69"/>
    <mergeCell ref="B65:D65"/>
    <mergeCell ref="B66:D66"/>
    <mergeCell ref="B67:D67"/>
    <mergeCell ref="E65:T65"/>
    <mergeCell ref="E66:T66"/>
    <mergeCell ref="O42:AM43"/>
    <mergeCell ref="B42:N43"/>
    <mergeCell ref="B64:D64"/>
    <mergeCell ref="B68:D68"/>
    <mergeCell ref="AD65:AL65"/>
    <mergeCell ref="U65:X65"/>
    <mergeCell ref="L40:O40"/>
    <mergeCell ref="B58:AN58"/>
    <mergeCell ref="K47:L47"/>
    <mergeCell ref="K48:L48"/>
    <mergeCell ref="W12:AM12"/>
    <mergeCell ref="K49:L49"/>
    <mergeCell ref="K50:L50"/>
    <mergeCell ref="K51:L51"/>
    <mergeCell ref="K52:L52"/>
    <mergeCell ref="AB38:AM39"/>
    <mergeCell ref="U66:X66"/>
    <mergeCell ref="E70:T70"/>
    <mergeCell ref="E69:T69"/>
    <mergeCell ref="AF32:AL32"/>
    <mergeCell ref="L39:O39"/>
    <mergeCell ref="L38:O38"/>
    <mergeCell ref="Q39:R39"/>
    <mergeCell ref="Q40:R40"/>
    <mergeCell ref="V40:W40"/>
    <mergeCell ref="V39:W39"/>
    <mergeCell ref="U69:X69"/>
    <mergeCell ref="U68:X68"/>
    <mergeCell ref="J37:J38"/>
    <mergeCell ref="U81:X81"/>
    <mergeCell ref="AD97:AM97"/>
    <mergeCell ref="AD94:AM94"/>
    <mergeCell ref="AD95:AM95"/>
    <mergeCell ref="B3:AN3"/>
    <mergeCell ref="B70:D70"/>
    <mergeCell ref="B71:D71"/>
    <mergeCell ref="U71:X71"/>
    <mergeCell ref="S39:U39"/>
    <mergeCell ref="E71:T71"/>
    <mergeCell ref="AD67:AL67"/>
    <mergeCell ref="AD68:AL68"/>
    <mergeCell ref="Q38:R38"/>
    <mergeCell ref="Q37:R37"/>
    <mergeCell ref="V37:W37"/>
    <mergeCell ref="L37:O37"/>
    <mergeCell ref="U70:X70"/>
    <mergeCell ref="N32:S32"/>
    <mergeCell ref="AC32:AE32"/>
    <mergeCell ref="V38:W38"/>
    <mergeCell ref="S40:U40"/>
    <mergeCell ref="U80:X80"/>
    <mergeCell ref="E90:N90"/>
    <mergeCell ref="U67:X67"/>
    <mergeCell ref="AD77:AL77"/>
    <mergeCell ref="E74:T74"/>
    <mergeCell ref="E75:T75"/>
    <mergeCell ref="E68:T68"/>
    <mergeCell ref="B80:D80"/>
    <mergeCell ref="B82:D82"/>
    <mergeCell ref="E78:T78"/>
    <mergeCell ref="B92:D92"/>
    <mergeCell ref="E79:T79"/>
    <mergeCell ref="E82:T82"/>
    <mergeCell ref="B75:D75"/>
    <mergeCell ref="B73:D73"/>
    <mergeCell ref="B74:D74"/>
    <mergeCell ref="U75:X75"/>
    <mergeCell ref="U73:X73"/>
    <mergeCell ref="E77:T77"/>
    <mergeCell ref="U78:X78"/>
    <mergeCell ref="U74:X74"/>
    <mergeCell ref="E73:T73"/>
    <mergeCell ref="AD71:AL71"/>
    <mergeCell ref="AD73:AL73"/>
    <mergeCell ref="AD76:AL76"/>
    <mergeCell ref="E72:T72"/>
    <mergeCell ref="U76:X76"/>
    <mergeCell ref="W5:AM5"/>
    <mergeCell ref="W6:AM10"/>
    <mergeCell ref="W14:AM14"/>
    <mergeCell ref="W11:AM11"/>
    <mergeCell ref="B36:W36"/>
    <mergeCell ref="AD66:AL66"/>
    <mergeCell ref="L35:O35"/>
    <mergeCell ref="B16:AM17"/>
    <mergeCell ref="X32:AB32"/>
    <mergeCell ref="Q35:W35"/>
    <mergeCell ref="B5:E5"/>
    <mergeCell ref="J10:R10"/>
    <mergeCell ref="K32:M32"/>
    <mergeCell ref="T32:W32"/>
    <mergeCell ref="E32:J32"/>
    <mergeCell ref="J5:S6"/>
    <mergeCell ref="B8:I8"/>
    <mergeCell ref="B9:I9"/>
    <mergeCell ref="B11:I11"/>
    <mergeCell ref="E47:H47"/>
    <mergeCell ref="U64:X64"/>
    <mergeCell ref="B10:I10"/>
    <mergeCell ref="W13:AM13"/>
    <mergeCell ref="AB36:AL37"/>
    <mergeCell ref="AD72:AL72"/>
    <mergeCell ref="AD69:AL69"/>
    <mergeCell ref="AA93:AC93"/>
    <mergeCell ref="U91:X91"/>
    <mergeCell ref="U92:X92"/>
    <mergeCell ref="AN97:AQ97"/>
    <mergeCell ref="U96:X96"/>
    <mergeCell ref="AA97:AC97"/>
    <mergeCell ref="AD74:AL74"/>
    <mergeCell ref="AD75:AL75"/>
    <mergeCell ref="AA91:AC91"/>
    <mergeCell ref="AN90:AP90"/>
    <mergeCell ref="U85:X85"/>
    <mergeCell ref="AN91:AQ91"/>
    <mergeCell ref="AA90:AC90"/>
    <mergeCell ref="AD90:AM90"/>
    <mergeCell ref="U82:X82"/>
    <mergeCell ref="U84:X84"/>
    <mergeCell ref="AD80:AL80"/>
    <mergeCell ref="U77:X77"/>
    <mergeCell ref="U79:X79"/>
    <mergeCell ref="U72:X72"/>
    <mergeCell ref="U83:X83"/>
    <mergeCell ref="U94:X94"/>
    <mergeCell ref="AD78:AL78"/>
    <mergeCell ref="AD79:AL79"/>
    <mergeCell ref="AN99:AQ99"/>
    <mergeCell ref="AN100:AQ100"/>
    <mergeCell ref="AN101:AQ101"/>
    <mergeCell ref="AN102:AQ102"/>
    <mergeCell ref="AD81:AL81"/>
    <mergeCell ref="AD82:AL82"/>
    <mergeCell ref="AA99:AC99"/>
    <mergeCell ref="AD100:AM100"/>
    <mergeCell ref="AA94:AC94"/>
    <mergeCell ref="AD84:AL84"/>
    <mergeCell ref="AD85:AL85"/>
    <mergeCell ref="AD83:AL83"/>
    <mergeCell ref="AN92:AQ92"/>
    <mergeCell ref="AN93:AQ93"/>
    <mergeCell ref="AN94:AQ94"/>
    <mergeCell ref="AD91:AM91"/>
    <mergeCell ref="AN103:AQ103"/>
    <mergeCell ref="AA102:AC102"/>
    <mergeCell ref="AN96:AQ96"/>
    <mergeCell ref="AN98:AQ98"/>
    <mergeCell ref="AD93:AM93"/>
    <mergeCell ref="AD92:AM92"/>
    <mergeCell ref="E92:T92"/>
    <mergeCell ref="E93:T93"/>
    <mergeCell ref="E94:T94"/>
    <mergeCell ref="E95:T95"/>
    <mergeCell ref="E96:T96"/>
    <mergeCell ref="E100:T100"/>
    <mergeCell ref="E101:T101"/>
    <mergeCell ref="E102:T102"/>
    <mergeCell ref="E103:T103"/>
    <mergeCell ref="AN105:AQ105"/>
    <mergeCell ref="U106:X106"/>
    <mergeCell ref="M117:N117"/>
    <mergeCell ref="O117:P117"/>
    <mergeCell ref="Q117:R117"/>
    <mergeCell ref="U103:X103"/>
    <mergeCell ref="AA96:AC96"/>
    <mergeCell ref="AA92:AC92"/>
    <mergeCell ref="U102:X102"/>
    <mergeCell ref="AD101:AM101"/>
    <mergeCell ref="U93:X93"/>
    <mergeCell ref="AA101:AC101"/>
    <mergeCell ref="U98:X98"/>
    <mergeCell ref="AA98:AC98"/>
    <mergeCell ref="AA100:AC100"/>
    <mergeCell ref="U95:X95"/>
    <mergeCell ref="E107:N107"/>
    <mergeCell ref="AA106:AC106"/>
    <mergeCell ref="AN95:AQ95"/>
    <mergeCell ref="AD99:AM99"/>
    <mergeCell ref="AA95:AC95"/>
    <mergeCell ref="AD98:AM98"/>
    <mergeCell ref="AD96:AM96"/>
    <mergeCell ref="AN104:AQ104"/>
    <mergeCell ref="G118:K118"/>
    <mergeCell ref="G119:K119"/>
    <mergeCell ref="G120:K120"/>
    <mergeCell ref="G121:K121"/>
    <mergeCell ref="G122:K122"/>
    <mergeCell ref="G123:K123"/>
    <mergeCell ref="M118:N118"/>
    <mergeCell ref="O118:P118"/>
    <mergeCell ref="Q118:R118"/>
    <mergeCell ref="M119:N119"/>
    <mergeCell ref="O119:P119"/>
    <mergeCell ref="Q119:R119"/>
    <mergeCell ref="M123:N123"/>
    <mergeCell ref="O123:P123"/>
    <mergeCell ref="Q123:R123"/>
    <mergeCell ref="M120:N120"/>
    <mergeCell ref="O120:P120"/>
    <mergeCell ref="Q120:R120"/>
    <mergeCell ref="M121:N121"/>
    <mergeCell ref="O121:P121"/>
    <mergeCell ref="Q121:R121"/>
    <mergeCell ref="M122:N122"/>
    <mergeCell ref="O122:P122"/>
    <mergeCell ref="Q122:R122"/>
  </mergeCells>
  <phoneticPr fontId="21" type="noConversion"/>
  <conditionalFormatting sqref="B91:D106">
    <cfRule type="expression" dxfId="30" priority="47">
      <formula>IF(E91="",TRUE,FALSE)</formula>
    </cfRule>
  </conditionalFormatting>
  <conditionalFormatting sqref="Z38 Z36 K37:K41">
    <cfRule type="containsText" dxfId="29" priority="103" operator="containsText" text="L">
      <formula>NOT(ISERROR(SEARCH("L",K36)))</formula>
    </cfRule>
    <cfRule type="containsText" dxfId="28" priority="104" operator="containsText" text="J">
      <formula>NOT(ISERROR(SEARCH("J",K36)))</formula>
    </cfRule>
  </conditionalFormatting>
  <conditionalFormatting sqref="Z38 Z36 K37:K41">
    <cfRule type="containsText" dxfId="27" priority="101" operator="containsText" text="y">
      <formula>NOT(ISERROR(SEARCH("y",K36)))</formula>
    </cfRule>
    <cfRule type="containsText" dxfId="26" priority="102" operator="containsText" text="n">
      <formula>NOT(ISERROR(SEARCH("n",K36)))</formula>
    </cfRule>
  </conditionalFormatting>
  <conditionalFormatting sqref="B36">
    <cfRule type="containsText" dxfId="25" priority="3" operator="containsText" text="Bottom Quartile">
      <formula>NOT(ISERROR(SEARCH("Bottom Quartile",B36)))</formula>
    </cfRule>
    <cfRule type="containsText" dxfId="24" priority="88" operator="containsText" text="third quartile">
      <formula>NOT(ISERROR(SEARCH("third quartile",B36)))</formula>
    </cfRule>
    <cfRule type="containsText" dxfId="23" priority="89" operator="containsText" text="second quartile">
      <formula>NOT(ISERROR(SEARCH("second quartile",B36)))</formula>
    </cfRule>
    <cfRule type="containsText" dxfId="22" priority="90" operator="containsText" text="top quartile">
      <formula>NOT(ISERROR(SEARCH("top quartile",B36)))</formula>
    </cfRule>
  </conditionalFormatting>
  <conditionalFormatting sqref="E65:T85">
    <cfRule type="cellIs" dxfId="21" priority="62" stopIfTrue="1" operator="equal">
      <formula>$J$5</formula>
    </cfRule>
  </conditionalFormatting>
  <conditionalFormatting sqref="U85:X85">
    <cfRule type="expression" dxfId="20" priority="55">
      <formula>IF(E85=$J$5,TRUE,FALSE)</formula>
    </cfRule>
  </conditionalFormatting>
  <conditionalFormatting sqref="F91:K105 E91:G106 E106:N106 L91:T106">
    <cfRule type="expression" dxfId="19" priority="45">
      <formula>IF(ISNA(E106),TRUE,FALSE)</formula>
    </cfRule>
  </conditionalFormatting>
  <conditionalFormatting sqref="U65:X84">
    <cfRule type="expression" dxfId="18" priority="38">
      <formula>IF(E65=$J$5,TRUE,FALSE)</formula>
    </cfRule>
  </conditionalFormatting>
  <conditionalFormatting sqref="F101:G102 H91:K106">
    <cfRule type="expression" dxfId="17" priority="141">
      <formula>IF(ISNA(F107),TRUE,FALSE)</formula>
    </cfRule>
  </conditionalFormatting>
  <conditionalFormatting sqref="F103:G103">
    <cfRule type="expression" dxfId="16" priority="145">
      <formula>IF(ISNA(F123),TRUE,FALSE)</formula>
    </cfRule>
  </conditionalFormatting>
  <conditionalFormatting sqref="AD91:AM106 E91:T106">
    <cfRule type="cellIs" dxfId="15" priority="24" operator="equal">
      <formula>$J$5</formula>
    </cfRule>
  </conditionalFormatting>
  <conditionalFormatting sqref="AA91:AC106 B91:D106">
    <cfRule type="expression" dxfId="14" priority="23">
      <formula>IF(E91=$J$5,TRUE,FALSE)</formula>
    </cfRule>
  </conditionalFormatting>
  <conditionalFormatting sqref="U91:X106">
    <cfRule type="expression" dxfId="13" priority="21">
      <formula>IF(E91=$J$5,TRUE,FALSE)</formula>
    </cfRule>
  </conditionalFormatting>
  <conditionalFormatting sqref="U92:X106">
    <cfRule type="expression" dxfId="12" priority="20">
      <formula>IF(E92=$J$5,TRUE,FALSE)</formula>
    </cfRule>
  </conditionalFormatting>
  <conditionalFormatting sqref="AN91:AQ106">
    <cfRule type="expression" dxfId="11" priority="19">
      <formula>IF(AD91=$J$5,TRUE,FALSE)</formula>
    </cfRule>
  </conditionalFormatting>
  <conditionalFormatting sqref="Y85:AC85">
    <cfRule type="expression" dxfId="10" priority="16">
      <formula>IF(E85=$J$5,TRUE,FALSE)</formula>
    </cfRule>
  </conditionalFormatting>
  <conditionalFormatting sqref="Y65:AC84">
    <cfRule type="expression" dxfId="9" priority="15">
      <formula>IF(E65=$J$5,TRUE,FALSE)</formula>
    </cfRule>
  </conditionalFormatting>
  <conditionalFormatting sqref="Y91:Y106">
    <cfRule type="expression" dxfId="8" priority="13">
      <formula>IF(E91=$J$5,TRUE,FALSE)</formula>
    </cfRule>
  </conditionalFormatting>
  <conditionalFormatting sqref="AR91">
    <cfRule type="expression" dxfId="7" priority="12">
      <formula>IF(AD91=$J$5,TRUE,FALSE)</formula>
    </cfRule>
  </conditionalFormatting>
  <conditionalFormatting sqref="AR92:AR106">
    <cfRule type="expression" dxfId="6" priority="11">
      <formula>IF(AD92=$J$5,TRUE,FALSE)</formula>
    </cfRule>
  </conditionalFormatting>
  <conditionalFormatting sqref="K32:M32 T32 AC32:AE32 L35:O35 L37:O39">
    <cfRule type="expression" dxfId="5" priority="9">
      <formula>IF($D$22="%",TRUE,FALSE)</formula>
    </cfRule>
  </conditionalFormatting>
  <conditionalFormatting sqref="U65:X85 AN91:AQ107 U91:X107">
    <cfRule type="expression" dxfId="4" priority="6">
      <formula>IF($D$22="%",TRUE,FALSE)</formula>
    </cfRule>
  </conditionalFormatting>
  <conditionalFormatting sqref="B85:D85">
    <cfRule type="expression" dxfId="3" priority="4">
      <formula>IF($U$85="",TRUE,FALSE)</formula>
    </cfRule>
  </conditionalFormatting>
  <conditionalFormatting sqref="B65:D84">
    <cfRule type="expression" dxfId="2" priority="2">
      <formula>IF(E65=$J$5,TRUE,FALSE)</formula>
    </cfRule>
  </conditionalFormatting>
  <conditionalFormatting sqref="B85:Y85">
    <cfRule type="expression" dxfId="1" priority="1">
      <formula>IF(E85=$J$5,TRUE,FALSE)</formula>
    </cfRule>
  </conditionalFormatting>
  <dataValidations count="4">
    <dataValidation type="list" allowBlank="1" showInputMessage="1" showErrorMessage="1" sqref="D58:E58 D109:E109 D1:E1 D3:E4" xr:uid="{00000000-0002-0000-0000-000000000000}">
      <formula1>#REF!</formula1>
    </dataValidation>
    <dataValidation type="list" allowBlank="1" showInputMessage="1" showErrorMessage="1" sqref="W6:AM10" xr:uid="{00000000-0002-0000-0000-000001000000}">
      <formula1>Indicators</formula1>
    </dataValidation>
    <dataValidation type="list" allowBlank="1" showInputMessage="1" showErrorMessage="1" sqref="W12:AM12" xr:uid="{00000000-0002-0000-0000-000002000000}">
      <formula1>Years</formula1>
    </dataValidation>
    <dataValidation type="list" allowBlank="1" showInputMessage="1" showErrorMessage="1" sqref="J5:S6" xr:uid="{00000000-0002-0000-0000-000003000000}">
      <formula1>Authorities</formula1>
    </dataValidation>
  </dataValidations>
  <pageMargins left="0.7" right="0.7" top="0.75" bottom="0.75" header="0.3" footer="0.3"/>
  <pageSetup scale="92" orientation="portrait" r:id="rId1"/>
  <rowBreaks count="2" manualBreakCount="2">
    <brk id="57" max="16383" man="1"/>
    <brk id="10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6" tint="0.39997558519241921"/>
  </sheetPr>
  <dimension ref="A1:ABM368"/>
  <sheetViews>
    <sheetView topLeftCell="A342" workbookViewId="0">
      <selection activeCell="A342" sqref="A1:XFD1048576"/>
    </sheetView>
  </sheetViews>
  <sheetFormatPr defaultColWidth="0" defaultRowHeight="13.2"/>
  <cols>
    <col min="1" max="1" width="5.6640625" style="56" customWidth="1"/>
    <col min="2" max="2" width="15.44140625" style="56" customWidth="1"/>
    <col min="3" max="3" width="28.44140625" style="8" bestFit="1" customWidth="1"/>
    <col min="4" max="4" width="14.6640625" style="26" customWidth="1"/>
    <col min="5" max="5" width="11.33203125" style="26" customWidth="1"/>
    <col min="6" max="6" width="11.5546875" style="26" customWidth="1"/>
    <col min="7" max="7" width="4" style="26" customWidth="1"/>
    <col min="8" max="8" width="8.6640625" style="78" customWidth="1"/>
    <col min="9" max="9" width="9.88671875" style="78" customWidth="1"/>
    <col min="10" max="10" width="18.5546875" style="26" customWidth="1"/>
    <col min="11" max="11" width="8.33203125" style="28" customWidth="1"/>
    <col min="12" max="12" width="20.6640625" style="36" customWidth="1"/>
    <col min="13" max="13" width="20.6640625" style="90" customWidth="1"/>
    <col min="14" max="14" width="11.33203125" style="90" customWidth="1"/>
    <col min="15" max="18" width="12.33203125" style="90" customWidth="1"/>
    <col min="19" max="19" width="6.6640625" style="37" customWidth="1"/>
    <col min="20" max="20" width="10.44140625" style="176" customWidth="1"/>
    <col min="21" max="21" width="8" style="183" customWidth="1"/>
    <col min="22" max="22" width="7.44140625" style="183" customWidth="1"/>
    <col min="23" max="23" width="6" style="183" customWidth="1"/>
    <col min="24" max="24" width="19.44140625" style="38" customWidth="1"/>
    <col min="25" max="25" width="10.33203125" style="8" customWidth="1"/>
    <col min="26" max="26" width="8.88671875" style="8" customWidth="1"/>
    <col min="27" max="27" width="14.5546875" style="176" customWidth="1"/>
    <col min="28" max="29" width="7.5546875" style="177" customWidth="1"/>
    <col min="30" max="30" width="4.33203125" style="177" customWidth="1"/>
    <col min="31" max="31" width="8.44140625" style="38" customWidth="1"/>
    <col min="32" max="32" width="20.6640625" style="26" customWidth="1"/>
    <col min="33" max="33" width="9.6640625" style="8" customWidth="1"/>
    <col min="34" max="34" width="5" style="8" customWidth="1"/>
    <col min="35" max="35" width="15.6640625" style="38" bestFit="1" customWidth="1"/>
    <col min="36" max="36" width="9.33203125" style="8" customWidth="1"/>
    <col min="37" max="37" width="10.88671875" style="8" customWidth="1"/>
    <col min="38" max="38" width="10.88671875" style="26" customWidth="1"/>
    <col min="39" max="39" width="21.5546875" style="8" customWidth="1"/>
    <col min="40" max="40" width="5.44140625" style="8" customWidth="1"/>
    <col min="41" max="41" width="9.109375" style="8" customWidth="1"/>
    <col min="42" max="42" width="21.5546875" style="38" customWidth="1"/>
    <col min="43" max="43" width="8.6640625" style="71" customWidth="1"/>
    <col min="44" max="45" width="7.109375" style="26" customWidth="1"/>
    <col min="46" max="46" width="15.33203125" style="26" customWidth="1"/>
    <col min="47" max="47" width="13.6640625" style="26" customWidth="1"/>
    <col min="48" max="48" width="11.88671875" style="26" customWidth="1"/>
    <col min="49" max="49" width="9.6640625" style="80" customWidth="1"/>
    <col min="50" max="50" width="24.88671875" style="19" customWidth="1"/>
    <col min="51" max="51" width="7.44140625" style="119" customWidth="1"/>
    <col min="52" max="52" width="9" style="19" customWidth="1"/>
    <col min="53" max="84" width="9.109375" style="8" customWidth="1"/>
    <col min="85" max="734" width="0" style="8" hidden="1" customWidth="1"/>
    <col min="735" max="735" width="0" style="38" hidden="1" customWidth="1"/>
    <col min="736" max="741" width="0" style="8" hidden="1" customWidth="1"/>
    <col min="742" max="16384" width="9.109375" style="8" hidden="1"/>
  </cols>
  <sheetData>
    <row r="1" spans="1:735" s="25" customFormat="1">
      <c r="A1" s="53"/>
      <c r="B1" s="53"/>
      <c r="C1" s="63" t="s">
        <v>378</v>
      </c>
      <c r="D1" s="64" t="s">
        <v>389</v>
      </c>
      <c r="E1" s="24"/>
      <c r="F1" s="24"/>
      <c r="G1" s="24"/>
      <c r="H1" s="72"/>
      <c r="I1" s="73"/>
      <c r="K1" s="58"/>
      <c r="L1" s="25" t="s">
        <v>359</v>
      </c>
      <c r="M1" s="87" t="s">
        <v>383</v>
      </c>
      <c r="N1" s="87" t="s">
        <v>383</v>
      </c>
      <c r="O1" s="87"/>
      <c r="P1" s="87"/>
      <c r="Q1" s="87"/>
      <c r="R1" s="87"/>
      <c r="T1" s="351" t="s">
        <v>823</v>
      </c>
      <c r="U1" s="352"/>
      <c r="V1" s="352"/>
      <c r="W1" s="353"/>
      <c r="X1" s="58"/>
      <c r="AA1" s="351" t="s">
        <v>822</v>
      </c>
      <c r="AB1" s="352"/>
      <c r="AC1" s="352"/>
      <c r="AD1" s="353"/>
      <c r="AE1" s="60"/>
      <c r="AF1" s="24"/>
      <c r="AI1" s="58"/>
      <c r="AL1" s="24"/>
      <c r="AP1" s="58"/>
      <c r="AQ1" s="69"/>
      <c r="AR1" s="24"/>
      <c r="AS1" s="24"/>
      <c r="AT1" s="24"/>
      <c r="AU1" s="24"/>
      <c r="AV1" s="24"/>
      <c r="AW1" s="79"/>
      <c r="AX1" s="42"/>
      <c r="AY1" s="118"/>
      <c r="AZ1" s="42"/>
    </row>
    <row r="2" spans="1:735" s="25" customFormat="1">
      <c r="A2" s="53"/>
      <c r="B2" s="53"/>
      <c r="D2" s="24"/>
      <c r="E2" s="24"/>
      <c r="F2" s="24"/>
      <c r="G2" s="24"/>
      <c r="H2" s="72"/>
      <c r="I2" s="73"/>
      <c r="K2" s="58"/>
      <c r="L2" s="25" t="s">
        <v>386</v>
      </c>
      <c r="M2" s="87" t="s">
        <v>414</v>
      </c>
      <c r="N2" s="87" t="s">
        <v>420</v>
      </c>
      <c r="O2" s="87"/>
      <c r="P2" s="88"/>
      <c r="Q2" s="88"/>
      <c r="R2" s="88"/>
      <c r="S2" s="59"/>
      <c r="T2" s="351"/>
      <c r="U2" s="352"/>
      <c r="V2" s="352"/>
      <c r="W2" s="353"/>
      <c r="X2" s="349"/>
      <c r="Y2" s="350"/>
      <c r="Z2" s="350"/>
      <c r="AA2" s="351"/>
      <c r="AB2" s="352"/>
      <c r="AC2" s="352"/>
      <c r="AD2" s="353"/>
      <c r="AE2" s="58"/>
      <c r="AF2" s="61"/>
      <c r="AG2" s="61"/>
      <c r="AI2" s="58"/>
      <c r="AL2" s="24"/>
      <c r="AP2" s="58"/>
      <c r="AQ2" s="69"/>
      <c r="AR2" s="24"/>
      <c r="AS2" s="24"/>
      <c r="AT2" s="24"/>
      <c r="AU2" s="24"/>
      <c r="AV2" s="24"/>
      <c r="AW2" s="79"/>
      <c r="AX2" s="42"/>
      <c r="AZ2" s="42"/>
      <c r="ABG2" s="62" t="s">
        <v>405</v>
      </c>
    </row>
    <row r="3" spans="1:735" s="25" customFormat="1">
      <c r="A3" s="53"/>
      <c r="B3" s="53"/>
      <c r="C3" s="25" t="s">
        <v>408</v>
      </c>
      <c r="D3" s="25" t="str">
        <f>Profile!J5</f>
        <v>Cumbria</v>
      </c>
      <c r="F3" s="73" t="str">
        <f>VLOOKUP(D3,classifications!C:G,4,FALSE)</f>
        <v>SC</v>
      </c>
      <c r="G3" s="25" t="str">
        <f>VLOOKUP(D3,classifications!C:E,3,FALSE)</f>
        <v>North West</v>
      </c>
      <c r="H3" s="81" t="str">
        <f>VLOOKUP(D3,classifications!C:H,6,FALSE)</f>
        <v>Predominantly Rural</v>
      </c>
      <c r="I3" s="25" t="str">
        <f>VLOOKUP(D3,classifications!C:J,8,FALSE)</f>
        <v>Cumbria</v>
      </c>
      <c r="J3" s="24" t="str">
        <f>VLOOKUP(D3,classifications!C:I,7,FALSE)</f>
        <v>Predominantly Rural</v>
      </c>
      <c r="K3" s="58"/>
      <c r="L3" s="25" t="s">
        <v>387</v>
      </c>
      <c r="M3" s="87" t="s">
        <v>415</v>
      </c>
      <c r="N3" s="87" t="s">
        <v>396</v>
      </c>
      <c r="O3" s="87"/>
      <c r="P3" s="87"/>
      <c r="Q3" s="87"/>
      <c r="R3" s="87"/>
      <c r="T3" s="176"/>
      <c r="U3" s="177"/>
      <c r="V3" s="177"/>
      <c r="W3" s="177"/>
      <c r="X3" s="58"/>
      <c r="AA3" s="176"/>
      <c r="AB3" s="177"/>
      <c r="AC3" s="177"/>
      <c r="AD3" s="177"/>
      <c r="AE3" s="58"/>
      <c r="AF3" s="24"/>
      <c r="AI3" s="58"/>
      <c r="AL3" s="24"/>
      <c r="AP3" s="58"/>
      <c r="AQ3" s="69"/>
      <c r="AR3" s="24"/>
      <c r="AS3" s="24"/>
      <c r="AT3" s="24"/>
      <c r="AU3" s="24"/>
      <c r="AV3" s="24"/>
      <c r="AW3" s="79"/>
      <c r="AX3" s="42"/>
      <c r="AZ3" s="42"/>
    </row>
    <row r="4" spans="1:735" s="25" customFormat="1">
      <c r="A4" s="53"/>
      <c r="B4" s="53"/>
      <c r="C4" s="42"/>
      <c r="H4" s="73"/>
      <c r="I4" s="75"/>
      <c r="K4" s="58" t="s">
        <v>3</v>
      </c>
      <c r="L4" s="25" t="s">
        <v>389</v>
      </c>
      <c r="M4" s="87" t="s">
        <v>416</v>
      </c>
      <c r="N4" s="87" t="s">
        <v>301</v>
      </c>
      <c r="O4" s="87"/>
      <c r="P4" s="87"/>
      <c r="Q4" s="87"/>
      <c r="R4" s="87"/>
      <c r="T4" s="176"/>
      <c r="U4" s="177"/>
      <c r="V4" s="177"/>
      <c r="W4" s="177"/>
      <c r="X4" s="58"/>
      <c r="AA4" s="176"/>
      <c r="AB4" s="177"/>
      <c r="AC4" s="177"/>
      <c r="AD4" s="177"/>
      <c r="AE4" s="58"/>
      <c r="AF4" s="24"/>
      <c r="AI4" s="58"/>
      <c r="AL4" s="24"/>
      <c r="AP4" s="58"/>
      <c r="AQ4" s="69"/>
      <c r="AR4" s="24"/>
      <c r="AS4" s="24"/>
      <c r="AT4" s="24"/>
      <c r="AU4" s="24"/>
      <c r="AV4" s="24"/>
      <c r="AW4" s="79"/>
      <c r="AX4" s="42"/>
      <c r="AZ4" s="42"/>
    </row>
    <row r="5" spans="1:735" s="25" customFormat="1">
      <c r="A5" s="53"/>
      <c r="B5" s="53"/>
      <c r="C5" s="25" t="s">
        <v>406</v>
      </c>
      <c r="D5" s="82" t="str">
        <f>Profile!W6</f>
        <v>Proportion of residents who do any cycling, at least once per month</v>
      </c>
      <c r="E5" s="82"/>
      <c r="F5" s="24"/>
      <c r="G5" s="24"/>
      <c r="H5" s="72"/>
      <c r="I5" s="73"/>
      <c r="K5" s="58" t="s">
        <v>3</v>
      </c>
      <c r="L5" s="25" t="s">
        <v>381</v>
      </c>
      <c r="M5" s="87" t="s">
        <v>417</v>
      </c>
      <c r="N5" s="87" t="s">
        <v>5</v>
      </c>
      <c r="O5" s="87"/>
      <c r="P5" s="87"/>
      <c r="T5" s="176"/>
      <c r="U5" s="177"/>
      <c r="V5" s="177"/>
      <c r="W5" s="177"/>
      <c r="X5" s="58"/>
      <c r="AA5" s="176"/>
      <c r="AB5" s="177"/>
      <c r="AC5" s="177"/>
      <c r="AD5" s="177"/>
      <c r="AE5" s="58"/>
      <c r="AF5" s="24"/>
      <c r="AI5" s="58"/>
      <c r="AL5" s="24"/>
      <c r="AP5" s="58"/>
      <c r="AQ5" s="69"/>
      <c r="AR5" s="24"/>
      <c r="AS5" s="24"/>
      <c r="AT5" s="24"/>
      <c r="AU5" s="24"/>
      <c r="AV5" s="24"/>
      <c r="AW5" s="79"/>
      <c r="AX5" s="42"/>
      <c r="AZ5" s="42"/>
    </row>
    <row r="6" spans="1:735" s="25" customFormat="1">
      <c r="A6" s="53"/>
      <c r="B6" s="53"/>
      <c r="C6" s="25" t="s">
        <v>407</v>
      </c>
      <c r="D6" s="83" t="str">
        <f>Profile!W12</f>
        <v>2018/19</v>
      </c>
      <c r="E6" s="83"/>
      <c r="F6" s="24"/>
      <c r="G6" s="24"/>
      <c r="H6" s="72"/>
      <c r="I6" s="74"/>
      <c r="K6" s="58" t="s">
        <v>3</v>
      </c>
      <c r="L6" s="25" t="s">
        <v>418</v>
      </c>
      <c r="M6" s="87" t="s">
        <v>419</v>
      </c>
      <c r="N6" s="87" t="s">
        <v>421</v>
      </c>
      <c r="O6" s="87"/>
      <c r="P6" s="97" t="s">
        <v>402</v>
      </c>
      <c r="Q6" s="97" t="s">
        <v>403</v>
      </c>
      <c r="T6" s="176"/>
      <c r="U6" s="177"/>
      <c r="V6" s="177"/>
      <c r="W6" s="177"/>
      <c r="X6" s="58"/>
      <c r="AA6" s="176"/>
      <c r="AB6" s="177"/>
      <c r="AC6" s="177"/>
      <c r="AD6" s="177"/>
      <c r="AE6" s="58"/>
      <c r="AF6" s="24"/>
      <c r="AI6" s="58"/>
      <c r="AL6" s="24"/>
      <c r="AP6" s="58"/>
      <c r="AQ6" s="69"/>
      <c r="AR6" s="24"/>
      <c r="AS6" s="24"/>
      <c r="AT6" s="24"/>
      <c r="AU6" s="24"/>
      <c r="AV6" s="24"/>
      <c r="AW6" s="79"/>
      <c r="AX6" s="42"/>
      <c r="AZ6" s="42"/>
    </row>
    <row r="7" spans="1:735" s="25" customFormat="1">
      <c r="A7" s="53"/>
      <c r="B7" s="53"/>
      <c r="F7" s="24"/>
      <c r="G7" s="24"/>
      <c r="H7" s="72"/>
      <c r="I7" s="74"/>
      <c r="K7" s="58" t="s">
        <v>3</v>
      </c>
      <c r="M7" s="87"/>
      <c r="N7" s="87"/>
      <c r="P7" s="98">
        <f>IF(I8="A",MIN(N$11:N$368),MAX(N$11:N$368))</f>
        <v>30.572479096813858</v>
      </c>
      <c r="Q7" s="98">
        <f>IF(I8="A",MAX(N11:N363),MIN(N11:N363))</f>
        <v>0</v>
      </c>
      <c r="T7" s="176"/>
      <c r="U7" s="177"/>
      <c r="V7" s="177"/>
      <c r="W7" s="177"/>
      <c r="X7" s="58"/>
      <c r="AA7" s="176"/>
      <c r="AB7" s="177"/>
      <c r="AC7" s="177"/>
      <c r="AD7" s="177"/>
      <c r="AE7" s="58"/>
      <c r="AF7" s="24"/>
      <c r="AI7" s="58"/>
      <c r="AL7" s="24"/>
      <c r="AP7" s="58"/>
      <c r="AQ7" s="69"/>
      <c r="AR7" s="24"/>
      <c r="AS7" s="24"/>
      <c r="AT7" s="24"/>
      <c r="AU7" s="24"/>
      <c r="AV7" s="24"/>
      <c r="AW7" s="79"/>
      <c r="AX7" s="42"/>
      <c r="AZ7" s="42"/>
    </row>
    <row r="8" spans="1:735" s="25" customFormat="1" ht="15.6">
      <c r="A8" s="53"/>
      <c r="B8" s="53"/>
      <c r="C8" s="83" t="s">
        <v>794</v>
      </c>
      <c r="D8" s="165" t="str">
        <f>VLOOKUP(D5,'Indicator info'!A:D,2,FALSE)</f>
        <v>.</v>
      </c>
      <c r="E8" s="165"/>
      <c r="F8" s="83" t="s">
        <v>793</v>
      </c>
      <c r="G8" s="166" t="str">
        <f>VLOOKUP(D5,'Indicator info'!A:D,3,FALSE)</f>
        <v>.</v>
      </c>
      <c r="H8" s="167" t="str">
        <f>D8&amp;G8</f>
        <v>..</v>
      </c>
      <c r="I8" s="168" t="str">
        <f>VLOOKUP(D5,'Indicator info'!A:D,4,FALSE)</f>
        <v>D</v>
      </c>
      <c r="K8" s="58"/>
      <c r="M8" s="100"/>
      <c r="N8" s="100"/>
      <c r="O8" s="100"/>
      <c r="P8" s="75" t="str">
        <f>D3</f>
        <v>Cumbria</v>
      </c>
      <c r="Q8" s="99">
        <f>VLOOKUP(D3,L11:N363,3,FALSE)</f>
        <v>16.018311396308022</v>
      </c>
      <c r="R8" s="100" t="str">
        <f>IF(I8="A",IF(Q8&gt;Q10,"Bottom",IF(Q8&gt;P10,"Third",IF(Q8&gt;O10,"Second","Top"))),IF(Q8&gt;=O10,"Top",IF(Q8&gt;=P10,"Second",IF(Q8&gt;=Q10,"Third","Bottom"))))</f>
        <v>Third</v>
      </c>
      <c r="T8" s="176"/>
      <c r="U8" s="177"/>
      <c r="V8" s="177"/>
      <c r="W8" s="177"/>
      <c r="X8" s="58"/>
      <c r="AA8" s="176"/>
      <c r="AB8" s="177"/>
      <c r="AC8" s="177"/>
      <c r="AD8" s="177"/>
      <c r="AE8" s="58"/>
      <c r="AF8" s="24"/>
      <c r="AI8" s="58"/>
      <c r="AL8" s="24"/>
      <c r="AP8" s="58"/>
      <c r="AQ8" s="69"/>
      <c r="AR8" s="24"/>
      <c r="AS8" s="24"/>
      <c r="AT8" s="24"/>
      <c r="AU8" s="24"/>
      <c r="AV8" s="24"/>
      <c r="AW8" s="79"/>
      <c r="AX8" s="141"/>
      <c r="AZ8" s="127"/>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row>
    <row r="9" spans="1:735" s="23" customFormat="1" ht="46.5" customHeight="1">
      <c r="A9" s="54"/>
      <c r="B9" s="54"/>
      <c r="C9" s="8"/>
      <c r="D9" s="26"/>
      <c r="E9" s="26"/>
      <c r="F9" s="26"/>
      <c r="G9" s="26"/>
      <c r="H9" s="41" t="str">
        <f>"Results for "&amp;D1&amp;" Authorities only"</f>
        <v>Results for SC Authorities only</v>
      </c>
      <c r="I9" s="76"/>
      <c r="J9" s="18"/>
      <c r="K9" s="31" t="str">
        <f>"Rank &amp; Quartiles for all "&amp;D1&amp;" Authorities"</f>
        <v>Rank &amp; Quartiles for all SC Authorities</v>
      </c>
      <c r="L9" s="32"/>
      <c r="M9" s="86">
        <f>IF($H$8="%.",(AVERAGE(M11:M363))/100,(AVERAGE(M11:M363)))</f>
        <v>16.892058683650347</v>
      </c>
      <c r="N9" s="86"/>
      <c r="O9" s="89" t="s">
        <v>341</v>
      </c>
      <c r="P9" s="89" t="s">
        <v>352</v>
      </c>
      <c r="Q9" s="89" t="s">
        <v>353</v>
      </c>
      <c r="R9" s="91" t="s">
        <v>401</v>
      </c>
      <c r="S9" s="30"/>
      <c r="T9" s="178" t="s">
        <v>818</v>
      </c>
      <c r="U9" s="179">
        <f>IF($H$8="%.",(AVERAGE(U11:U363))/100,(AVERAGE(U11:U363)))</f>
        <v>16.273940716323207</v>
      </c>
      <c r="V9" s="180"/>
      <c r="W9" s="180"/>
      <c r="X9" s="84" t="str">
        <f>"Lower Level Ranking for Authorites in "&amp;H3&amp;" &amp; are a "&amp;F3</f>
        <v>Lower Level Ranking for Authorites in Predominantly Rural &amp; are a SC</v>
      </c>
      <c r="Y9" s="86" t="e">
        <f>IF($H$8="%.",(AVERAGE(Y11:Y363))/100,(AVERAGE(Y11:Y363)))</f>
        <v>#DIV/0!</v>
      </c>
      <c r="Z9" s="85"/>
      <c r="AA9" s="186" t="s">
        <v>380</v>
      </c>
      <c r="AB9" s="179">
        <f>IF($H$8="%.",(AVERAGE(AB11:AB363))/100,(AVERAGE(AB11:AB363)))</f>
        <v>18.626964915900135</v>
      </c>
      <c r="AC9" s="187"/>
      <c r="AD9" s="187"/>
      <c r="AE9" s="31" t="s">
        <v>410</v>
      </c>
      <c r="AG9" s="86">
        <f>IF($H$8="%.",(AVERAGE(AG11:AG363))/100,(AVERAGE(AG11:AG363)))</f>
        <v>15.518954145787426</v>
      </c>
      <c r="AI9" s="84" t="str">
        <f>"County Ranking &amp; Top Authorites in "&amp;I3&amp;" &amp; are a "&amp;F3</f>
        <v>County Ranking &amp; Top Authorites in Cumbria &amp; are a SC</v>
      </c>
      <c r="AJ9" s="86">
        <f>IF($H$8="%.",(AVERAGE(AJ11:AJ363))/100,(AVERAGE(AJ11:AJ363)))</f>
        <v>16.018311396308022</v>
      </c>
      <c r="AK9" s="85"/>
      <c r="AL9" s="44"/>
      <c r="AM9" s="8"/>
      <c r="AN9" s="8"/>
      <c r="AP9" s="84" t="str">
        <f>"Regional Ranking in for "&amp;F3</f>
        <v>Regional Ranking in for SC</v>
      </c>
      <c r="AQ9" s="86">
        <f>IF($H$8="%.",(AVERAGE(AQ11:AQ363))/100,(AVERAGE(AQ11:AQ363)))</f>
        <v>14.88761663900587</v>
      </c>
      <c r="AR9" s="85"/>
      <c r="AS9" s="85"/>
      <c r="AT9" s="85"/>
      <c r="AU9" s="85"/>
      <c r="AV9" s="26"/>
      <c r="AW9" s="79"/>
      <c r="AX9" s="125" t="str">
        <f>Profile!$W$6</f>
        <v>Proportion of residents who do any cycling, at least once per month</v>
      </c>
      <c r="AY9" s="25"/>
      <c r="AZ9" s="125"/>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ABG9" s="33"/>
    </row>
    <row r="10" spans="1:735" s="20" customFormat="1">
      <c r="A10" s="55" t="s">
        <v>411</v>
      </c>
      <c r="B10" s="55"/>
      <c r="C10" s="20" t="s">
        <v>399</v>
      </c>
      <c r="D10" s="20" t="s">
        <v>378</v>
      </c>
      <c r="E10" s="20" t="s">
        <v>373</v>
      </c>
      <c r="F10" s="20" t="s">
        <v>374</v>
      </c>
      <c r="H10" s="52" t="s">
        <v>374</v>
      </c>
      <c r="I10" s="52" t="s">
        <v>354</v>
      </c>
      <c r="K10" s="47" t="s">
        <v>354</v>
      </c>
      <c r="L10" s="48" t="s">
        <v>333</v>
      </c>
      <c r="M10" s="92" t="s">
        <v>374</v>
      </c>
      <c r="N10" s="92" t="s">
        <v>799</v>
      </c>
      <c r="O10" s="93">
        <f>IF(I8="A",QUARTILE(N:N,1),QUARTILE(N:N,3))</f>
        <v>18.75413441664665</v>
      </c>
      <c r="P10" s="93">
        <f>QUARTILE(N:N,2)</f>
        <v>16.26259547069758</v>
      </c>
      <c r="Q10" s="93">
        <f>IF(I8="A",QUARTILE(N:N,3),QUARTILE(N:N,1))</f>
        <v>14.836317443731243</v>
      </c>
      <c r="R10" s="92"/>
      <c r="S10" s="49"/>
      <c r="T10" s="181" t="s">
        <v>373</v>
      </c>
      <c r="U10" s="182" t="s">
        <v>374</v>
      </c>
      <c r="V10" s="182" t="s">
        <v>354</v>
      </c>
      <c r="W10" s="182"/>
      <c r="X10" s="50" t="s">
        <v>379</v>
      </c>
      <c r="Y10" s="20" t="s">
        <v>374</v>
      </c>
      <c r="Z10" s="20" t="s">
        <v>354</v>
      </c>
      <c r="AA10" s="181" t="s">
        <v>380</v>
      </c>
      <c r="AB10" s="182" t="s">
        <v>374</v>
      </c>
      <c r="AC10" s="182" t="s">
        <v>354</v>
      </c>
      <c r="AD10" s="182"/>
      <c r="AE10" s="50" t="s">
        <v>354</v>
      </c>
      <c r="AF10" s="20" t="s">
        <v>409</v>
      </c>
      <c r="AG10" s="70" t="s">
        <v>374</v>
      </c>
      <c r="AI10" s="50" t="s">
        <v>301</v>
      </c>
      <c r="AJ10" s="20" t="s">
        <v>374</v>
      </c>
      <c r="AK10" s="51" t="s">
        <v>354</v>
      </c>
      <c r="AL10" s="51" t="s">
        <v>375</v>
      </c>
      <c r="AM10" s="20" t="s">
        <v>409</v>
      </c>
      <c r="AN10" s="20" t="s">
        <v>374</v>
      </c>
      <c r="AO10" s="52"/>
      <c r="AP10" s="50" t="s">
        <v>339</v>
      </c>
      <c r="AQ10" s="70" t="s">
        <v>374</v>
      </c>
      <c r="AR10" s="20" t="s">
        <v>354</v>
      </c>
      <c r="AS10" s="51" t="s">
        <v>375</v>
      </c>
      <c r="AT10" s="20" t="s">
        <v>409</v>
      </c>
      <c r="AU10" s="20" t="s">
        <v>374</v>
      </c>
      <c r="AW10" s="121"/>
      <c r="AX10" s="170" t="str">
        <f>D6</f>
        <v>2018/19</v>
      </c>
      <c r="AY10" s="122"/>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ABG10" s="50"/>
    </row>
    <row r="11" spans="1:735">
      <c r="A11" s="56" t="str">
        <f>$D$1&amp;1</f>
        <v>SC1</v>
      </c>
      <c r="B11" s="57" t="str">
        <f>IF(ISERROR(VLOOKUP(A11,classifications!A:C,3,FALSE)),0,VLOOKUP(A11,classifications!A:C,3,FALSE))</f>
        <v>Cumbria</v>
      </c>
      <c r="C11" s="8" t="s">
        <v>4</v>
      </c>
      <c r="D11" s="26" t="str">
        <f>VLOOKUP($C11,classifications!$C:$J,4,FALSE)</f>
        <v>SD</v>
      </c>
      <c r="E11" s="26">
        <f>VLOOKUP(C11,classifications!C:K,9,FALSE)</f>
        <v>0</v>
      </c>
      <c r="F11" s="36">
        <f t="shared" ref="F11:F74" si="0">HLOOKUP($D$6,AX$10:ZX$368,ROW()-9,FALSE)</f>
        <v>23.116266695615074</v>
      </c>
      <c r="G11" s="71"/>
      <c r="H11" s="37" t="str">
        <f t="shared" ref="H11:H74" si="1">IF(D11=$D$1,HLOOKUP($D$6,$AX$10:$ZZ$368,ROW()-9,FALSE),"")</f>
        <v/>
      </c>
      <c r="I11" s="77" t="str">
        <f>IF(H11="","",IF($I$8="A",(RANK(H11,H$11:H$368,1)+COUNTIF(H$11:H11,H11)-1),(RANK(H11,H$11:H$368)+COUNTIF(H$11:H11,H11)-1)))</f>
        <v/>
      </c>
      <c r="J11" s="35"/>
      <c r="K11" s="28">
        <v>1</v>
      </c>
      <c r="L11" s="36" t="str">
        <f t="shared" ref="L11:L74" si="2">IF(K11="","",INDEX(C$11:C$368,MATCH(K11,I$11:I$368,0)))</f>
        <v>Cambridgeshire</v>
      </c>
      <c r="M11" s="102">
        <f>IF(L11="","",IF(VLOOKUP(L11,C:D,2,FALSE)=$F$3,VLOOKUP(L11,C:H,6,FALSE),""))</f>
        <v>30.572479096813858</v>
      </c>
      <c r="N11" s="101">
        <f>IF(L11="","",IF($H$8="%%",M11*100,M11))</f>
        <v>30.572479096813858</v>
      </c>
      <c r="O11" s="94">
        <f>IF(I$8="A",IF(N11&gt;=$P$7,IF(N11&lt;=$O$10,N11,""),""),IF(N11&lt;=$P$7,IF(N11&gt;=$O$10,N11,""),""))</f>
        <v>30.572479096813858</v>
      </c>
      <c r="P11" s="94" t="str">
        <f>IF(I$8="A",IF(N11&gt;$O$10,IF(N11&lt;=$P$10,N11,""),""),IF(N11&lt;$O$10,IF(N11&gt;=$P$10,N11,""),""))</f>
        <v/>
      </c>
      <c r="Q11" s="94" t="str">
        <f>IF(I$8="A",IF(N11&gt;$P$10,IF(N11&lt;=$Q$10,N11,""),""),IF(N11&lt;$P$10,IF(N11&gt;=$Q$10,N11,""),""))</f>
        <v/>
      </c>
      <c r="R11" s="90" t="str">
        <f>IF(I$8="A",IF(N11&gt;$Q$10,N11,""),IF(N11&lt;$Q$10,N11,""))</f>
        <v/>
      </c>
      <c r="S11" s="37" t="str">
        <f>IF(L11=D$3,"u","")</f>
        <v/>
      </c>
      <c r="T11" s="176">
        <f>IF(L11="","",VLOOKUP(L11,classifications!C:K,9,FALSE))</f>
        <v>0</v>
      </c>
      <c r="U11" s="183" t="str">
        <f>IF(T11="Sparse",M11,"")</f>
        <v/>
      </c>
      <c r="V11" s="184" t="str">
        <f>IF(U11="","",IF($I$8="A",(RANK(U11,U$11:U$368)+COUNTIF(U$11:U11,U11)-1),(RANK(U11,U$11:U$368,1)+COUNTIF(U$11:U11,U11)-1)))</f>
        <v/>
      </c>
      <c r="W11" s="185"/>
      <c r="X11" s="38" t="str">
        <f>IF(L11="","",VLOOKUP($L11,classifications!$C:$J,6,FALSE))</f>
        <v>Predominantly Rural</v>
      </c>
      <c r="Y11" s="26" t="b">
        <f t="shared" ref="Y11:Y74" si="3">IF($D$1="UA",IF(X11="Largely Rural (rural including hub towns 50-79%) ",M11,IF(X11="Mainly Rural (rural including hub towns &gt;=80%) ",M11,IF(X11="Urban with Significant Rural (rural including hub towns 26-49%)",M11,""))),IF($D$1="SD",IF(X11=$H$3,M11,"")))</f>
        <v>0</v>
      </c>
      <c r="Z11" s="34" t="e">
        <f>IF(Y11="","",IF(I$8="A",(RANK(Y11,Y$11:Y$368,1)+COUNTIF(Y$11:Y11,Y11)-1),(RANK(Y11,Y$11:Y$368)+COUNTIF(Y$11:Y11,Y11)-1)))</f>
        <v>#N/A</v>
      </c>
      <c r="AA11" s="188" t="str">
        <f>IF(L11="","",VLOOKUP($L11,classifications!C:I,7,FALSE))</f>
        <v>Predominantly Rural</v>
      </c>
      <c r="AB11" s="184">
        <f>IF(AA11=$J$3,M11,"")</f>
        <v>30.572479096813858</v>
      </c>
      <c r="AC11" s="184">
        <f>IF(AB11="","",IF($I$8="A",(RANK(AB11,AB$11:AB$368)+COUNTIF(AB$11:AB11,AB11)-1),(RANK(AB11,AB$11:AB$368,1)+COUNTIF(AB$11:AB11,AB11)-1)))</f>
        <v>10</v>
      </c>
      <c r="AD11" s="184"/>
      <c r="AE11" s="45">
        <f>IF(I$8="A",(RANK(AG11,AG$11:AG$368,1)+COUNTIF(AG$11:AG11,AG11)-1),(RANK(AG11,AG$11:AG$368)+COUNTIF(AG$11:AG11,AG11)-1))</f>
        <v>9</v>
      </c>
      <c r="AF11" s="43" t="str">
        <f>'Filtered Data'!D3</f>
        <v>Cumbria</v>
      </c>
      <c r="AG11" s="95">
        <f>VLOOKUP(Profile!$J$5,$C$11:$H$368,4,FALSE)</f>
        <v>16.018311396308022</v>
      </c>
      <c r="AH11" s="46">
        <f>AE11</f>
        <v>9</v>
      </c>
      <c r="AI11" s="38" t="str">
        <f>IF(L11="","",VLOOKUP($L11,classifications!$C:$J,8,FALSE))</f>
        <v>Cambridgeshire</v>
      </c>
      <c r="AJ11" s="39" t="str">
        <f t="shared" ref="AJ11:AJ74" si="4">IF(AI11=$I$3,M11,"")</f>
        <v/>
      </c>
      <c r="AK11" s="34" t="str">
        <f>IF(AJ11="","",IF(I$8="A",(RANK(AJ11,AJ$11:AJ$368,1)+COUNTIF(AJ$11:AJ11,AJ11)-1),(RANK(AJ11,AJ$11:AJ$368)+COUNTIF(AJ$11:AJ11,AJ11)-1)))</f>
        <v/>
      </c>
      <c r="AL11" s="34">
        <v>1</v>
      </c>
      <c r="AM11" s="8" t="str">
        <f t="shared" ref="AM11:AM74" si="5">IF(ISNA(IF(AL11="","",INDEX(L$11:L$368,MATCH(AL11,AK$11:AK$368,0)))),"",(IF(AL11="","",INDEX(L$11:L$368,MATCH(AL11,AK$11:AK$368,0)))))</f>
        <v>Cumbria</v>
      </c>
      <c r="AN11" s="8">
        <f>(VLOOKUP(AM11,L:M,2,FALSE))</f>
        <v>16.018311396308022</v>
      </c>
      <c r="AP11" s="38" t="str">
        <f>IF(L11="","",VLOOKUP($L11,classifications!$C:$E,3,FALSE))</f>
        <v>East of England</v>
      </c>
      <c r="AQ11" s="39" t="str">
        <f>IF(AP11=$G$3,$M11,"")</f>
        <v/>
      </c>
      <c r="AR11" s="34" t="str">
        <f>IF(AQ11="","",IF(I$8="A",(RANK(AQ11,AQ$11:AQ$368,1)+COUNTIF(AQ$11:AQ11,AQ11)-1),(RANK(AQ11,AQ$11:AQ$368)+COUNTIF(AQ$11:AQ11,AQ11)-1)))</f>
        <v/>
      </c>
      <c r="AS11" s="34">
        <v>1</v>
      </c>
      <c r="AT11" s="34" t="str">
        <f t="shared" ref="AT11:AT74" si="6">IF(AS11="","",INDEX(L$11:L$368,MATCH(AS11,AR$11:AR$368,0)))</f>
        <v>Cumbria</v>
      </c>
      <c r="AU11" s="39">
        <f>IF(AT11="","",VLOOKUP(AT11,L:M,2,FALSE))</f>
        <v>16.018311396308022</v>
      </c>
      <c r="AX11" s="21">
        <f>HLOOKUP($AX$9&amp;$AX$10,Data!$A$1:$ZZ$2000,(MATCH($C11,Data!$A$1:$A$2000,0)),FALSE)</f>
        <v>23.116266695615074</v>
      </c>
      <c r="AY11" s="103"/>
      <c r="AZ11" s="21"/>
    </row>
    <row r="12" spans="1:735">
      <c r="A12" s="56" t="str">
        <f>$D$1&amp;2</f>
        <v>SC2</v>
      </c>
      <c r="B12" s="57" t="str">
        <f>IF(ISERROR(VLOOKUP(A12,classifications!A:C,3,FALSE)),0,VLOOKUP(A12,classifications!A:C,3,FALSE))</f>
        <v>Derbyshire</v>
      </c>
      <c r="C12" s="8" t="s">
        <v>6</v>
      </c>
      <c r="D12" s="26" t="str">
        <f>VLOOKUP($C12,classifications!$C:$J,4,FALSE)</f>
        <v>SD</v>
      </c>
      <c r="E12" s="26" t="str">
        <f>VLOOKUP(C12,classifications!C:K,9,FALSE)</f>
        <v>Sparse</v>
      </c>
      <c r="F12" s="36">
        <f t="shared" si="0"/>
        <v>14.883829464061252</v>
      </c>
      <c r="G12" s="71"/>
      <c r="H12" s="37" t="str">
        <f t="shared" si="1"/>
        <v/>
      </c>
      <c r="I12" s="77" t="str">
        <f>IF(H12="","",IF($I$8="A",(RANK(H12,H$11:H$368,1)+COUNTIF(H$11:H12,H12)-1),(RANK(H12,H$11:H$368)+COUNTIF(H$11:H12,H12)-1)))</f>
        <v/>
      </c>
      <c r="J12" s="35"/>
      <c r="K12" s="28">
        <f t="shared" ref="K12:K75" si="7">IF(K11="","",IF(K11+1&gt;(COUNT(H$11:H$368)),"",K11+1))</f>
        <v>2</v>
      </c>
      <c r="L12" s="36" t="str">
        <f t="shared" si="2"/>
        <v>Oxfordshire</v>
      </c>
      <c r="M12" s="102">
        <f>IF(L12="","",IF(VLOOKUP(L12,C:D,2,FALSE)=$F$3,VLOOKUP(L12,C:H,6,FALSE),""))</f>
        <v>27.360615780317239</v>
      </c>
      <c r="N12" s="101">
        <f>IF(L12="","",IF($H$8="%%",M12*100,M12))</f>
        <v>27.360615780317239</v>
      </c>
      <c r="O12" s="94">
        <f t="shared" ref="O12:O74" si="8">IF(I$8="A",IF(N12&gt;=$P$7,IF(N12&lt;=$O$10,N12,""),""),IF(N12&lt;=$P$7,IF(N12&gt;=$O$10,N12,""),""))</f>
        <v>27.360615780317239</v>
      </c>
      <c r="P12" s="94" t="str">
        <f>IF(I$8="A",IF(N12&gt;$O$10,IF(N12&lt;=$P$10,N12,""),""),IF(N12&lt;$O$10,IF(N12&gt;=$P$10,N12,""),""))</f>
        <v/>
      </c>
      <c r="Q12" s="94" t="str">
        <f>IF(I$8="A",IF(N12&gt;$P$10,IF(N12&lt;=$Q$10,N12,""),""),IF(N12&lt;$P$10,IF(N12&gt;=$Q$10,N12,""),""))</f>
        <v/>
      </c>
      <c r="R12" s="90" t="str">
        <f>IF(I$8="A",IF(N12&gt;$Q$10,N12,""),IF(N12&lt;$Q$10,N12,""))</f>
        <v/>
      </c>
      <c r="S12" s="37" t="str">
        <f t="shared" ref="S12:S75" si="9">IF(L12=D$3,"u","")</f>
        <v/>
      </c>
      <c r="T12" s="176">
        <f>IF(L12="","",VLOOKUP(L12,classifications!C:K,9,FALSE))</f>
        <v>0</v>
      </c>
      <c r="U12" s="183" t="str">
        <f t="shared" ref="U12:U42" si="10">IF(T12="Sparse",M12,"")</f>
        <v/>
      </c>
      <c r="V12" s="184" t="str">
        <f>IF(U12="","",IF($I$8="A",(RANK(U12,U$11:U$368)+COUNTIF(U$11:U12,U12)-1),(RANK(U12,U$11:U$368,1)+COUNTIF(U$11:U12,U12)-1)))</f>
        <v/>
      </c>
      <c r="W12" s="185"/>
      <c r="X12" s="38" t="str">
        <f>IF(L12="","",VLOOKUP($L12,classifications!$C:$J,6,FALSE))</f>
        <v>Predominantly Rural</v>
      </c>
      <c r="Y12" s="26" t="b">
        <f t="shared" si="3"/>
        <v>0</v>
      </c>
      <c r="Z12" s="34" t="e">
        <f>IF(Y12="","",IF(I$8="A",(RANK(Y12,Y$11:Y$368,1)+COUNTIF(Y$11:Y12,Y12)-1),(RANK(Y12,Y$11:Y$368)+COUNTIF(Y$11:Y12,Y12)-1)))</f>
        <v>#N/A</v>
      </c>
      <c r="AA12" s="188" t="str">
        <f>IF(L12="","",VLOOKUP($L12,classifications!C:I,7,FALSE))</f>
        <v>Predominantly Rural</v>
      </c>
      <c r="AB12" s="184">
        <f t="shared" ref="AB12:AB75" si="11">IF(AA12=$J$3,M12,"")</f>
        <v>27.360615780317239</v>
      </c>
      <c r="AC12" s="184">
        <f>IF(AB12="","",IF($I$8="A",(RANK(AB12,AB$11:AB$368)+COUNTIF(AB$11:AB12,AB12)-1),(RANK(AB12,AB$11:AB$368,1)+COUNTIF(AB$11:AB12,AB12)-1)))</f>
        <v>9</v>
      </c>
      <c r="AD12" s="184"/>
      <c r="AE12" s="45">
        <f>IF(I$8="A",(RANK(AG12,AG$11:AG$368,1)+COUNTIF(AG$11:AG12,AG12)-1),(RANK(AG12,AG$11:AG$368)+COUNTIF(AG$11:AG12,AG12)-1))</f>
        <v>13</v>
      </c>
      <c r="AF12" s="1" t="str">
        <f>VLOOKUP(Profile!$J$5,Families!$C:$R,2,FALSE)</f>
        <v>Derbyshire</v>
      </c>
      <c r="AG12" s="96">
        <f t="shared" ref="AG12:AG26" si="12">VLOOKUP(AF12,$C$11:$H$368,4,FALSE)</f>
        <v>13.91293811582649</v>
      </c>
      <c r="AH12" s="46">
        <f>AE12</f>
        <v>13</v>
      </c>
      <c r="AI12" s="38" t="str">
        <f>IF(L12="","",VLOOKUP($L12,classifications!$C:$J,8,FALSE))</f>
        <v>Oxfordshire</v>
      </c>
      <c r="AJ12" s="39" t="str">
        <f t="shared" si="4"/>
        <v/>
      </c>
      <c r="AK12" s="34" t="str">
        <f>IF(AJ12="","",IF(I$8="A",(RANK(AJ12,AJ$11:AJ$368,1)+COUNTIF(AJ$11:AJ12,AJ12)-1),(RANK(AJ12,AJ$11:AJ$368)+COUNTIF(AJ$11:AJ12,AJ12)-1)))</f>
        <v/>
      </c>
      <c r="AL12" s="29" t="str">
        <f t="shared" ref="AL12:AL75" si="13">IF(AL11="","",IF(AL11+1&gt;(COUNT(AJ$11:AJ$368)),"",AL11+1))</f>
        <v/>
      </c>
      <c r="AM12" s="8" t="str">
        <f t="shared" si="5"/>
        <v/>
      </c>
      <c r="AN12" s="8" t="str">
        <f t="shared" ref="AN12:AN75" si="14">(VLOOKUP(AM12,L:M,2,FALSE))</f>
        <v/>
      </c>
      <c r="AP12" s="38" t="str">
        <f>IF(L12="","",VLOOKUP($L12,classifications!$C:$E,3,FALSE))</f>
        <v>South East</v>
      </c>
      <c r="AQ12" s="39" t="str">
        <f t="shared" ref="AQ12:AQ75" si="15">IF(AP12=$G$3,$M12,"")</f>
        <v/>
      </c>
      <c r="AR12" s="34" t="str">
        <f>IF(AQ12="","",IF(I$8="A",(RANK(AQ12,AQ$11:AQ$368,1)+COUNTIF(AQ$11:AQ12,AQ12)-1),(RANK(AQ12,AQ$11:AQ$368)+COUNTIF(AQ$11:AQ12,AQ12)-1)))</f>
        <v/>
      </c>
      <c r="AS12" s="29">
        <f t="shared" ref="AS12:AS75" si="16">IF(AS11="","",IF(AS11+1&gt;(COUNT(AQ$11:AQ$368)),"",AS11+1))</f>
        <v>2</v>
      </c>
      <c r="AT12" s="34" t="str">
        <f t="shared" si="6"/>
        <v>Lancashire</v>
      </c>
      <c r="AU12" s="39">
        <f t="shared" ref="AU12:AU75" si="17">IF(AT12="","",VLOOKUP(AT12,L:M,2,FALSE))</f>
        <v>13.756921881703718</v>
      </c>
      <c r="AX12" s="21">
        <f>HLOOKUP($AX$9&amp;$AX$10,Data!$A$1:$ZZ$2000,(MATCH($C12,Data!$A$1:$A$2000,0)),FALSE)</f>
        <v>14.883829464061252</v>
      </c>
      <c r="AY12" s="103"/>
      <c r="AZ12" s="21"/>
    </row>
    <row r="13" spans="1:735">
      <c r="A13" s="56" t="str">
        <f>$D$1&amp;3</f>
        <v>SC3</v>
      </c>
      <c r="B13" s="57" t="str">
        <f>IF(ISERROR(VLOOKUP(A13,classifications!A:C,3,FALSE)),0,VLOOKUP(A13,classifications!A:C,3,FALSE))</f>
        <v>Devon</v>
      </c>
      <c r="C13" s="8" t="s">
        <v>7</v>
      </c>
      <c r="D13" s="26" t="str">
        <f>VLOOKUP($C13,classifications!$C:$J,4,FALSE)</f>
        <v>SD</v>
      </c>
      <c r="E13" s="26">
        <f>VLOOKUP(C13,classifications!C:K,9,FALSE)</f>
        <v>0</v>
      </c>
      <c r="F13" s="36">
        <f t="shared" si="0"/>
        <v>14.7481108972597</v>
      </c>
      <c r="G13" s="71"/>
      <c r="H13" s="37" t="str">
        <f t="shared" si="1"/>
        <v/>
      </c>
      <c r="I13" s="77" t="str">
        <f>IF(H13="","",IF($I$8="A",(RANK(H13,H$11:H$368,1)+COUNTIF(H$11:H13,H13)-1),(RANK(H13,H$11:H$368)+COUNTIF(H$11:H13,H13)-1)))</f>
        <v/>
      </c>
      <c r="J13" s="35"/>
      <c r="K13" s="28">
        <f t="shared" si="7"/>
        <v>3</v>
      </c>
      <c r="L13" s="36" t="str">
        <f t="shared" si="2"/>
        <v>Devon</v>
      </c>
      <c r="M13" s="102">
        <f>IF(L13="","",IF(VLOOKUP(L13,C:D,2,FALSE)=$F$3,VLOOKUP(L13,C:H,6,FALSE),""))</f>
        <v>20.569845842883787</v>
      </c>
      <c r="N13" s="101">
        <f>IF(L13="","",IF($H$8="%%",M13*100,M13))</f>
        <v>20.569845842883787</v>
      </c>
      <c r="O13" s="94">
        <f t="shared" si="8"/>
        <v>20.569845842883787</v>
      </c>
      <c r="P13" s="94" t="str">
        <f t="shared" ref="P13:P76" si="18">IF(I$8="A",IF(N13&gt;$O$10,IF(N13&lt;=$P$10,N13,""),""),IF(N13&lt;$O$10,IF(N13&gt;=$P$10,N13,""),""))</f>
        <v/>
      </c>
      <c r="Q13" s="94" t="str">
        <f t="shared" ref="Q13:Q76" si="19">IF(I$8="A",IF(N13&gt;$P$10,IF(N13&lt;=$Q$10,N13,""),""),IF(N13&lt;$P$10,IF(N13&gt;=$Q$10,N13,""),""))</f>
        <v/>
      </c>
      <c r="R13" s="90" t="str">
        <f t="shared" ref="R13:R76" si="20">IF(I$8="A",IF(N13&gt;$Q$10,N13,""),IF(N13&lt;$Q$10,N13,""))</f>
        <v/>
      </c>
      <c r="S13" s="37" t="str">
        <f t="shared" si="9"/>
        <v/>
      </c>
      <c r="T13" s="176" t="str">
        <f>IF(L13="","",VLOOKUP(L13,classifications!C:K,9,FALSE))</f>
        <v>Sparse</v>
      </c>
      <c r="U13" s="183">
        <f t="shared" si="10"/>
        <v>20.569845842883787</v>
      </c>
      <c r="V13" s="184">
        <f>IF(U13="","",IF($I$8="A",(RANK(U13,U$11:U$368)+COUNTIF(U$11:U13,U13)-1),(RANK(U13,U$11:U$368,1)+COUNTIF(U$11:U13,U13)-1)))</f>
        <v>16</v>
      </c>
      <c r="W13" s="185"/>
      <c r="X13" s="38" t="str">
        <f>IF(L13="","",VLOOKUP($L13,classifications!$C:$J,6,FALSE))</f>
        <v>Predominantly Rural</v>
      </c>
      <c r="Y13" s="26" t="b">
        <f t="shared" si="3"/>
        <v>0</v>
      </c>
      <c r="Z13" s="34" t="e">
        <f>IF(Y13="","",IF(I$8="A",(RANK(Y13,Y$11:Y$368,1)+COUNTIF(Y$11:Y13,Y13)-1),(RANK(Y13,Y$11:Y$368)+COUNTIF(Y$11:Y13,Y13)-1)))</f>
        <v>#N/A</v>
      </c>
      <c r="AA13" s="188" t="str">
        <f>IF(L13="","",VLOOKUP($L13,classifications!C:I,7,FALSE))</f>
        <v>Predominantly Rural</v>
      </c>
      <c r="AB13" s="184">
        <f>IF(AA13=$J$3,M13,"")</f>
        <v>20.569845842883787</v>
      </c>
      <c r="AC13" s="184">
        <f>IF(AB13="","",IF($I$8="A",(RANK(AB13,AB$11:AB$368)+COUNTIF(AB$11:AB13,AB13)-1),(RANK(AB13,AB$11:AB$368,1)+COUNTIF(AB$11:AB13,AB13)-1)))</f>
        <v>8</v>
      </c>
      <c r="AD13" s="184"/>
      <c r="AE13" s="45">
        <f>IF(I$8="A",(RANK(AG13,AG$11:AG$368,1)+COUNTIF(AG$11:AG13,AG13)-1),(RANK(AG13,AG$11:AG$368)+COUNTIF(AG$11:AG13,AG13)-1))</f>
        <v>4</v>
      </c>
      <c r="AF13" s="1" t="str">
        <f>VLOOKUP(Profile!$J$5,Families!$C:$R,3,FALSE)</f>
        <v>North Yorkshire</v>
      </c>
      <c r="AG13" s="96">
        <f t="shared" si="12"/>
        <v>18.088342558486225</v>
      </c>
      <c r="AH13" s="46">
        <f t="shared" ref="AH13:AH26" si="21">AE13</f>
        <v>4</v>
      </c>
      <c r="AI13" s="38" t="str">
        <f>IF(L13="","",VLOOKUP($L13,classifications!$C:$J,8,FALSE))</f>
        <v>Devon</v>
      </c>
      <c r="AJ13" s="39" t="str">
        <f>IF(AI13=$I$3,M13,"")</f>
        <v/>
      </c>
      <c r="AK13" s="34" t="str">
        <f>IF(AJ13="","",IF(I$8="A",(RANK(AJ13,AJ$11:AJ$368,1)+COUNTIF(AJ$11:AJ13,AJ13)-1),(RANK(AJ13,AJ$11:AJ$368)+COUNTIF(AJ$11:AJ13,AJ13)-1)))</f>
        <v/>
      </c>
      <c r="AL13" s="29" t="str">
        <f t="shared" si="13"/>
        <v/>
      </c>
      <c r="AM13" s="8" t="str">
        <f t="shared" si="5"/>
        <v/>
      </c>
      <c r="AN13" s="8" t="str">
        <f t="shared" si="14"/>
        <v/>
      </c>
      <c r="AP13" s="38" t="str">
        <f>IF(L13="","",VLOOKUP($L13,classifications!$C:$E,3,FALSE))</f>
        <v>South West</v>
      </c>
      <c r="AQ13" s="39" t="str">
        <f t="shared" si="15"/>
        <v/>
      </c>
      <c r="AR13" s="34" t="str">
        <f>IF(AQ13="","",IF(I$8="A",(RANK(AQ13,AQ$11:AQ$368,1)+COUNTIF(AQ$11:AQ13,AQ13)-1),(RANK(AQ13,AQ$11:AQ$368)+COUNTIF(AQ$11:AQ13,AQ13)-1)))</f>
        <v/>
      </c>
      <c r="AS13" s="29" t="str">
        <f t="shared" si="16"/>
        <v/>
      </c>
      <c r="AT13" s="34" t="str">
        <f t="shared" si="6"/>
        <v/>
      </c>
      <c r="AU13" s="39" t="str">
        <f t="shared" si="17"/>
        <v/>
      </c>
      <c r="AX13" s="21">
        <f>HLOOKUP($AX$9&amp;$AX$10,Data!$A$1:$ZZ$2000,(MATCH($C13,Data!$A$1:$A$2000,0)),FALSE)</f>
        <v>14.7481108972597</v>
      </c>
      <c r="AY13" s="103"/>
      <c r="AZ13" s="21"/>
    </row>
    <row r="14" spans="1:735">
      <c r="A14" s="56" t="str">
        <f>$D$1&amp;4</f>
        <v>SC4</v>
      </c>
      <c r="B14" s="57" t="str">
        <f>IF(ISERROR(VLOOKUP(A14,classifications!A:C,3,FALSE)),0,VLOOKUP(A14,classifications!A:C,3,FALSE))</f>
        <v>East Sussex</v>
      </c>
      <c r="C14" s="8" t="s">
        <v>8</v>
      </c>
      <c r="D14" s="26" t="str">
        <f>VLOOKUP($C14,classifications!$C:$J,4,FALSE)</f>
        <v>SD</v>
      </c>
      <c r="E14" s="26">
        <f>VLOOKUP(C14,classifications!C:K,9,FALSE)</f>
        <v>0</v>
      </c>
      <c r="F14" s="36">
        <f t="shared" si="0"/>
        <v>20.42654230698858</v>
      </c>
      <c r="G14" s="71"/>
      <c r="H14" s="37" t="str">
        <f t="shared" si="1"/>
        <v/>
      </c>
      <c r="I14" s="77" t="str">
        <f>IF(H14="","",IF($I$8="A",(RANK(H14,H$11:H$368,1)+COUNTIF(H$11:H14,H14)-1),(RANK(H14,H$11:H$368)+COUNTIF(H$11:H14,H14)-1)))</f>
        <v/>
      </c>
      <c r="J14" s="35"/>
      <c r="K14" s="28">
        <f t="shared" si="7"/>
        <v>4</v>
      </c>
      <c r="L14" s="36" t="str">
        <f t="shared" si="2"/>
        <v>Surrey</v>
      </c>
      <c r="M14" s="102">
        <f t="shared" ref="M14:M75" si="22">IF(L14="","",IF(VLOOKUP(L14,C:D,2,FALSE)=$F$3,VLOOKUP(L14,C:H,6,FALSE),""))</f>
        <v>20.423132463684833</v>
      </c>
      <c r="N14" s="101">
        <f t="shared" ref="N14:N75" si="23">IF(L14="","",IF($H$8="%%",M14*100,M14))</f>
        <v>20.423132463684833</v>
      </c>
      <c r="O14" s="94">
        <f t="shared" si="8"/>
        <v>20.423132463684833</v>
      </c>
      <c r="P14" s="94" t="str">
        <f t="shared" si="18"/>
        <v/>
      </c>
      <c r="Q14" s="94" t="str">
        <f t="shared" si="19"/>
        <v/>
      </c>
      <c r="R14" s="90" t="str">
        <f t="shared" si="20"/>
        <v/>
      </c>
      <c r="S14" s="37" t="str">
        <f t="shared" si="9"/>
        <v/>
      </c>
      <c r="T14" s="176">
        <f>IF(L14="","",VLOOKUP(L14,classifications!C:K,9,FALSE))</f>
        <v>0</v>
      </c>
      <c r="U14" s="183" t="str">
        <f t="shared" si="10"/>
        <v/>
      </c>
      <c r="V14" s="184" t="str">
        <f>IF(U14="","",IF($I$8="A",(RANK(U14,U$11:U$368)+COUNTIF(U$11:U14,U14)-1),(RANK(U14,U$11:U$368,1)+COUNTIF(U$11:U14,U14)-1)))</f>
        <v/>
      </c>
      <c r="W14" s="185"/>
      <c r="X14" s="38" t="str">
        <f>IF(L14="","",VLOOKUP($L14,classifications!$C:$J,6,FALSE))</f>
        <v>Predominantly Urban</v>
      </c>
      <c r="Y14" s="26" t="b">
        <f t="shared" si="3"/>
        <v>0</v>
      </c>
      <c r="Z14" s="34" t="e">
        <f>IF(Y14="","",IF(I$8="A",(RANK(Y14,Y$11:Y$368,1)+COUNTIF(Y$11:Y14,Y14)-1),(RANK(Y14,Y$11:Y$368)+COUNTIF(Y$11:Y14,Y14)-1)))</f>
        <v>#N/A</v>
      </c>
      <c r="AA14" s="188" t="str">
        <f>IF(L14="","",VLOOKUP($L14,classifications!C:I,7,FALSE))</f>
        <v>Predominantly Urban</v>
      </c>
      <c r="AB14" s="184" t="str">
        <f t="shared" si="11"/>
        <v/>
      </c>
      <c r="AC14" s="184" t="str">
        <f>IF(AB14="","",IF($I$8="A",(RANK(AB14,AB$11:AB$368)+COUNTIF(AB$11:AB14,AB14)-1),(RANK(AB14,AB$11:AB$368,1)+COUNTIF(AB$11:AB14,AB14)-1)))</f>
        <v/>
      </c>
      <c r="AD14" s="184"/>
      <c r="AE14" s="45">
        <f>IF(I$8="A",(RANK(AG14,AG$11:AG$368,1)+COUNTIF(AG$11:AG14,AG14)-1),(RANK(AG14,AG$11:AG$368)+COUNTIF(AG$11:AG14,AG14)-1))</f>
        <v>8</v>
      </c>
      <c r="AF14" s="1" t="str">
        <f>VLOOKUP(Profile!$J$5,Families!$C:$R,4,FALSE)</f>
        <v>Lincolnshire</v>
      </c>
      <c r="AG14" s="96">
        <f t="shared" si="12"/>
        <v>16.036007901999703</v>
      </c>
      <c r="AH14" s="46">
        <f t="shared" si="21"/>
        <v>8</v>
      </c>
      <c r="AI14" s="38" t="str">
        <f>IF(L14="","",VLOOKUP($L14,classifications!$C:$J,8,FALSE))</f>
        <v>Surrey</v>
      </c>
      <c r="AJ14" s="39" t="str">
        <f t="shared" si="4"/>
        <v/>
      </c>
      <c r="AK14" s="34" t="str">
        <f>IF(AJ14="","",IF(I$8="A",(RANK(AJ14,AJ$11:AJ$368,1)+COUNTIF(AJ$11:AJ14,AJ14)-1),(RANK(AJ14,AJ$11:AJ$368)+COUNTIF(AJ$11:AJ14,AJ14)-1)))</f>
        <v/>
      </c>
      <c r="AL14" s="29" t="str">
        <f t="shared" si="13"/>
        <v/>
      </c>
      <c r="AM14" s="8" t="str">
        <f t="shared" si="5"/>
        <v/>
      </c>
      <c r="AN14" s="8" t="str">
        <f t="shared" si="14"/>
        <v/>
      </c>
      <c r="AP14" s="38" t="str">
        <f>IF(L14="","",VLOOKUP($L14,classifications!$C:$E,3,FALSE))</f>
        <v>South East</v>
      </c>
      <c r="AQ14" s="39" t="str">
        <f t="shared" si="15"/>
        <v/>
      </c>
      <c r="AR14" s="34" t="str">
        <f>IF(AQ14="","",IF(I$8="A",(RANK(AQ14,AQ$11:AQ$368,1)+COUNTIF(AQ$11:AQ14,AQ14)-1),(RANK(AQ14,AQ$11:AQ$368)+COUNTIF(AQ$11:AQ14,AQ14)-1)))</f>
        <v/>
      </c>
      <c r="AS14" s="29" t="str">
        <f t="shared" si="16"/>
        <v/>
      </c>
      <c r="AT14" s="34" t="str">
        <f t="shared" si="6"/>
        <v/>
      </c>
      <c r="AU14" s="39" t="str">
        <f t="shared" si="17"/>
        <v/>
      </c>
      <c r="AX14" s="21">
        <f>HLOOKUP($AX$9&amp;$AX$10,Data!$A$1:$ZZ$2000,(MATCH($C14,Data!$A$1:$A$2000,0)),FALSE)</f>
        <v>20.42654230698858</v>
      </c>
      <c r="AY14" s="103"/>
      <c r="AZ14" s="21"/>
    </row>
    <row r="15" spans="1:735">
      <c r="A15" s="56" t="str">
        <f>$D$1&amp;5</f>
        <v>SC5</v>
      </c>
      <c r="B15" s="57" t="str">
        <f>IF(ISERROR(VLOOKUP(A15,classifications!A:C,3,FALSE)),0,VLOOKUP(A15,classifications!A:C,3,FALSE))</f>
        <v>Essex</v>
      </c>
      <c r="C15" s="8" t="s">
        <v>9</v>
      </c>
      <c r="D15" s="26" t="str">
        <f>VLOOKUP($C15,classifications!$C:$J,4,FALSE)</f>
        <v>SD</v>
      </c>
      <c r="E15" s="26">
        <f>VLOOKUP(C15,classifications!C:K,9,FALSE)</f>
        <v>0</v>
      </c>
      <c r="F15" s="36">
        <f t="shared" si="0"/>
        <v>14.192870702068689</v>
      </c>
      <c r="G15" s="71"/>
      <c r="H15" s="37" t="str">
        <f t="shared" si="1"/>
        <v/>
      </c>
      <c r="I15" s="77" t="str">
        <f>IF(H15="","",IF($I$8="A",(RANK(H15,H$11:H$368,1)+COUNTIF(H$11:H15,H15)-1),(RANK(H15,H$11:H$368)+COUNTIF(H$11:H15,H15)-1)))</f>
        <v/>
      </c>
      <c r="J15" s="35"/>
      <c r="K15" s="28">
        <f t="shared" si="7"/>
        <v>5</v>
      </c>
      <c r="L15" s="36" t="str">
        <f t="shared" si="2"/>
        <v>Norfolk</v>
      </c>
      <c r="M15" s="102">
        <f t="shared" si="22"/>
        <v>19.776634494001861</v>
      </c>
      <c r="N15" s="101">
        <f t="shared" si="23"/>
        <v>19.776634494001861</v>
      </c>
      <c r="O15" s="94">
        <f t="shared" si="8"/>
        <v>19.776634494001861</v>
      </c>
      <c r="P15" s="94" t="str">
        <f t="shared" si="18"/>
        <v/>
      </c>
      <c r="Q15" s="94" t="str">
        <f t="shared" si="19"/>
        <v/>
      </c>
      <c r="R15" s="90" t="str">
        <f t="shared" si="20"/>
        <v/>
      </c>
      <c r="S15" s="37" t="str">
        <f t="shared" si="9"/>
        <v/>
      </c>
      <c r="T15" s="176" t="str">
        <f>IF(L15="","",VLOOKUP(L15,classifications!C:K,9,FALSE))</f>
        <v>Sparse</v>
      </c>
      <c r="U15" s="183">
        <f t="shared" si="10"/>
        <v>19.776634494001861</v>
      </c>
      <c r="V15" s="184">
        <f>IF(U15="","",IF($I$8="A",(RANK(U15,U$11:U$368)+COUNTIF(U$11:U15,U15)-1),(RANK(U15,U$11:U$368,1)+COUNTIF(U$11:U15,U15)-1)))</f>
        <v>15</v>
      </c>
      <c r="W15" s="185"/>
      <c r="X15" s="38" t="str">
        <f>IF(L15="","",VLOOKUP($L15,classifications!$C:$J,6,FALSE))</f>
        <v>Predominantly Rural</v>
      </c>
      <c r="Y15" s="26" t="b">
        <f t="shared" si="3"/>
        <v>0</v>
      </c>
      <c r="Z15" s="34" t="e">
        <f>IF(Y15="","",IF(I$8="A",(RANK(Y15,Y$11:Y$368,1)+COUNTIF(Y$11:Y15,Y15)-1),(RANK(Y15,Y$11:Y$368)+COUNTIF(Y$11:Y15,Y15)-1)))</f>
        <v>#N/A</v>
      </c>
      <c r="AA15" s="188" t="str">
        <f>IF(L15="","",VLOOKUP($L15,classifications!C:I,7,FALSE))</f>
        <v>Predominantly Rural</v>
      </c>
      <c r="AB15" s="184">
        <f t="shared" si="11"/>
        <v>19.776634494001861</v>
      </c>
      <c r="AC15" s="184">
        <f>IF(AB15="","",IF($I$8="A",(RANK(AB15,AB$11:AB$368)+COUNTIF(AB$11:AB15,AB15)-1),(RANK(AB15,AB$11:AB$368,1)+COUNTIF(AB$11:AB15,AB15)-1)))</f>
        <v>7</v>
      </c>
      <c r="AD15" s="184"/>
      <c r="AE15" s="45">
        <f>IF(I$8="A",(RANK(AG15,AG$11:AG$368,1)+COUNTIF(AG$11:AG15,AG15)-1),(RANK(AG15,AG$11:AG$368)+COUNTIF(AG$11:AG15,AG15)-1))</f>
        <v>15</v>
      </c>
      <c r="AF15" s="1" t="str">
        <f>VLOOKUP(Profile!$J$5,Families!$C:$R,5,FALSE)</f>
        <v>Staffordshire</v>
      </c>
      <c r="AG15" s="96">
        <f t="shared" si="12"/>
        <v>13.005470928067698</v>
      </c>
      <c r="AH15" s="46">
        <f t="shared" si="21"/>
        <v>15</v>
      </c>
      <c r="AI15" s="38" t="str">
        <f>IF(L15="","",VLOOKUP($L15,classifications!$C:$J,8,FALSE))</f>
        <v>Norfolk</v>
      </c>
      <c r="AJ15" s="39" t="str">
        <f t="shared" si="4"/>
        <v/>
      </c>
      <c r="AK15" s="34" t="str">
        <f>IF(AJ15="","",IF(I$8="A",(RANK(AJ15,AJ$11:AJ$368,1)+COUNTIF(AJ$11:AJ15,AJ15)-1),(RANK(AJ15,AJ$11:AJ$368)+COUNTIF(AJ$11:AJ15,AJ15)-1)))</f>
        <v/>
      </c>
      <c r="AL15" s="29" t="str">
        <f t="shared" si="13"/>
        <v/>
      </c>
      <c r="AM15" s="8" t="str">
        <f t="shared" si="5"/>
        <v/>
      </c>
      <c r="AN15" s="8" t="str">
        <f t="shared" si="14"/>
        <v/>
      </c>
      <c r="AP15" s="38" t="str">
        <f>IF(L15="","",VLOOKUP($L15,classifications!$C:$E,3,FALSE))</f>
        <v>East of England</v>
      </c>
      <c r="AQ15" s="39" t="str">
        <f t="shared" si="15"/>
        <v/>
      </c>
      <c r="AR15" s="34" t="str">
        <f>IF(AQ15="","",IF(I$8="A",(RANK(AQ15,AQ$11:AQ$368,1)+COUNTIF(AQ$11:AQ15,AQ15)-1),(RANK(AQ15,AQ$11:AQ$368)+COUNTIF(AQ$11:AQ15,AQ15)-1)))</f>
        <v/>
      </c>
      <c r="AS15" s="29" t="str">
        <f t="shared" si="16"/>
        <v/>
      </c>
      <c r="AT15" s="34" t="str">
        <f t="shared" si="6"/>
        <v/>
      </c>
      <c r="AU15" s="39" t="str">
        <f t="shared" si="17"/>
        <v/>
      </c>
      <c r="AX15" s="21">
        <f>HLOOKUP($AX$9&amp;$AX$10,Data!$A$1:$ZZ$2000,(MATCH($C15,Data!$A$1:$A$2000,0)),FALSE)</f>
        <v>14.192870702068689</v>
      </c>
      <c r="AY15" s="103"/>
      <c r="AZ15" s="21"/>
    </row>
    <row r="16" spans="1:735">
      <c r="A16" s="56" t="str">
        <f>$D$1&amp;6</f>
        <v>SC6</v>
      </c>
      <c r="B16" s="57" t="str">
        <f>IF(ISERROR(VLOOKUP(A16,classifications!A:C,3,FALSE)),0,VLOOKUP(A16,classifications!A:C,3,FALSE))</f>
        <v>Hampshire</v>
      </c>
      <c r="C16" s="8" t="s">
        <v>10</v>
      </c>
      <c r="D16" s="26" t="str">
        <f>VLOOKUP($C16,classifications!$C:$J,4,FALSE)</f>
        <v>SD</v>
      </c>
      <c r="E16" s="26" t="str">
        <f>VLOOKUP(C16,classifications!C:K,9,FALSE)</f>
        <v>Sparse</v>
      </c>
      <c r="F16" s="36">
        <f t="shared" si="0"/>
        <v>17.022345995580352</v>
      </c>
      <c r="G16" s="71"/>
      <c r="H16" s="37" t="str">
        <f t="shared" si="1"/>
        <v/>
      </c>
      <c r="I16" s="77" t="str">
        <f>IF(H16="","",IF($I$8="A",(RANK(H16,H$11:H$368,1)+COUNTIF(H$11:H16,H16)-1),(RANK(H16,H$11:H$368)+COUNTIF(H$11:H16,H16)-1)))</f>
        <v/>
      </c>
      <c r="J16" s="35"/>
      <c r="K16" s="28">
        <f t="shared" si="7"/>
        <v>6</v>
      </c>
      <c r="L16" s="36" t="str">
        <f t="shared" si="2"/>
        <v>Suffolk</v>
      </c>
      <c r="M16" s="102">
        <f t="shared" si="22"/>
        <v>19.764917133210222</v>
      </c>
      <c r="N16" s="101">
        <f t="shared" si="23"/>
        <v>19.764917133210222</v>
      </c>
      <c r="O16" s="94">
        <f t="shared" si="8"/>
        <v>19.764917133210222</v>
      </c>
      <c r="P16" s="94" t="str">
        <f t="shared" si="18"/>
        <v/>
      </c>
      <c r="Q16" s="94" t="str">
        <f t="shared" si="19"/>
        <v/>
      </c>
      <c r="R16" s="90" t="str">
        <f t="shared" si="20"/>
        <v/>
      </c>
      <c r="S16" s="37" t="str">
        <f t="shared" si="9"/>
        <v/>
      </c>
      <c r="T16" s="176" t="str">
        <f>IF(L16="","",VLOOKUP(L16,classifications!C:K,9,FALSE))</f>
        <v>Sparse</v>
      </c>
      <c r="U16" s="183">
        <f t="shared" si="10"/>
        <v>19.764917133210222</v>
      </c>
      <c r="V16" s="184">
        <f>IF(U16="","",IF($I$8="A",(RANK(U16,U$11:U$368)+COUNTIF(U$11:U16,U16)-1),(RANK(U16,U$11:U$368,1)+COUNTIF(U$11:U16,U16)-1)))</f>
        <v>14</v>
      </c>
      <c r="W16" s="185"/>
      <c r="X16" s="38" t="str">
        <f>IF(L16="","",VLOOKUP($L16,classifications!$C:$J,6,FALSE))</f>
        <v>Predominantly Rural</v>
      </c>
      <c r="Y16" s="26" t="b">
        <f t="shared" si="3"/>
        <v>0</v>
      </c>
      <c r="Z16" s="34" t="e">
        <f>IF(Y16="","",IF(I$8="A",(RANK(Y16,Y$11:Y$368,1)+COUNTIF(Y$11:Y16,Y16)-1),(RANK(Y16,Y$11:Y$368)+COUNTIF(Y$11:Y16,Y16)-1)))</f>
        <v>#N/A</v>
      </c>
      <c r="AA16" s="188" t="str">
        <f>IF(L16="","",VLOOKUP($L16,classifications!C:I,7,FALSE))</f>
        <v>Predominantly Rural</v>
      </c>
      <c r="AB16" s="184">
        <f t="shared" si="11"/>
        <v>19.764917133210222</v>
      </c>
      <c r="AC16" s="184">
        <f>IF(AB16="","",IF($I$8="A",(RANK(AB16,AB$11:AB$368)+COUNTIF(AB$11:AB16,AB16)-1),(RANK(AB16,AB$11:AB$368,1)+COUNTIF(AB$11:AB16,AB16)-1)))</f>
        <v>6</v>
      </c>
      <c r="AD16" s="184"/>
      <c r="AE16" s="45">
        <f>IF(I$8="A",(RANK(AG16,AG$11:AG$368,1)+COUNTIF(AG$11:AG16,AG16)-1),(RANK(AG16,AG$11:AG$368)+COUNTIF(AG$11:AG16,AG16)-1))</f>
        <v>7</v>
      </c>
      <c r="AF16" s="1" t="str">
        <f>VLOOKUP(Profile!$J$5,Families!$C:$R,6,FALSE)</f>
        <v>Nottinghamshire</v>
      </c>
      <c r="AG16" s="96">
        <f t="shared" si="12"/>
        <v>16.292922014594303</v>
      </c>
      <c r="AH16" s="46">
        <f t="shared" si="21"/>
        <v>7</v>
      </c>
      <c r="AI16" s="38" t="str">
        <f>IF(L16="","",VLOOKUP($L16,classifications!$C:$J,8,FALSE))</f>
        <v>Suffolk</v>
      </c>
      <c r="AJ16" s="39" t="str">
        <f t="shared" si="4"/>
        <v/>
      </c>
      <c r="AK16" s="34" t="str">
        <f>IF(AJ16="","",IF(I$8="A",(RANK(AJ16,AJ$11:AJ$368,1)+COUNTIF(AJ$11:AJ16,AJ16)-1),(RANK(AJ16,AJ$11:AJ$368)+COUNTIF(AJ$11:AJ16,AJ16)-1)))</f>
        <v/>
      </c>
      <c r="AL16" s="29" t="str">
        <f t="shared" si="13"/>
        <v/>
      </c>
      <c r="AM16" s="8" t="str">
        <f t="shared" si="5"/>
        <v/>
      </c>
      <c r="AN16" s="8" t="str">
        <f t="shared" si="14"/>
        <v/>
      </c>
      <c r="AP16" s="38" t="str">
        <f>IF(L16="","",VLOOKUP($L16,classifications!$C:$E,3,FALSE))</f>
        <v>East of England</v>
      </c>
      <c r="AQ16" s="39" t="str">
        <f t="shared" si="15"/>
        <v/>
      </c>
      <c r="AR16" s="34" t="str">
        <f>IF(AQ16="","",IF(I$8="A",(RANK(AQ16,AQ$11:AQ$368,1)+COUNTIF(AQ$11:AQ16,AQ16)-1),(RANK(AQ16,AQ$11:AQ$368)+COUNTIF(AQ$11:AQ16,AQ16)-1)))</f>
        <v/>
      </c>
      <c r="AS16" s="29" t="str">
        <f t="shared" si="16"/>
        <v/>
      </c>
      <c r="AT16" s="34" t="str">
        <f t="shared" si="6"/>
        <v/>
      </c>
      <c r="AU16" s="39" t="str">
        <f t="shared" si="17"/>
        <v/>
      </c>
      <c r="AX16" s="21">
        <f>HLOOKUP($AX$9&amp;$AX$10,Data!$A$1:$ZZ$2000,(MATCH($C16,Data!$A$1:$A$2000,0)),FALSE)</f>
        <v>17.022345995580352</v>
      </c>
      <c r="AY16" s="103"/>
      <c r="AZ16" s="21"/>
    </row>
    <row r="17" spans="1:52">
      <c r="A17" s="56" t="str">
        <f>$D$1&amp;7</f>
        <v>SC7</v>
      </c>
      <c r="B17" s="57" t="str">
        <f>IF(ISERROR(VLOOKUP(A17,classifications!A:C,3,FALSE)),0,VLOOKUP(A17,classifications!A:C,3,FALSE))</f>
        <v>Lancashire</v>
      </c>
      <c r="C17" s="8" t="s">
        <v>11</v>
      </c>
      <c r="D17" s="26" t="str">
        <f>VLOOKUP($C17,classifications!$C:$J,4,FALSE)</f>
        <v>SD</v>
      </c>
      <c r="E17" s="26">
        <f>VLOOKUP(C17,classifications!C:K,9,FALSE)</f>
        <v>0</v>
      </c>
      <c r="F17" s="36">
        <f t="shared" si="0"/>
        <v>16.622485099938665</v>
      </c>
      <c r="G17" s="71"/>
      <c r="H17" s="37" t="str">
        <f t="shared" si="1"/>
        <v/>
      </c>
      <c r="I17" s="77" t="str">
        <f>IF(H17="","",IF($I$8="A",(RANK(H17,H$11:H$368,1)+COUNTIF(H$11:H17,H17)-1),(RANK(H17,H$11:H$368)+COUNTIF(H$11:H17,H17)-1)))</f>
        <v/>
      </c>
      <c r="J17" s="35"/>
      <c r="K17" s="28">
        <f t="shared" si="7"/>
        <v>7</v>
      </c>
      <c r="L17" s="36" t="str">
        <f t="shared" si="2"/>
        <v>Hampshire</v>
      </c>
      <c r="M17" s="102">
        <f t="shared" si="22"/>
        <v>18.924173536281611</v>
      </c>
      <c r="N17" s="101">
        <f t="shared" si="23"/>
        <v>18.924173536281611</v>
      </c>
      <c r="O17" s="94">
        <f t="shared" si="8"/>
        <v>18.924173536281611</v>
      </c>
      <c r="P17" s="94" t="str">
        <f t="shared" si="18"/>
        <v/>
      </c>
      <c r="Q17" s="94" t="str">
        <f t="shared" si="19"/>
        <v/>
      </c>
      <c r="R17" s="90" t="str">
        <f t="shared" si="20"/>
        <v/>
      </c>
      <c r="S17" s="37" t="str">
        <f t="shared" si="9"/>
        <v/>
      </c>
      <c r="T17" s="176" t="str">
        <f>IF(L17="","",VLOOKUP(L17,classifications!C:K,9,FALSE))</f>
        <v>Sparse</v>
      </c>
      <c r="U17" s="183">
        <f t="shared" si="10"/>
        <v>18.924173536281611</v>
      </c>
      <c r="V17" s="184">
        <f>IF(U17="","",IF($I$8="A",(RANK(U17,U$11:U$368)+COUNTIF(U$11:U17,U17)-1),(RANK(U17,U$11:U$368,1)+COUNTIF(U$11:U17,U17)-1)))</f>
        <v>13</v>
      </c>
      <c r="W17" s="185"/>
      <c r="X17" s="38" t="str">
        <f>IF(L17="","",VLOOKUP($L17,classifications!$C:$J,6,FALSE))</f>
        <v>Significant Rural</v>
      </c>
      <c r="Y17" s="26" t="b">
        <f t="shared" si="3"/>
        <v>0</v>
      </c>
      <c r="Z17" s="34" t="e">
        <f>IF(Y17="","",IF(I$8="A",(RANK(Y17,Y$11:Y$368,1)+COUNTIF(Y$11:Y17,Y17)-1),(RANK(Y17,Y$11:Y$368)+COUNTIF(Y$11:Y17,Y17)-1)))</f>
        <v>#N/A</v>
      </c>
      <c r="AA17" s="188" t="str">
        <f>IF(L17="","",VLOOKUP($L17,classifications!C:I,7,FALSE))</f>
        <v>Significant Rural</v>
      </c>
      <c r="AB17" s="184" t="str">
        <f t="shared" si="11"/>
        <v/>
      </c>
      <c r="AC17" s="184" t="str">
        <f>IF(AB17="","",IF($I$8="A",(RANK(AB17,AB$11:AB$368)+COUNTIF(AB$11:AB17,AB17)-1),(RANK(AB17,AB$11:AB$368,1)+COUNTIF(AB$11:AB17,AB17)-1)))</f>
        <v/>
      </c>
      <c r="AD17" s="184"/>
      <c r="AE17" s="45">
        <f>IF(I$8="A",(RANK(AG17,AG$11:AG$368,1)+COUNTIF(AG$11:AG17,AG17)-1),(RANK(AG17,AG$11:AG$368)+COUNTIF(AG$11:AG17,AG17)-1))</f>
        <v>3</v>
      </c>
      <c r="AF17" s="1" t="str">
        <f>VLOOKUP(Profile!$J$5,Families!$C:$R,7,FALSE)</f>
        <v>Suffolk</v>
      </c>
      <c r="AG17" s="96">
        <f t="shared" si="12"/>
        <v>19.764917133210222</v>
      </c>
      <c r="AH17" s="46">
        <f t="shared" si="21"/>
        <v>3</v>
      </c>
      <c r="AI17" s="38" t="str">
        <f>IF(L17="","",VLOOKUP($L17,classifications!$C:$J,8,FALSE))</f>
        <v>Hampshire</v>
      </c>
      <c r="AJ17" s="39" t="str">
        <f t="shared" si="4"/>
        <v/>
      </c>
      <c r="AK17" s="34" t="str">
        <f>IF(AJ17="","",IF(I$8="A",(RANK(AJ17,AJ$11:AJ$368,1)+COUNTIF(AJ$11:AJ17,AJ17)-1),(RANK(AJ17,AJ$11:AJ$368)+COUNTIF(AJ$11:AJ17,AJ17)-1)))</f>
        <v/>
      </c>
      <c r="AL17" s="29" t="str">
        <f t="shared" si="13"/>
        <v/>
      </c>
      <c r="AM17" s="8" t="str">
        <f t="shared" si="5"/>
        <v/>
      </c>
      <c r="AN17" s="8" t="str">
        <f t="shared" si="14"/>
        <v/>
      </c>
      <c r="AP17" s="38" t="str">
        <f>IF(L17="","",VLOOKUP($L17,classifications!$C:$E,3,FALSE))</f>
        <v>South East</v>
      </c>
      <c r="AQ17" s="39" t="str">
        <f t="shared" si="15"/>
        <v/>
      </c>
      <c r="AR17" s="34" t="str">
        <f>IF(AQ17="","",IF(I$8="A",(RANK(AQ17,AQ$11:AQ$368,1)+COUNTIF(AQ$11:AQ17,AQ17)-1),(RANK(AQ17,AQ$11:AQ$368)+COUNTIF(AQ$11:AQ17,AQ17)-1)))</f>
        <v/>
      </c>
      <c r="AS17" s="29" t="str">
        <f t="shared" si="16"/>
        <v/>
      </c>
      <c r="AT17" s="34" t="str">
        <f t="shared" si="6"/>
        <v/>
      </c>
      <c r="AU17" s="39" t="str">
        <f t="shared" si="17"/>
        <v/>
      </c>
      <c r="AX17" s="21">
        <f>HLOOKUP($AX$9&amp;$AX$10,Data!$A$1:$ZZ$2000,(MATCH($C17,Data!$A$1:$A$2000,0)),FALSE)</f>
        <v>16.622485099938665</v>
      </c>
      <c r="AY17" s="103"/>
      <c r="AZ17" s="21"/>
    </row>
    <row r="18" spans="1:52">
      <c r="A18" s="56" t="str">
        <f>$D$1&amp;8</f>
        <v>SC8</v>
      </c>
      <c r="B18" s="57" t="str">
        <f>IF(ISERROR(VLOOKUP(A18,classifications!A:C,3,FALSE)),0,VLOOKUP(A18,classifications!A:C,3,FALSE))</f>
        <v>Leicestershire</v>
      </c>
      <c r="C18" s="8" t="s">
        <v>12</v>
      </c>
      <c r="D18" s="26" t="str">
        <f>VLOOKUP($C18,classifications!$C:$J,4,FALSE)</f>
        <v>SD</v>
      </c>
      <c r="E18" s="26" t="str">
        <f>VLOOKUP(C18,classifications!C:K,9,FALSE)</f>
        <v>Sparse</v>
      </c>
      <c r="F18" s="36">
        <f t="shared" si="0"/>
        <v>17.86524032826561</v>
      </c>
      <c r="G18" s="71"/>
      <c r="H18" s="37" t="str">
        <f t="shared" si="1"/>
        <v/>
      </c>
      <c r="I18" s="77" t="str">
        <f>IF(H18="","",IF($I$8="A",(RANK(H18,H$11:H$368,1)+COUNTIF(H$11:H18,H18)-1),(RANK(H18,H$11:H$368)+COUNTIF(H$11:H18,H18)-1)))</f>
        <v/>
      </c>
      <c r="J18" s="35"/>
      <c r="K18" s="28">
        <f t="shared" si="7"/>
        <v>8</v>
      </c>
      <c r="L18" s="36" t="str">
        <f t="shared" si="2"/>
        <v>West Sussex</v>
      </c>
      <c r="M18" s="102">
        <f t="shared" si="22"/>
        <v>18.584095297011689</v>
      </c>
      <c r="N18" s="101">
        <f t="shared" si="23"/>
        <v>18.584095297011689</v>
      </c>
      <c r="O18" s="94" t="str">
        <f t="shared" si="8"/>
        <v/>
      </c>
      <c r="P18" s="94">
        <f t="shared" si="18"/>
        <v>18.584095297011689</v>
      </c>
      <c r="Q18" s="94" t="str">
        <f t="shared" si="19"/>
        <v/>
      </c>
      <c r="R18" s="90" t="str">
        <f t="shared" si="20"/>
        <v/>
      </c>
      <c r="S18" s="37" t="str">
        <f t="shared" si="9"/>
        <v/>
      </c>
      <c r="T18" s="176">
        <f>IF(L18="","",VLOOKUP(L18,classifications!C:K,9,FALSE))</f>
        <v>0</v>
      </c>
      <c r="U18" s="183" t="str">
        <f t="shared" si="10"/>
        <v/>
      </c>
      <c r="V18" s="184" t="str">
        <f>IF(U18="","",IF($I$8="A",(RANK(U18,U$11:U$368)+COUNTIF(U$11:U18,U18)-1),(RANK(U18,U$11:U$368,1)+COUNTIF(U$11:U18,U18)-1)))</f>
        <v/>
      </c>
      <c r="W18" s="185"/>
      <c r="X18" s="38" t="str">
        <f>IF(L18="","",VLOOKUP($L18,classifications!$C:$J,6,FALSE))</f>
        <v>Significant Rural</v>
      </c>
      <c r="Y18" s="26" t="b">
        <f t="shared" si="3"/>
        <v>0</v>
      </c>
      <c r="Z18" s="34" t="e">
        <f>IF(Y18="","",IF(I$8="A",(RANK(Y18,Y$11:Y$368,1)+COUNTIF(Y$11:Y18,Y18)-1),(RANK(Y18,Y$11:Y$368)+COUNTIF(Y$11:Y18,Y18)-1)))</f>
        <v>#N/A</v>
      </c>
      <c r="AA18" s="188" t="str">
        <f>IF(L18="","",VLOOKUP($L18,classifications!C:I,7,FALSE))</f>
        <v>Significant Rural</v>
      </c>
      <c r="AB18" s="184" t="str">
        <f t="shared" si="11"/>
        <v/>
      </c>
      <c r="AC18" s="184" t="str">
        <f>IF(AB18="","",IF($I$8="A",(RANK(AB18,AB$11:AB$368)+COUNTIF(AB$11:AB18,AB18)-1),(RANK(AB18,AB$11:AB$368,1)+COUNTIF(AB$11:AB18,AB18)-1)))</f>
        <v/>
      </c>
      <c r="AD18" s="184"/>
      <c r="AE18" s="45">
        <f>IF(I$8="A",(RANK(AG18,AG$11:AG$368,1)+COUNTIF(AG$11:AG18,AG18)-1),(RANK(AG18,AG$11:AG$368)+COUNTIF(AG$11:AG18,AG18)-1))</f>
        <v>12</v>
      </c>
      <c r="AF18" s="1" t="str">
        <f>VLOOKUP(Profile!$J$5,Families!$C:$R,8,FALSE)</f>
        <v>Worcestershire</v>
      </c>
      <c r="AG18" s="96">
        <f t="shared" si="12"/>
        <v>14.778256892169054</v>
      </c>
      <c r="AH18" s="46">
        <f t="shared" si="21"/>
        <v>12</v>
      </c>
      <c r="AI18" s="38" t="str">
        <f>IF(L18="","",VLOOKUP($L18,classifications!$C:$J,8,FALSE))</f>
        <v>West Sussex</v>
      </c>
      <c r="AJ18" s="39" t="str">
        <f t="shared" si="4"/>
        <v/>
      </c>
      <c r="AK18" s="34" t="str">
        <f>IF(AJ18="","",IF(I$8="A",(RANK(AJ18,AJ$11:AJ$368,1)+COUNTIF(AJ$11:AJ18,AJ18)-1),(RANK(AJ18,AJ$11:AJ$368)+COUNTIF(AJ$11:AJ18,AJ18)-1)))</f>
        <v/>
      </c>
      <c r="AL18" s="29" t="str">
        <f t="shared" si="13"/>
        <v/>
      </c>
      <c r="AM18" s="8" t="str">
        <f t="shared" si="5"/>
        <v/>
      </c>
      <c r="AN18" s="8" t="str">
        <f t="shared" si="14"/>
        <v/>
      </c>
      <c r="AP18" s="38" t="str">
        <f>IF(L18="","",VLOOKUP($L18,classifications!$C:$E,3,FALSE))</f>
        <v>South East</v>
      </c>
      <c r="AQ18" s="39" t="str">
        <f t="shared" si="15"/>
        <v/>
      </c>
      <c r="AR18" s="34" t="str">
        <f>IF(AQ18="","",IF(I$8="A",(RANK(AQ18,AQ$11:AQ$368,1)+COUNTIF(AQ$11:AQ18,AQ18)-1),(RANK(AQ18,AQ$11:AQ$368)+COUNTIF(AQ$11:AQ18,AQ18)-1)))</f>
        <v/>
      </c>
      <c r="AS18" s="29" t="str">
        <f t="shared" si="16"/>
        <v/>
      </c>
      <c r="AT18" s="34" t="str">
        <f t="shared" si="6"/>
        <v/>
      </c>
      <c r="AU18" s="39" t="str">
        <f t="shared" si="17"/>
        <v/>
      </c>
      <c r="AX18" s="21">
        <f>HLOOKUP($AX$9&amp;$AX$10,Data!$A$1:$ZZ$2000,(MATCH($C18,Data!$A$1:$A$2000,0)),FALSE)</f>
        <v>17.86524032826561</v>
      </c>
      <c r="AY18" s="103"/>
      <c r="AZ18" s="21"/>
    </row>
    <row r="19" spans="1:52">
      <c r="A19" s="56" t="str">
        <f>$D$1&amp;9</f>
        <v>SC9</v>
      </c>
      <c r="B19" s="57" t="str">
        <f>IF(ISERROR(VLOOKUP(A19,classifications!A:C,3,FALSE)),0,VLOOKUP(A19,classifications!A:C,3,FALSE))</f>
        <v>Lincolnshire</v>
      </c>
      <c r="C19" s="8" t="s">
        <v>338</v>
      </c>
      <c r="D19" s="26" t="str">
        <f>VLOOKUP($C19,classifications!$C:$J,4,FALSE)</f>
        <v>L</v>
      </c>
      <c r="E19" s="26">
        <f>VLOOKUP(C19,classifications!C:K,9,FALSE)</f>
        <v>0</v>
      </c>
      <c r="F19" s="36">
        <f t="shared" si="0"/>
        <v>4.8311902623852436</v>
      </c>
      <c r="G19" s="71"/>
      <c r="H19" s="37" t="str">
        <f t="shared" si="1"/>
        <v/>
      </c>
      <c r="I19" s="77" t="str">
        <f>IF(H19="","",IF($I$8="A",(RANK(H19,H$11:H$368,1)+COUNTIF(H$11:H19,H19)-1),(RANK(H19,H$11:H$368)+COUNTIF(H$11:H19,H19)-1)))</f>
        <v/>
      </c>
      <c r="J19" s="35"/>
      <c r="K19" s="28">
        <f t="shared" si="7"/>
        <v>9</v>
      </c>
      <c r="L19" s="36" t="str">
        <f t="shared" si="2"/>
        <v>North Yorkshire</v>
      </c>
      <c r="M19" s="102">
        <f t="shared" si="22"/>
        <v>18.088342558486225</v>
      </c>
      <c r="N19" s="101">
        <f t="shared" si="23"/>
        <v>18.088342558486225</v>
      </c>
      <c r="O19" s="94" t="str">
        <f t="shared" si="8"/>
        <v/>
      </c>
      <c r="P19" s="94">
        <f t="shared" si="18"/>
        <v>18.088342558486225</v>
      </c>
      <c r="Q19" s="94" t="str">
        <f t="shared" si="19"/>
        <v/>
      </c>
      <c r="R19" s="90" t="str">
        <f t="shared" si="20"/>
        <v/>
      </c>
      <c r="S19" s="37" t="str">
        <f t="shared" si="9"/>
        <v/>
      </c>
      <c r="T19" s="176" t="str">
        <f>IF(L19="","",VLOOKUP(L19,classifications!C:K,9,FALSE))</f>
        <v>Sparse</v>
      </c>
      <c r="U19" s="183">
        <f t="shared" si="10"/>
        <v>18.088342558486225</v>
      </c>
      <c r="V19" s="184">
        <f>IF(U19="","",IF($I$8="A",(RANK(U19,U$11:U$368)+COUNTIF(U$11:U19,U19)-1),(RANK(U19,U$11:U$368,1)+COUNTIF(U$11:U19,U19)-1)))</f>
        <v>12</v>
      </c>
      <c r="W19" s="185"/>
      <c r="X19" s="38" t="str">
        <f>IF(L19="","",VLOOKUP($L19,classifications!$C:$J,6,FALSE))</f>
        <v>Predominantly Rural</v>
      </c>
      <c r="Y19" s="26" t="b">
        <f t="shared" si="3"/>
        <v>0</v>
      </c>
      <c r="Z19" s="34" t="e">
        <f>IF(Y19="","",IF(I$8="A",(RANK(Y19,Y$11:Y$368,1)+COUNTIF(Y$11:Y19,Y19)-1),(RANK(Y19,Y$11:Y$368)+COUNTIF(Y$11:Y19,Y19)-1)))</f>
        <v>#N/A</v>
      </c>
      <c r="AA19" s="188" t="str">
        <f>IF(L19="","",VLOOKUP($L19,classifications!C:I,7,FALSE))</f>
        <v>Predominantly Rural</v>
      </c>
      <c r="AB19" s="184">
        <f t="shared" si="11"/>
        <v>18.088342558486225</v>
      </c>
      <c r="AC19" s="184">
        <f>IF(AB19="","",IF($I$8="A",(RANK(AB19,AB$11:AB$368)+COUNTIF(AB$11:AB19,AB19)-1),(RANK(AB19,AB$11:AB$368,1)+COUNTIF(AB$11:AB19,AB19)-1)))</f>
        <v>5</v>
      </c>
      <c r="AD19" s="184"/>
      <c r="AE19" s="45">
        <f>IF(I$8="A",(RANK(AG19,AG$11:AG$368,1)+COUNTIF(AG$11:AG19,AG19)-1),(RANK(AG19,AG$11:AG$368)+COUNTIF(AG$11:AG19,AG19)-1))</f>
        <v>2</v>
      </c>
      <c r="AF19" s="1" t="str">
        <f>VLOOKUP(Profile!$J$5,Families!$C:$R,9,FALSE)</f>
        <v>Norfolk</v>
      </c>
      <c r="AG19" s="96">
        <f t="shared" si="12"/>
        <v>19.776634494001861</v>
      </c>
      <c r="AH19" s="46">
        <f t="shared" si="21"/>
        <v>2</v>
      </c>
      <c r="AI19" s="38" t="str">
        <f>IF(L19="","",VLOOKUP($L19,classifications!$C:$J,8,FALSE))</f>
        <v>North Yorkshire</v>
      </c>
      <c r="AJ19" s="39" t="str">
        <f t="shared" si="4"/>
        <v/>
      </c>
      <c r="AK19" s="34" t="str">
        <f>IF(AJ19="","",IF(I$8="A",(RANK(AJ19,AJ$11:AJ$368,1)+COUNTIF(AJ$11:AJ19,AJ19)-1),(RANK(AJ19,AJ$11:AJ$368)+COUNTIF(AJ$11:AJ19,AJ19)-1)))</f>
        <v/>
      </c>
      <c r="AL19" s="29" t="str">
        <f t="shared" si="13"/>
        <v/>
      </c>
      <c r="AM19" s="8" t="str">
        <f t="shared" si="5"/>
        <v/>
      </c>
      <c r="AN19" s="8" t="str">
        <f t="shared" si="14"/>
        <v/>
      </c>
      <c r="AP19" s="38" t="str">
        <f>IF(L19="","",VLOOKUP($L19,classifications!$C:$E,3,FALSE))</f>
        <v>Yorkshire &amp; Humberside</v>
      </c>
      <c r="AQ19" s="39" t="str">
        <f t="shared" si="15"/>
        <v/>
      </c>
      <c r="AR19" s="34" t="str">
        <f>IF(AQ19="","",IF(I$8="A",(RANK(AQ19,AQ$11:AQ$368,1)+COUNTIF(AQ$11:AQ19,AQ19)-1),(RANK(AQ19,AQ$11:AQ$368)+COUNTIF(AQ$11:AQ19,AQ19)-1)))</f>
        <v/>
      </c>
      <c r="AS19" s="29" t="str">
        <f t="shared" si="16"/>
        <v/>
      </c>
      <c r="AT19" s="34" t="str">
        <f t="shared" si="6"/>
        <v/>
      </c>
      <c r="AU19" s="39" t="str">
        <f t="shared" si="17"/>
        <v/>
      </c>
      <c r="AX19" s="21">
        <f>HLOOKUP($AX$9&amp;$AX$10,Data!$A$1:$ZZ$2000,(MATCH($C19,Data!$A$1:$A$2000,0)),FALSE)</f>
        <v>4.8311902623852436</v>
      </c>
      <c r="AY19" s="103"/>
      <c r="AZ19" s="21"/>
    </row>
    <row r="20" spans="1:52">
      <c r="A20" s="56" t="str">
        <f>$D$1&amp;10</f>
        <v>SC10</v>
      </c>
      <c r="B20" s="57" t="str">
        <f>IF(ISERROR(VLOOKUP(A20,classifications!A:C,3,FALSE)),0,VLOOKUP(A20,classifications!A:C,3,FALSE))</f>
        <v>Norfolk</v>
      </c>
      <c r="C20" s="8" t="s">
        <v>196</v>
      </c>
      <c r="D20" s="26" t="str">
        <f>VLOOKUP($C20,classifications!$C:$J,4,FALSE)</f>
        <v>L</v>
      </c>
      <c r="E20" s="26">
        <f>VLOOKUP(C20,classifications!C:K,9,FALSE)</f>
        <v>0</v>
      </c>
      <c r="F20" s="36">
        <f t="shared" si="0"/>
        <v>12.665502192503645</v>
      </c>
      <c r="G20" s="71"/>
      <c r="H20" s="37" t="str">
        <f t="shared" si="1"/>
        <v/>
      </c>
      <c r="I20" s="77" t="str">
        <f>IF(H20="","",IF($I$8="A",(RANK(H20,H$11:H$368,1)+COUNTIF(H$11:H20,H20)-1),(RANK(H20,H$11:H$368)+COUNTIF(H$11:H20,H20)-1)))</f>
        <v/>
      </c>
      <c r="J20" s="35"/>
      <c r="K20" s="28">
        <f t="shared" si="7"/>
        <v>10</v>
      </c>
      <c r="L20" s="36" t="str">
        <f t="shared" si="2"/>
        <v>Somerset</v>
      </c>
      <c r="M20" s="102">
        <f t="shared" si="22"/>
        <v>18.082494954980437</v>
      </c>
      <c r="N20" s="101">
        <f t="shared" si="23"/>
        <v>18.082494954980437</v>
      </c>
      <c r="O20" s="94" t="str">
        <f t="shared" si="8"/>
        <v/>
      </c>
      <c r="P20" s="94">
        <f t="shared" si="18"/>
        <v>18.082494954980437</v>
      </c>
      <c r="Q20" s="94" t="str">
        <f t="shared" si="19"/>
        <v/>
      </c>
      <c r="R20" s="90" t="str">
        <f t="shared" si="20"/>
        <v/>
      </c>
      <c r="S20" s="37" t="str">
        <f t="shared" si="9"/>
        <v/>
      </c>
      <c r="T20" s="176">
        <f>IF(L20="","",VLOOKUP(L20,classifications!C:K,9,FALSE))</f>
        <v>0</v>
      </c>
      <c r="U20" s="183" t="str">
        <f t="shared" si="10"/>
        <v/>
      </c>
      <c r="V20" s="184" t="str">
        <f>IF(U20="","",IF($I$8="A",(RANK(U20,U$11:U$368)+COUNTIF(U$11:U20,U20)-1),(RANK(U20,U$11:U$368,1)+COUNTIF(U$11:U20,U20)-1)))</f>
        <v/>
      </c>
      <c r="W20" s="185"/>
      <c r="X20" s="38" t="str">
        <f>IF(L20="","",VLOOKUP($L20,classifications!$C:$J,6,FALSE))</f>
        <v>Predominantly Rural</v>
      </c>
      <c r="Y20" s="26" t="b">
        <f t="shared" si="3"/>
        <v>0</v>
      </c>
      <c r="Z20" s="34" t="e">
        <f>IF(Y20="","",IF(I$8="A",(RANK(Y20,Y$11:Y$368,1)+COUNTIF(Y$11:Y20,Y20)-1),(RANK(Y20,Y$11:Y$368)+COUNTIF(Y$11:Y20,Y20)-1)))</f>
        <v>#N/A</v>
      </c>
      <c r="AA20" s="188" t="str">
        <f>IF(L20="","",VLOOKUP($L20,classifications!C:I,7,FALSE))</f>
        <v>Predominantly Rural</v>
      </c>
      <c r="AB20" s="184">
        <f t="shared" si="11"/>
        <v>18.082494954980437</v>
      </c>
      <c r="AC20" s="184">
        <f>IF(AB20="","",IF($I$8="A",(RANK(AB20,AB$11:AB$368)+COUNTIF(AB$11:AB20,AB20)-1),(RANK(AB20,AB$11:AB$368,1)+COUNTIF(AB$11:AB20,AB20)-1)))</f>
        <v>4</v>
      </c>
      <c r="AD20" s="184"/>
      <c r="AE20" s="45">
        <f>IF(I$8="A",(RANK(AG20,AG$11:AG$368,1)+COUNTIF(AG$11:AG20,AG20)-1),(RANK(AG20,AG$11:AG$368)+COUNTIF(AG$11:AG20,AG20)-1))</f>
        <v>5</v>
      </c>
      <c r="AF20" s="1" t="str">
        <f>VLOOKUP(Profile!$J$5,Families!$C:$R,10,FALSE)</f>
        <v>Somerset</v>
      </c>
      <c r="AG20" s="96">
        <f t="shared" si="12"/>
        <v>18.082494954980437</v>
      </c>
      <c r="AH20" s="46">
        <f t="shared" si="21"/>
        <v>5</v>
      </c>
      <c r="AI20" s="38" t="str">
        <f>IF(L20="","",VLOOKUP($L20,classifications!$C:$J,8,FALSE))</f>
        <v>Somerset</v>
      </c>
      <c r="AJ20" s="39" t="str">
        <f t="shared" si="4"/>
        <v/>
      </c>
      <c r="AK20" s="34" t="str">
        <f>IF(AJ20="","",IF(I$8="A",(RANK(AJ20,AJ$11:AJ$368,1)+COUNTIF(AJ$11:AJ20,AJ20)-1),(RANK(AJ20,AJ$11:AJ$368)+COUNTIF(AJ$11:AJ20,AJ20)-1)))</f>
        <v/>
      </c>
      <c r="AL20" s="29" t="str">
        <f t="shared" si="13"/>
        <v/>
      </c>
      <c r="AM20" s="8" t="str">
        <f t="shared" si="5"/>
        <v/>
      </c>
      <c r="AN20" s="8" t="str">
        <f t="shared" si="14"/>
        <v/>
      </c>
      <c r="AP20" s="38" t="str">
        <f>IF(L20="","",VLOOKUP($L20,classifications!$C:$E,3,FALSE))</f>
        <v>South West</v>
      </c>
      <c r="AQ20" s="39" t="str">
        <f t="shared" si="15"/>
        <v/>
      </c>
      <c r="AR20" s="34" t="str">
        <f>IF(AQ20="","",IF(I$8="A",(RANK(AQ20,AQ$11:AQ$368,1)+COUNTIF(AQ$11:AQ20,AQ20)-1),(RANK(AQ20,AQ$11:AQ$368)+COUNTIF(AQ$11:AQ20,AQ20)-1)))</f>
        <v/>
      </c>
      <c r="AS20" s="29" t="str">
        <f t="shared" si="16"/>
        <v/>
      </c>
      <c r="AT20" s="34" t="str">
        <f t="shared" si="6"/>
        <v/>
      </c>
      <c r="AU20" s="39" t="str">
        <f t="shared" si="17"/>
        <v/>
      </c>
      <c r="AX20" s="21">
        <f>HLOOKUP($AX$9&amp;$AX$10,Data!$A$1:$ZZ$2000,(MATCH($C20,Data!$A$1:$A$2000,0)),FALSE)</f>
        <v>12.665502192503645</v>
      </c>
      <c r="AY20" s="103"/>
      <c r="AZ20" s="21"/>
    </row>
    <row r="21" spans="1:52">
      <c r="A21" s="56" t="str">
        <f>$D$1&amp;11</f>
        <v>SC11</v>
      </c>
      <c r="B21" s="57" t="str">
        <f>IF(ISERROR(VLOOKUP(A21,classifications!A:C,3,FALSE)),0,VLOOKUP(A21,classifications!A:C,3,FALSE))</f>
        <v>North Yorkshire</v>
      </c>
      <c r="C21" s="8" t="s">
        <v>222</v>
      </c>
      <c r="D21" s="26" t="str">
        <f>VLOOKUP($C21,classifications!$C:$J,4,FALSE)</f>
        <v>MD</v>
      </c>
      <c r="E21" s="26">
        <f>VLOOKUP(C21,classifications!C:K,9,FALSE)</f>
        <v>0</v>
      </c>
      <c r="F21" s="36">
        <f t="shared" si="0"/>
        <v>9.6213347116322421</v>
      </c>
      <c r="G21" s="71"/>
      <c r="H21" s="37" t="str">
        <f t="shared" si="1"/>
        <v/>
      </c>
      <c r="I21" s="77" t="str">
        <f>IF(H21="","",IF($I$8="A",(RANK(H21,H$11:H$368,1)+COUNTIF(H$11:H21,H21)-1),(RANK(H21,H$11:H$368)+COUNTIF(H$11:H21,H21)-1)))</f>
        <v/>
      </c>
      <c r="J21" s="35"/>
      <c r="K21" s="28">
        <f t="shared" si="7"/>
        <v>11</v>
      </c>
      <c r="L21" s="36" t="str">
        <f t="shared" si="2"/>
        <v>Buckinghamshire</v>
      </c>
      <c r="M21" s="102">
        <f t="shared" si="22"/>
        <v>17.595316909409966</v>
      </c>
      <c r="N21" s="101">
        <f t="shared" si="23"/>
        <v>17.595316909409966</v>
      </c>
      <c r="O21" s="94" t="str">
        <f t="shared" si="8"/>
        <v/>
      </c>
      <c r="P21" s="94">
        <f t="shared" si="18"/>
        <v>17.595316909409966</v>
      </c>
      <c r="Q21" s="94" t="str">
        <f t="shared" si="19"/>
        <v/>
      </c>
      <c r="R21" s="90" t="str">
        <f t="shared" si="20"/>
        <v/>
      </c>
      <c r="S21" s="37" t="str">
        <f t="shared" si="9"/>
        <v/>
      </c>
      <c r="T21" s="176">
        <f>IF(L21="","",VLOOKUP(L21,classifications!C:K,9,FALSE))</f>
        <v>0</v>
      </c>
      <c r="U21" s="183" t="str">
        <f t="shared" si="10"/>
        <v/>
      </c>
      <c r="V21" s="184" t="str">
        <f>IF(U21="","",IF($I$8="A",(RANK(U21,U$11:U$368)+COUNTIF(U$11:U21,U21)-1),(RANK(U21,U$11:U$368,1)+COUNTIF(U$11:U21,U21)-1)))</f>
        <v/>
      </c>
      <c r="W21" s="185"/>
      <c r="X21" s="38" t="str">
        <f>IF(L21="","",VLOOKUP($L21,classifications!$C:$J,6,FALSE))</f>
        <v>Significant Rural</v>
      </c>
      <c r="Y21" s="26" t="b">
        <f t="shared" si="3"/>
        <v>0</v>
      </c>
      <c r="Z21" s="34" t="e">
        <f>IF(Y21="","",IF(I$8="A",(RANK(Y21,Y$11:Y$368,1)+COUNTIF(Y$11:Y21,Y21)-1),(RANK(Y21,Y$11:Y$368)+COUNTIF(Y$11:Y21,Y21)-1)))</f>
        <v>#N/A</v>
      </c>
      <c r="AA21" s="188" t="str">
        <f>IF(L21="","",VLOOKUP($L21,classifications!C:I,7,FALSE))</f>
        <v>Significant Rural</v>
      </c>
      <c r="AB21" s="184" t="str">
        <f t="shared" si="11"/>
        <v/>
      </c>
      <c r="AC21" s="184" t="str">
        <f>IF(AB21="","",IF($I$8="A",(RANK(AB21,AB$11:AB$368)+COUNTIF(AB$11:AB21,AB21)-1),(RANK(AB21,AB$11:AB$368,1)+COUNTIF(AB$11:AB21,AB21)-1)))</f>
        <v/>
      </c>
      <c r="AD21" s="184"/>
      <c r="AE21" s="45">
        <f>IF(I$8="A",(RANK(AG21,AG$11:AG$368,1)+COUNTIF(AG$11:AG21,AG21)-1),(RANK(AG21,AG$11:AG$368)+COUNTIF(AG$11:AG21,AG21)-1))</f>
        <v>10</v>
      </c>
      <c r="AF21" s="1" t="str">
        <f>VLOOKUP(Profile!$J$5,Families!$C:$R,11,FALSE)</f>
        <v>Warwickshire</v>
      </c>
      <c r="AG21" s="96">
        <f t="shared" si="12"/>
        <v>15.712468668373536</v>
      </c>
      <c r="AH21" s="46">
        <f t="shared" si="21"/>
        <v>10</v>
      </c>
      <c r="AI21" s="38" t="str">
        <f>IF(L21="","",VLOOKUP($L21,classifications!$C:$J,8,FALSE))</f>
        <v>Buckinghamshire</v>
      </c>
      <c r="AJ21" s="39" t="str">
        <f t="shared" si="4"/>
        <v/>
      </c>
      <c r="AK21" s="34" t="str">
        <f>IF(AJ21="","",IF(I$8="A",(RANK(AJ21,AJ$11:AJ$368,1)+COUNTIF(AJ$11:AJ21,AJ21)-1),(RANK(AJ21,AJ$11:AJ$368)+COUNTIF(AJ$11:AJ21,AJ21)-1)))</f>
        <v/>
      </c>
      <c r="AL21" s="29" t="str">
        <f t="shared" si="13"/>
        <v/>
      </c>
      <c r="AM21" s="8" t="str">
        <f t="shared" si="5"/>
        <v/>
      </c>
      <c r="AN21" s="8" t="str">
        <f t="shared" si="14"/>
        <v/>
      </c>
      <c r="AP21" s="38" t="str">
        <f>IF(L21="","",VLOOKUP($L21,classifications!$C:$E,3,FALSE))</f>
        <v>South East</v>
      </c>
      <c r="AQ21" s="39" t="str">
        <f t="shared" si="15"/>
        <v/>
      </c>
      <c r="AR21" s="34" t="str">
        <f>IF(AQ21="","",IF(I$8="A",(RANK(AQ21,AQ$11:AQ$368,1)+COUNTIF(AQ$11:AQ21,AQ21)-1),(RANK(AQ21,AQ$11:AQ$368)+COUNTIF(AQ$11:AQ21,AQ21)-1)))</f>
        <v/>
      </c>
      <c r="AS21" s="29" t="str">
        <f t="shared" si="16"/>
        <v/>
      </c>
      <c r="AT21" s="34" t="str">
        <f t="shared" si="6"/>
        <v/>
      </c>
      <c r="AU21" s="39" t="str">
        <f t="shared" si="17"/>
        <v/>
      </c>
      <c r="AX21" s="21">
        <f>HLOOKUP($AX$9&amp;$AX$10,Data!$A$1:$ZZ$2000,(MATCH($C21,Data!$A$1:$A$2000,0)),FALSE)</f>
        <v>9.6213347116322421</v>
      </c>
      <c r="AY21" s="103"/>
      <c r="AZ21" s="21"/>
    </row>
    <row r="22" spans="1:52">
      <c r="A22" s="56" t="str">
        <f>$D$1&amp;12</f>
        <v>SC12</v>
      </c>
      <c r="B22" s="57" t="str">
        <f>IF(ISERROR(VLOOKUP(A22,classifications!A:C,3,FALSE)),0,VLOOKUP(A22,classifications!A:C,3,FALSE))</f>
        <v>Nottinghamshire</v>
      </c>
      <c r="C22" s="8" t="s">
        <v>13</v>
      </c>
      <c r="D22" s="26" t="str">
        <f>VLOOKUP($C22,classifications!$C:$J,4,FALSE)</f>
        <v>SD</v>
      </c>
      <c r="E22" s="26">
        <f>VLOOKUP(C22,classifications!C:K,9,FALSE)</f>
        <v>0</v>
      </c>
      <c r="F22" s="36">
        <f t="shared" si="0"/>
        <v>15.720029078166339</v>
      </c>
      <c r="G22" s="71"/>
      <c r="H22" s="37" t="str">
        <f t="shared" si="1"/>
        <v/>
      </c>
      <c r="I22" s="77" t="str">
        <f>IF(H22="","",IF($I$8="A",(RANK(H22,H$11:H$368,1)+COUNTIF(H$11:H22,H22)-1),(RANK(H22,H$11:H$368)+COUNTIF(H$11:H22,H22)-1)))</f>
        <v/>
      </c>
      <c r="J22" s="35"/>
      <c r="K22" s="28">
        <f t="shared" si="7"/>
        <v>12</v>
      </c>
      <c r="L22" s="36" t="str">
        <f t="shared" si="2"/>
        <v>Gloucestershire</v>
      </c>
      <c r="M22" s="102">
        <f t="shared" si="22"/>
        <v>17.475104043290408</v>
      </c>
      <c r="N22" s="101">
        <f t="shared" si="23"/>
        <v>17.475104043290408</v>
      </c>
      <c r="O22" s="94" t="str">
        <f t="shared" si="8"/>
        <v/>
      </c>
      <c r="P22" s="94">
        <f t="shared" si="18"/>
        <v>17.475104043290408</v>
      </c>
      <c r="Q22" s="94" t="str">
        <f t="shared" si="19"/>
        <v/>
      </c>
      <c r="R22" s="90" t="str">
        <f t="shared" si="20"/>
        <v/>
      </c>
      <c r="S22" s="37" t="str">
        <f t="shared" si="9"/>
        <v/>
      </c>
      <c r="T22" s="176">
        <f>IF(L22="","",VLOOKUP(L22,classifications!C:K,9,FALSE))</f>
        <v>0</v>
      </c>
      <c r="U22" s="183" t="str">
        <f t="shared" si="10"/>
        <v/>
      </c>
      <c r="V22" s="184" t="str">
        <f>IF(U22="","",IF($I$8="A",(RANK(U22,U$11:U$368)+COUNTIF(U$11:U22,U22)-1),(RANK(U22,U$11:U$368,1)+COUNTIF(U$11:U22,U22)-1)))</f>
        <v/>
      </c>
      <c r="W22" s="185"/>
      <c r="X22" s="38" t="str">
        <f>IF(L22="","",VLOOKUP($L22,classifications!$C:$J,6,FALSE))</f>
        <v>Significant Rural</v>
      </c>
      <c r="Y22" s="26" t="b">
        <f t="shared" si="3"/>
        <v>0</v>
      </c>
      <c r="Z22" s="34" t="e">
        <f>IF(Y22="","",IF(I$8="A",(RANK(Y22,Y$11:Y$368,1)+COUNTIF(Y$11:Y22,Y22)-1),(RANK(Y22,Y$11:Y$368)+COUNTIF(Y$11:Y22,Y22)-1)))</f>
        <v>#N/A</v>
      </c>
      <c r="AA22" s="188" t="str">
        <f>IF(L22="","",VLOOKUP($L22,classifications!C:I,7,FALSE))</f>
        <v>Significant Rural</v>
      </c>
      <c r="AB22" s="184" t="str">
        <f t="shared" si="11"/>
        <v/>
      </c>
      <c r="AC22" s="184" t="str">
        <f>IF(AB22="","",IF($I$8="A",(RANK(AB22,AB$11:AB$368)+COUNTIF(AB$11:AB22,AB22)-1),(RANK(AB22,AB$11:AB$368,1)+COUNTIF(AB$11:AB22,AB22)-1)))</f>
        <v/>
      </c>
      <c r="AD22" s="184"/>
      <c r="AE22" s="45">
        <f>IF(I$8="A",(RANK(AG22,AG$11:AG$368,1)+COUNTIF(AG$11:AG22,AG22)-1),(RANK(AG22,AG$11:AG$368)+COUNTIF(AG$11:AG22,AG22)-1))</f>
        <v>6</v>
      </c>
      <c r="AF22" s="1" t="str">
        <f>VLOOKUP(Profile!$J$5,Families!$C:$R,12,FALSE)</f>
        <v>Gloucestershire</v>
      </c>
      <c r="AG22" s="96">
        <f t="shared" si="12"/>
        <v>17.475104043290408</v>
      </c>
      <c r="AH22" s="46">
        <f t="shared" si="21"/>
        <v>6</v>
      </c>
      <c r="AI22" s="38" t="str">
        <f>IF(L22="","",VLOOKUP($L22,classifications!$C:$J,8,FALSE))</f>
        <v>Gloucestershire</v>
      </c>
      <c r="AJ22" s="39" t="str">
        <f t="shared" si="4"/>
        <v/>
      </c>
      <c r="AK22" s="34" t="str">
        <f>IF(AJ22="","",IF(I$8="A",(RANK(AJ22,AJ$11:AJ$368,1)+COUNTIF(AJ$11:AJ22,AJ22)-1),(RANK(AJ22,AJ$11:AJ$368)+COUNTIF(AJ$11:AJ22,AJ22)-1)))</f>
        <v/>
      </c>
      <c r="AL22" s="29" t="str">
        <f t="shared" si="13"/>
        <v/>
      </c>
      <c r="AM22" s="8" t="str">
        <f t="shared" si="5"/>
        <v/>
      </c>
      <c r="AN22" s="8" t="str">
        <f t="shared" si="14"/>
        <v/>
      </c>
      <c r="AP22" s="38" t="str">
        <f>IF(L22="","",VLOOKUP($L22,classifications!$C:$E,3,FALSE))</f>
        <v>South West</v>
      </c>
      <c r="AQ22" s="39" t="str">
        <f t="shared" si="15"/>
        <v/>
      </c>
      <c r="AR22" s="34" t="str">
        <f>IF(AQ22="","",IF(I$8="A",(RANK(AQ22,AQ$11:AQ$368,1)+COUNTIF(AQ$11:AQ22,AQ22)-1),(RANK(AQ22,AQ$11:AQ$368)+COUNTIF(AQ$11:AQ22,AQ22)-1)))</f>
        <v/>
      </c>
      <c r="AS22" s="29" t="str">
        <f t="shared" si="16"/>
        <v/>
      </c>
      <c r="AT22" s="34" t="str">
        <f t="shared" si="6"/>
        <v/>
      </c>
      <c r="AU22" s="39" t="str">
        <f t="shared" si="17"/>
        <v/>
      </c>
      <c r="AX22" s="21">
        <f>HLOOKUP($AX$9&amp;$AX$10,Data!$A$1:$ZZ$2000,(MATCH($C22,Data!$A$1:$A$2000,0)),FALSE)</f>
        <v>15.720029078166339</v>
      </c>
      <c r="AY22" s="103"/>
      <c r="AZ22" s="21"/>
    </row>
    <row r="23" spans="1:52">
      <c r="A23" s="56" t="str">
        <f>$D$1&amp;13</f>
        <v>SC13</v>
      </c>
      <c r="B23" s="57" t="str">
        <f>IF(ISERROR(VLOOKUP(A23,classifications!A:C,3,FALSE)),0,VLOOKUP(A23,classifications!A:C,3,FALSE))</f>
        <v>Staffordshire</v>
      </c>
      <c r="C23" s="8" t="s">
        <v>14</v>
      </c>
      <c r="D23" s="26" t="str">
        <f>VLOOKUP($C23,classifications!$C:$J,4,FALSE)</f>
        <v>SD</v>
      </c>
      <c r="E23" s="26">
        <f>VLOOKUP(C23,classifications!C:K,9,FALSE)</f>
        <v>0</v>
      </c>
      <c r="F23" s="36">
        <f t="shared" si="0"/>
        <v>9.6576687728514727</v>
      </c>
      <c r="G23" s="71"/>
      <c r="H23" s="37" t="str">
        <f t="shared" si="1"/>
        <v/>
      </c>
      <c r="I23" s="77" t="str">
        <f>IF(H23="","",IF($I$8="A",(RANK(H23,H$11:H$368,1)+COUNTIF(H$11:H23,H23)-1),(RANK(H23,H$11:H$368)+COUNTIF(H$11:H23,H23)-1)))</f>
        <v/>
      </c>
      <c r="J23" s="35"/>
      <c r="K23" s="28">
        <f t="shared" si="7"/>
        <v>13</v>
      </c>
      <c r="L23" s="36" t="str">
        <f t="shared" si="2"/>
        <v>Nottinghamshire</v>
      </c>
      <c r="M23" s="102">
        <f t="shared" si="22"/>
        <v>16.292922014594303</v>
      </c>
      <c r="N23" s="101">
        <f t="shared" si="23"/>
        <v>16.292922014594303</v>
      </c>
      <c r="O23" s="94" t="str">
        <f t="shared" si="8"/>
        <v/>
      </c>
      <c r="P23" s="94">
        <f t="shared" si="18"/>
        <v>16.292922014594303</v>
      </c>
      <c r="Q23" s="94" t="str">
        <f t="shared" si="19"/>
        <v/>
      </c>
      <c r="R23" s="90" t="str">
        <f t="shared" si="20"/>
        <v/>
      </c>
      <c r="S23" s="37" t="str">
        <f t="shared" si="9"/>
        <v/>
      </c>
      <c r="T23" s="176" t="str">
        <f>IF(L23="","",VLOOKUP(L23,classifications!C:K,9,FALSE))</f>
        <v>Sparse</v>
      </c>
      <c r="U23" s="183">
        <f t="shared" si="10"/>
        <v>16.292922014594303</v>
      </c>
      <c r="V23" s="184">
        <f>IF(U23="","",IF($I$8="A",(RANK(U23,U$11:U$368)+COUNTIF(U$11:U23,U23)-1),(RANK(U23,U$11:U$368,1)+COUNTIF(U$11:U23,U23)-1)))</f>
        <v>11</v>
      </c>
      <c r="W23" s="185"/>
      <c r="X23" s="38" t="str">
        <f>IF(L23="","",VLOOKUP($L23,classifications!$C:$J,6,FALSE))</f>
        <v>Significant Rural</v>
      </c>
      <c r="Y23" s="26" t="b">
        <f t="shared" si="3"/>
        <v>0</v>
      </c>
      <c r="Z23" s="34" t="e">
        <f>IF(Y23="","",IF(I$8="A",(RANK(Y23,Y$11:Y$368,1)+COUNTIF(Y$11:Y23,Y23)-1),(RANK(Y23,Y$11:Y$368)+COUNTIF(Y$11:Y23,Y23)-1)))</f>
        <v>#N/A</v>
      </c>
      <c r="AA23" s="188" t="str">
        <f>IF(L23="","",VLOOKUP($L23,classifications!C:I,7,FALSE))</f>
        <v>Significant Rural</v>
      </c>
      <c r="AB23" s="184" t="str">
        <f t="shared" si="11"/>
        <v/>
      </c>
      <c r="AC23" s="184" t="str">
        <f>IF(AB23="","",IF($I$8="A",(RANK(AB23,AB$11:AB$368)+COUNTIF(AB$11:AB23,AB23)-1),(RANK(AB23,AB$11:AB$368,1)+COUNTIF(AB$11:AB23,AB23)-1)))</f>
        <v/>
      </c>
      <c r="AD23" s="184"/>
      <c r="AE23" s="45">
        <f>IF(I$8="A",(RANK(AG23,AG$11:AG$368,1)+COUNTIF(AG$11:AG23,AG23)-1),(RANK(AG23,AG$11:AG$368)+COUNTIF(AG$11:AG23,AG23)-1))</f>
        <v>1</v>
      </c>
      <c r="AF23" s="1" t="str">
        <f>VLOOKUP(Profile!$J$5,Families!$C:$R,13,FALSE)</f>
        <v>Devon</v>
      </c>
      <c r="AG23" s="96">
        <f t="shared" si="12"/>
        <v>20.569845842883787</v>
      </c>
      <c r="AH23" s="46">
        <f t="shared" si="21"/>
        <v>1</v>
      </c>
      <c r="AI23" s="38" t="str">
        <f>IF(L23="","",VLOOKUP($L23,classifications!$C:$J,8,FALSE))</f>
        <v>Nottinghamshire</v>
      </c>
      <c r="AJ23" s="39" t="str">
        <f t="shared" si="4"/>
        <v/>
      </c>
      <c r="AK23" s="34" t="str">
        <f>IF(AJ23="","",IF(I$8="A",(RANK(AJ23,AJ$11:AJ$368,1)+COUNTIF(AJ$11:AJ23,AJ23)-1),(RANK(AJ23,AJ$11:AJ$368)+COUNTIF(AJ$11:AJ23,AJ23)-1)))</f>
        <v/>
      </c>
      <c r="AL23" s="29" t="str">
        <f t="shared" si="13"/>
        <v/>
      </c>
      <c r="AM23" s="8" t="str">
        <f t="shared" si="5"/>
        <v/>
      </c>
      <c r="AN23" s="8" t="str">
        <f t="shared" si="14"/>
        <v/>
      </c>
      <c r="AP23" s="38" t="str">
        <f>IF(L23="","",VLOOKUP($L23,classifications!$C:$E,3,FALSE))</f>
        <v>East Midlands</v>
      </c>
      <c r="AQ23" s="39" t="str">
        <f t="shared" si="15"/>
        <v/>
      </c>
      <c r="AR23" s="34" t="str">
        <f>IF(AQ23="","",IF(I$8="A",(RANK(AQ23,AQ$11:AQ$368,1)+COUNTIF(AQ$11:AQ23,AQ23)-1),(RANK(AQ23,AQ$11:AQ$368)+COUNTIF(AQ$11:AQ23,AQ23)-1)))</f>
        <v/>
      </c>
      <c r="AS23" s="29" t="str">
        <f t="shared" si="16"/>
        <v/>
      </c>
      <c r="AT23" s="34" t="str">
        <f t="shared" si="6"/>
        <v/>
      </c>
      <c r="AU23" s="39" t="str">
        <f t="shared" si="17"/>
        <v/>
      </c>
      <c r="AX23" s="21">
        <f>HLOOKUP($AX$9&amp;$AX$10,Data!$A$1:$ZZ$2000,(MATCH($C23,Data!$A$1:$A$2000,0)),FALSE)</f>
        <v>9.6576687728514727</v>
      </c>
      <c r="AY23" s="103"/>
      <c r="AZ23" s="21"/>
    </row>
    <row r="24" spans="1:52">
      <c r="A24" s="56" t="str">
        <f>$D$1&amp;14</f>
        <v>SC14</v>
      </c>
      <c r="B24" s="57" t="str">
        <f>IF(ISERROR(VLOOKUP(A24,classifications!A:C,3,FALSE)),0,VLOOKUP(A24,classifications!A:C,3,FALSE))</f>
        <v>Suffolk</v>
      </c>
      <c r="C24" s="8" t="s">
        <v>343</v>
      </c>
      <c r="D24" s="26" t="str">
        <f>VLOOKUP($C24,classifications!$C:$J,4,FALSE)</f>
        <v>SD</v>
      </c>
      <c r="E24" s="26">
        <f>VLOOKUP(C24,classifications!C:K,9,FALSE)</f>
        <v>0</v>
      </c>
      <c r="F24" s="36">
        <f t="shared" si="0"/>
        <v>15.602465242270247</v>
      </c>
      <c r="G24" s="71"/>
      <c r="H24" s="37" t="str">
        <f t="shared" si="1"/>
        <v/>
      </c>
      <c r="I24" s="77" t="str">
        <f>IF(H24="","",IF($I$8="A",(RANK(H24,H$11:H$368,1)+COUNTIF(H$11:H24,H24)-1),(RANK(H24,H$11:H$368)+COUNTIF(H$11:H24,H24)-1)))</f>
        <v/>
      </c>
      <c r="J24" s="35"/>
      <c r="K24" s="28">
        <f t="shared" si="7"/>
        <v>14</v>
      </c>
      <c r="L24" s="36" t="str">
        <f t="shared" si="2"/>
        <v>Kent</v>
      </c>
      <c r="M24" s="102">
        <f t="shared" si="22"/>
        <v>16.26259547069758</v>
      </c>
      <c r="N24" s="101">
        <f t="shared" si="23"/>
        <v>16.26259547069758</v>
      </c>
      <c r="O24" s="94" t="str">
        <f t="shared" si="8"/>
        <v/>
      </c>
      <c r="P24" s="94">
        <f t="shared" si="18"/>
        <v>16.26259547069758</v>
      </c>
      <c r="Q24" s="94" t="str">
        <f t="shared" si="19"/>
        <v/>
      </c>
      <c r="R24" s="90" t="str">
        <f t="shared" si="20"/>
        <v/>
      </c>
      <c r="S24" s="37" t="str">
        <f t="shared" si="9"/>
        <v/>
      </c>
      <c r="T24" s="176">
        <f>IF(L24="","",VLOOKUP(L24,classifications!C:K,9,FALSE))</f>
        <v>0</v>
      </c>
      <c r="U24" s="183" t="str">
        <f t="shared" si="10"/>
        <v/>
      </c>
      <c r="V24" s="184" t="str">
        <f>IF(U24="","",IF($I$8="A",(RANK(U24,U$11:U$368)+COUNTIF(U$11:U24,U24)-1),(RANK(U24,U$11:U$368,1)+COUNTIF(U$11:U24,U24)-1)))</f>
        <v/>
      </c>
      <c r="W24" s="185"/>
      <c r="X24" s="38" t="str">
        <f>IF(L24="","",VLOOKUP($L24,classifications!$C:$J,6,FALSE))</f>
        <v>Significant Rural</v>
      </c>
      <c r="Y24" s="26" t="b">
        <f t="shared" si="3"/>
        <v>0</v>
      </c>
      <c r="Z24" s="34" t="e">
        <f>IF(Y24="","",IF(I$8="A",(RANK(Y24,Y$11:Y$368,1)+COUNTIF(Y$11:Y24,Y24)-1),(RANK(Y24,Y$11:Y$368)+COUNTIF(Y$11:Y24,Y24)-1)))</f>
        <v>#N/A</v>
      </c>
      <c r="AA24" s="188" t="str">
        <f>IF(L24="","",VLOOKUP($L24,classifications!C:I,7,FALSE))</f>
        <v>Significant Rural</v>
      </c>
      <c r="AB24" s="184" t="str">
        <f t="shared" si="11"/>
        <v/>
      </c>
      <c r="AC24" s="184" t="str">
        <f>IF(AB24="","",IF($I$8="A",(RANK(AB24,AB$11:AB$368)+COUNTIF(AB$11:AB24,AB24)-1),(RANK(AB24,AB$11:AB$368,1)+COUNTIF(AB$11:AB24,AB24)-1)))</f>
        <v/>
      </c>
      <c r="AD24" s="184"/>
      <c r="AE24" s="45">
        <f>IF(I$8="A",(RANK(AG24,AG$11:AG$368,1)+COUNTIF(AG$11:AG24,AG24)-1),(RANK(AG24,AG$11:AG$368)+COUNTIF(AG$11:AG24,AG24)-1))</f>
        <v>14</v>
      </c>
      <c r="AF24" s="1" t="str">
        <f>VLOOKUP(Profile!$J$5,Families!$C:$R,14,FALSE)</f>
        <v>Lancashire</v>
      </c>
      <c r="AG24" s="96">
        <f t="shared" si="12"/>
        <v>13.756921881703718</v>
      </c>
      <c r="AH24" s="46">
        <f t="shared" si="21"/>
        <v>14</v>
      </c>
      <c r="AI24" s="38" t="str">
        <f>IF(L24="","",VLOOKUP($L24,classifications!$C:$J,8,FALSE))</f>
        <v>Kent</v>
      </c>
      <c r="AJ24" s="39" t="str">
        <f t="shared" si="4"/>
        <v/>
      </c>
      <c r="AK24" s="34" t="str">
        <f>IF(AJ24="","",IF(I$8="A",(RANK(AJ24,AJ$11:AJ$368,1)+COUNTIF(AJ$11:AJ24,AJ24)-1),(RANK(AJ24,AJ$11:AJ$368)+COUNTIF(AJ$11:AJ24,AJ24)-1)))</f>
        <v/>
      </c>
      <c r="AL24" s="29" t="str">
        <f t="shared" si="13"/>
        <v/>
      </c>
      <c r="AM24" s="8" t="str">
        <f t="shared" si="5"/>
        <v/>
      </c>
      <c r="AN24" s="8" t="str">
        <f t="shared" si="14"/>
        <v/>
      </c>
      <c r="AP24" s="38" t="str">
        <f>IF(L24="","",VLOOKUP($L24,classifications!$C:$E,3,FALSE))</f>
        <v>East of England</v>
      </c>
      <c r="AQ24" s="39" t="str">
        <f t="shared" si="15"/>
        <v/>
      </c>
      <c r="AR24" s="34" t="str">
        <f>IF(AQ24="","",IF(I$8="A",(RANK(AQ24,AQ$11:AQ$368,1)+COUNTIF(AQ$11:AQ24,AQ24)-1),(RANK(AQ24,AQ$11:AQ$368)+COUNTIF(AQ$11:AQ24,AQ24)-1)))</f>
        <v/>
      </c>
      <c r="AS24" s="29" t="str">
        <f t="shared" si="16"/>
        <v/>
      </c>
      <c r="AT24" s="34" t="str">
        <f t="shared" si="6"/>
        <v/>
      </c>
      <c r="AU24" s="39" t="str">
        <f t="shared" si="17"/>
        <v/>
      </c>
      <c r="AX24" s="21">
        <f>HLOOKUP($AX$9&amp;$AX$10,Data!$A$1:$ZZ$2000,(MATCH($C24,Data!$A$1:$A$2000,0)),FALSE)</f>
        <v>15.602465242270247</v>
      </c>
      <c r="AY24" s="103"/>
      <c r="AZ24" s="21"/>
    </row>
    <row r="25" spans="1:52">
      <c r="A25" s="56" t="str">
        <f>$D$1&amp;15</f>
        <v>SC15</v>
      </c>
      <c r="B25" s="57" t="str">
        <f>IF(ISERROR(VLOOKUP(A25,classifications!A:C,3,FALSE)),0,VLOOKUP(A25,classifications!A:C,3,FALSE))</f>
        <v>Warwickshire</v>
      </c>
      <c r="C25" s="8" t="s">
        <v>15</v>
      </c>
      <c r="D25" s="26" t="str">
        <f>VLOOKUP($C25,classifications!$C:$J,4,FALSE)</f>
        <v>SD</v>
      </c>
      <c r="E25" s="26">
        <f>VLOOKUP(C25,classifications!C:K,9,FALSE)</f>
        <v>0</v>
      </c>
      <c r="F25" s="36">
        <f t="shared" si="0"/>
        <v>14.90442135104581</v>
      </c>
      <c r="G25" s="71"/>
      <c r="H25" s="37" t="str">
        <f t="shared" si="1"/>
        <v/>
      </c>
      <c r="I25" s="77" t="str">
        <f>IF(H25="","",IF($I$8="A",(RANK(H25,H$11:H$368,1)+COUNTIF(H$11:H25,H25)-1),(RANK(H25,H$11:H$368)+COUNTIF(H$11:H25,H25)-1)))</f>
        <v/>
      </c>
      <c r="J25" s="35"/>
      <c r="K25" s="28">
        <f t="shared" si="7"/>
        <v>15</v>
      </c>
      <c r="L25" s="36" t="str">
        <f t="shared" si="2"/>
        <v>Lincolnshire</v>
      </c>
      <c r="M25" s="102">
        <f t="shared" si="22"/>
        <v>16.036007901999703</v>
      </c>
      <c r="N25" s="101">
        <f t="shared" si="23"/>
        <v>16.036007901999703</v>
      </c>
      <c r="O25" s="94" t="str">
        <f t="shared" si="8"/>
        <v/>
      </c>
      <c r="P25" s="94" t="str">
        <f t="shared" si="18"/>
        <v/>
      </c>
      <c r="Q25" s="94">
        <f t="shared" si="19"/>
        <v>16.036007901999703</v>
      </c>
      <c r="R25" s="90" t="str">
        <f t="shared" si="20"/>
        <v/>
      </c>
      <c r="S25" s="37" t="str">
        <f t="shared" si="9"/>
        <v/>
      </c>
      <c r="T25" s="176" t="str">
        <f>IF(L25="","",VLOOKUP(L25,classifications!C:K,9,FALSE))</f>
        <v>Sparse</v>
      </c>
      <c r="U25" s="183">
        <f t="shared" si="10"/>
        <v>16.036007901999703</v>
      </c>
      <c r="V25" s="184">
        <f>IF(U25="","",IF($I$8="A",(RANK(U25,U$11:U$368)+COUNTIF(U$11:U25,U25)-1),(RANK(U25,U$11:U$368,1)+COUNTIF(U$11:U25,U25)-1)))</f>
        <v>10</v>
      </c>
      <c r="W25" s="185"/>
      <c r="X25" s="38" t="str">
        <f>IF(L25="","",VLOOKUP($L25,classifications!$C:$J,6,FALSE))</f>
        <v>Predominantly Rural</v>
      </c>
      <c r="Y25" s="26" t="b">
        <f t="shared" si="3"/>
        <v>0</v>
      </c>
      <c r="Z25" s="34" t="e">
        <f>IF(Y25="","",IF(I$8="A",(RANK(Y25,Y$11:Y$368,1)+COUNTIF(Y$11:Y25,Y25)-1),(RANK(Y25,Y$11:Y$368)+COUNTIF(Y$11:Y25,Y25)-1)))</f>
        <v>#N/A</v>
      </c>
      <c r="AA25" s="188" t="str">
        <f>IF(L25="","",VLOOKUP($L25,classifications!C:I,7,FALSE))</f>
        <v>Predominantly Rural</v>
      </c>
      <c r="AB25" s="184">
        <f t="shared" si="11"/>
        <v>16.036007901999703</v>
      </c>
      <c r="AC25" s="184">
        <f>IF(AB25="","",IF($I$8="A",(RANK(AB25,AB$11:AB$368)+COUNTIF(AB$11:AB25,AB25)-1),(RANK(AB25,AB$11:AB$368,1)+COUNTIF(AB$11:AB25,AB25)-1)))</f>
        <v>3</v>
      </c>
      <c r="AD25" s="184"/>
      <c r="AE25" s="45">
        <f>IF(I$8="A",(RANK(AG25,AG$11:AG$368,1)+COUNTIF(AG$11:AG25,AG25)-1),(RANK(AG25,AG$11:AG$368)+COUNTIF(AG$11:AG25,AG25)-1))</f>
        <v>11</v>
      </c>
      <c r="AF25" s="1" t="str">
        <f>VLOOKUP(Profile!$J$5,Families!$C:$R,15,FALSE)</f>
        <v>Leicestershire</v>
      </c>
      <c r="AG25" s="96">
        <f t="shared" si="12"/>
        <v>15.032629506703366</v>
      </c>
      <c r="AH25" s="46">
        <f t="shared" si="21"/>
        <v>11</v>
      </c>
      <c r="AI25" s="38" t="str">
        <f>IF(L25="","",VLOOKUP($L25,classifications!$C:$J,8,FALSE))</f>
        <v>Lincolnshire</v>
      </c>
      <c r="AJ25" s="39" t="str">
        <f t="shared" si="4"/>
        <v/>
      </c>
      <c r="AK25" s="34" t="str">
        <f>IF(AJ25="","",IF(I$8="A",(RANK(AJ25,AJ$11:AJ$368,1)+COUNTIF(AJ$11:AJ25,AJ25)-1),(RANK(AJ25,AJ$11:AJ$368)+COUNTIF(AJ$11:AJ25,AJ25)-1)))</f>
        <v/>
      </c>
      <c r="AL25" s="29" t="str">
        <f t="shared" si="13"/>
        <v/>
      </c>
      <c r="AM25" s="8" t="str">
        <f t="shared" si="5"/>
        <v/>
      </c>
      <c r="AN25" s="8" t="str">
        <f t="shared" si="14"/>
        <v/>
      </c>
      <c r="AP25" s="38" t="str">
        <f>IF(L25="","",VLOOKUP($L25,classifications!$C:$E,3,FALSE))</f>
        <v>East Midlands</v>
      </c>
      <c r="AQ25" s="39" t="str">
        <f t="shared" si="15"/>
        <v/>
      </c>
      <c r="AR25" s="34" t="str">
        <f>IF(AQ25="","",IF(I$8="A",(RANK(AQ25,AQ$11:AQ$368,1)+COUNTIF(AQ$11:AQ25,AQ25)-1),(RANK(AQ25,AQ$11:AQ$368)+COUNTIF(AQ$11:AQ25,AQ25)-1)))</f>
        <v/>
      </c>
      <c r="AS25" s="29" t="str">
        <f t="shared" si="16"/>
        <v/>
      </c>
      <c r="AT25" s="34" t="str">
        <f t="shared" si="6"/>
        <v/>
      </c>
      <c r="AU25" s="39" t="str">
        <f t="shared" si="17"/>
        <v/>
      </c>
      <c r="AX25" s="21">
        <f>HLOOKUP($AX$9&amp;$AX$10,Data!$A$1:$ZZ$2000,(MATCH($C25,Data!$A$1:$A$2000,0)),FALSE)</f>
        <v>14.90442135104581</v>
      </c>
      <c r="AY25" s="103"/>
      <c r="AZ25" s="21"/>
    </row>
    <row r="26" spans="1:52">
      <c r="A26" s="56" t="str">
        <f>$D$1&amp;16</f>
        <v>SC16</v>
      </c>
      <c r="B26" s="57" t="str">
        <f>IF(ISERROR(VLOOKUP(A26,classifications!A:C,3,FALSE)),0,VLOOKUP(A26,classifications!A:C,3,FALSE))</f>
        <v>Worcestershire</v>
      </c>
      <c r="C26" s="8" t="s">
        <v>258</v>
      </c>
      <c r="D26" s="26" t="str">
        <f>VLOOKUP($C26,classifications!$C:$J,4,FALSE)</f>
        <v>UA</v>
      </c>
      <c r="E26" s="26">
        <f>VLOOKUP(C26,classifications!C:K,9,FALSE)</f>
        <v>0</v>
      </c>
      <c r="F26" s="36">
        <f t="shared" si="0"/>
        <v>18.598214660190965</v>
      </c>
      <c r="G26" s="71"/>
      <c r="H26" s="37" t="str">
        <f t="shared" si="1"/>
        <v/>
      </c>
      <c r="I26" s="77" t="str">
        <f>IF(H26="","",IF($I$8="A",(RANK(H26,H$11:H$368,1)+COUNTIF(H$11:H26,H26)-1),(RANK(H26,H$11:H$368)+COUNTIF(H$11:H26,H26)-1)))</f>
        <v/>
      </c>
      <c r="J26" s="35"/>
      <c r="K26" s="28">
        <f t="shared" si="7"/>
        <v>16</v>
      </c>
      <c r="L26" s="36" t="str">
        <f t="shared" si="2"/>
        <v>Cumbria</v>
      </c>
      <c r="M26" s="102">
        <f t="shared" si="22"/>
        <v>16.018311396308022</v>
      </c>
      <c r="N26" s="101">
        <f t="shared" si="23"/>
        <v>16.018311396308022</v>
      </c>
      <c r="O26" s="94" t="str">
        <f t="shared" si="8"/>
        <v/>
      </c>
      <c r="P26" s="94" t="str">
        <f t="shared" si="18"/>
        <v/>
      </c>
      <c r="Q26" s="94">
        <f t="shared" si="19"/>
        <v>16.018311396308022</v>
      </c>
      <c r="R26" s="90" t="str">
        <f t="shared" si="20"/>
        <v/>
      </c>
      <c r="S26" s="37" t="str">
        <f t="shared" si="9"/>
        <v>u</v>
      </c>
      <c r="T26" s="176" t="str">
        <f>IF(L26="","",VLOOKUP(L26,classifications!C:K,9,FALSE))</f>
        <v>Sparse</v>
      </c>
      <c r="U26" s="183">
        <f t="shared" si="10"/>
        <v>16.018311396308022</v>
      </c>
      <c r="V26" s="184">
        <f>IF(U26="","",IF($I$8="A",(RANK(U26,U$11:U$368)+COUNTIF(U$11:U26,U26)-1),(RANK(U26,U$11:U$368,1)+COUNTIF(U$11:U26,U26)-1)))</f>
        <v>9</v>
      </c>
      <c r="W26" s="185"/>
      <c r="X26" s="38" t="str">
        <f>IF(L26="","",VLOOKUP($L26,classifications!$C:$J,6,FALSE))</f>
        <v>Predominantly Rural</v>
      </c>
      <c r="Y26" s="26" t="b">
        <f t="shared" si="3"/>
        <v>0</v>
      </c>
      <c r="Z26" s="34" t="e">
        <f>IF(Y26="","",IF(I$8="A",(RANK(Y26,Y$11:Y$368,1)+COUNTIF(Y$11:Y26,Y26)-1),(RANK(Y26,Y$11:Y$368)+COUNTIF(Y$11:Y26,Y26)-1)))</f>
        <v>#N/A</v>
      </c>
      <c r="AA26" s="188" t="str">
        <f>IF(L26="","",VLOOKUP($L26,classifications!C:I,7,FALSE))</f>
        <v>Predominantly Rural</v>
      </c>
      <c r="AB26" s="184">
        <f t="shared" si="11"/>
        <v>16.018311396308022</v>
      </c>
      <c r="AC26" s="184">
        <f>IF(AB26="","",IF($I$8="A",(RANK(AB26,AB$11:AB$368)+COUNTIF(AB$11:AB26,AB26)-1),(RANK(AB26,AB$11:AB$368,1)+COUNTIF(AB$11:AB26,AB26)-1)))</f>
        <v>2</v>
      </c>
      <c r="AD26" s="184"/>
      <c r="AE26" s="45">
        <f>IF(I$8="A",(RANK(AG26,AG$11:AG$368,1)+COUNTIF(AG$11:AG26,AG26)-1),(RANK(AG26,AG$11:AG$368)+COUNTIF(AG$11:AG26,AG26)-1))</f>
        <v>16</v>
      </c>
      <c r="AF26" s="1" t="str">
        <f>VLOOKUP(Profile!$J$5,Families!$C:$R,16,FALSE)</f>
        <v>Dorset</v>
      </c>
      <c r="AG26" s="96">
        <f t="shared" si="12"/>
        <v>0</v>
      </c>
      <c r="AH26" s="46">
        <f t="shared" si="21"/>
        <v>16</v>
      </c>
      <c r="AI26" s="38" t="str">
        <f>IF(L26="","",VLOOKUP($L26,classifications!$C:$J,8,FALSE))</f>
        <v>Cumbria</v>
      </c>
      <c r="AJ26" s="39">
        <f t="shared" si="4"/>
        <v>16.018311396308022</v>
      </c>
      <c r="AK26" s="34">
        <f>IF(AJ26="","",IF(I$8="A",(RANK(AJ26,AJ$11:AJ$368,1)+COUNTIF(AJ$11:AJ26,AJ26)-1),(RANK(AJ26,AJ$11:AJ$368)+COUNTIF(AJ$11:AJ26,AJ26)-1)))</f>
        <v>1</v>
      </c>
      <c r="AL26" s="29" t="str">
        <f t="shared" si="13"/>
        <v/>
      </c>
      <c r="AM26" s="8" t="str">
        <f t="shared" si="5"/>
        <v/>
      </c>
      <c r="AN26" s="8" t="str">
        <f t="shared" si="14"/>
        <v/>
      </c>
      <c r="AP26" s="38" t="str">
        <f>IF(L26="","",VLOOKUP($L26,classifications!$C:$E,3,FALSE))</f>
        <v>North West</v>
      </c>
      <c r="AQ26" s="39">
        <f t="shared" si="15"/>
        <v>16.018311396308022</v>
      </c>
      <c r="AR26" s="34">
        <f>IF(AQ26="","",IF(I$8="A",(RANK(AQ26,AQ$11:AQ$368,1)+COUNTIF(AQ$11:AQ26,AQ26)-1),(RANK(AQ26,AQ$11:AQ$368)+COUNTIF(AQ$11:AQ26,AQ26)-1)))</f>
        <v>1</v>
      </c>
      <c r="AS26" s="29" t="str">
        <f t="shared" si="16"/>
        <v/>
      </c>
      <c r="AT26" s="34" t="str">
        <f t="shared" si="6"/>
        <v/>
      </c>
      <c r="AU26" s="39" t="str">
        <f t="shared" si="17"/>
        <v/>
      </c>
      <c r="AX26" s="21">
        <f>HLOOKUP($AX$9&amp;$AX$10,Data!$A$1:$ZZ$2000,(MATCH($C26,Data!$A$1:$A$2000,0)),FALSE)</f>
        <v>18.598214660190965</v>
      </c>
      <c r="AY26" s="103"/>
      <c r="AZ26" s="21"/>
    </row>
    <row r="27" spans="1:52">
      <c r="A27" s="56" t="str">
        <f>$D$1&amp;17</f>
        <v>SC17</v>
      </c>
      <c r="B27" s="57">
        <f>IF(ISERROR(VLOOKUP(A27,classifications!A:C,3,FALSE)),0,VLOOKUP(A27,classifications!A:C,3,FALSE))</f>
        <v>0</v>
      </c>
      <c r="C27" s="8" t="s">
        <v>259</v>
      </c>
      <c r="D27" s="26" t="str">
        <f>VLOOKUP($C27,classifications!$C:$J,4,FALSE)</f>
        <v>UA</v>
      </c>
      <c r="E27" s="26">
        <f>VLOOKUP(C27,classifications!C:K,9,FALSE)</f>
        <v>0</v>
      </c>
      <c r="F27" s="36">
        <f t="shared" si="0"/>
        <v>18.454936991064681</v>
      </c>
      <c r="G27" s="71"/>
      <c r="H27" s="37" t="str">
        <f t="shared" si="1"/>
        <v/>
      </c>
      <c r="I27" s="77" t="str">
        <f>IF(H27="","",IF($I$8="A",(RANK(H27,H$11:H$368,1)+COUNTIF(H$11:H27,H27)-1),(RANK(H27,H$11:H$368)+COUNTIF(H$11:H27,H27)-1)))</f>
        <v/>
      </c>
      <c r="J27" s="35"/>
      <c r="K27" s="28">
        <f t="shared" si="7"/>
        <v>17</v>
      </c>
      <c r="L27" s="36" t="str">
        <f t="shared" si="2"/>
        <v>Warwickshire</v>
      </c>
      <c r="M27" s="102">
        <f t="shared" si="22"/>
        <v>15.712468668373536</v>
      </c>
      <c r="N27" s="101">
        <f t="shared" si="23"/>
        <v>15.712468668373536</v>
      </c>
      <c r="O27" s="94" t="str">
        <f t="shared" si="8"/>
        <v/>
      </c>
      <c r="P27" s="94" t="str">
        <f t="shared" si="18"/>
        <v/>
      </c>
      <c r="Q27" s="94">
        <f t="shared" si="19"/>
        <v>15.712468668373536</v>
      </c>
      <c r="R27" s="90" t="str">
        <f t="shared" si="20"/>
        <v/>
      </c>
      <c r="S27" s="37" t="str">
        <f t="shared" si="9"/>
        <v/>
      </c>
      <c r="T27" s="176" t="str">
        <f>IF(L27="","",VLOOKUP(L27,classifications!C:K,9,FALSE))</f>
        <v>Sparse</v>
      </c>
      <c r="U27" s="183">
        <f t="shared" si="10"/>
        <v>15.712468668373536</v>
      </c>
      <c r="V27" s="184">
        <f>IF(U27="","",IF($I$8="A",(RANK(U27,U$11:U$368)+COUNTIF(U$11:U27,U27)-1),(RANK(U27,U$11:U$368,1)+COUNTIF(U$11:U27,U27)-1)))</f>
        <v>8</v>
      </c>
      <c r="W27" s="185"/>
      <c r="X27" s="38" t="str">
        <f>IF(L27="","",VLOOKUP($L27,classifications!$C:$J,6,FALSE))</f>
        <v>Significant Rural</v>
      </c>
      <c r="Y27" s="26" t="b">
        <f t="shared" si="3"/>
        <v>0</v>
      </c>
      <c r="Z27" s="34" t="e">
        <f>IF(Y27="","",IF(I$8="A",(RANK(Y27,Y$11:Y$368,1)+COUNTIF(Y$11:Y27,Y27)-1),(RANK(Y27,Y$11:Y$368)+COUNTIF(Y$11:Y27,Y27)-1)))</f>
        <v>#N/A</v>
      </c>
      <c r="AA27" s="188" t="str">
        <f>IF(L27="","",VLOOKUP($L27,classifications!C:I,7,FALSE))</f>
        <v>Significant Rural</v>
      </c>
      <c r="AB27" s="184" t="str">
        <f t="shared" si="11"/>
        <v/>
      </c>
      <c r="AC27" s="184" t="str">
        <f>IF(AB27="","",IF($I$8="A",(RANK(AB27,AB$11:AB$368)+COUNTIF(AB$11:AB27,AB27)-1),(RANK(AB27,AB$11:AB$368,1)+COUNTIF(AB$11:AB27,AB27)-1)))</f>
        <v/>
      </c>
      <c r="AD27" s="184"/>
      <c r="AE27" s="28"/>
      <c r="AF27" s="1"/>
      <c r="AG27" s="96"/>
      <c r="AH27" s="29"/>
      <c r="AI27" s="38" t="str">
        <f>IF(L27="","",VLOOKUP($L27,classifications!$C:$J,8,FALSE))</f>
        <v>Warwickshire</v>
      </c>
      <c r="AJ27" s="39" t="str">
        <f t="shared" si="4"/>
        <v/>
      </c>
      <c r="AK27" s="34" t="str">
        <f>IF(AJ27="","",IF(I$8="A",(RANK(AJ27,AJ$11:AJ$368,1)+COUNTIF(AJ$11:AJ27,AJ27)-1),(RANK(AJ27,AJ$11:AJ$368)+COUNTIF(AJ$11:AJ27,AJ27)-1)))</f>
        <v/>
      </c>
      <c r="AL27" s="29" t="str">
        <f t="shared" si="13"/>
        <v/>
      </c>
      <c r="AM27" s="8" t="str">
        <f t="shared" si="5"/>
        <v/>
      </c>
      <c r="AN27" s="8" t="str">
        <f t="shared" si="14"/>
        <v/>
      </c>
      <c r="AP27" s="38" t="str">
        <f>IF(L27="","",VLOOKUP($L27,classifications!$C:$E,3,FALSE))</f>
        <v>West Midlands</v>
      </c>
      <c r="AQ27" s="39" t="str">
        <f t="shared" si="15"/>
        <v/>
      </c>
      <c r="AR27" s="34" t="str">
        <f>IF(AQ27="","",IF(I$8="A",(RANK(AQ27,AQ$11:AQ$368,1)+COUNTIF(AQ$11:AQ27,AQ27)-1),(RANK(AQ27,AQ$11:AQ$368)+COUNTIF(AQ$11:AQ27,AQ27)-1)))</f>
        <v/>
      </c>
      <c r="AS27" s="29" t="str">
        <f t="shared" si="16"/>
        <v/>
      </c>
      <c r="AT27" s="34" t="str">
        <f t="shared" si="6"/>
        <v/>
      </c>
      <c r="AU27" s="39" t="str">
        <f t="shared" si="17"/>
        <v/>
      </c>
      <c r="AX27" s="21">
        <f>HLOOKUP($AX$9&amp;$AX$10,Data!$A$1:$ZZ$2000,(MATCH($C27,Data!$A$1:$A$2000,0)),FALSE)</f>
        <v>18.454936991064681</v>
      </c>
      <c r="AY27" s="103"/>
      <c r="AZ27" s="21"/>
    </row>
    <row r="28" spans="1:52">
      <c r="A28" s="56" t="str">
        <f>$D$1&amp;18</f>
        <v>SC18</v>
      </c>
      <c r="B28" s="57">
        <f>IF(ISERROR(VLOOKUP(A28,classifications!A:C,3,FALSE)),0,VLOOKUP(A28,classifications!A:C,3,FALSE))</f>
        <v>0</v>
      </c>
      <c r="C28" s="8" t="s">
        <v>197</v>
      </c>
      <c r="D28" s="26" t="str">
        <f>VLOOKUP($C28,classifications!$C:$J,4,FALSE)</f>
        <v>L</v>
      </c>
      <c r="E28" s="26">
        <f>VLOOKUP(C28,classifications!C:K,9,FALSE)</f>
        <v>0</v>
      </c>
      <c r="F28" s="36">
        <f t="shared" si="0"/>
        <v>12.596981531874436</v>
      </c>
      <c r="G28" s="71"/>
      <c r="H28" s="37" t="str">
        <f t="shared" si="1"/>
        <v/>
      </c>
      <c r="I28" s="77" t="str">
        <f>IF(H28="","",IF($I$8="A",(RANK(H28,H$11:H$368,1)+COUNTIF(H$11:H28,H28)-1),(RANK(H28,H$11:H$368)+COUNTIF(H$11:H28,H28)-1)))</f>
        <v/>
      </c>
      <c r="J28" s="35"/>
      <c r="K28" s="28">
        <f t="shared" si="7"/>
        <v>18</v>
      </c>
      <c r="L28" s="36" t="str">
        <f t="shared" si="2"/>
        <v>Hertfordshire</v>
      </c>
      <c r="M28" s="102">
        <f t="shared" si="22"/>
        <v>15.573799350980138</v>
      </c>
      <c r="N28" s="101">
        <f t="shared" si="23"/>
        <v>15.573799350980138</v>
      </c>
      <c r="O28" s="94" t="str">
        <f t="shared" si="8"/>
        <v/>
      </c>
      <c r="P28" s="94" t="str">
        <f t="shared" si="18"/>
        <v/>
      </c>
      <c r="Q28" s="94">
        <f t="shared" si="19"/>
        <v>15.573799350980138</v>
      </c>
      <c r="R28" s="90" t="str">
        <f t="shared" si="20"/>
        <v/>
      </c>
      <c r="S28" s="37" t="str">
        <f t="shared" si="9"/>
        <v/>
      </c>
      <c r="T28" s="176">
        <f>IF(L28="","",VLOOKUP(L28,classifications!C:K,9,FALSE))</f>
        <v>0</v>
      </c>
      <c r="U28" s="183" t="str">
        <f t="shared" si="10"/>
        <v/>
      </c>
      <c r="V28" s="184" t="str">
        <f>IF(U28="","",IF($I$8="A",(RANK(U28,U$11:U$368)+COUNTIF(U$11:U28,U28)-1),(RANK(U28,U$11:U$368,1)+COUNTIF(U$11:U28,U28)-1)))</f>
        <v/>
      </c>
      <c r="W28" s="185"/>
      <c r="X28" s="38" t="str">
        <f>IF(L28="","",VLOOKUP($L28,classifications!$C:$J,6,FALSE))</f>
        <v>Predominantly Urban</v>
      </c>
      <c r="Y28" s="26" t="b">
        <f t="shared" si="3"/>
        <v>0</v>
      </c>
      <c r="Z28" s="34" t="e">
        <f>IF(Y28="","",IF(I$8="A",(RANK(Y28,Y$11:Y$368,1)+COUNTIF(Y$11:Y28,Y28)-1),(RANK(Y28,Y$11:Y$368)+COUNTIF(Y$11:Y28,Y28)-1)))</f>
        <v>#N/A</v>
      </c>
      <c r="AA28" s="188" t="str">
        <f>IF(L28="","",VLOOKUP($L28,classifications!C:I,7,FALSE))</f>
        <v>Predominantly Urban</v>
      </c>
      <c r="AB28" s="184" t="str">
        <f t="shared" si="11"/>
        <v/>
      </c>
      <c r="AC28" s="184" t="str">
        <f>IF(AB28="","",IF($I$8="A",(RANK(AB28,AB$11:AB$368)+COUNTIF(AB$11:AB28,AB28)-1),(RANK(AB28,AB$11:AB$368,1)+COUNTIF(AB$11:AB28,AB28)-1)))</f>
        <v/>
      </c>
      <c r="AD28" s="184"/>
      <c r="AE28" s="28"/>
      <c r="AF28" s="1"/>
      <c r="AG28" s="96"/>
      <c r="AH28" s="29"/>
      <c r="AI28" s="38" t="str">
        <f>IF(L28="","",VLOOKUP($L28,classifications!$C:$J,8,FALSE))</f>
        <v>Hertfordshire</v>
      </c>
      <c r="AJ28" s="39" t="str">
        <f t="shared" si="4"/>
        <v/>
      </c>
      <c r="AK28" s="34" t="str">
        <f>IF(AJ28="","",IF(I$8="A",(RANK(AJ28,AJ$11:AJ$368,1)+COUNTIF(AJ$11:AJ28,AJ28)-1),(RANK(AJ28,AJ$11:AJ$368)+COUNTIF(AJ$11:AJ28,AJ28)-1)))</f>
        <v/>
      </c>
      <c r="AL28" s="29" t="str">
        <f t="shared" si="13"/>
        <v/>
      </c>
      <c r="AM28" s="8" t="str">
        <f t="shared" si="5"/>
        <v/>
      </c>
      <c r="AN28" s="8" t="str">
        <f t="shared" si="14"/>
        <v/>
      </c>
      <c r="AP28" s="38" t="str">
        <f>IF(L28="","",VLOOKUP($L28,classifications!$C:$E,3,FALSE))</f>
        <v>East of England</v>
      </c>
      <c r="AQ28" s="39" t="str">
        <f t="shared" si="15"/>
        <v/>
      </c>
      <c r="AR28" s="34" t="str">
        <f>IF(AQ28="","",IF(I$8="A",(RANK(AQ28,AQ$11:AQ$368,1)+COUNTIF(AQ$11:AQ28,AQ28)-1),(RANK(AQ28,AQ$11:AQ$368)+COUNTIF(AQ$11:AQ28,AQ28)-1)))</f>
        <v/>
      </c>
      <c r="AS28" s="29" t="str">
        <f t="shared" si="16"/>
        <v/>
      </c>
      <c r="AT28" s="34" t="str">
        <f t="shared" si="6"/>
        <v/>
      </c>
      <c r="AU28" s="39" t="str">
        <f t="shared" si="17"/>
        <v/>
      </c>
      <c r="AX28" s="21">
        <f>HLOOKUP($AX$9&amp;$AX$10,Data!$A$1:$ZZ$2000,(MATCH($C28,Data!$A$1:$A$2000,0)),FALSE)</f>
        <v>12.596981531874436</v>
      </c>
      <c r="AY28" s="103"/>
      <c r="AZ28" s="21"/>
    </row>
    <row r="29" spans="1:52">
      <c r="A29" s="56" t="str">
        <f>$D$1&amp;19</f>
        <v>SC19</v>
      </c>
      <c r="B29" s="57">
        <f>IF(ISERROR(VLOOKUP(A29,classifications!A:C,3,FALSE)),0,VLOOKUP(A29,classifications!A:C,3,FALSE))</f>
        <v>0</v>
      </c>
      <c r="C29" s="8" t="s">
        <v>223</v>
      </c>
      <c r="D29" s="26" t="str">
        <f>VLOOKUP($C29,classifications!$C:$J,4,FALSE)</f>
        <v>MD</v>
      </c>
      <c r="E29" s="26">
        <f>VLOOKUP(C29,classifications!C:K,9,FALSE)</f>
        <v>0</v>
      </c>
      <c r="F29" s="36">
        <f t="shared" si="0"/>
        <v>8.915823999998544</v>
      </c>
      <c r="G29" s="71"/>
      <c r="H29" s="37" t="str">
        <f t="shared" si="1"/>
        <v/>
      </c>
      <c r="I29" s="77" t="str">
        <f>IF(H29="","",IF($I$8="A",(RANK(H29,H$11:H$368,1)+COUNTIF(H$11:H29,H29)-1),(RANK(H29,H$11:H$368)+COUNTIF(H$11:H29,H29)-1)))</f>
        <v/>
      </c>
      <c r="J29" s="35"/>
      <c r="K29" s="28">
        <f t="shared" si="7"/>
        <v>19</v>
      </c>
      <c r="L29" s="36" t="str">
        <f t="shared" si="2"/>
        <v>Leicestershire</v>
      </c>
      <c r="M29" s="102">
        <f t="shared" si="22"/>
        <v>15.032629506703366</v>
      </c>
      <c r="N29" s="101">
        <f t="shared" si="23"/>
        <v>15.032629506703366</v>
      </c>
      <c r="O29" s="94" t="str">
        <f t="shared" si="8"/>
        <v/>
      </c>
      <c r="P29" s="94" t="str">
        <f t="shared" si="18"/>
        <v/>
      </c>
      <c r="Q29" s="94">
        <f t="shared" si="19"/>
        <v>15.032629506703366</v>
      </c>
      <c r="R29" s="90" t="str">
        <f t="shared" si="20"/>
        <v/>
      </c>
      <c r="S29" s="37" t="str">
        <f t="shared" si="9"/>
        <v/>
      </c>
      <c r="T29" s="176" t="str">
        <f>IF(L29="","",VLOOKUP(L29,classifications!C:K,9,FALSE))</f>
        <v>Sparse</v>
      </c>
      <c r="U29" s="183">
        <f t="shared" si="10"/>
        <v>15.032629506703366</v>
      </c>
      <c r="V29" s="184">
        <f>IF(U29="","",IF($I$8="A",(RANK(U29,U$11:U$368)+COUNTIF(U$11:U29,U29)-1),(RANK(U29,U$11:U$368,1)+COUNTIF(U$11:U29,U29)-1)))</f>
        <v>7</v>
      </c>
      <c r="W29" s="185"/>
      <c r="X29" s="38" t="str">
        <f>IF(L29="","",VLOOKUP($L29,classifications!$C:$J,6,FALSE))</f>
        <v>Significant Rural</v>
      </c>
      <c r="Y29" s="26" t="b">
        <f t="shared" si="3"/>
        <v>0</v>
      </c>
      <c r="Z29" s="34" t="e">
        <f>IF(Y29="","",IF(I$8="A",(RANK(Y29,Y$11:Y$368,1)+COUNTIF(Y$11:Y29,Y29)-1),(RANK(Y29,Y$11:Y$368)+COUNTIF(Y$11:Y29,Y29)-1)))</f>
        <v>#N/A</v>
      </c>
      <c r="AA29" s="188" t="str">
        <f>IF(L29="","",VLOOKUP($L29,classifications!C:I,7,FALSE))</f>
        <v>Significant Rural</v>
      </c>
      <c r="AB29" s="184" t="str">
        <f t="shared" si="11"/>
        <v/>
      </c>
      <c r="AC29" s="184" t="str">
        <f>IF(AB29="","",IF($I$8="A",(RANK(AB29,AB$11:AB$368)+COUNTIF(AB$11:AB29,AB29)-1),(RANK(AB29,AB$11:AB$368,1)+COUNTIF(AB$11:AB29,AB29)-1)))</f>
        <v/>
      </c>
      <c r="AD29" s="184"/>
      <c r="AE29" s="28"/>
      <c r="AF29" s="1"/>
      <c r="AG29" s="96"/>
      <c r="AH29" s="29"/>
      <c r="AI29" s="38" t="str">
        <f>IF(L29="","",VLOOKUP($L29,classifications!$C:$J,8,FALSE))</f>
        <v>Leicestershire</v>
      </c>
      <c r="AJ29" s="39" t="str">
        <f t="shared" si="4"/>
        <v/>
      </c>
      <c r="AK29" s="34" t="str">
        <f>IF(AJ29="","",IF(I$8="A",(RANK(AJ29,AJ$11:AJ$368,1)+COUNTIF(AJ$11:AJ29,AJ29)-1),(RANK(AJ29,AJ$11:AJ$368)+COUNTIF(AJ$11:AJ29,AJ29)-1)))</f>
        <v/>
      </c>
      <c r="AL29" s="29" t="str">
        <f t="shared" si="13"/>
        <v/>
      </c>
      <c r="AM29" s="8" t="str">
        <f t="shared" si="5"/>
        <v/>
      </c>
      <c r="AN29" s="8" t="str">
        <f t="shared" si="14"/>
        <v/>
      </c>
      <c r="AP29" s="38" t="str">
        <f>IF(L29="","",VLOOKUP($L29,classifications!$C:$E,3,FALSE))</f>
        <v>East Midlands</v>
      </c>
      <c r="AQ29" s="39" t="str">
        <f t="shared" si="15"/>
        <v/>
      </c>
      <c r="AR29" s="34" t="str">
        <f>IF(AQ29="","",IF(I$8="A",(RANK(AQ29,AQ$11:AQ$368,1)+COUNTIF(AQ$11:AQ29,AQ29)-1),(RANK(AQ29,AQ$11:AQ$368)+COUNTIF(AQ$11:AQ29,AQ29)-1)))</f>
        <v/>
      </c>
      <c r="AS29" s="29" t="str">
        <f t="shared" si="16"/>
        <v/>
      </c>
      <c r="AT29" s="34" t="str">
        <f t="shared" si="6"/>
        <v/>
      </c>
      <c r="AU29" s="39" t="str">
        <f t="shared" si="17"/>
        <v/>
      </c>
      <c r="AX29" s="21">
        <f>HLOOKUP($AX$9&amp;$AX$10,Data!$A$1:$ZZ$2000,(MATCH($C29,Data!$A$1:$A$2000,0)),FALSE)</f>
        <v>8.915823999998544</v>
      </c>
      <c r="AY29" s="103"/>
      <c r="AZ29" s="21"/>
    </row>
    <row r="30" spans="1:52">
      <c r="A30" s="56" t="str">
        <f>$D$1&amp;20</f>
        <v>SC20</v>
      </c>
      <c r="B30" s="57">
        <f>IF(ISERROR(VLOOKUP(A30,classifications!A:C,3,FALSE)),0,VLOOKUP(A30,classifications!A:C,3,FALSE))</f>
        <v>0</v>
      </c>
      <c r="C30" s="8" t="s">
        <v>16</v>
      </c>
      <c r="D30" s="26" t="str">
        <f>VLOOKUP($C30,classifications!$C:$J,4,FALSE)</f>
        <v>SD</v>
      </c>
      <c r="E30" s="26">
        <f>VLOOKUP(C30,classifications!C:K,9,FALSE)</f>
        <v>0</v>
      </c>
      <c r="F30" s="36">
        <f t="shared" si="0"/>
        <v>15.59268834396117</v>
      </c>
      <c r="G30" s="71"/>
      <c r="H30" s="37" t="str">
        <f t="shared" si="1"/>
        <v/>
      </c>
      <c r="I30" s="77" t="str">
        <f>IF(H30="","",IF($I$8="A",(RANK(H30,H$11:H$368,1)+COUNTIF(H$11:H30,H30)-1),(RANK(H30,H$11:H$368)+COUNTIF(H$11:H30,H30)-1)))</f>
        <v/>
      </c>
      <c r="J30" s="35"/>
      <c r="K30" s="28">
        <f t="shared" si="7"/>
        <v>20</v>
      </c>
      <c r="L30" s="36" t="str">
        <f t="shared" si="2"/>
        <v>Essex</v>
      </c>
      <c r="M30" s="102">
        <f t="shared" si="22"/>
        <v>14.894377995293434</v>
      </c>
      <c r="N30" s="101">
        <f t="shared" si="23"/>
        <v>14.894377995293434</v>
      </c>
      <c r="O30" s="94" t="str">
        <f t="shared" si="8"/>
        <v/>
      </c>
      <c r="P30" s="94" t="str">
        <f t="shared" si="18"/>
        <v/>
      </c>
      <c r="Q30" s="94">
        <f t="shared" si="19"/>
        <v>14.894377995293434</v>
      </c>
      <c r="R30" s="90" t="str">
        <f t="shared" si="20"/>
        <v/>
      </c>
      <c r="S30" s="37" t="str">
        <f t="shared" si="9"/>
        <v/>
      </c>
      <c r="T30" s="176" t="str">
        <f>IF(L30="","",VLOOKUP(L30,classifications!C:K,9,FALSE))</f>
        <v>Sparse</v>
      </c>
      <c r="U30" s="183">
        <f t="shared" si="10"/>
        <v>14.894377995293434</v>
      </c>
      <c r="V30" s="184">
        <f>IF(U30="","",IF($I$8="A",(RANK(U30,U$11:U$368)+COUNTIF(U$11:U30,U30)-1),(RANK(U30,U$11:U$368,1)+COUNTIF(U$11:U30,U30)-1)))</f>
        <v>6</v>
      </c>
      <c r="W30" s="185"/>
      <c r="X30" s="38" t="str">
        <f>IF(L30="","",VLOOKUP($L30,classifications!$C:$J,6,FALSE))</f>
        <v>Significant Rural</v>
      </c>
      <c r="Y30" s="26" t="b">
        <f t="shared" si="3"/>
        <v>0</v>
      </c>
      <c r="Z30" s="34" t="e">
        <f>IF(Y30="","",IF(I$8="A",(RANK(Y30,Y$11:Y$368,1)+COUNTIF(Y$11:Y30,Y30)-1),(RANK(Y30,Y$11:Y$368)+COUNTIF(Y$11:Y30,Y30)-1)))</f>
        <v>#N/A</v>
      </c>
      <c r="AA30" s="188" t="str">
        <f>IF(L30="","",VLOOKUP($L30,classifications!C:I,7,FALSE))</f>
        <v>Significant Rural</v>
      </c>
      <c r="AB30" s="184" t="str">
        <f t="shared" si="11"/>
        <v/>
      </c>
      <c r="AC30" s="184" t="str">
        <f>IF(AB30="","",IF($I$8="A",(RANK(AB30,AB$11:AB$368)+COUNTIF(AB$11:AB30,AB30)-1),(RANK(AB30,AB$11:AB$368,1)+COUNTIF(AB$11:AB30,AB30)-1)))</f>
        <v/>
      </c>
      <c r="AD30" s="184"/>
      <c r="AE30" s="28"/>
      <c r="AF30" s="1"/>
      <c r="AG30" s="96"/>
      <c r="AH30" s="29"/>
      <c r="AI30" s="38" t="str">
        <f>IF(L30="","",VLOOKUP($L30,classifications!$C:$J,8,FALSE))</f>
        <v>Essex</v>
      </c>
      <c r="AJ30" s="39" t="str">
        <f t="shared" si="4"/>
        <v/>
      </c>
      <c r="AK30" s="34" t="str">
        <f>IF(AJ30="","",IF(I$8="A",(RANK(AJ30,AJ$11:AJ$368,1)+COUNTIF(AJ$11:AJ30,AJ30)-1),(RANK(AJ30,AJ$11:AJ$368)+COUNTIF(AJ$11:AJ30,AJ30)-1)))</f>
        <v/>
      </c>
      <c r="AL30" s="29" t="str">
        <f t="shared" si="13"/>
        <v/>
      </c>
      <c r="AM30" s="8" t="str">
        <f t="shared" si="5"/>
        <v/>
      </c>
      <c r="AN30" s="8" t="str">
        <f t="shared" si="14"/>
        <v/>
      </c>
      <c r="AP30" s="38" t="str">
        <f>IF(L30="","",VLOOKUP($L30,classifications!$C:$E,3,FALSE))</f>
        <v>East of England</v>
      </c>
      <c r="AQ30" s="39" t="str">
        <f t="shared" si="15"/>
        <v/>
      </c>
      <c r="AR30" s="34" t="str">
        <f>IF(AQ30="","",IF(I$8="A",(RANK(AQ30,AQ$11:AQ$368,1)+COUNTIF(AQ$11:AQ30,AQ30)-1),(RANK(AQ30,AQ$11:AQ$368)+COUNTIF(AQ$11:AQ30,AQ30)-1)))</f>
        <v/>
      </c>
      <c r="AS30" s="29" t="str">
        <f t="shared" si="16"/>
        <v/>
      </c>
      <c r="AT30" s="34" t="str">
        <f t="shared" si="6"/>
        <v/>
      </c>
      <c r="AU30" s="39" t="str">
        <f t="shared" si="17"/>
        <v/>
      </c>
      <c r="AX30" s="21">
        <f>HLOOKUP($AX$9&amp;$AX$10,Data!$A$1:$ZZ$2000,(MATCH($C30,Data!$A$1:$A$2000,0)),FALSE)</f>
        <v>15.59268834396117</v>
      </c>
      <c r="AY30" s="103"/>
      <c r="AZ30" s="21"/>
    </row>
    <row r="31" spans="1:52">
      <c r="A31" s="56" t="str">
        <f>$D$1&amp;21</f>
        <v>SC21</v>
      </c>
      <c r="B31" s="57">
        <f>IF(ISERROR(VLOOKUP(A31,classifications!A:C,3,FALSE)),0,VLOOKUP(A31,classifications!A:C,3,FALSE))</f>
        <v>0</v>
      </c>
      <c r="C31" s="8" t="s">
        <v>260</v>
      </c>
      <c r="D31" s="26" t="str">
        <f>VLOOKUP($C31,classifications!$C:$J,4,FALSE)</f>
        <v>UA</v>
      </c>
      <c r="E31" s="26">
        <f>VLOOKUP(C31,classifications!C:K,9,FALSE)</f>
        <v>0</v>
      </c>
      <c r="F31" s="36">
        <f t="shared" si="0"/>
        <v>9.5744744527282606</v>
      </c>
      <c r="G31" s="71"/>
      <c r="H31" s="37" t="str">
        <f t="shared" si="1"/>
        <v/>
      </c>
      <c r="I31" s="77" t="str">
        <f>IF(H31="","",IF($I$8="A",(RANK(H31,H$11:H$368,1)+COUNTIF(H$11:H31,H31)-1),(RANK(H31,H$11:H$368)+COUNTIF(H$11:H31,H31)-1)))</f>
        <v/>
      </c>
      <c r="J31" s="35"/>
      <c r="K31" s="28">
        <f t="shared" si="7"/>
        <v>21</v>
      </c>
      <c r="L31" s="36" t="str">
        <f t="shared" si="2"/>
        <v>Worcestershire</v>
      </c>
      <c r="M31" s="102">
        <f t="shared" si="22"/>
        <v>14.778256892169054</v>
      </c>
      <c r="N31" s="101">
        <f t="shared" si="23"/>
        <v>14.778256892169054</v>
      </c>
      <c r="O31" s="94" t="str">
        <f t="shared" si="8"/>
        <v/>
      </c>
      <c r="P31" s="94" t="str">
        <f t="shared" si="18"/>
        <v/>
      </c>
      <c r="Q31" s="94" t="str">
        <f t="shared" si="19"/>
        <v/>
      </c>
      <c r="R31" s="90">
        <f t="shared" si="20"/>
        <v>14.778256892169054</v>
      </c>
      <c r="S31" s="37" t="str">
        <f t="shared" si="9"/>
        <v/>
      </c>
      <c r="T31" s="176" t="str">
        <f>IF(L31="","",VLOOKUP(L31,classifications!C:K,9,FALSE))</f>
        <v>Sparse</v>
      </c>
      <c r="U31" s="183">
        <f t="shared" si="10"/>
        <v>14.778256892169054</v>
      </c>
      <c r="V31" s="184">
        <f>IF(U31="","",IF($I$8="A",(RANK(U31,U$11:U$368)+COUNTIF(U$11:U31,U31)-1),(RANK(U31,U$11:U$368,1)+COUNTIF(U$11:U31,U31)-1)))</f>
        <v>5</v>
      </c>
      <c r="W31" s="185"/>
      <c r="X31" s="38" t="str">
        <f>IF(L31="","",VLOOKUP($L31,classifications!$C:$J,6,FALSE))</f>
        <v>Significant Rural</v>
      </c>
      <c r="Y31" s="26" t="b">
        <f t="shared" si="3"/>
        <v>0</v>
      </c>
      <c r="Z31" s="34" t="e">
        <f>IF(Y31="","",IF(I$8="A",(RANK(Y31,Y$11:Y$368,1)+COUNTIF(Y$11:Y31,Y31)-1),(RANK(Y31,Y$11:Y$368)+COUNTIF(Y$11:Y31,Y31)-1)))</f>
        <v>#N/A</v>
      </c>
      <c r="AA31" s="188" t="str">
        <f>IF(L31="","",VLOOKUP($L31,classifications!C:I,7,FALSE))</f>
        <v>Significant Rural</v>
      </c>
      <c r="AB31" s="184" t="str">
        <f t="shared" si="11"/>
        <v/>
      </c>
      <c r="AC31" s="184" t="str">
        <f>IF(AB31="","",IF($I$8="A",(RANK(AB31,AB$11:AB$368)+COUNTIF(AB$11:AB31,AB31)-1),(RANK(AB31,AB$11:AB$368,1)+COUNTIF(AB$11:AB31,AB31)-1)))</f>
        <v/>
      </c>
      <c r="AD31" s="184"/>
      <c r="AE31" s="28"/>
      <c r="AF31" s="1"/>
      <c r="AG31" s="96"/>
      <c r="AH31" s="29"/>
      <c r="AI31" s="38" t="str">
        <f>IF(L31="","",VLOOKUP($L31,classifications!$C:$J,8,FALSE))</f>
        <v>Worcestershire</v>
      </c>
      <c r="AJ31" s="39" t="str">
        <f t="shared" si="4"/>
        <v/>
      </c>
      <c r="AK31" s="34" t="str">
        <f>IF(AJ31="","",IF(I$8="A",(RANK(AJ31,AJ$11:AJ$368,1)+COUNTIF(AJ$11:AJ31,AJ31)-1),(RANK(AJ31,AJ$11:AJ$368)+COUNTIF(AJ$11:AJ31,AJ31)-1)))</f>
        <v/>
      </c>
      <c r="AL31" s="29" t="str">
        <f t="shared" si="13"/>
        <v/>
      </c>
      <c r="AM31" s="8" t="str">
        <f t="shared" si="5"/>
        <v/>
      </c>
      <c r="AN31" s="8" t="str">
        <f t="shared" si="14"/>
        <v/>
      </c>
      <c r="AP31" s="38" t="str">
        <f>IF(L31="","",VLOOKUP($L31,classifications!$C:$E,3,FALSE))</f>
        <v>West Midlands</v>
      </c>
      <c r="AQ31" s="39" t="str">
        <f t="shared" si="15"/>
        <v/>
      </c>
      <c r="AR31" s="34" t="str">
        <f>IF(AQ31="","",IF(I$8="A",(RANK(AQ31,AQ$11:AQ$368,1)+COUNTIF(AQ$11:AQ31,AQ31)-1),(RANK(AQ31,AQ$11:AQ$368)+COUNTIF(AQ$11:AQ31,AQ31)-1)))</f>
        <v/>
      </c>
      <c r="AS31" s="29" t="str">
        <f t="shared" si="16"/>
        <v/>
      </c>
      <c r="AT31" s="34" t="str">
        <f t="shared" si="6"/>
        <v/>
      </c>
      <c r="AU31" s="39" t="str">
        <f t="shared" si="17"/>
        <v/>
      </c>
      <c r="AX31" s="21">
        <f>HLOOKUP($AX$9&amp;$AX$10,Data!$A$1:$ZZ$2000,(MATCH($C31,Data!$A$1:$A$2000,0)),FALSE)</f>
        <v>9.5744744527282606</v>
      </c>
      <c r="AY31" s="103"/>
      <c r="AZ31" s="21"/>
    </row>
    <row r="32" spans="1:52">
      <c r="A32" s="56" t="str">
        <f>$D$1&amp;22</f>
        <v>SC22</v>
      </c>
      <c r="B32" s="57">
        <f>IF(ISERROR(VLOOKUP(A32,classifications!A:C,3,FALSE)),0,VLOOKUP(A32,classifications!A:C,3,FALSE))</f>
        <v>0</v>
      </c>
      <c r="C32" s="8" t="s">
        <v>261</v>
      </c>
      <c r="D32" s="26" t="str">
        <f>VLOOKUP($C32,classifications!$C:$J,4,FALSE)</f>
        <v>UA</v>
      </c>
      <c r="E32" s="26">
        <f>VLOOKUP(C32,classifications!C:K,9,FALSE)</f>
        <v>0</v>
      </c>
      <c r="F32" s="36">
        <f t="shared" si="0"/>
        <v>16.689668699331779</v>
      </c>
      <c r="G32" s="71"/>
      <c r="H32" s="37" t="str">
        <f t="shared" si="1"/>
        <v/>
      </c>
      <c r="I32" s="77" t="str">
        <f>IF(H32="","",IF($I$8="A",(RANK(H32,H$11:H$368,1)+COUNTIF(H$11:H32,H32)-1),(RANK(H32,H$11:H$368)+COUNTIF(H$11:H32,H32)-1)))</f>
        <v/>
      </c>
      <c r="J32" s="35"/>
      <c r="K32" s="28">
        <f t="shared" si="7"/>
        <v>22</v>
      </c>
      <c r="L32" s="36" t="str">
        <f t="shared" si="2"/>
        <v>Derbyshire</v>
      </c>
      <c r="M32" s="102">
        <f t="shared" si="22"/>
        <v>13.91293811582649</v>
      </c>
      <c r="N32" s="101">
        <f t="shared" si="23"/>
        <v>13.91293811582649</v>
      </c>
      <c r="O32" s="94" t="str">
        <f t="shared" si="8"/>
        <v/>
      </c>
      <c r="P32" s="94" t="str">
        <f t="shared" si="18"/>
        <v/>
      </c>
      <c r="Q32" s="94" t="str">
        <f t="shared" si="19"/>
        <v/>
      </c>
      <c r="R32" s="90">
        <f t="shared" si="20"/>
        <v>13.91293811582649</v>
      </c>
      <c r="S32" s="37" t="str">
        <f t="shared" si="9"/>
        <v/>
      </c>
      <c r="T32" s="176" t="str">
        <f>IF(L32="","",VLOOKUP(L32,classifications!C:K,9,FALSE))</f>
        <v>Sparse</v>
      </c>
      <c r="U32" s="183">
        <f t="shared" si="10"/>
        <v>13.91293811582649</v>
      </c>
      <c r="V32" s="184">
        <f>IF(U32="","",IF($I$8="A",(RANK(U32,U$11:U$368)+COUNTIF(U$11:U32,U32)-1),(RANK(U32,U$11:U$368,1)+COUNTIF(U$11:U32,U32)-1)))</f>
        <v>4</v>
      </c>
      <c r="W32" s="185"/>
      <c r="X32" s="38" t="str">
        <f>IF(L32="","",VLOOKUP($L32,classifications!$C:$J,6,FALSE))</f>
        <v>Significant Rural</v>
      </c>
      <c r="Y32" s="26" t="b">
        <f t="shared" si="3"/>
        <v>0</v>
      </c>
      <c r="Z32" s="34" t="e">
        <f>IF(Y32="","",IF(I$8="A",(RANK(Y32,Y$11:Y$368,1)+COUNTIF(Y$11:Y32,Y32)-1),(RANK(Y32,Y$11:Y$368)+COUNTIF(Y$11:Y32,Y32)-1)))</f>
        <v>#N/A</v>
      </c>
      <c r="AA32" s="188" t="str">
        <f>IF(L32="","",VLOOKUP($L32,classifications!C:I,7,FALSE))</f>
        <v>Significant Rural</v>
      </c>
      <c r="AB32" s="184" t="str">
        <f t="shared" si="11"/>
        <v/>
      </c>
      <c r="AC32" s="184" t="str">
        <f>IF(AB32="","",IF($I$8="A",(RANK(AB32,AB$11:AB$368)+COUNTIF(AB$11:AB32,AB32)-1),(RANK(AB32,AB$11:AB$368,1)+COUNTIF(AB$11:AB32,AB32)-1)))</f>
        <v/>
      </c>
      <c r="AD32" s="184"/>
      <c r="AE32" s="28"/>
      <c r="AG32" s="96"/>
      <c r="AH32" s="29"/>
      <c r="AI32" s="38" t="str">
        <f>IF(L32="","",VLOOKUP($L32,classifications!$C:$J,8,FALSE))</f>
        <v>Derbyshire</v>
      </c>
      <c r="AJ32" s="39" t="str">
        <f t="shared" si="4"/>
        <v/>
      </c>
      <c r="AK32" s="34" t="str">
        <f>IF(AJ32="","",IF(I$8="A",(RANK(AJ32,AJ$11:AJ$368,1)+COUNTIF(AJ$11:AJ32,AJ32)-1),(RANK(AJ32,AJ$11:AJ$368)+COUNTIF(AJ$11:AJ32,AJ32)-1)))</f>
        <v/>
      </c>
      <c r="AL32" s="29" t="str">
        <f t="shared" si="13"/>
        <v/>
      </c>
      <c r="AM32" s="8" t="str">
        <f t="shared" si="5"/>
        <v/>
      </c>
      <c r="AN32" s="8" t="str">
        <f t="shared" si="14"/>
        <v/>
      </c>
      <c r="AP32" s="38" t="str">
        <f>IF(L32="","",VLOOKUP($L32,classifications!$C:$E,3,FALSE))</f>
        <v>East Midlands</v>
      </c>
      <c r="AQ32" s="39" t="str">
        <f t="shared" si="15"/>
        <v/>
      </c>
      <c r="AR32" s="34" t="str">
        <f>IF(AQ32="","",IF(I$8="A",(RANK(AQ32,AQ$11:AQ$368,1)+COUNTIF(AQ$11:AQ32,AQ32)-1),(RANK(AQ32,AQ$11:AQ$368)+COUNTIF(AQ$11:AQ32,AQ32)-1)))</f>
        <v/>
      </c>
      <c r="AS32" s="29" t="str">
        <f t="shared" si="16"/>
        <v/>
      </c>
      <c r="AT32" s="34" t="str">
        <f t="shared" si="6"/>
        <v/>
      </c>
      <c r="AU32" s="39" t="str">
        <f t="shared" si="17"/>
        <v/>
      </c>
      <c r="AX32" s="21">
        <f>HLOOKUP($AX$9&amp;$AX$10,Data!$A$1:$ZZ$2000,(MATCH($C32,Data!$A$1:$A$2000,0)),FALSE)</f>
        <v>16.689668699331779</v>
      </c>
      <c r="AY32" s="103"/>
      <c r="AZ32" s="21"/>
    </row>
    <row r="33" spans="1:52">
      <c r="A33" s="56" t="str">
        <f>$D$1&amp;23</f>
        <v>SC23</v>
      </c>
      <c r="B33" s="57">
        <f>IF(ISERROR(VLOOKUP(A33,classifications!A:C,3,FALSE)),0,VLOOKUP(A33,classifications!A:C,3,FALSE))</f>
        <v>0</v>
      </c>
      <c r="C33" s="8" t="s">
        <v>17</v>
      </c>
      <c r="D33" s="26" t="str">
        <f>VLOOKUP($C33,classifications!$C:$J,4,FALSE)</f>
        <v>SD</v>
      </c>
      <c r="E33" s="26">
        <f>VLOOKUP(C33,classifications!C:K,9,FALSE)</f>
        <v>0</v>
      </c>
      <c r="F33" s="36">
        <f t="shared" si="0"/>
        <v>10.370491390965189</v>
      </c>
      <c r="G33" s="71"/>
      <c r="H33" s="37" t="str">
        <f t="shared" si="1"/>
        <v/>
      </c>
      <c r="I33" s="77" t="str">
        <f>IF(H33="","",IF($I$8="A",(RANK(H33,H$11:H$368,1)+COUNTIF(H$11:H33,H33)-1),(RANK(H33,H$11:H$368)+COUNTIF(H$11:H33,H33)-1)))</f>
        <v/>
      </c>
      <c r="J33" s="35"/>
      <c r="K33" s="28">
        <f t="shared" si="7"/>
        <v>23</v>
      </c>
      <c r="L33" s="36" t="str">
        <f t="shared" si="2"/>
        <v>East Sussex</v>
      </c>
      <c r="M33" s="102">
        <f t="shared" si="22"/>
        <v>13.818832595268283</v>
      </c>
      <c r="N33" s="101">
        <f t="shared" si="23"/>
        <v>13.818832595268283</v>
      </c>
      <c r="O33" s="94" t="str">
        <f t="shared" si="8"/>
        <v/>
      </c>
      <c r="P33" s="94" t="str">
        <f t="shared" si="18"/>
        <v/>
      </c>
      <c r="Q33" s="94" t="str">
        <f t="shared" si="19"/>
        <v/>
      </c>
      <c r="R33" s="90">
        <f t="shared" si="20"/>
        <v>13.818832595268283</v>
      </c>
      <c r="S33" s="37" t="str">
        <f t="shared" si="9"/>
        <v/>
      </c>
      <c r="T33" s="176" t="str">
        <f>IF(L33="","",VLOOKUP(L33,classifications!C:K,9,FALSE))</f>
        <v>Sparse</v>
      </c>
      <c r="U33" s="183">
        <f t="shared" si="10"/>
        <v>13.818832595268283</v>
      </c>
      <c r="V33" s="184">
        <f>IF(U33="","",IF($I$8="A",(RANK(U33,U$11:U$368)+COUNTIF(U$11:U33,U33)-1),(RANK(U33,U$11:U$368,1)+COUNTIF(U$11:U33,U33)-1)))</f>
        <v>3</v>
      </c>
      <c r="W33" s="185"/>
      <c r="X33" s="38" t="str">
        <f>IF(L33="","",VLOOKUP($L33,classifications!$C:$J,6,FALSE))</f>
        <v>Significant Rural</v>
      </c>
      <c r="Y33" s="26" t="b">
        <f t="shared" si="3"/>
        <v>0</v>
      </c>
      <c r="Z33" s="34" t="e">
        <f>IF(Y33="","",IF(I$8="A",(RANK(Y33,Y$11:Y$368,1)+COUNTIF(Y$11:Y33,Y33)-1),(RANK(Y33,Y$11:Y$368)+COUNTIF(Y$11:Y33,Y33)-1)))</f>
        <v>#N/A</v>
      </c>
      <c r="AA33" s="188" t="str">
        <f>IF(L33="","",VLOOKUP($L33,classifications!C:I,7,FALSE))</f>
        <v>Significant Rural</v>
      </c>
      <c r="AB33" s="184" t="str">
        <f t="shared" si="11"/>
        <v/>
      </c>
      <c r="AC33" s="184" t="str">
        <f>IF(AB33="","",IF($I$8="A",(RANK(AB33,AB$11:AB$368)+COUNTIF(AB$11:AB33,AB33)-1),(RANK(AB33,AB$11:AB$368,1)+COUNTIF(AB$11:AB33,AB33)-1)))</f>
        <v/>
      </c>
      <c r="AD33" s="184"/>
      <c r="AE33" s="28"/>
      <c r="AG33" s="96"/>
      <c r="AH33" s="29"/>
      <c r="AI33" s="38" t="str">
        <f>IF(L33="","",VLOOKUP($L33,classifications!$C:$J,8,FALSE))</f>
        <v>East Sussex</v>
      </c>
      <c r="AJ33" s="39" t="str">
        <f t="shared" si="4"/>
        <v/>
      </c>
      <c r="AK33" s="34" t="str">
        <f>IF(AJ33="","",IF(I$8="A",(RANK(AJ33,AJ$11:AJ$368,1)+COUNTIF(AJ$11:AJ33,AJ33)-1),(RANK(AJ33,AJ$11:AJ$368)+COUNTIF(AJ$11:AJ33,AJ33)-1)))</f>
        <v/>
      </c>
      <c r="AL33" s="29" t="str">
        <f t="shared" si="13"/>
        <v/>
      </c>
      <c r="AM33" s="8" t="str">
        <f t="shared" si="5"/>
        <v/>
      </c>
      <c r="AN33" s="8" t="str">
        <f t="shared" si="14"/>
        <v/>
      </c>
      <c r="AP33" s="38" t="str">
        <f>IF(L33="","",VLOOKUP($L33,classifications!$C:$E,3,FALSE))</f>
        <v>South East</v>
      </c>
      <c r="AQ33" s="39" t="str">
        <f t="shared" si="15"/>
        <v/>
      </c>
      <c r="AR33" s="34" t="str">
        <f>IF(AQ33="","",IF(I$8="A",(RANK(AQ33,AQ$11:AQ$368,1)+COUNTIF(AQ$11:AQ33,AQ33)-1),(RANK(AQ33,AQ$11:AQ$368)+COUNTIF(AQ$11:AQ33,AQ33)-1)))</f>
        <v/>
      </c>
      <c r="AS33" s="29" t="str">
        <f t="shared" si="16"/>
        <v/>
      </c>
      <c r="AT33" s="34" t="str">
        <f t="shared" si="6"/>
        <v/>
      </c>
      <c r="AU33" s="39" t="str">
        <f t="shared" si="17"/>
        <v/>
      </c>
      <c r="AX33" s="21">
        <f>HLOOKUP($AX$9&amp;$AX$10,Data!$A$1:$ZZ$2000,(MATCH($C33,Data!$A$1:$A$2000,0)),FALSE)</f>
        <v>10.370491390965189</v>
      </c>
      <c r="AY33" s="103"/>
      <c r="AZ33" s="21"/>
    </row>
    <row r="34" spans="1:52">
      <c r="A34" s="56" t="str">
        <f>$D$1&amp;24</f>
        <v>SC24</v>
      </c>
      <c r="B34" s="57">
        <f>IF(ISERROR(VLOOKUP(A34,classifications!A:C,3,FALSE)),0,VLOOKUP(A34,classifications!A:C,3,FALSE))</f>
        <v>0</v>
      </c>
      <c r="C34" s="8" t="s">
        <v>224</v>
      </c>
      <c r="D34" s="26" t="str">
        <f>VLOOKUP($C34,classifications!$C:$J,4,FALSE)</f>
        <v>MD</v>
      </c>
      <c r="E34" s="26">
        <f>VLOOKUP(C34,classifications!C:K,9,FALSE)</f>
        <v>0</v>
      </c>
      <c r="F34" s="36">
        <f t="shared" si="0"/>
        <v>7.3055113461282533</v>
      </c>
      <c r="G34" s="71"/>
      <c r="H34" s="37" t="str">
        <f t="shared" si="1"/>
        <v/>
      </c>
      <c r="I34" s="77" t="str">
        <f>IF(H34="","",IF($I$8="A",(RANK(H34,H$11:H$368,1)+COUNTIF(H$11:H34,H34)-1),(RANK(H34,H$11:H$368)+COUNTIF(H$11:H34,H34)-1)))</f>
        <v/>
      </c>
      <c r="J34" s="35"/>
      <c r="K34" s="28">
        <f t="shared" si="7"/>
        <v>24</v>
      </c>
      <c r="L34" s="36" t="str">
        <f t="shared" si="2"/>
        <v>Northamptonshire</v>
      </c>
      <c r="M34" s="102">
        <f t="shared" si="22"/>
        <v>13.772899630201854</v>
      </c>
      <c r="N34" s="101">
        <f t="shared" si="23"/>
        <v>13.772899630201854</v>
      </c>
      <c r="O34" s="94" t="str">
        <f t="shared" si="8"/>
        <v/>
      </c>
      <c r="P34" s="94" t="str">
        <f t="shared" si="18"/>
        <v/>
      </c>
      <c r="Q34" s="94" t="str">
        <f t="shared" si="19"/>
        <v/>
      </c>
      <c r="R34" s="90">
        <f t="shared" si="20"/>
        <v>13.772899630201854</v>
      </c>
      <c r="S34" s="37" t="str">
        <f t="shared" si="9"/>
        <v/>
      </c>
      <c r="T34" s="176">
        <f>IF(L34="","",VLOOKUP(L34,classifications!C:K,9,FALSE))</f>
        <v>0</v>
      </c>
      <c r="U34" s="183" t="str">
        <f t="shared" si="10"/>
        <v/>
      </c>
      <c r="V34" s="184" t="str">
        <f>IF(U34="","",IF($I$8="A",(RANK(U34,U$11:U$368)+COUNTIF(U$11:U34,U34)-1),(RANK(U34,U$11:U$368,1)+COUNTIF(U$11:U34,U34)-1)))</f>
        <v/>
      </c>
      <c r="W34" s="185"/>
      <c r="X34" s="38" t="str">
        <f>IF(L34="","",VLOOKUP($L34,classifications!$C:$J,6,FALSE))</f>
        <v>Significant Rural</v>
      </c>
      <c r="Y34" s="26" t="b">
        <f t="shared" si="3"/>
        <v>0</v>
      </c>
      <c r="Z34" s="34" t="e">
        <f>IF(Y34="","",IF(I$8="A",(RANK(Y34,Y$11:Y$368,1)+COUNTIF(Y$11:Y34,Y34)-1),(RANK(Y34,Y$11:Y$368)+COUNTIF(Y$11:Y34,Y34)-1)))</f>
        <v>#N/A</v>
      </c>
      <c r="AA34" s="188" t="str">
        <f>IF(L34="","",VLOOKUP($L34,classifications!C:I,7,FALSE))</f>
        <v>Significant Rural</v>
      </c>
      <c r="AB34" s="184" t="str">
        <f t="shared" si="11"/>
        <v/>
      </c>
      <c r="AC34" s="184" t="str">
        <f>IF(AB34="","",IF($I$8="A",(RANK(AB34,AB$11:AB$368)+COUNTIF(AB$11:AB34,AB34)-1),(RANK(AB34,AB$11:AB$368,1)+COUNTIF(AB$11:AB34,AB34)-1)))</f>
        <v/>
      </c>
      <c r="AD34" s="184"/>
      <c r="AE34" s="28"/>
      <c r="AG34" s="96"/>
      <c r="AH34" s="29"/>
      <c r="AI34" s="38" t="str">
        <f>IF(L34="","",VLOOKUP($L34,classifications!$C:$J,8,FALSE))</f>
        <v>Northamptonshire</v>
      </c>
      <c r="AJ34" s="39" t="str">
        <f t="shared" si="4"/>
        <v/>
      </c>
      <c r="AK34" s="34" t="str">
        <f>IF(AJ34="","",IF(I$8="A",(RANK(AJ34,AJ$11:AJ$368,1)+COUNTIF(AJ$11:AJ34,AJ34)-1),(RANK(AJ34,AJ$11:AJ$368)+COUNTIF(AJ$11:AJ34,AJ34)-1)))</f>
        <v/>
      </c>
      <c r="AL34" s="29" t="str">
        <f t="shared" si="13"/>
        <v/>
      </c>
      <c r="AM34" s="8" t="str">
        <f t="shared" si="5"/>
        <v/>
      </c>
      <c r="AN34" s="8" t="str">
        <f t="shared" si="14"/>
        <v/>
      </c>
      <c r="AP34" s="38" t="str">
        <f>IF(L34="","",VLOOKUP($L34,classifications!$C:$E,3,FALSE))</f>
        <v>East Midlands</v>
      </c>
      <c r="AQ34" s="39" t="str">
        <f t="shared" si="15"/>
        <v/>
      </c>
      <c r="AR34" s="34" t="str">
        <f>IF(AQ34="","",IF(I$8="A",(RANK(AQ34,AQ$11:AQ$368,1)+COUNTIF(AQ$11:AQ34,AQ34)-1),(RANK(AQ34,AQ$11:AQ$368)+COUNTIF(AQ$11:AQ34,AQ34)-1)))</f>
        <v/>
      </c>
      <c r="AS34" s="29" t="str">
        <f t="shared" si="16"/>
        <v/>
      </c>
      <c r="AT34" s="34" t="str">
        <f t="shared" si="6"/>
        <v/>
      </c>
      <c r="AU34" s="39" t="str">
        <f t="shared" si="17"/>
        <v/>
      </c>
      <c r="AX34" s="21">
        <f>HLOOKUP($AX$9&amp;$AX$10,Data!$A$1:$ZZ$2000,(MATCH($C34,Data!$A$1:$A$2000,0)),FALSE)</f>
        <v>7.3055113461282533</v>
      </c>
      <c r="AY34" s="103"/>
      <c r="AZ34" s="21"/>
    </row>
    <row r="35" spans="1:52">
      <c r="A35" s="56" t="str">
        <f>$D$1&amp;25</f>
        <v>SC25</v>
      </c>
      <c r="B35" s="57">
        <f>IF(ISERROR(VLOOKUP(A35,classifications!A:C,3,FALSE)),0,VLOOKUP(A35,classifications!A:C,3,FALSE))</f>
        <v>0</v>
      </c>
      <c r="C35" s="8" t="s">
        <v>18</v>
      </c>
      <c r="D35" s="26" t="str">
        <f>VLOOKUP($C35,classifications!$C:$J,4,FALSE)</f>
        <v>SD</v>
      </c>
      <c r="E35" s="26" t="str">
        <f>VLOOKUP(C35,classifications!C:K,9,FALSE)</f>
        <v>Sparse</v>
      </c>
      <c r="F35" s="36">
        <f t="shared" si="0"/>
        <v>24.043796902288534</v>
      </c>
      <c r="G35" s="71"/>
      <c r="H35" s="37" t="str">
        <f t="shared" si="1"/>
        <v/>
      </c>
      <c r="I35" s="77" t="str">
        <f>IF(H35="","",IF($I$8="A",(RANK(H35,H$11:H$368,1)+COUNTIF(H$11:H35,H35)-1),(RANK(H35,H$11:H$368)+COUNTIF(H$11:H35,H35)-1)))</f>
        <v/>
      </c>
      <c r="J35" s="35"/>
      <c r="K35" s="28">
        <f t="shared" si="7"/>
        <v>25</v>
      </c>
      <c r="L35" s="36" t="str">
        <f t="shared" si="2"/>
        <v>Lancashire</v>
      </c>
      <c r="M35" s="102">
        <f t="shared" si="22"/>
        <v>13.756921881703718</v>
      </c>
      <c r="N35" s="101">
        <f t="shared" si="23"/>
        <v>13.756921881703718</v>
      </c>
      <c r="O35" s="94" t="str">
        <f t="shared" si="8"/>
        <v/>
      </c>
      <c r="P35" s="94" t="str">
        <f t="shared" si="18"/>
        <v/>
      </c>
      <c r="Q35" s="94" t="str">
        <f t="shared" si="19"/>
        <v/>
      </c>
      <c r="R35" s="90">
        <f t="shared" si="20"/>
        <v>13.756921881703718</v>
      </c>
      <c r="S35" s="37" t="str">
        <f t="shared" si="9"/>
        <v/>
      </c>
      <c r="T35" s="176" t="str">
        <f>IF(L35="","",VLOOKUP(L35,classifications!C:K,9,FALSE))</f>
        <v>Sparse</v>
      </c>
      <c r="U35" s="183">
        <f t="shared" si="10"/>
        <v>13.756921881703718</v>
      </c>
      <c r="V35" s="184">
        <f>IF(U35="","",IF($I$8="A",(RANK(U35,U$11:U$368)+COUNTIF(U$11:U35,U35)-1),(RANK(U35,U$11:U$368,1)+COUNTIF(U$11:U35,U35)-1)))</f>
        <v>2</v>
      </c>
      <c r="W35" s="185"/>
      <c r="X35" s="38" t="str">
        <f>IF(L35="","",VLOOKUP($L35,classifications!$C:$J,6,FALSE))</f>
        <v>Significant Rural</v>
      </c>
      <c r="Y35" s="26" t="b">
        <f t="shared" si="3"/>
        <v>0</v>
      </c>
      <c r="Z35" s="34" t="e">
        <f>IF(Y35="","",IF(I$8="A",(RANK(Y35,Y$11:Y$368,1)+COUNTIF(Y$11:Y35,Y35)-1),(RANK(Y35,Y$11:Y$368)+COUNTIF(Y$11:Y35,Y35)-1)))</f>
        <v>#N/A</v>
      </c>
      <c r="AA35" s="188" t="str">
        <f>IF(L35="","",VLOOKUP($L35,classifications!C:I,7,FALSE))</f>
        <v>Significant Rural</v>
      </c>
      <c r="AB35" s="184" t="str">
        <f t="shared" si="11"/>
        <v/>
      </c>
      <c r="AC35" s="184" t="str">
        <f>IF(AB35="","",IF($I$8="A",(RANK(AB35,AB$11:AB$368)+COUNTIF(AB$11:AB35,AB35)-1),(RANK(AB35,AB$11:AB$368,1)+COUNTIF(AB$11:AB35,AB35)-1)))</f>
        <v/>
      </c>
      <c r="AD35" s="184"/>
      <c r="AE35" s="28" t="str">
        <f t="shared" ref="AE35:AE98" si="24">IF(AE34="","",IF(AE34+1&gt;(COUNT(AG:AG)),"",AE34+1))</f>
        <v/>
      </c>
      <c r="AG35" s="96"/>
      <c r="AH35" s="29"/>
      <c r="AI35" s="38" t="str">
        <f>IF(L35="","",VLOOKUP($L35,classifications!$C:$J,8,FALSE))</f>
        <v>Lancashire</v>
      </c>
      <c r="AJ35" s="39" t="str">
        <f t="shared" si="4"/>
        <v/>
      </c>
      <c r="AK35" s="34" t="str">
        <f>IF(AJ35="","",IF(I$8="A",(RANK(AJ35,AJ$11:AJ$368,1)+COUNTIF(AJ$11:AJ35,AJ35)-1),(RANK(AJ35,AJ$11:AJ$368)+COUNTIF(AJ$11:AJ35,AJ35)-1)))</f>
        <v/>
      </c>
      <c r="AL35" s="29" t="str">
        <f t="shared" si="13"/>
        <v/>
      </c>
      <c r="AM35" s="8" t="str">
        <f t="shared" si="5"/>
        <v/>
      </c>
      <c r="AN35" s="8" t="str">
        <f t="shared" si="14"/>
        <v/>
      </c>
      <c r="AP35" s="38" t="str">
        <f>IF(L35="","",VLOOKUP($L35,classifications!$C:$E,3,FALSE))</f>
        <v>North West</v>
      </c>
      <c r="AQ35" s="39">
        <f t="shared" si="15"/>
        <v>13.756921881703718</v>
      </c>
      <c r="AR35" s="34">
        <f>IF(AQ35="","",IF(I$8="A",(RANK(AQ35,AQ$11:AQ$368,1)+COUNTIF(AQ$11:AQ35,AQ35)-1),(RANK(AQ35,AQ$11:AQ$368)+COUNTIF(AQ$11:AQ35,AQ35)-1)))</f>
        <v>2</v>
      </c>
      <c r="AS35" s="29" t="str">
        <f t="shared" si="16"/>
        <v/>
      </c>
      <c r="AT35" s="34" t="str">
        <f t="shared" si="6"/>
        <v/>
      </c>
      <c r="AU35" s="39" t="str">
        <f t="shared" si="17"/>
        <v/>
      </c>
      <c r="AX35" s="21">
        <f>HLOOKUP($AX$9&amp;$AX$10,Data!$A$1:$ZZ$2000,(MATCH($C35,Data!$A$1:$A$2000,0)),FALSE)</f>
        <v>24.043796902288534</v>
      </c>
      <c r="AY35" s="103"/>
      <c r="AZ35" s="21"/>
    </row>
    <row r="36" spans="1:52">
      <c r="A36" s="56" t="str">
        <f>$D$1&amp;26</f>
        <v>SC26</v>
      </c>
      <c r="B36" s="57">
        <f>IF(ISERROR(VLOOKUP(A36,classifications!A:C,3,FALSE)),0,VLOOKUP(A36,classifications!A:C,3,FALSE))</f>
        <v>0</v>
      </c>
      <c r="C36" s="8" t="s">
        <v>262</v>
      </c>
      <c r="D36" s="26" t="str">
        <f>VLOOKUP($C36,classifications!$C:$J,4,FALSE)</f>
        <v>UA</v>
      </c>
      <c r="E36" s="26">
        <f>VLOOKUP(C36,classifications!C:K,9,FALSE)</f>
        <v>0</v>
      </c>
      <c r="F36" s="36">
        <f t="shared" si="0"/>
        <v>0</v>
      </c>
      <c r="G36" s="71"/>
      <c r="H36" s="37" t="str">
        <f t="shared" si="1"/>
        <v/>
      </c>
      <c r="I36" s="77" t="str">
        <f>IF(H36="","",IF($I$8="A",(RANK(H36,H$11:H$368,1)+COUNTIF(H$11:H36,H36)-1),(RANK(H36,H$11:H$368)+COUNTIF(H$11:H36,H36)-1)))</f>
        <v/>
      </c>
      <c r="J36" s="35"/>
      <c r="K36" s="28">
        <f t="shared" si="7"/>
        <v>26</v>
      </c>
      <c r="L36" s="36" t="str">
        <f t="shared" si="2"/>
        <v>Staffordshire</v>
      </c>
      <c r="M36" s="102">
        <f t="shared" si="22"/>
        <v>13.005470928067698</v>
      </c>
      <c r="N36" s="101">
        <f t="shared" si="23"/>
        <v>13.005470928067698</v>
      </c>
      <c r="O36" s="94" t="str">
        <f t="shared" si="8"/>
        <v/>
      </c>
      <c r="P36" s="94" t="str">
        <f t="shared" si="18"/>
        <v/>
      </c>
      <c r="Q36" s="94" t="str">
        <f t="shared" si="19"/>
        <v/>
      </c>
      <c r="R36" s="90">
        <f t="shared" si="20"/>
        <v>13.005470928067698</v>
      </c>
      <c r="S36" s="37" t="str">
        <f t="shared" si="9"/>
        <v/>
      </c>
      <c r="T36" s="176" t="str">
        <f>IF(L36="","",VLOOKUP(L36,classifications!C:K,9,FALSE))</f>
        <v>Sparse</v>
      </c>
      <c r="U36" s="183">
        <f t="shared" si="10"/>
        <v>13.005470928067698</v>
      </c>
      <c r="V36" s="184">
        <f>IF(U36="","",IF($I$8="A",(RANK(U36,U$11:U$368)+COUNTIF(U$11:U36,U36)-1),(RANK(U36,U$11:U$368,1)+COUNTIF(U$11:U36,U36)-1)))</f>
        <v>1</v>
      </c>
      <c r="W36" s="185"/>
      <c r="X36" s="38" t="str">
        <f>IF(L36="","",VLOOKUP($L36,classifications!$C:$J,6,FALSE))</f>
        <v>Significant Rural</v>
      </c>
      <c r="Y36" s="26" t="b">
        <f t="shared" si="3"/>
        <v>0</v>
      </c>
      <c r="Z36" s="34" t="e">
        <f>IF(Y36="","",IF(I$8="A",(RANK(Y36,Y$11:Y$368,1)+COUNTIF(Y$11:Y36,Y36)-1),(RANK(Y36,Y$11:Y$368)+COUNTIF(Y$11:Y36,Y36)-1)))</f>
        <v>#N/A</v>
      </c>
      <c r="AA36" s="188" t="str">
        <f>IF(L36="","",VLOOKUP($L36,classifications!C:I,7,FALSE))</f>
        <v>Significant Rural</v>
      </c>
      <c r="AB36" s="184" t="str">
        <f t="shared" si="11"/>
        <v/>
      </c>
      <c r="AC36" s="184" t="str">
        <f>IF(AB36="","",IF($I$8="A",(RANK(AB36,AB$11:AB$368)+COUNTIF(AB$11:AB36,AB36)-1),(RANK(AB36,AB$11:AB$368,1)+COUNTIF(AB$11:AB36,AB36)-1)))</f>
        <v/>
      </c>
      <c r="AD36" s="184"/>
      <c r="AE36" s="28" t="str">
        <f t="shared" si="24"/>
        <v/>
      </c>
      <c r="AG36" s="96"/>
      <c r="AH36" s="29"/>
      <c r="AI36" s="38" t="str">
        <f>IF(L36="","",VLOOKUP($L36,classifications!$C:$J,8,FALSE))</f>
        <v>Staffordshire</v>
      </c>
      <c r="AJ36" s="39" t="str">
        <f t="shared" si="4"/>
        <v/>
      </c>
      <c r="AK36" s="34" t="str">
        <f>IF(AJ36="","",IF(I$8="A",(RANK(AJ36,AJ$11:AJ$368,1)+COUNTIF(AJ$11:AJ36,AJ36)-1),(RANK(AJ36,AJ$11:AJ$368)+COUNTIF(AJ$11:AJ36,AJ36)-1)))</f>
        <v/>
      </c>
      <c r="AL36" s="29" t="str">
        <f t="shared" si="13"/>
        <v/>
      </c>
      <c r="AM36" s="8" t="str">
        <f t="shared" si="5"/>
        <v/>
      </c>
      <c r="AN36" s="8" t="str">
        <f t="shared" si="14"/>
        <v/>
      </c>
      <c r="AP36" s="38" t="str">
        <f>IF(L36="","",VLOOKUP($L36,classifications!$C:$E,3,FALSE))</f>
        <v>West Midlands</v>
      </c>
      <c r="AQ36" s="39" t="str">
        <f t="shared" si="15"/>
        <v/>
      </c>
      <c r="AR36" s="34" t="str">
        <f>IF(AQ36="","",IF(I$8="A",(RANK(AQ36,AQ$11:AQ$368,1)+COUNTIF(AQ$11:AQ36,AQ36)-1),(RANK(AQ36,AQ$11:AQ$368)+COUNTIF(AQ$11:AQ36,AQ36)-1)))</f>
        <v/>
      </c>
      <c r="AS36" s="29" t="str">
        <f t="shared" si="16"/>
        <v/>
      </c>
      <c r="AT36" s="34" t="str">
        <f t="shared" si="6"/>
        <v/>
      </c>
      <c r="AU36" s="39" t="str">
        <f t="shared" si="17"/>
        <v/>
      </c>
      <c r="AX36" s="21">
        <f>HLOOKUP($AX$9&amp;$AX$10,Data!$A$1:$ZZ$2000,(MATCH($C36,Data!$A$1:$A$2000,0)),FALSE)</f>
        <v>0</v>
      </c>
      <c r="AY36" s="103"/>
      <c r="AZ36" s="21"/>
    </row>
    <row r="37" spans="1:52">
      <c r="A37" s="56" t="str">
        <f>$D$1&amp;27</f>
        <v>SC27</v>
      </c>
      <c r="B37" s="57">
        <f>IF(ISERROR(VLOOKUP(A37,classifications!A:C,3,FALSE)),0,VLOOKUP(A37,classifications!A:C,3,FALSE))</f>
        <v>0</v>
      </c>
      <c r="C37" s="8" t="s">
        <v>911</v>
      </c>
      <c r="D37" s="26" t="str">
        <f>VLOOKUP($C37,classifications!$C:$J,4,FALSE)</f>
        <v>UA</v>
      </c>
      <c r="E37" s="26">
        <f>VLOOKUP(C37,classifications!C:K,9,FALSE)</f>
        <v>0</v>
      </c>
      <c r="F37" s="36" t="e">
        <f t="shared" si="0"/>
        <v>#N/A</v>
      </c>
      <c r="G37" s="71"/>
      <c r="H37" s="37" t="str">
        <f t="shared" si="1"/>
        <v/>
      </c>
      <c r="I37" s="77" t="str">
        <f>IF(H37="","",IF($I$8="A",(RANK(H37,H$11:H$368,1)+COUNTIF(H$11:H37,H37)-1),(RANK(H37,H$11:H$368)+COUNTIF(H$11:H37,H37)-1)))</f>
        <v/>
      </c>
      <c r="J37" s="35"/>
      <c r="K37" s="28">
        <f t="shared" si="7"/>
        <v>27</v>
      </c>
      <c r="L37" s="36" t="str">
        <f t="shared" si="2"/>
        <v>Dorset</v>
      </c>
      <c r="M37" s="102">
        <f t="shared" si="22"/>
        <v>0</v>
      </c>
      <c r="N37" s="101">
        <f t="shared" si="23"/>
        <v>0</v>
      </c>
      <c r="O37" s="94" t="str">
        <f t="shared" si="8"/>
        <v/>
      </c>
      <c r="P37" s="94" t="str">
        <f t="shared" si="18"/>
        <v/>
      </c>
      <c r="Q37" s="94" t="str">
        <f t="shared" si="19"/>
        <v/>
      </c>
      <c r="R37" s="90">
        <f t="shared" si="20"/>
        <v>0</v>
      </c>
      <c r="S37" s="37" t="str">
        <f t="shared" si="9"/>
        <v/>
      </c>
      <c r="T37" s="176">
        <f>IF(L37="","",VLOOKUP(L37,classifications!C:K,9,FALSE))</f>
        <v>0</v>
      </c>
      <c r="U37" s="183" t="str">
        <f t="shared" si="10"/>
        <v/>
      </c>
      <c r="V37" s="184" t="str">
        <f>IF(U37="","",IF($I$8="A",(RANK(U37,U$11:U$368)+COUNTIF(U$11:U37,U37)-1),(RANK(U37,U$11:U$368,1)+COUNTIF(U$11:U37,U37)-1)))</f>
        <v/>
      </c>
      <c r="W37" s="185"/>
      <c r="X37" s="38" t="str">
        <f>IF(L37="","",VLOOKUP($L37,classifications!$C:$J,6,FALSE))</f>
        <v>Predominantly Rural</v>
      </c>
      <c r="Y37" s="26" t="b">
        <f t="shared" si="3"/>
        <v>0</v>
      </c>
      <c r="Z37" s="34" t="e">
        <f>IF(Y37="","",IF(I$8="A",(RANK(Y37,Y$11:Y$368,1)+COUNTIF(Y$11:Y37,Y37)-1),(RANK(Y37,Y$11:Y$368)+COUNTIF(Y$11:Y37,Y37)-1)))</f>
        <v>#N/A</v>
      </c>
      <c r="AA37" s="188" t="str">
        <f>IF(L37="","",VLOOKUP($L37,classifications!C:I,7,FALSE))</f>
        <v>Predominantly Rural</v>
      </c>
      <c r="AB37" s="184">
        <f t="shared" si="11"/>
        <v>0</v>
      </c>
      <c r="AC37" s="184">
        <f>IF(AB37="","",IF($I$8="A",(RANK(AB37,AB$11:AB$368)+COUNTIF(AB$11:AB37,AB37)-1),(RANK(AB37,AB$11:AB$368,1)+COUNTIF(AB$11:AB37,AB37)-1)))</f>
        <v>1</v>
      </c>
      <c r="AD37" s="184"/>
      <c r="AE37" s="28" t="str">
        <f t="shared" si="24"/>
        <v/>
      </c>
      <c r="AG37" s="96"/>
      <c r="AH37" s="29"/>
      <c r="AI37" s="38" t="str">
        <f>IF(L37="","",VLOOKUP($L37,classifications!$C:$J,8,FALSE))</f>
        <v>Dorset</v>
      </c>
      <c r="AJ37" s="39" t="str">
        <f t="shared" si="4"/>
        <v/>
      </c>
      <c r="AK37" s="34" t="str">
        <f>IF(AJ37="","",IF(I$8="A",(RANK(AJ37,AJ$11:AJ$368,1)+COUNTIF(AJ$11:AJ37,AJ37)-1),(RANK(AJ37,AJ$11:AJ$368)+COUNTIF(AJ$11:AJ37,AJ37)-1)))</f>
        <v/>
      </c>
      <c r="AL37" s="29" t="str">
        <f t="shared" si="13"/>
        <v/>
      </c>
      <c r="AM37" s="8" t="str">
        <f t="shared" si="5"/>
        <v/>
      </c>
      <c r="AN37" s="8" t="str">
        <f t="shared" si="14"/>
        <v/>
      </c>
      <c r="AP37" s="38" t="str">
        <f>IF(L37="","",VLOOKUP($L37,classifications!$C:$E,3,FALSE))</f>
        <v>South West</v>
      </c>
      <c r="AQ37" s="39" t="str">
        <f t="shared" si="15"/>
        <v/>
      </c>
      <c r="AR37" s="34" t="str">
        <f>IF(AQ37="","",IF(I$8="A",(RANK(AQ37,AQ$11:AQ$368,1)+COUNTIF(AQ$11:AQ37,AQ37)-1),(RANK(AQ37,AQ$11:AQ$368)+COUNTIF(AQ$11:AQ37,AQ37)-1)))</f>
        <v/>
      </c>
      <c r="AS37" s="29" t="str">
        <f t="shared" si="16"/>
        <v/>
      </c>
      <c r="AT37" s="34" t="str">
        <f t="shared" si="6"/>
        <v/>
      </c>
      <c r="AU37" s="39" t="str">
        <f t="shared" si="17"/>
        <v/>
      </c>
      <c r="AX37" s="21" t="e">
        <f>HLOOKUP($AX$9&amp;$AX$10,Data!$A$1:$ZZ$2000,(MATCH($C37,Data!$A$1:$A$2000,0)),FALSE)</f>
        <v>#N/A</v>
      </c>
      <c r="AY37" s="103"/>
      <c r="AZ37" s="21"/>
    </row>
    <row r="38" spans="1:52">
      <c r="A38" s="56" t="str">
        <f>$D$1&amp;28</f>
        <v>SC28</v>
      </c>
      <c r="B38" s="57">
        <f>IF(ISERROR(VLOOKUP(A38,classifications!A:C,3,FALSE)),0,VLOOKUP(A38,classifications!A:C,3,FALSE))</f>
        <v>0</v>
      </c>
      <c r="C38" s="8" t="s">
        <v>263</v>
      </c>
      <c r="D38" s="26" t="str">
        <f>VLOOKUP($C38,classifications!$C:$J,4,FALSE)</f>
        <v>UA</v>
      </c>
      <c r="E38" s="26">
        <f>VLOOKUP(C38,classifications!C:K,9,FALSE)</f>
        <v>0</v>
      </c>
      <c r="F38" s="36">
        <f t="shared" si="0"/>
        <v>16.797092986637889</v>
      </c>
      <c r="G38" s="71"/>
      <c r="H38" s="37" t="str">
        <f t="shared" si="1"/>
        <v/>
      </c>
      <c r="I38" s="77" t="str">
        <f>IF(H38="","",IF($I$8="A",(RANK(H38,H$11:H$368,1)+COUNTIF(H$11:H38,H38)-1),(RANK(H38,H$11:H$368)+COUNTIF(H$11:H38,H38)-1)))</f>
        <v/>
      </c>
      <c r="J38" s="35"/>
      <c r="K38" s="28" t="str">
        <f t="shared" si="7"/>
        <v/>
      </c>
      <c r="L38" s="36" t="str">
        <f t="shared" si="2"/>
        <v/>
      </c>
      <c r="M38" s="102" t="str">
        <f t="shared" si="22"/>
        <v/>
      </c>
      <c r="N38" s="101" t="str">
        <f t="shared" si="23"/>
        <v/>
      </c>
      <c r="O38" s="94" t="str">
        <f t="shared" si="8"/>
        <v/>
      </c>
      <c r="P38" s="94" t="str">
        <f t="shared" si="18"/>
        <v/>
      </c>
      <c r="Q38" s="94" t="str">
        <f t="shared" si="19"/>
        <v/>
      </c>
      <c r="R38" s="90" t="str">
        <f t="shared" si="20"/>
        <v/>
      </c>
      <c r="S38" s="37" t="str">
        <f t="shared" si="9"/>
        <v/>
      </c>
      <c r="T38" s="176" t="str">
        <f>IF(L38="","",VLOOKUP(L38,classifications!C:K,9,FALSE))</f>
        <v/>
      </c>
      <c r="U38" s="183" t="str">
        <f t="shared" si="10"/>
        <v/>
      </c>
      <c r="V38" s="184" t="str">
        <f>IF(U38="","",IF($I$8="A",(RANK(U38,U$11:U$368)+COUNTIF(U$11:U38,U38)-1),(RANK(U38,U$11:U$368,1)+COUNTIF(U$11:U38,U38)-1)))</f>
        <v/>
      </c>
      <c r="W38" s="185"/>
      <c r="X38" s="38" t="str">
        <f>IF(L38="","",VLOOKUP($L38,classifications!$C:$J,6,FALSE))</f>
        <v/>
      </c>
      <c r="Y38" s="26" t="b">
        <f t="shared" si="3"/>
        <v>0</v>
      </c>
      <c r="Z38" s="34" t="e">
        <f>IF(Y38="","",IF(I$8="A",(RANK(Y38,Y$11:Y$368,1)+COUNTIF(Y$11:Y38,Y38)-1),(RANK(Y38,Y$11:Y$368)+COUNTIF(Y$11:Y38,Y38)-1)))</f>
        <v>#N/A</v>
      </c>
      <c r="AA38" s="188" t="str">
        <f>IF(L38="","",VLOOKUP($L38,classifications!C:I,7,FALSE))</f>
        <v/>
      </c>
      <c r="AB38" s="184" t="str">
        <f t="shared" si="11"/>
        <v/>
      </c>
      <c r="AC38" s="184" t="str">
        <f>IF(AB38="","",IF($I$8="A",(RANK(AB38,AB$11:AB$368)+COUNTIF(AB$11:AB38,AB38)-1),(RANK(AB38,AB$11:AB$368,1)+COUNTIF(AB$11:AB38,AB38)-1)))</f>
        <v/>
      </c>
      <c r="AD38" s="184"/>
      <c r="AE38" s="28" t="str">
        <f t="shared" si="24"/>
        <v/>
      </c>
      <c r="AG38" s="96"/>
      <c r="AH38" s="29"/>
      <c r="AI38" s="38" t="str">
        <f>IF(L38="","",VLOOKUP($L38,classifications!$C:$J,8,FALSE))</f>
        <v/>
      </c>
      <c r="AJ38" s="39" t="str">
        <f t="shared" si="4"/>
        <v/>
      </c>
      <c r="AK38" s="34" t="str">
        <f>IF(AJ38="","",IF(I$8="A",(RANK(AJ38,AJ$11:AJ$368,1)+COUNTIF(AJ$11:AJ38,AJ38)-1),(RANK(AJ38,AJ$11:AJ$368)+COUNTIF(AJ$11:AJ38,AJ38)-1)))</f>
        <v/>
      </c>
      <c r="AL38" s="29" t="str">
        <f t="shared" si="13"/>
        <v/>
      </c>
      <c r="AM38" s="8" t="str">
        <f t="shared" si="5"/>
        <v/>
      </c>
      <c r="AN38" s="8" t="str">
        <f t="shared" si="14"/>
        <v/>
      </c>
      <c r="AP38" s="38" t="str">
        <f>IF(L38="","",VLOOKUP($L38,classifications!$C:$E,3,FALSE))</f>
        <v/>
      </c>
      <c r="AQ38" s="39" t="str">
        <f t="shared" si="15"/>
        <v/>
      </c>
      <c r="AR38" s="34" t="str">
        <f>IF(AQ38="","",IF(I$8="A",(RANK(AQ38,AQ$11:AQ$368,1)+COUNTIF(AQ$11:AQ38,AQ38)-1),(RANK(AQ38,AQ$11:AQ$368)+COUNTIF(AQ$11:AQ38,AQ38)-1)))</f>
        <v/>
      </c>
      <c r="AS38" s="29" t="str">
        <f t="shared" si="16"/>
        <v/>
      </c>
      <c r="AT38" s="34" t="str">
        <f t="shared" si="6"/>
        <v/>
      </c>
      <c r="AU38" s="39" t="str">
        <f t="shared" si="17"/>
        <v/>
      </c>
      <c r="AX38" s="21">
        <f>HLOOKUP($AX$9&amp;$AX$10,Data!$A$1:$ZZ$2000,(MATCH($C38,Data!$A$1:$A$2000,0)),FALSE)</f>
        <v>16.797092986637889</v>
      </c>
      <c r="AY38" s="103"/>
      <c r="AZ38" s="21"/>
    </row>
    <row r="39" spans="1:52">
      <c r="A39" s="56" t="str">
        <f>$D$1&amp;29</f>
        <v>SC29</v>
      </c>
      <c r="B39" s="57">
        <f>IF(ISERROR(VLOOKUP(A39,classifications!A:C,3,FALSE)),0,VLOOKUP(A39,classifications!A:C,3,FALSE))</f>
        <v>0</v>
      </c>
      <c r="C39" s="8" t="s">
        <v>225</v>
      </c>
      <c r="D39" s="26" t="str">
        <f>VLOOKUP($C39,classifications!$C:$J,4,FALSE)</f>
        <v>MD</v>
      </c>
      <c r="E39" s="26">
        <f>VLOOKUP(C39,classifications!C:K,9,FALSE)</f>
        <v>0</v>
      </c>
      <c r="F39" s="36">
        <f t="shared" si="0"/>
        <v>10.018858636440607</v>
      </c>
      <c r="G39" s="71"/>
      <c r="H39" s="37" t="str">
        <f t="shared" si="1"/>
        <v/>
      </c>
      <c r="I39" s="77" t="str">
        <f>IF(H39="","",IF($I$8="A",(RANK(H39,H$11:H$368,1)+COUNTIF(H$11:H39,H39)-1),(RANK(H39,H$11:H$368)+COUNTIF(H$11:H39,H39)-1)))</f>
        <v/>
      </c>
      <c r="J39" s="35"/>
      <c r="K39" s="28" t="str">
        <f t="shared" si="7"/>
        <v/>
      </c>
      <c r="L39" s="36" t="str">
        <f t="shared" si="2"/>
        <v/>
      </c>
      <c r="M39" s="102" t="str">
        <f t="shared" si="22"/>
        <v/>
      </c>
      <c r="N39" s="101" t="str">
        <f t="shared" si="23"/>
        <v/>
      </c>
      <c r="O39" s="94" t="str">
        <f t="shared" si="8"/>
        <v/>
      </c>
      <c r="P39" s="94" t="str">
        <f t="shared" si="18"/>
        <v/>
      </c>
      <c r="Q39" s="94" t="str">
        <f t="shared" si="19"/>
        <v/>
      </c>
      <c r="R39" s="90" t="str">
        <f t="shared" si="20"/>
        <v/>
      </c>
      <c r="S39" s="37" t="str">
        <f t="shared" si="9"/>
        <v/>
      </c>
      <c r="T39" s="176" t="str">
        <f>IF(L39="","",VLOOKUP(L39,classifications!C:K,9,FALSE))</f>
        <v/>
      </c>
      <c r="U39" s="183" t="str">
        <f t="shared" si="10"/>
        <v/>
      </c>
      <c r="V39" s="184" t="str">
        <f>IF(U39="","",IF($I$8="A",(RANK(U39,U$11:U$368)+COUNTIF(U$11:U39,U39)-1),(RANK(U39,U$11:U$368,1)+COUNTIF(U$11:U39,U39)-1)))</f>
        <v/>
      </c>
      <c r="W39" s="185"/>
      <c r="X39" s="38" t="str">
        <f>IF(L39="","",VLOOKUP($L39,classifications!$C:$J,6,FALSE))</f>
        <v/>
      </c>
      <c r="Y39" s="26" t="b">
        <f t="shared" si="3"/>
        <v>0</v>
      </c>
      <c r="Z39" s="34" t="e">
        <f>IF(Y39="","",IF(I$8="A",(RANK(Y39,Y$11:Y$368,1)+COUNTIF(Y$11:Y39,Y39)-1),(RANK(Y39,Y$11:Y$368)+COUNTIF(Y$11:Y39,Y39)-1)))</f>
        <v>#N/A</v>
      </c>
      <c r="AA39" s="188" t="str">
        <f>IF(L39="","",VLOOKUP($L39,classifications!C:I,7,FALSE))</f>
        <v/>
      </c>
      <c r="AB39" s="184" t="str">
        <f t="shared" si="11"/>
        <v/>
      </c>
      <c r="AC39" s="184" t="str">
        <f>IF(AB39="","",IF($I$8="A",(RANK(AB39,AB$11:AB$368)+COUNTIF(AB$11:AB39,AB39)-1),(RANK(AB39,AB$11:AB$368,1)+COUNTIF(AB$11:AB39,AB39)-1)))</f>
        <v/>
      </c>
      <c r="AD39" s="184"/>
      <c r="AE39" s="28" t="str">
        <f t="shared" si="24"/>
        <v/>
      </c>
      <c r="AG39" s="96"/>
      <c r="AH39" s="29"/>
      <c r="AI39" s="38" t="str">
        <f>IF(L39="","",VLOOKUP($L39,classifications!$C:$J,8,FALSE))</f>
        <v/>
      </c>
      <c r="AJ39" s="39" t="str">
        <f t="shared" si="4"/>
        <v/>
      </c>
      <c r="AK39" s="34" t="str">
        <f>IF(AJ39="","",IF(I$8="A",(RANK(AJ39,AJ$11:AJ$368,1)+COUNTIF(AJ$11:AJ39,AJ39)-1),(RANK(AJ39,AJ$11:AJ$368)+COUNTIF(AJ$11:AJ39,AJ39)-1)))</f>
        <v/>
      </c>
      <c r="AL39" s="29" t="str">
        <f t="shared" si="13"/>
        <v/>
      </c>
      <c r="AM39" s="8" t="str">
        <f t="shared" si="5"/>
        <v/>
      </c>
      <c r="AN39" s="8" t="str">
        <f t="shared" si="14"/>
        <v/>
      </c>
      <c r="AP39" s="38" t="str">
        <f>IF(L39="","",VLOOKUP($L39,classifications!$C:$E,3,FALSE))</f>
        <v/>
      </c>
      <c r="AQ39" s="39" t="str">
        <f t="shared" si="15"/>
        <v/>
      </c>
      <c r="AR39" s="34" t="str">
        <f>IF(AQ39="","",IF(I$8="A",(RANK(AQ39,AQ$11:AQ$368,1)+COUNTIF(AQ$11:AQ39,AQ39)-1),(RANK(AQ39,AQ$11:AQ$368)+COUNTIF(AQ$11:AQ39,AQ39)-1)))</f>
        <v/>
      </c>
      <c r="AS39" s="29" t="str">
        <f t="shared" si="16"/>
        <v/>
      </c>
      <c r="AT39" s="34" t="str">
        <f t="shared" si="6"/>
        <v/>
      </c>
      <c r="AU39" s="39" t="str">
        <f t="shared" si="17"/>
        <v/>
      </c>
      <c r="AX39" s="21">
        <f>HLOOKUP($AX$9&amp;$AX$10,Data!$A$1:$ZZ$2000,(MATCH($C39,Data!$A$1:$A$2000,0)),FALSE)</f>
        <v>10.018858636440607</v>
      </c>
      <c r="AY39" s="103"/>
      <c r="AZ39" s="21"/>
    </row>
    <row r="40" spans="1:52">
      <c r="A40" s="56" t="str">
        <f>$D$1&amp;30</f>
        <v>SC30</v>
      </c>
      <c r="B40" s="57">
        <f>IF(ISERROR(VLOOKUP(A40,classifications!A:C,3,FALSE)),0,VLOOKUP(A40,classifications!A:C,3,FALSE))</f>
        <v>0</v>
      </c>
      <c r="C40" s="8" t="s">
        <v>19</v>
      </c>
      <c r="D40" s="26" t="str">
        <f>VLOOKUP($C40,classifications!$C:$J,4,FALSE)</f>
        <v>SD</v>
      </c>
      <c r="E40" s="26" t="str">
        <f>VLOOKUP(C40,classifications!C:K,9,FALSE)</f>
        <v>Sparse</v>
      </c>
      <c r="F40" s="36">
        <f t="shared" si="0"/>
        <v>13.221644663047666</v>
      </c>
      <c r="G40" s="71"/>
      <c r="H40" s="37" t="str">
        <f t="shared" si="1"/>
        <v/>
      </c>
      <c r="I40" s="77" t="str">
        <f>IF(H40="","",IF($I$8="A",(RANK(H40,H$11:H$368,1)+COUNTIF(H$11:H40,H40)-1),(RANK(H40,H$11:H$368)+COUNTIF(H$11:H40,H40)-1)))</f>
        <v/>
      </c>
      <c r="J40" s="35"/>
      <c r="K40" s="28" t="str">
        <f t="shared" si="7"/>
        <v/>
      </c>
      <c r="L40" s="36" t="str">
        <f t="shared" si="2"/>
        <v/>
      </c>
      <c r="M40" s="102" t="str">
        <f t="shared" si="22"/>
        <v/>
      </c>
      <c r="N40" s="101" t="str">
        <f t="shared" si="23"/>
        <v/>
      </c>
      <c r="O40" s="94" t="str">
        <f t="shared" si="8"/>
        <v/>
      </c>
      <c r="P40" s="94" t="str">
        <f t="shared" si="18"/>
        <v/>
      </c>
      <c r="Q40" s="94" t="str">
        <f t="shared" si="19"/>
        <v/>
      </c>
      <c r="R40" s="90" t="str">
        <f t="shared" si="20"/>
        <v/>
      </c>
      <c r="S40" s="37" t="str">
        <f t="shared" si="9"/>
        <v/>
      </c>
      <c r="T40" s="176" t="str">
        <f>IF(L40="","",VLOOKUP(L40,classifications!C:K,9,FALSE))</f>
        <v/>
      </c>
      <c r="U40" s="183" t="str">
        <f t="shared" si="10"/>
        <v/>
      </c>
      <c r="V40" s="184" t="str">
        <f>IF(U40="","",IF($I$8="A",(RANK(U40,U$11:U$368)+COUNTIF(U$11:U40,U40)-1),(RANK(U40,U$11:U$368,1)+COUNTIF(U$11:U40,U40)-1)))</f>
        <v/>
      </c>
      <c r="W40" s="185"/>
      <c r="X40" s="38" t="str">
        <f>IF(L40="","",VLOOKUP($L40,classifications!$C:$J,6,FALSE))</f>
        <v/>
      </c>
      <c r="Y40" s="26" t="b">
        <f t="shared" si="3"/>
        <v>0</v>
      </c>
      <c r="Z40" s="34" t="e">
        <f>IF(Y40="","",IF(I$8="A",(RANK(Y40,Y$11:Y$368,1)+COUNTIF(Y$11:Y40,Y40)-1),(RANK(Y40,Y$11:Y$368)+COUNTIF(Y$11:Y40,Y40)-1)))</f>
        <v>#N/A</v>
      </c>
      <c r="AA40" s="188" t="str">
        <f>IF(L40="","",VLOOKUP($L40,classifications!C:I,7,FALSE))</f>
        <v/>
      </c>
      <c r="AB40" s="184" t="str">
        <f t="shared" si="11"/>
        <v/>
      </c>
      <c r="AC40" s="184" t="str">
        <f>IF(AB40="","",IF($I$8="A",(RANK(AB40,AB$11:AB$368)+COUNTIF(AB$11:AB40,AB40)-1),(RANK(AB40,AB$11:AB$368,1)+COUNTIF(AB$11:AB40,AB40)-1)))</f>
        <v/>
      </c>
      <c r="AD40" s="184"/>
      <c r="AE40" s="28" t="str">
        <f t="shared" si="24"/>
        <v/>
      </c>
      <c r="AG40" s="96"/>
      <c r="AH40" s="29"/>
      <c r="AI40" s="38" t="str">
        <f>IF(L40="","",VLOOKUP($L40,classifications!$C:$J,8,FALSE))</f>
        <v/>
      </c>
      <c r="AJ40" s="39" t="str">
        <f t="shared" si="4"/>
        <v/>
      </c>
      <c r="AK40" s="34" t="str">
        <f>IF(AJ40="","",IF(I$8="A",(RANK(AJ40,AJ$11:AJ$368,1)+COUNTIF(AJ$11:AJ40,AJ40)-1),(RANK(AJ40,AJ$11:AJ$368)+COUNTIF(AJ$11:AJ40,AJ40)-1)))</f>
        <v/>
      </c>
      <c r="AL40" s="29" t="str">
        <f t="shared" si="13"/>
        <v/>
      </c>
      <c r="AM40" s="8" t="str">
        <f t="shared" si="5"/>
        <v/>
      </c>
      <c r="AN40" s="8" t="str">
        <f t="shared" si="14"/>
        <v/>
      </c>
      <c r="AP40" s="38" t="str">
        <f>IF(L40="","",VLOOKUP($L40,classifications!$C:$E,3,FALSE))</f>
        <v/>
      </c>
      <c r="AQ40" s="39" t="str">
        <f t="shared" si="15"/>
        <v/>
      </c>
      <c r="AR40" s="34" t="str">
        <f>IF(AQ40="","",IF(I$8="A",(RANK(AQ40,AQ$11:AQ$368,1)+COUNTIF(AQ$11:AQ40,AQ40)-1),(RANK(AQ40,AQ$11:AQ$368)+COUNTIF(AQ$11:AQ40,AQ40)-1)))</f>
        <v/>
      </c>
      <c r="AS40" s="29" t="str">
        <f t="shared" si="16"/>
        <v/>
      </c>
      <c r="AT40" s="34" t="str">
        <f t="shared" si="6"/>
        <v/>
      </c>
      <c r="AU40" s="39" t="str">
        <f t="shared" si="17"/>
        <v/>
      </c>
      <c r="AX40" s="21">
        <f>HLOOKUP($AX$9&amp;$AX$10,Data!$A$1:$ZZ$2000,(MATCH($C40,Data!$A$1:$A$2000,0)),FALSE)</f>
        <v>13.221644663047666</v>
      </c>
      <c r="AY40" s="103"/>
      <c r="AZ40" s="21"/>
    </row>
    <row r="41" spans="1:52">
      <c r="A41" s="56" t="str">
        <f>$D$1&amp;31</f>
        <v>SC31</v>
      </c>
      <c r="B41" s="57">
        <f>IF(ISERROR(VLOOKUP(A41,classifications!A:C,3,FALSE)),0,VLOOKUP(A41,classifications!A:C,3,FALSE))</f>
        <v>0</v>
      </c>
      <c r="C41" s="8" t="s">
        <v>20</v>
      </c>
      <c r="D41" s="26" t="str">
        <f>VLOOKUP($C41,classifications!$C:$J,4,FALSE)</f>
        <v>SD</v>
      </c>
      <c r="E41" s="26" t="str">
        <f>VLOOKUP(C41,classifications!C:K,9,FALSE)</f>
        <v>Sparse</v>
      </c>
      <c r="F41" s="36">
        <f t="shared" si="0"/>
        <v>18.665339995359385</v>
      </c>
      <c r="G41" s="71"/>
      <c r="H41" s="37" t="str">
        <f t="shared" si="1"/>
        <v/>
      </c>
      <c r="I41" s="77" t="str">
        <f>IF(H41="","",IF($I$8="A",(RANK(H41,H$11:H$368,1)+COUNTIF(H$11:H41,H41)-1),(RANK(H41,H$11:H$368)+COUNTIF(H$11:H41,H41)-1)))</f>
        <v/>
      </c>
      <c r="J41" s="35"/>
      <c r="K41" s="28" t="str">
        <f t="shared" si="7"/>
        <v/>
      </c>
      <c r="L41" s="36" t="str">
        <f t="shared" si="2"/>
        <v/>
      </c>
      <c r="M41" s="102" t="str">
        <f t="shared" si="22"/>
        <v/>
      </c>
      <c r="N41" s="101" t="str">
        <f t="shared" si="23"/>
        <v/>
      </c>
      <c r="O41" s="94" t="str">
        <f t="shared" si="8"/>
        <v/>
      </c>
      <c r="P41" s="94" t="str">
        <f t="shared" si="18"/>
        <v/>
      </c>
      <c r="Q41" s="94" t="str">
        <f t="shared" si="19"/>
        <v/>
      </c>
      <c r="R41" s="90" t="str">
        <f t="shared" si="20"/>
        <v/>
      </c>
      <c r="S41" s="37" t="str">
        <f t="shared" si="9"/>
        <v/>
      </c>
      <c r="T41" s="176" t="str">
        <f>IF(L41="","",VLOOKUP(L41,classifications!C:K,9,FALSE))</f>
        <v/>
      </c>
      <c r="U41" s="183" t="str">
        <f t="shared" si="10"/>
        <v/>
      </c>
      <c r="V41" s="184" t="str">
        <f>IF(U41="","",IF($I$8="A",(RANK(U41,U$11:U$368)+COUNTIF(U$11:U41,U41)-1),(RANK(U41,U$11:U$368,1)+COUNTIF(U$11:U41,U41)-1)))</f>
        <v/>
      </c>
      <c r="W41" s="185"/>
      <c r="X41" s="38" t="str">
        <f>IF(L41="","",VLOOKUP($L41,classifications!$C:$J,6,FALSE))</f>
        <v/>
      </c>
      <c r="Y41" s="26" t="b">
        <f t="shared" si="3"/>
        <v>0</v>
      </c>
      <c r="Z41" s="34" t="e">
        <f>IF(Y41="","",IF(I$8="A",(RANK(Y41,Y$11:Y$368,1)+COUNTIF(Y$11:Y41,Y41)-1),(RANK(Y41,Y$11:Y$368)+COUNTIF(Y$11:Y41,Y41)-1)))</f>
        <v>#N/A</v>
      </c>
      <c r="AA41" s="188" t="str">
        <f>IF(L41="","",VLOOKUP($L41,classifications!C:I,7,FALSE))</f>
        <v/>
      </c>
      <c r="AB41" s="184" t="str">
        <f t="shared" si="11"/>
        <v/>
      </c>
      <c r="AC41" s="184" t="str">
        <f>IF(AB41="","",IF($I$8="A",(RANK(AB41,AB$11:AB$368)+COUNTIF(AB$11:AB41,AB41)-1),(RANK(AB41,AB$11:AB$368,1)+COUNTIF(AB$11:AB41,AB41)-1)))</f>
        <v/>
      </c>
      <c r="AD41" s="184"/>
      <c r="AE41" s="28" t="str">
        <f t="shared" si="24"/>
        <v/>
      </c>
      <c r="AG41" s="96"/>
      <c r="AH41" s="29"/>
      <c r="AI41" s="38" t="str">
        <f>IF(L41="","",VLOOKUP($L41,classifications!$C:$J,8,FALSE))</f>
        <v/>
      </c>
      <c r="AJ41" s="39" t="str">
        <f t="shared" si="4"/>
        <v/>
      </c>
      <c r="AK41" s="34" t="str">
        <f>IF(AJ41="","",IF(I$8="A",(RANK(AJ41,AJ$11:AJ$368,1)+COUNTIF(AJ$11:AJ41,AJ41)-1),(RANK(AJ41,AJ$11:AJ$368)+COUNTIF(AJ$11:AJ41,AJ41)-1)))</f>
        <v/>
      </c>
      <c r="AL41" s="29" t="str">
        <f t="shared" si="13"/>
        <v/>
      </c>
      <c r="AM41" s="8" t="str">
        <f t="shared" si="5"/>
        <v/>
      </c>
      <c r="AN41" s="8" t="str">
        <f t="shared" si="14"/>
        <v/>
      </c>
      <c r="AP41" s="38" t="str">
        <f>IF(L41="","",VLOOKUP($L41,classifications!$C:$E,3,FALSE))</f>
        <v/>
      </c>
      <c r="AQ41" s="39" t="str">
        <f t="shared" si="15"/>
        <v/>
      </c>
      <c r="AR41" s="34" t="str">
        <f>IF(AQ41="","",IF(I$8="A",(RANK(AQ41,AQ$11:AQ$368,1)+COUNTIF(AQ$11:AQ41,AQ41)-1),(RANK(AQ41,AQ$11:AQ$368)+COUNTIF(AQ$11:AQ41,AQ41)-1)))</f>
        <v/>
      </c>
      <c r="AS41" s="29" t="str">
        <f t="shared" si="16"/>
        <v/>
      </c>
      <c r="AT41" s="34" t="str">
        <f t="shared" si="6"/>
        <v/>
      </c>
      <c r="AU41" s="39" t="str">
        <f t="shared" si="17"/>
        <v/>
      </c>
      <c r="AX41" s="21">
        <f>HLOOKUP($AX$9&amp;$AX$10,Data!$A$1:$ZZ$2000,(MATCH($C41,Data!$A$1:$A$2000,0)),FALSE)</f>
        <v>18.665339995359385</v>
      </c>
      <c r="AY41" s="103"/>
      <c r="AZ41" s="21"/>
    </row>
    <row r="42" spans="1:52">
      <c r="A42" s="56" t="str">
        <f>$D$1&amp;32</f>
        <v>SC32</v>
      </c>
      <c r="B42" s="57">
        <f>IF(ISERROR(VLOOKUP(A42,classifications!A:C,3,FALSE)),0,VLOOKUP(A42,classifications!A:C,3,FALSE))</f>
        <v>0</v>
      </c>
      <c r="C42" s="8" t="s">
        <v>198</v>
      </c>
      <c r="D42" s="26" t="str">
        <f>VLOOKUP($C42,classifications!$C:$J,4,FALSE)</f>
        <v>L</v>
      </c>
      <c r="E42" s="26">
        <f>VLOOKUP(C42,classifications!C:K,9,FALSE)</f>
        <v>0</v>
      </c>
      <c r="F42" s="36">
        <f t="shared" si="0"/>
        <v>13.851489510931087</v>
      </c>
      <c r="G42" s="71"/>
      <c r="H42" s="37" t="str">
        <f t="shared" si="1"/>
        <v/>
      </c>
      <c r="I42" s="77" t="str">
        <f>IF(H42="","",IF($I$8="A",(RANK(H42,H$11:H$368,1)+COUNTIF(H$11:H42,H42)-1),(RANK(H42,H$11:H$368)+COUNTIF(H$11:H42,H42)-1)))</f>
        <v/>
      </c>
      <c r="J42" s="35"/>
      <c r="K42" s="28" t="str">
        <f t="shared" si="7"/>
        <v/>
      </c>
      <c r="L42" s="36" t="str">
        <f t="shared" si="2"/>
        <v/>
      </c>
      <c r="M42" s="102" t="str">
        <f t="shared" si="22"/>
        <v/>
      </c>
      <c r="N42" s="101" t="str">
        <f t="shared" si="23"/>
        <v/>
      </c>
      <c r="O42" s="94" t="str">
        <f t="shared" si="8"/>
        <v/>
      </c>
      <c r="P42" s="94" t="str">
        <f t="shared" si="18"/>
        <v/>
      </c>
      <c r="Q42" s="94" t="str">
        <f t="shared" si="19"/>
        <v/>
      </c>
      <c r="R42" s="90" t="str">
        <f t="shared" si="20"/>
        <v/>
      </c>
      <c r="S42" s="37" t="str">
        <f t="shared" si="9"/>
        <v/>
      </c>
      <c r="T42" s="176" t="str">
        <f>IF(L42="","",VLOOKUP(L42,classifications!C:K,9,FALSE))</f>
        <v/>
      </c>
      <c r="U42" s="183" t="str">
        <f t="shared" si="10"/>
        <v/>
      </c>
      <c r="V42" s="184" t="str">
        <f>IF(U42="","",IF($I$8="A",(RANK(U42,U$11:U$368)+COUNTIF(U$11:U42,U42)-1),(RANK(U42,U$11:U$368,1)+COUNTIF(U$11:U42,U42)-1)))</f>
        <v/>
      </c>
      <c r="W42" s="185"/>
      <c r="X42" s="38" t="str">
        <f>IF(L42="","",VLOOKUP($L42,classifications!$C:$J,6,FALSE))</f>
        <v/>
      </c>
      <c r="Y42" s="26" t="b">
        <f t="shared" si="3"/>
        <v>0</v>
      </c>
      <c r="Z42" s="34" t="e">
        <f>IF(Y42="","",IF(I$8="A",(RANK(Y42,Y$11:Y$368,1)+COUNTIF(Y$11:Y42,Y42)-1),(RANK(Y42,Y$11:Y$368)+COUNTIF(Y$11:Y42,Y42)-1)))</f>
        <v>#N/A</v>
      </c>
      <c r="AA42" s="188" t="str">
        <f>IF(L42="","",VLOOKUP($L42,classifications!C:I,7,FALSE))</f>
        <v/>
      </c>
      <c r="AB42" s="184" t="str">
        <f t="shared" si="11"/>
        <v/>
      </c>
      <c r="AC42" s="184" t="str">
        <f>IF(AB42="","",IF($I$8="A",(RANK(AB42,AB$11:AB$368)+COUNTIF(AB$11:AB42,AB42)-1),(RANK(AB42,AB$11:AB$368,1)+COUNTIF(AB$11:AB42,AB42)-1)))</f>
        <v/>
      </c>
      <c r="AD42" s="184"/>
      <c r="AE42" s="28" t="str">
        <f t="shared" si="24"/>
        <v/>
      </c>
      <c r="AG42" s="96"/>
      <c r="AH42" s="29"/>
      <c r="AI42" s="38" t="str">
        <f>IF(L42="","",VLOOKUP($L42,classifications!$C:$J,8,FALSE))</f>
        <v/>
      </c>
      <c r="AJ42" s="39" t="str">
        <f t="shared" si="4"/>
        <v/>
      </c>
      <c r="AK42" s="34" t="str">
        <f>IF(AJ42="","",IF(I$8="A",(RANK(AJ42,AJ$11:AJ$368,1)+COUNTIF(AJ$11:AJ42,AJ42)-1),(RANK(AJ42,AJ$11:AJ$368)+COUNTIF(AJ$11:AJ42,AJ42)-1)))</f>
        <v/>
      </c>
      <c r="AL42" s="29" t="str">
        <f t="shared" si="13"/>
        <v/>
      </c>
      <c r="AM42" s="8" t="str">
        <f t="shared" si="5"/>
        <v/>
      </c>
      <c r="AN42" s="8" t="str">
        <f t="shared" si="14"/>
        <v/>
      </c>
      <c r="AP42" s="38" t="str">
        <f>IF(L42="","",VLOOKUP($L42,classifications!$C:$E,3,FALSE))</f>
        <v/>
      </c>
      <c r="AQ42" s="39" t="str">
        <f t="shared" si="15"/>
        <v/>
      </c>
      <c r="AR42" s="34" t="str">
        <f>IF(AQ42="","",IF(I$8="A",(RANK(AQ42,AQ$11:AQ$368,1)+COUNTIF(AQ$11:AQ42,AQ42)-1),(RANK(AQ42,AQ$11:AQ$368)+COUNTIF(AQ$11:AQ42,AQ42)-1)))</f>
        <v/>
      </c>
      <c r="AS42" s="29" t="str">
        <f t="shared" si="16"/>
        <v/>
      </c>
      <c r="AT42" s="34" t="str">
        <f t="shared" si="6"/>
        <v/>
      </c>
      <c r="AU42" s="39" t="str">
        <f t="shared" si="17"/>
        <v/>
      </c>
      <c r="AX42" s="21">
        <f>HLOOKUP($AX$9&amp;$AX$10,Data!$A$1:$ZZ$2000,(MATCH($C42,Data!$A$1:$A$2000,0)),FALSE)</f>
        <v>13.851489510931087</v>
      </c>
      <c r="AY42" s="103"/>
      <c r="AZ42" s="21"/>
    </row>
    <row r="43" spans="1:52">
      <c r="A43" s="56" t="str">
        <f>$D$1&amp;33</f>
        <v>SC33</v>
      </c>
      <c r="B43" s="57">
        <f>IF(ISERROR(VLOOKUP(A43,classifications!A:C,3,FALSE)),0,VLOOKUP(A43,classifications!A:C,3,FALSE))</f>
        <v>0</v>
      </c>
      <c r="C43" s="8" t="s">
        <v>21</v>
      </c>
      <c r="D43" s="26" t="str">
        <f>VLOOKUP($C43,classifications!$C:$J,4,FALSE)</f>
        <v>SD</v>
      </c>
      <c r="E43" s="26">
        <f>VLOOKUP(C43,classifications!C:K,9,FALSE)</f>
        <v>0</v>
      </c>
      <c r="F43" s="36">
        <f t="shared" si="0"/>
        <v>16.545630498092613</v>
      </c>
      <c r="G43" s="71"/>
      <c r="H43" s="37" t="str">
        <f t="shared" si="1"/>
        <v/>
      </c>
      <c r="I43" s="77" t="str">
        <f>IF(H43="","",IF($I$8="A",(RANK(H43,H$11:H$368,1)+COUNTIF(H$11:H43,H43)-1),(RANK(H43,H$11:H$368)+COUNTIF(H$11:H43,H43)-1)))</f>
        <v/>
      </c>
      <c r="J43" s="35"/>
      <c r="K43" s="28" t="str">
        <f t="shared" si="7"/>
        <v/>
      </c>
      <c r="L43" s="36" t="str">
        <f t="shared" si="2"/>
        <v/>
      </c>
      <c r="M43" s="102" t="str">
        <f t="shared" si="22"/>
        <v/>
      </c>
      <c r="N43" s="101" t="str">
        <f t="shared" si="23"/>
        <v/>
      </c>
      <c r="O43" s="94" t="str">
        <f t="shared" si="8"/>
        <v/>
      </c>
      <c r="P43" s="94" t="str">
        <f t="shared" si="18"/>
        <v/>
      </c>
      <c r="Q43" s="94" t="str">
        <f t="shared" si="19"/>
        <v/>
      </c>
      <c r="R43" s="90" t="str">
        <f t="shared" si="20"/>
        <v/>
      </c>
      <c r="S43" s="37" t="str">
        <f t="shared" si="9"/>
        <v/>
      </c>
      <c r="T43" s="176" t="str">
        <f>IF(L43="","",VLOOKUP(L43,classifications!C:K,9,FALSE))</f>
        <v/>
      </c>
      <c r="U43" s="183" t="str">
        <f t="shared" ref="U43:U74" si="25">IF(T43="Sparse",M43,"")</f>
        <v/>
      </c>
      <c r="V43" s="184" t="str">
        <f>IF(U43="","",IF($I$8="A",(RANK(U43,U$11:U$368)+COUNTIF(U$11:U43,U43)-1),(RANK(U43,U$11:U$368,1)+COUNTIF(U$11:U43,U43)-1)))</f>
        <v/>
      </c>
      <c r="W43" s="185"/>
      <c r="X43" s="38" t="str">
        <f>IF(L43="","",VLOOKUP($L43,classifications!$C:$J,6,FALSE))</f>
        <v/>
      </c>
      <c r="Y43" s="26" t="b">
        <f t="shared" si="3"/>
        <v>0</v>
      </c>
      <c r="Z43" s="34" t="e">
        <f>IF(Y43="","",IF(I$8="A",(RANK(Y43,Y$11:Y$368,1)+COUNTIF(Y$11:Y43,Y43)-1),(RANK(Y43,Y$11:Y$368)+COUNTIF(Y$11:Y43,Y43)-1)))</f>
        <v>#N/A</v>
      </c>
      <c r="AA43" s="188" t="str">
        <f>IF(L43="","",VLOOKUP($L43,classifications!C:I,7,FALSE))</f>
        <v/>
      </c>
      <c r="AB43" s="184" t="str">
        <f t="shared" si="11"/>
        <v/>
      </c>
      <c r="AC43" s="184" t="str">
        <f>IF(AB43="","",IF($I$8="A",(RANK(AB43,AB$11:AB$368)+COUNTIF(AB$11:AB43,AB43)-1),(RANK(AB43,AB$11:AB$368,1)+COUNTIF(AB$11:AB43,AB43)-1)))</f>
        <v/>
      </c>
      <c r="AD43" s="184"/>
      <c r="AE43" s="28" t="str">
        <f t="shared" si="24"/>
        <v/>
      </c>
      <c r="AG43" s="96"/>
      <c r="AH43" s="29"/>
      <c r="AI43" s="38" t="str">
        <f>IF(L43="","",VLOOKUP($L43,classifications!$C:$J,8,FALSE))</f>
        <v/>
      </c>
      <c r="AJ43" s="39" t="str">
        <f t="shared" si="4"/>
        <v/>
      </c>
      <c r="AK43" s="34" t="str">
        <f>IF(AJ43="","",IF(I$8="A",(RANK(AJ43,AJ$11:AJ$368,1)+COUNTIF(AJ$11:AJ43,AJ43)-1),(RANK(AJ43,AJ$11:AJ$368)+COUNTIF(AJ$11:AJ43,AJ43)-1)))</f>
        <v/>
      </c>
      <c r="AL43" s="29" t="str">
        <f t="shared" si="13"/>
        <v/>
      </c>
      <c r="AM43" s="8" t="str">
        <f t="shared" si="5"/>
        <v/>
      </c>
      <c r="AN43" s="8" t="str">
        <f t="shared" si="14"/>
        <v/>
      </c>
      <c r="AP43" s="38" t="str">
        <f>IF(L43="","",VLOOKUP($L43,classifications!$C:$E,3,FALSE))</f>
        <v/>
      </c>
      <c r="AQ43" s="39" t="str">
        <f t="shared" si="15"/>
        <v/>
      </c>
      <c r="AR43" s="34" t="str">
        <f>IF(AQ43="","",IF(I$8="A",(RANK(AQ43,AQ$11:AQ$368,1)+COUNTIF(AQ$11:AQ43,AQ43)-1),(RANK(AQ43,AQ$11:AQ$368)+COUNTIF(AQ$11:AQ43,AQ43)-1)))</f>
        <v/>
      </c>
      <c r="AS43" s="29" t="str">
        <f t="shared" si="16"/>
        <v/>
      </c>
      <c r="AT43" s="34" t="str">
        <f t="shared" si="6"/>
        <v/>
      </c>
      <c r="AU43" s="39" t="str">
        <f t="shared" si="17"/>
        <v/>
      </c>
      <c r="AX43" s="21">
        <f>HLOOKUP($AX$9&amp;$AX$10,Data!$A$1:$ZZ$2000,(MATCH($C43,Data!$A$1:$A$2000,0)),FALSE)</f>
        <v>16.545630498092613</v>
      </c>
      <c r="AY43" s="103"/>
      <c r="AZ43" s="21"/>
    </row>
    <row r="44" spans="1:52">
      <c r="A44" s="56" t="str">
        <f>$D$1&amp;34</f>
        <v>SC34</v>
      </c>
      <c r="B44" s="57">
        <f>IF(ISERROR(VLOOKUP(A44,classifications!A:C,3,FALSE)),0,VLOOKUP(A44,classifications!A:C,3,FALSE))</f>
        <v>0</v>
      </c>
      <c r="C44" s="8" t="s">
        <v>811</v>
      </c>
      <c r="D44" s="26" t="str">
        <f>VLOOKUP($C44,classifications!$C:$J,4,FALSE)</f>
        <v>UA</v>
      </c>
      <c r="E44" s="26">
        <f>VLOOKUP(C44,classifications!C:K,9,FALSE)</f>
        <v>0</v>
      </c>
      <c r="F44" s="36">
        <f t="shared" si="0"/>
        <v>22.50801166188295</v>
      </c>
      <c r="G44" s="71"/>
      <c r="H44" s="37" t="str">
        <f t="shared" si="1"/>
        <v/>
      </c>
      <c r="I44" s="77" t="str">
        <f>IF(H44="","",IF($I$8="A",(RANK(H44,H$11:H$368,1)+COUNTIF(H$11:H44,H44)-1),(RANK(H44,H$11:H$368)+COUNTIF(H$11:H44,H44)-1)))</f>
        <v/>
      </c>
      <c r="J44" s="35"/>
      <c r="K44" s="28" t="str">
        <f t="shared" si="7"/>
        <v/>
      </c>
      <c r="L44" s="36" t="str">
        <f t="shared" si="2"/>
        <v/>
      </c>
      <c r="M44" s="102" t="str">
        <f t="shared" si="22"/>
        <v/>
      </c>
      <c r="N44" s="101" t="str">
        <f t="shared" si="23"/>
        <v/>
      </c>
      <c r="O44" s="94" t="str">
        <f t="shared" si="8"/>
        <v/>
      </c>
      <c r="P44" s="94" t="str">
        <f t="shared" si="18"/>
        <v/>
      </c>
      <c r="Q44" s="94" t="str">
        <f t="shared" si="19"/>
        <v/>
      </c>
      <c r="R44" s="90" t="str">
        <f t="shared" si="20"/>
        <v/>
      </c>
      <c r="S44" s="37" t="str">
        <f t="shared" si="9"/>
        <v/>
      </c>
      <c r="T44" s="176" t="str">
        <f>IF(L44="","",VLOOKUP(L44,classifications!C:K,9,FALSE))</f>
        <v/>
      </c>
      <c r="U44" s="183" t="str">
        <f t="shared" si="25"/>
        <v/>
      </c>
      <c r="V44" s="184" t="str">
        <f>IF(U44="","",IF($I$8="A",(RANK(U44,U$11:U$368)+COUNTIF(U$11:U44,U44)-1),(RANK(U44,U$11:U$368,1)+COUNTIF(U$11:U44,U44)-1)))</f>
        <v/>
      </c>
      <c r="W44" s="185"/>
      <c r="X44" s="38" t="str">
        <f>IF(L44="","",VLOOKUP($L44,classifications!$C:$J,6,FALSE))</f>
        <v/>
      </c>
      <c r="Y44" s="26" t="b">
        <f t="shared" si="3"/>
        <v>0</v>
      </c>
      <c r="Z44" s="34" t="e">
        <f>IF(Y44="","",IF(I$8="A",(RANK(Y44,Y$11:Y$368,1)+COUNTIF(Y$11:Y44,Y44)-1),(RANK(Y44,Y$11:Y$368)+COUNTIF(Y$11:Y44,Y44)-1)))</f>
        <v>#N/A</v>
      </c>
      <c r="AA44" s="188" t="str">
        <f>IF(L44="","",VLOOKUP($L44,classifications!C:I,7,FALSE))</f>
        <v/>
      </c>
      <c r="AB44" s="184" t="str">
        <f t="shared" si="11"/>
        <v/>
      </c>
      <c r="AC44" s="184" t="str">
        <f>IF(AB44="","",IF($I$8="A",(RANK(AB44,AB$11:AB$368)+COUNTIF(AB$11:AB44,AB44)-1),(RANK(AB44,AB$11:AB$368,1)+COUNTIF(AB$11:AB44,AB44)-1)))</f>
        <v/>
      </c>
      <c r="AD44" s="184"/>
      <c r="AE44" s="28" t="str">
        <f t="shared" si="24"/>
        <v/>
      </c>
      <c r="AG44" s="96"/>
      <c r="AH44" s="29"/>
      <c r="AI44" s="38" t="str">
        <f>IF(L44="","",VLOOKUP($L44,classifications!$C:$J,8,FALSE))</f>
        <v/>
      </c>
      <c r="AJ44" s="39" t="str">
        <f t="shared" si="4"/>
        <v/>
      </c>
      <c r="AK44" s="34" t="str">
        <f>IF(AJ44="","",IF(I$8="A",(RANK(AJ44,AJ$11:AJ$368,1)+COUNTIF(AJ$11:AJ44,AJ44)-1),(RANK(AJ44,AJ$11:AJ$368)+COUNTIF(AJ$11:AJ44,AJ44)-1)))</f>
        <v/>
      </c>
      <c r="AL44" s="29" t="str">
        <f t="shared" si="13"/>
        <v/>
      </c>
      <c r="AM44" s="8" t="str">
        <f t="shared" si="5"/>
        <v/>
      </c>
      <c r="AN44" s="8" t="str">
        <f t="shared" si="14"/>
        <v/>
      </c>
      <c r="AP44" s="38" t="str">
        <f>IF(L44="","",VLOOKUP($L44,classifications!$C:$E,3,FALSE))</f>
        <v/>
      </c>
      <c r="AQ44" s="39" t="str">
        <f t="shared" si="15"/>
        <v/>
      </c>
      <c r="AR44" s="34" t="str">
        <f>IF(AQ44="","",IF(I$8="A",(RANK(AQ44,AQ$11:AQ$368,1)+COUNTIF(AQ$11:AQ44,AQ44)-1),(RANK(AQ44,AQ$11:AQ$368)+COUNTIF(AQ$11:AQ44,AQ44)-1)))</f>
        <v/>
      </c>
      <c r="AS44" s="29" t="str">
        <f t="shared" si="16"/>
        <v/>
      </c>
      <c r="AT44" s="34" t="str">
        <f t="shared" si="6"/>
        <v/>
      </c>
      <c r="AU44" s="39" t="str">
        <f t="shared" si="17"/>
        <v/>
      </c>
      <c r="AX44" s="21">
        <f>HLOOKUP($AX$9&amp;$AX$10,Data!$A$1:$ZZ$2000,(MATCH($C44,Data!$A$1:$A$2000,0)),FALSE)</f>
        <v>22.50801166188295</v>
      </c>
      <c r="AY44" s="103"/>
      <c r="AZ44" s="21"/>
    </row>
    <row r="45" spans="1:52">
      <c r="A45" s="56" t="str">
        <f>$D$1&amp;35</f>
        <v>SC35</v>
      </c>
      <c r="B45" s="57">
        <f>IF(ISERROR(VLOOKUP(A45,classifications!A:C,3,FALSE)),0,VLOOKUP(A45,classifications!A:C,3,FALSE))</f>
        <v>0</v>
      </c>
      <c r="C45" s="8" t="s">
        <v>815</v>
      </c>
      <c r="D45" s="26" t="str">
        <f>VLOOKUP($C45,classifications!$C:$J,4,FALSE)</f>
        <v>UA</v>
      </c>
      <c r="E45" s="26">
        <f>VLOOKUP(C45,classifications!C:K,9,FALSE)</f>
        <v>0</v>
      </c>
      <c r="F45" s="36">
        <f t="shared" si="0"/>
        <v>26.218360567306064</v>
      </c>
      <c r="G45" s="71"/>
      <c r="H45" s="37" t="str">
        <f t="shared" si="1"/>
        <v/>
      </c>
      <c r="I45" s="77" t="str">
        <f>IF(H45="","",IF($I$8="A",(RANK(H45,H$11:H$368,1)+COUNTIF(H$11:H45,H45)-1),(RANK(H45,H$11:H$368)+COUNTIF(H$11:H45,H45)-1)))</f>
        <v/>
      </c>
      <c r="J45" s="35"/>
      <c r="K45" s="28" t="str">
        <f t="shared" si="7"/>
        <v/>
      </c>
      <c r="L45" s="36" t="str">
        <f t="shared" si="2"/>
        <v/>
      </c>
      <c r="M45" s="102" t="str">
        <f t="shared" si="22"/>
        <v/>
      </c>
      <c r="N45" s="101" t="str">
        <f t="shared" si="23"/>
        <v/>
      </c>
      <c r="O45" s="94" t="str">
        <f t="shared" si="8"/>
        <v/>
      </c>
      <c r="P45" s="94" t="str">
        <f t="shared" si="18"/>
        <v/>
      </c>
      <c r="Q45" s="94" t="str">
        <f t="shared" si="19"/>
        <v/>
      </c>
      <c r="R45" s="90" t="str">
        <f t="shared" si="20"/>
        <v/>
      </c>
      <c r="S45" s="37" t="str">
        <f t="shared" si="9"/>
        <v/>
      </c>
      <c r="T45" s="176" t="str">
        <f>IF(L45="","",VLOOKUP(L45,classifications!C:K,9,FALSE))</f>
        <v/>
      </c>
      <c r="U45" s="183" t="str">
        <f t="shared" si="25"/>
        <v/>
      </c>
      <c r="V45" s="184" t="str">
        <f>IF(U45="","",IF($I$8="A",(RANK(U45,U$11:U$368)+COUNTIF(U$11:U45,U45)-1),(RANK(U45,U$11:U$368,1)+COUNTIF(U$11:U45,U45)-1)))</f>
        <v/>
      </c>
      <c r="W45" s="185"/>
      <c r="X45" s="38" t="str">
        <f>IF(L45="","",VLOOKUP($L45,classifications!$C:$J,6,FALSE))</f>
        <v/>
      </c>
      <c r="Y45" s="26" t="b">
        <f t="shared" si="3"/>
        <v>0</v>
      </c>
      <c r="Z45" s="34" t="e">
        <f>IF(Y45="","",IF(I$8="A",(RANK(Y45,Y$11:Y$368,1)+COUNTIF(Y$11:Y45,Y45)-1),(RANK(Y45,Y$11:Y$368)+COUNTIF(Y$11:Y45,Y45)-1)))</f>
        <v>#N/A</v>
      </c>
      <c r="AA45" s="188" t="str">
        <f>IF(L45="","",VLOOKUP($L45,classifications!C:I,7,FALSE))</f>
        <v/>
      </c>
      <c r="AB45" s="184" t="str">
        <f t="shared" si="11"/>
        <v/>
      </c>
      <c r="AC45" s="184" t="str">
        <f>IF(AB45="","",IF($I$8="A",(RANK(AB45,AB$11:AB$368)+COUNTIF(AB$11:AB45,AB45)-1),(RANK(AB45,AB$11:AB$368,1)+COUNTIF(AB$11:AB45,AB45)-1)))</f>
        <v/>
      </c>
      <c r="AD45" s="184"/>
      <c r="AE45" s="28" t="str">
        <f t="shared" si="24"/>
        <v/>
      </c>
      <c r="AG45" s="96"/>
      <c r="AH45" s="29"/>
      <c r="AI45" s="38" t="str">
        <f>IF(L45="","",VLOOKUP($L45,classifications!$C:$J,8,FALSE))</f>
        <v/>
      </c>
      <c r="AJ45" s="39" t="str">
        <f t="shared" si="4"/>
        <v/>
      </c>
      <c r="AK45" s="34" t="str">
        <f>IF(AJ45="","",IF(I$8="A",(RANK(AJ45,AJ$11:AJ$368,1)+COUNTIF(AJ$11:AJ45,AJ45)-1),(RANK(AJ45,AJ$11:AJ$368)+COUNTIF(AJ$11:AJ45,AJ45)-1)))</f>
        <v/>
      </c>
      <c r="AL45" s="29" t="str">
        <f t="shared" si="13"/>
        <v/>
      </c>
      <c r="AM45" s="8" t="str">
        <f t="shared" si="5"/>
        <v/>
      </c>
      <c r="AN45" s="8" t="str">
        <f t="shared" si="14"/>
        <v/>
      </c>
      <c r="AP45" s="38" t="str">
        <f>IF(L45="","",VLOOKUP($L45,classifications!$C:$E,3,FALSE))</f>
        <v/>
      </c>
      <c r="AQ45" s="39" t="str">
        <f t="shared" si="15"/>
        <v/>
      </c>
      <c r="AR45" s="34" t="str">
        <f>IF(AQ45="","",IF(I$8="A",(RANK(AQ45,AQ$11:AQ$368,1)+COUNTIF(AQ$11:AQ45,AQ45)-1),(RANK(AQ45,AQ$11:AQ$368)+COUNTIF(AQ$11:AQ45,AQ45)-1)))</f>
        <v/>
      </c>
      <c r="AS45" s="29" t="str">
        <f t="shared" si="16"/>
        <v/>
      </c>
      <c r="AT45" s="34" t="str">
        <f t="shared" si="6"/>
        <v/>
      </c>
      <c r="AU45" s="39" t="str">
        <f t="shared" si="17"/>
        <v/>
      </c>
      <c r="AX45" s="21">
        <f>HLOOKUP($AX$9&amp;$AX$10,Data!$A$1:$ZZ$2000,(MATCH($C45,Data!$A$1:$A$2000,0)),FALSE)</f>
        <v>26.218360567306064</v>
      </c>
      <c r="AY45" s="103"/>
      <c r="AZ45" s="21"/>
    </row>
    <row r="46" spans="1:52">
      <c r="A46" s="56" t="str">
        <f>$D$1&amp;36</f>
        <v>SC36</v>
      </c>
      <c r="B46" s="57">
        <f>IF(ISERROR(VLOOKUP(A46,classifications!A:C,3,FALSE)),0,VLOOKUP(A46,classifications!A:C,3,FALSE))</f>
        <v>0</v>
      </c>
      <c r="C46" s="8" t="s">
        <v>22</v>
      </c>
      <c r="D46" s="26" t="str">
        <f>VLOOKUP($C46,classifications!$C:$J,4,FALSE)</f>
        <v>SD</v>
      </c>
      <c r="E46" s="26">
        <f>VLOOKUP(C46,classifications!C:K,9,FALSE)</f>
        <v>0</v>
      </c>
      <c r="F46" s="36">
        <f t="shared" si="0"/>
        <v>18.301486340637595</v>
      </c>
      <c r="G46" s="71"/>
      <c r="H46" s="37" t="str">
        <f t="shared" si="1"/>
        <v/>
      </c>
      <c r="I46" s="77" t="str">
        <f>IF(H46="","",IF($I$8="A",(RANK(H46,H$11:H$368,1)+COUNTIF(H$11:H46,H46)-1),(RANK(H46,H$11:H$368)+COUNTIF(H$11:H46,H46)-1)))</f>
        <v/>
      </c>
      <c r="J46" s="35"/>
      <c r="K46" s="28" t="str">
        <f t="shared" si="7"/>
        <v/>
      </c>
      <c r="L46" s="36" t="str">
        <f t="shared" si="2"/>
        <v/>
      </c>
      <c r="M46" s="102" t="str">
        <f t="shared" si="22"/>
        <v/>
      </c>
      <c r="N46" s="101" t="str">
        <f t="shared" si="23"/>
        <v/>
      </c>
      <c r="O46" s="94" t="str">
        <f t="shared" si="8"/>
        <v/>
      </c>
      <c r="P46" s="94" t="str">
        <f t="shared" si="18"/>
        <v/>
      </c>
      <c r="Q46" s="94" t="str">
        <f t="shared" si="19"/>
        <v/>
      </c>
      <c r="R46" s="90" t="str">
        <f t="shared" si="20"/>
        <v/>
      </c>
      <c r="S46" s="37" t="str">
        <f t="shared" si="9"/>
        <v/>
      </c>
      <c r="T46" s="176" t="str">
        <f>IF(L46="","",VLOOKUP(L46,classifications!C:K,9,FALSE))</f>
        <v/>
      </c>
      <c r="U46" s="183" t="str">
        <f t="shared" si="25"/>
        <v/>
      </c>
      <c r="V46" s="184" t="str">
        <f>IF(U46="","",IF($I$8="A",(RANK(U46,U$11:U$368)+COUNTIF(U$11:U46,U46)-1),(RANK(U46,U$11:U$368,1)+COUNTIF(U$11:U46,U46)-1)))</f>
        <v/>
      </c>
      <c r="W46" s="185"/>
      <c r="X46" s="38" t="str">
        <f>IF(L46="","",VLOOKUP($L46,classifications!$C:$J,6,FALSE))</f>
        <v/>
      </c>
      <c r="Y46" s="26" t="b">
        <f t="shared" si="3"/>
        <v>0</v>
      </c>
      <c r="Z46" s="34" t="e">
        <f>IF(Y46="","",IF(I$8="A",(RANK(Y46,Y$11:Y$368,1)+COUNTIF(Y$11:Y46,Y46)-1),(RANK(Y46,Y$11:Y$368)+COUNTIF(Y$11:Y46,Y46)-1)))</f>
        <v>#N/A</v>
      </c>
      <c r="AA46" s="188" t="str">
        <f>IF(L46="","",VLOOKUP($L46,classifications!C:I,7,FALSE))</f>
        <v/>
      </c>
      <c r="AB46" s="184" t="str">
        <f t="shared" si="11"/>
        <v/>
      </c>
      <c r="AC46" s="184" t="str">
        <f>IF(AB46="","",IF($I$8="A",(RANK(AB46,AB$11:AB$368)+COUNTIF(AB$11:AB46,AB46)-1),(RANK(AB46,AB$11:AB$368,1)+COUNTIF(AB$11:AB46,AB46)-1)))</f>
        <v/>
      </c>
      <c r="AD46" s="184"/>
      <c r="AE46" s="28" t="str">
        <f t="shared" si="24"/>
        <v/>
      </c>
      <c r="AG46" s="96"/>
      <c r="AH46" s="29"/>
      <c r="AI46" s="38" t="str">
        <f>IF(L46="","",VLOOKUP($L46,classifications!$C:$J,8,FALSE))</f>
        <v/>
      </c>
      <c r="AJ46" s="39" t="str">
        <f t="shared" si="4"/>
        <v/>
      </c>
      <c r="AK46" s="34" t="str">
        <f>IF(AJ46="","",IF(I$8="A",(RANK(AJ46,AJ$11:AJ$368,1)+COUNTIF(AJ$11:AJ46,AJ46)-1),(RANK(AJ46,AJ$11:AJ$368)+COUNTIF(AJ$11:AJ46,AJ46)-1)))</f>
        <v/>
      </c>
      <c r="AL46" s="29" t="str">
        <f t="shared" si="13"/>
        <v/>
      </c>
      <c r="AM46" s="8" t="str">
        <f t="shared" si="5"/>
        <v/>
      </c>
      <c r="AN46" s="8" t="str">
        <f t="shared" si="14"/>
        <v/>
      </c>
      <c r="AP46" s="38" t="str">
        <f>IF(L46="","",VLOOKUP($L46,classifications!$C:$E,3,FALSE))</f>
        <v/>
      </c>
      <c r="AQ46" s="39" t="str">
        <f t="shared" si="15"/>
        <v/>
      </c>
      <c r="AR46" s="34" t="str">
        <f>IF(AQ46="","",IF(I$8="A",(RANK(AQ46,AQ$11:AQ$368,1)+COUNTIF(AQ$11:AQ46,AQ46)-1),(RANK(AQ46,AQ$11:AQ$368)+COUNTIF(AQ$11:AQ46,AQ46)-1)))</f>
        <v/>
      </c>
      <c r="AS46" s="29" t="str">
        <f t="shared" si="16"/>
        <v/>
      </c>
      <c r="AT46" s="34" t="str">
        <f t="shared" si="6"/>
        <v/>
      </c>
      <c r="AU46" s="39" t="str">
        <f t="shared" si="17"/>
        <v/>
      </c>
      <c r="AX46" s="21">
        <f>HLOOKUP($AX$9&amp;$AX$10,Data!$A$1:$ZZ$2000,(MATCH($C46,Data!$A$1:$A$2000,0)),FALSE)</f>
        <v>18.301486340637595</v>
      </c>
      <c r="AY46" s="103"/>
      <c r="AZ46" s="21"/>
    </row>
    <row r="47" spans="1:52">
      <c r="A47" s="56" t="str">
        <f>$D$1&amp;37</f>
        <v>SC37</v>
      </c>
      <c r="B47" s="57">
        <f>IF(ISERROR(VLOOKUP(A47,classifications!A:C,3,FALSE)),0,VLOOKUP(A47,classifications!A:C,3,FALSE))</f>
        <v>0</v>
      </c>
      <c r="C47" s="8" t="s">
        <v>199</v>
      </c>
      <c r="D47" s="26" t="str">
        <f>VLOOKUP($C47,classifications!$C:$J,4,FALSE)</f>
        <v>L</v>
      </c>
      <c r="E47" s="26">
        <f>VLOOKUP(C47,classifications!C:K,9,FALSE)</f>
        <v>0</v>
      </c>
      <c r="F47" s="36">
        <f t="shared" si="0"/>
        <v>9.0970708172497226</v>
      </c>
      <c r="G47" s="71"/>
      <c r="H47" s="37" t="str">
        <f t="shared" si="1"/>
        <v/>
      </c>
      <c r="I47" s="77" t="str">
        <f>IF(H47="","",IF($I$8="A",(RANK(H47,H$11:H$368,1)+COUNTIF(H$11:H47,H47)-1),(RANK(H47,H$11:H$368)+COUNTIF(H$11:H47,H47)-1)))</f>
        <v/>
      </c>
      <c r="J47" s="35"/>
      <c r="K47" s="28" t="str">
        <f t="shared" si="7"/>
        <v/>
      </c>
      <c r="L47" s="36" t="str">
        <f t="shared" si="2"/>
        <v/>
      </c>
      <c r="M47" s="102" t="str">
        <f t="shared" si="22"/>
        <v/>
      </c>
      <c r="N47" s="101" t="str">
        <f t="shared" si="23"/>
        <v/>
      </c>
      <c r="O47" s="94" t="str">
        <f t="shared" si="8"/>
        <v/>
      </c>
      <c r="P47" s="94" t="str">
        <f t="shared" si="18"/>
        <v/>
      </c>
      <c r="Q47" s="94" t="str">
        <f t="shared" si="19"/>
        <v/>
      </c>
      <c r="R47" s="90" t="str">
        <f t="shared" si="20"/>
        <v/>
      </c>
      <c r="S47" s="37" t="str">
        <f t="shared" si="9"/>
        <v/>
      </c>
      <c r="T47" s="176" t="str">
        <f>IF(L47="","",VLOOKUP(L47,classifications!C:K,9,FALSE))</f>
        <v/>
      </c>
      <c r="U47" s="183" t="str">
        <f t="shared" si="25"/>
        <v/>
      </c>
      <c r="V47" s="184" t="str">
        <f>IF(U47="","",IF($I$8="A",(RANK(U47,U$11:U$368)+COUNTIF(U$11:U47,U47)-1),(RANK(U47,U$11:U$368,1)+COUNTIF(U$11:U47,U47)-1)))</f>
        <v/>
      </c>
      <c r="W47" s="185"/>
      <c r="X47" s="38" t="str">
        <f>IF(L47="","",VLOOKUP($L47,classifications!$C:$J,6,FALSE))</f>
        <v/>
      </c>
      <c r="Y47" s="26" t="b">
        <f t="shared" si="3"/>
        <v>0</v>
      </c>
      <c r="Z47" s="34" t="e">
        <f>IF(Y47="","",IF(I$8="A",(RANK(Y47,Y$11:Y$368,1)+COUNTIF(Y$11:Y47,Y47)-1),(RANK(Y47,Y$11:Y$368)+COUNTIF(Y$11:Y47,Y47)-1)))</f>
        <v>#N/A</v>
      </c>
      <c r="AA47" s="188" t="str">
        <f>IF(L47="","",VLOOKUP($L47,classifications!C:I,7,FALSE))</f>
        <v/>
      </c>
      <c r="AB47" s="184" t="str">
        <f t="shared" si="11"/>
        <v/>
      </c>
      <c r="AC47" s="184" t="str">
        <f>IF(AB47="","",IF($I$8="A",(RANK(AB47,AB$11:AB$368)+COUNTIF(AB$11:AB47,AB47)-1),(RANK(AB47,AB$11:AB$368,1)+COUNTIF(AB$11:AB47,AB47)-1)))</f>
        <v/>
      </c>
      <c r="AD47" s="184"/>
      <c r="AE47" s="28" t="str">
        <f t="shared" si="24"/>
        <v/>
      </c>
      <c r="AG47" s="96"/>
      <c r="AH47" s="29"/>
      <c r="AI47" s="38" t="str">
        <f>IF(L47="","",VLOOKUP($L47,classifications!$C:$J,8,FALSE))</f>
        <v/>
      </c>
      <c r="AJ47" s="39" t="str">
        <f t="shared" si="4"/>
        <v/>
      </c>
      <c r="AK47" s="34" t="str">
        <f>IF(AJ47="","",IF(I$8="A",(RANK(AJ47,AJ$11:AJ$368,1)+COUNTIF(AJ$11:AJ47,AJ47)-1),(RANK(AJ47,AJ$11:AJ$368)+COUNTIF(AJ$11:AJ47,AJ47)-1)))</f>
        <v/>
      </c>
      <c r="AL47" s="29" t="str">
        <f t="shared" si="13"/>
        <v/>
      </c>
      <c r="AM47" s="8" t="str">
        <f t="shared" si="5"/>
        <v/>
      </c>
      <c r="AN47" s="8" t="str">
        <f t="shared" si="14"/>
        <v/>
      </c>
      <c r="AP47" s="38" t="str">
        <f>IF(L47="","",VLOOKUP($L47,classifications!$C:$E,3,FALSE))</f>
        <v/>
      </c>
      <c r="AQ47" s="39" t="str">
        <f t="shared" si="15"/>
        <v/>
      </c>
      <c r="AR47" s="34" t="str">
        <f>IF(AQ47="","",IF(I$8="A",(RANK(AQ47,AQ$11:AQ$368,1)+COUNTIF(AQ$11:AQ47,AQ47)-1),(RANK(AQ47,AQ$11:AQ$368)+COUNTIF(AQ$11:AQ47,AQ47)-1)))</f>
        <v/>
      </c>
      <c r="AS47" s="29" t="str">
        <f t="shared" si="16"/>
        <v/>
      </c>
      <c r="AT47" s="34" t="str">
        <f t="shared" si="6"/>
        <v/>
      </c>
      <c r="AU47" s="39" t="str">
        <f t="shared" si="17"/>
        <v/>
      </c>
      <c r="AX47" s="21">
        <f>HLOOKUP($AX$9&amp;$AX$10,Data!$A$1:$ZZ$2000,(MATCH($C47,Data!$A$1:$A$2000,0)),FALSE)</f>
        <v>9.0970708172497226</v>
      </c>
      <c r="AY47" s="103"/>
      <c r="AZ47" s="21"/>
    </row>
    <row r="48" spans="1:52">
      <c r="A48" s="56" t="str">
        <f>$D$1&amp;38</f>
        <v>SC38</v>
      </c>
      <c r="B48" s="57">
        <f>IF(ISERROR(VLOOKUP(A48,classifications!A:C,3,FALSE)),0,VLOOKUP(A48,classifications!A:C,3,FALSE))</f>
        <v>0</v>
      </c>
      <c r="C48" s="8" t="s">
        <v>23</v>
      </c>
      <c r="D48" s="26" t="str">
        <f>VLOOKUP($C48,classifications!$C:$J,4,FALSE)</f>
        <v>SD</v>
      </c>
      <c r="E48" s="26">
        <f>VLOOKUP(C48,classifications!C:K,9,FALSE)</f>
        <v>0</v>
      </c>
      <c r="F48" s="36">
        <f t="shared" si="0"/>
        <v>11.244484734371497</v>
      </c>
      <c r="G48" s="71"/>
      <c r="H48" s="37" t="str">
        <f t="shared" si="1"/>
        <v/>
      </c>
      <c r="I48" s="77" t="str">
        <f>IF(H48="","",IF($I$8="A",(RANK(H48,H$11:H$368,1)+COUNTIF(H$11:H48,H48)-1),(RANK(H48,H$11:H$368)+COUNTIF(H$11:H48,H48)-1)))</f>
        <v/>
      </c>
      <c r="J48" s="35"/>
      <c r="K48" s="28" t="str">
        <f t="shared" si="7"/>
        <v/>
      </c>
      <c r="L48" s="36" t="str">
        <f t="shared" si="2"/>
        <v/>
      </c>
      <c r="M48" s="102" t="str">
        <f t="shared" si="22"/>
        <v/>
      </c>
      <c r="N48" s="101" t="str">
        <f t="shared" si="23"/>
        <v/>
      </c>
      <c r="O48" s="94" t="str">
        <f t="shared" si="8"/>
        <v/>
      </c>
      <c r="P48" s="94" t="str">
        <f t="shared" si="18"/>
        <v/>
      </c>
      <c r="Q48" s="94" t="str">
        <f t="shared" si="19"/>
        <v/>
      </c>
      <c r="R48" s="90" t="str">
        <f t="shared" si="20"/>
        <v/>
      </c>
      <c r="S48" s="37" t="str">
        <f t="shared" si="9"/>
        <v/>
      </c>
      <c r="T48" s="176" t="str">
        <f>IF(L48="","",VLOOKUP(L48,classifications!C:K,9,FALSE))</f>
        <v/>
      </c>
      <c r="U48" s="183" t="str">
        <f t="shared" si="25"/>
        <v/>
      </c>
      <c r="V48" s="184" t="str">
        <f>IF(U48="","",IF($I$8="A",(RANK(U48,U$11:U$368)+COUNTIF(U$11:U48,U48)-1),(RANK(U48,U$11:U$368,1)+COUNTIF(U$11:U48,U48)-1)))</f>
        <v/>
      </c>
      <c r="W48" s="185"/>
      <c r="X48" s="38" t="str">
        <f>IF(L48="","",VLOOKUP($L48,classifications!$C:$J,6,FALSE))</f>
        <v/>
      </c>
      <c r="Y48" s="26" t="b">
        <f t="shared" si="3"/>
        <v>0</v>
      </c>
      <c r="Z48" s="34" t="e">
        <f>IF(Y48="","",IF(I$8="A",(RANK(Y48,Y$11:Y$368,1)+COUNTIF(Y$11:Y48,Y48)-1),(RANK(Y48,Y$11:Y$368)+COUNTIF(Y$11:Y48,Y48)-1)))</f>
        <v>#N/A</v>
      </c>
      <c r="AA48" s="188" t="str">
        <f>IF(L48="","",VLOOKUP($L48,classifications!C:I,7,FALSE))</f>
        <v/>
      </c>
      <c r="AB48" s="184" t="str">
        <f t="shared" si="11"/>
        <v/>
      </c>
      <c r="AC48" s="184" t="str">
        <f>IF(AB48="","",IF($I$8="A",(RANK(AB48,AB$11:AB$368)+COUNTIF(AB$11:AB48,AB48)-1),(RANK(AB48,AB$11:AB$368,1)+COUNTIF(AB$11:AB48,AB48)-1)))</f>
        <v/>
      </c>
      <c r="AD48" s="184"/>
      <c r="AE48" s="28" t="str">
        <f t="shared" si="24"/>
        <v/>
      </c>
      <c r="AG48" s="96"/>
      <c r="AH48" s="29"/>
      <c r="AI48" s="38" t="str">
        <f>IF(L48="","",VLOOKUP($L48,classifications!$C:$J,8,FALSE))</f>
        <v/>
      </c>
      <c r="AJ48" s="39" t="str">
        <f t="shared" si="4"/>
        <v/>
      </c>
      <c r="AK48" s="34" t="str">
        <f>IF(AJ48="","",IF(I$8="A",(RANK(AJ48,AJ$11:AJ$368,1)+COUNTIF(AJ$11:AJ48,AJ48)-1),(RANK(AJ48,AJ$11:AJ$368)+COUNTIF(AJ$11:AJ48,AJ48)-1)))</f>
        <v/>
      </c>
      <c r="AL48" s="29" t="str">
        <f t="shared" si="13"/>
        <v/>
      </c>
      <c r="AM48" s="8" t="str">
        <f t="shared" si="5"/>
        <v/>
      </c>
      <c r="AN48" s="8" t="str">
        <f t="shared" si="14"/>
        <v/>
      </c>
      <c r="AP48" s="38" t="str">
        <f>IF(L48="","",VLOOKUP($L48,classifications!$C:$E,3,FALSE))</f>
        <v/>
      </c>
      <c r="AQ48" s="39" t="str">
        <f t="shared" si="15"/>
        <v/>
      </c>
      <c r="AR48" s="34" t="str">
        <f>IF(AQ48="","",IF(I$8="A",(RANK(AQ48,AQ$11:AQ$368,1)+COUNTIF(AQ$11:AQ48,AQ48)-1),(RANK(AQ48,AQ$11:AQ$368)+COUNTIF(AQ$11:AQ48,AQ48)-1)))</f>
        <v/>
      </c>
      <c r="AS48" s="29" t="str">
        <f t="shared" si="16"/>
        <v/>
      </c>
      <c r="AT48" s="34" t="str">
        <f t="shared" si="6"/>
        <v/>
      </c>
      <c r="AU48" s="39" t="str">
        <f t="shared" si="17"/>
        <v/>
      </c>
      <c r="AX48" s="21">
        <f>HLOOKUP($AX$9&amp;$AX$10,Data!$A$1:$ZZ$2000,(MATCH($C48,Data!$A$1:$A$2000,0)),FALSE)</f>
        <v>11.244484734371497</v>
      </c>
      <c r="AY48" s="103"/>
      <c r="AZ48" s="21"/>
    </row>
    <row r="49" spans="1:52">
      <c r="A49" s="56" t="str">
        <f>$D$1&amp;39</f>
        <v>SC39</v>
      </c>
      <c r="B49" s="57">
        <f>IF(ISERROR(VLOOKUP(A49,classifications!A:C,3,FALSE)),0,VLOOKUP(A49,classifications!A:C,3,FALSE))</f>
        <v>0</v>
      </c>
      <c r="C49" s="8" t="s">
        <v>24</v>
      </c>
      <c r="D49" s="26" t="str">
        <f>VLOOKUP($C49,classifications!$C:$J,4,FALSE)</f>
        <v>SD</v>
      </c>
      <c r="E49" s="26">
        <f>VLOOKUP(C49,classifications!C:K,9,FALSE)</f>
        <v>0</v>
      </c>
      <c r="F49" s="36">
        <f t="shared" si="0"/>
        <v>11.843262234152634</v>
      </c>
      <c r="G49" s="71"/>
      <c r="H49" s="37" t="str">
        <f t="shared" si="1"/>
        <v/>
      </c>
      <c r="I49" s="77" t="str">
        <f>IF(H49="","",IF($I$8="A",(RANK(H49,H$11:H$368,1)+COUNTIF(H$11:H49,H49)-1),(RANK(H49,H$11:H$368)+COUNTIF(H$11:H49,H49)-1)))</f>
        <v/>
      </c>
      <c r="J49" s="35"/>
      <c r="K49" s="28" t="str">
        <f t="shared" si="7"/>
        <v/>
      </c>
      <c r="L49" s="36" t="str">
        <f t="shared" si="2"/>
        <v/>
      </c>
      <c r="M49" s="102" t="str">
        <f t="shared" si="22"/>
        <v/>
      </c>
      <c r="N49" s="101" t="str">
        <f t="shared" si="23"/>
        <v/>
      </c>
      <c r="O49" s="94" t="str">
        <f t="shared" si="8"/>
        <v/>
      </c>
      <c r="P49" s="94" t="str">
        <f t="shared" si="18"/>
        <v/>
      </c>
      <c r="Q49" s="94" t="str">
        <f t="shared" si="19"/>
        <v/>
      </c>
      <c r="R49" s="90" t="str">
        <f t="shared" si="20"/>
        <v/>
      </c>
      <c r="S49" s="37" t="str">
        <f t="shared" si="9"/>
        <v/>
      </c>
      <c r="T49" s="176" t="str">
        <f>IF(L49="","",VLOOKUP(L49,classifications!C:K,9,FALSE))</f>
        <v/>
      </c>
      <c r="U49" s="183" t="str">
        <f t="shared" si="25"/>
        <v/>
      </c>
      <c r="V49" s="184" t="str">
        <f>IF(U49="","",IF($I$8="A",(RANK(U49,U$11:U$368)+COUNTIF(U$11:U49,U49)-1),(RANK(U49,U$11:U$368,1)+COUNTIF(U$11:U49,U49)-1)))</f>
        <v/>
      </c>
      <c r="W49" s="185"/>
      <c r="X49" s="38" t="str">
        <f>IF(L49="","",VLOOKUP($L49,classifications!$C:$J,6,FALSE))</f>
        <v/>
      </c>
      <c r="Y49" s="26" t="b">
        <f t="shared" si="3"/>
        <v>0</v>
      </c>
      <c r="Z49" s="34" t="e">
        <f>IF(Y49="","",IF(I$8="A",(RANK(Y49,Y$11:Y$368,1)+COUNTIF(Y$11:Y49,Y49)-1),(RANK(Y49,Y$11:Y$368)+COUNTIF(Y$11:Y49,Y49)-1)))</f>
        <v>#N/A</v>
      </c>
      <c r="AA49" s="188" t="str">
        <f>IF(L49="","",VLOOKUP($L49,classifications!C:I,7,FALSE))</f>
        <v/>
      </c>
      <c r="AB49" s="184" t="str">
        <f t="shared" si="11"/>
        <v/>
      </c>
      <c r="AC49" s="184" t="str">
        <f>IF(AB49="","",IF($I$8="A",(RANK(AB49,AB$11:AB$368)+COUNTIF(AB$11:AB49,AB49)-1),(RANK(AB49,AB$11:AB$368,1)+COUNTIF(AB$11:AB49,AB49)-1)))</f>
        <v/>
      </c>
      <c r="AD49" s="184"/>
      <c r="AE49" s="28" t="str">
        <f t="shared" si="24"/>
        <v/>
      </c>
      <c r="AG49" s="96"/>
      <c r="AH49" s="29"/>
      <c r="AI49" s="38" t="str">
        <f>IF(L49="","",VLOOKUP($L49,classifications!$C:$J,8,FALSE))</f>
        <v/>
      </c>
      <c r="AJ49" s="39" t="str">
        <f t="shared" si="4"/>
        <v/>
      </c>
      <c r="AK49" s="34" t="str">
        <f>IF(AJ49="","",IF(I$8="A",(RANK(AJ49,AJ$11:AJ$368,1)+COUNTIF(AJ$11:AJ49,AJ49)-1),(RANK(AJ49,AJ$11:AJ$368)+COUNTIF(AJ$11:AJ49,AJ49)-1)))</f>
        <v/>
      </c>
      <c r="AL49" s="29" t="str">
        <f t="shared" si="13"/>
        <v/>
      </c>
      <c r="AM49" s="8" t="str">
        <f t="shared" si="5"/>
        <v/>
      </c>
      <c r="AN49" s="8" t="str">
        <f t="shared" si="14"/>
        <v/>
      </c>
      <c r="AP49" s="38" t="str">
        <f>IF(L49="","",VLOOKUP($L49,classifications!$C:$E,3,FALSE))</f>
        <v/>
      </c>
      <c r="AQ49" s="39" t="str">
        <f t="shared" si="15"/>
        <v/>
      </c>
      <c r="AR49" s="34" t="str">
        <f>IF(AQ49="","",IF(I$8="A",(RANK(AQ49,AQ$11:AQ$368,1)+COUNTIF(AQ$11:AQ49,AQ49)-1),(RANK(AQ49,AQ$11:AQ$368)+COUNTIF(AQ$11:AQ49,AQ49)-1)))</f>
        <v/>
      </c>
      <c r="AS49" s="29" t="str">
        <f t="shared" si="16"/>
        <v/>
      </c>
      <c r="AT49" s="34" t="str">
        <f t="shared" si="6"/>
        <v/>
      </c>
      <c r="AU49" s="39" t="str">
        <f t="shared" si="17"/>
        <v/>
      </c>
      <c r="AX49" s="21">
        <f>HLOOKUP($AX$9&amp;$AX$10,Data!$A$1:$ZZ$2000,(MATCH($C49,Data!$A$1:$A$2000,0)),FALSE)</f>
        <v>11.843262234152634</v>
      </c>
      <c r="AY49" s="103"/>
      <c r="AZ49" s="21"/>
    </row>
    <row r="50" spans="1:52">
      <c r="A50" s="56" t="str">
        <f>$D$1&amp;40</f>
        <v>SC40</v>
      </c>
      <c r="B50" s="57">
        <f>IF(ISERROR(VLOOKUP(A50,classifications!A:C,3,FALSE)),0,VLOOKUP(A50,classifications!A:C,3,FALSE))</f>
        <v>0</v>
      </c>
      <c r="C50" s="8" t="s">
        <v>25</v>
      </c>
      <c r="D50" s="26" t="str">
        <f>VLOOKUP($C50,classifications!$C:$J,4,FALSE)</f>
        <v>SD</v>
      </c>
      <c r="E50" s="26">
        <f>VLOOKUP(C50,classifications!C:K,9,FALSE)</f>
        <v>0</v>
      </c>
      <c r="F50" s="36">
        <f t="shared" si="0"/>
        <v>21.042725290543054</v>
      </c>
      <c r="G50" s="71"/>
      <c r="H50" s="37" t="str">
        <f t="shared" si="1"/>
        <v/>
      </c>
      <c r="I50" s="77" t="str">
        <f>IF(H50="","",IF($I$8="A",(RANK(H50,H$11:H$368,1)+COUNTIF(H$11:H50,H50)-1),(RANK(H50,H$11:H$368)+COUNTIF(H$11:H50,H50)-1)))</f>
        <v/>
      </c>
      <c r="J50" s="35"/>
      <c r="K50" s="28" t="str">
        <f t="shared" si="7"/>
        <v/>
      </c>
      <c r="L50" s="36" t="str">
        <f t="shared" si="2"/>
        <v/>
      </c>
      <c r="M50" s="102" t="str">
        <f t="shared" si="22"/>
        <v/>
      </c>
      <c r="N50" s="101" t="str">
        <f t="shared" si="23"/>
        <v/>
      </c>
      <c r="O50" s="94" t="str">
        <f t="shared" si="8"/>
        <v/>
      </c>
      <c r="P50" s="94" t="str">
        <f t="shared" si="18"/>
        <v/>
      </c>
      <c r="Q50" s="94" t="str">
        <f t="shared" si="19"/>
        <v/>
      </c>
      <c r="R50" s="90" t="str">
        <f t="shared" si="20"/>
        <v/>
      </c>
      <c r="S50" s="37" t="str">
        <f t="shared" si="9"/>
        <v/>
      </c>
      <c r="T50" s="176" t="str">
        <f>IF(L50="","",VLOOKUP(L50,classifications!C:K,9,FALSE))</f>
        <v/>
      </c>
      <c r="U50" s="183" t="str">
        <f t="shared" si="25"/>
        <v/>
      </c>
      <c r="V50" s="184" t="str">
        <f>IF(U50="","",IF($I$8="A",(RANK(U50,U$11:U$368)+COUNTIF(U$11:U50,U50)-1),(RANK(U50,U$11:U$368,1)+COUNTIF(U$11:U50,U50)-1)))</f>
        <v/>
      </c>
      <c r="W50" s="185"/>
      <c r="X50" s="38" t="str">
        <f>IF(L50="","",VLOOKUP($L50,classifications!$C:$J,6,FALSE))</f>
        <v/>
      </c>
      <c r="Y50" s="26" t="b">
        <f t="shared" si="3"/>
        <v>0</v>
      </c>
      <c r="Z50" s="34" t="e">
        <f>IF(Y50="","",IF(I$8="A",(RANK(Y50,Y$11:Y$368,1)+COUNTIF(Y$11:Y50,Y50)-1),(RANK(Y50,Y$11:Y$368)+COUNTIF(Y$11:Y50,Y50)-1)))</f>
        <v>#N/A</v>
      </c>
      <c r="AA50" s="188" t="str">
        <f>IF(L50="","",VLOOKUP($L50,classifications!C:I,7,FALSE))</f>
        <v/>
      </c>
      <c r="AB50" s="184" t="str">
        <f t="shared" si="11"/>
        <v/>
      </c>
      <c r="AC50" s="184" t="str">
        <f>IF(AB50="","",IF($I$8="A",(RANK(AB50,AB$11:AB$368)+COUNTIF(AB$11:AB50,AB50)-1),(RANK(AB50,AB$11:AB$368,1)+COUNTIF(AB$11:AB50,AB50)-1)))</f>
        <v/>
      </c>
      <c r="AD50" s="184"/>
      <c r="AE50" s="28" t="str">
        <f t="shared" si="24"/>
        <v/>
      </c>
      <c r="AG50" s="96"/>
      <c r="AH50" s="29"/>
      <c r="AI50" s="38" t="str">
        <f>IF(L50="","",VLOOKUP($L50,classifications!$C:$J,8,FALSE))</f>
        <v/>
      </c>
      <c r="AJ50" s="39" t="str">
        <f t="shared" si="4"/>
        <v/>
      </c>
      <c r="AK50" s="34" t="str">
        <f>IF(AJ50="","",IF(I$8="A",(RANK(AJ50,AJ$11:AJ$368,1)+COUNTIF(AJ$11:AJ50,AJ50)-1),(RANK(AJ50,AJ$11:AJ$368)+COUNTIF(AJ$11:AJ50,AJ50)-1)))</f>
        <v/>
      </c>
      <c r="AL50" s="29" t="str">
        <f t="shared" si="13"/>
        <v/>
      </c>
      <c r="AM50" s="8" t="str">
        <f t="shared" si="5"/>
        <v/>
      </c>
      <c r="AN50" s="8" t="str">
        <f t="shared" si="14"/>
        <v/>
      </c>
      <c r="AP50" s="38" t="str">
        <f>IF(L50="","",VLOOKUP($L50,classifications!$C:$E,3,FALSE))</f>
        <v/>
      </c>
      <c r="AQ50" s="39" t="str">
        <f t="shared" si="15"/>
        <v/>
      </c>
      <c r="AR50" s="34" t="str">
        <f>IF(AQ50="","",IF(I$8="A",(RANK(AQ50,AQ$11:AQ$368,1)+COUNTIF(AQ$11:AQ50,AQ50)-1),(RANK(AQ50,AQ$11:AQ$368)+COUNTIF(AQ$11:AQ50,AQ50)-1)))</f>
        <v/>
      </c>
      <c r="AS50" s="29" t="str">
        <f t="shared" si="16"/>
        <v/>
      </c>
      <c r="AT50" s="34" t="str">
        <f t="shared" si="6"/>
        <v/>
      </c>
      <c r="AU50" s="39" t="str">
        <f t="shared" si="17"/>
        <v/>
      </c>
      <c r="AX50" s="21">
        <f>HLOOKUP($AX$9&amp;$AX$10,Data!$A$1:$ZZ$2000,(MATCH($C50,Data!$A$1:$A$2000,0)),FALSE)</f>
        <v>21.042725290543054</v>
      </c>
      <c r="AY50" s="103"/>
      <c r="AZ50" s="21"/>
    </row>
    <row r="51" spans="1:52">
      <c r="A51" s="56" t="str">
        <f>$D$1&amp;41</f>
        <v>SC41</v>
      </c>
      <c r="B51" s="57">
        <f>IF(ISERROR(VLOOKUP(A51,classifications!A:C,3,FALSE)),0,VLOOKUP(A51,classifications!A:C,3,FALSE))</f>
        <v>0</v>
      </c>
      <c r="C51" s="8" t="s">
        <v>300</v>
      </c>
      <c r="D51" s="26" t="str">
        <f>VLOOKUP($C51,classifications!$C:$J,4,FALSE)</f>
        <v>SC</v>
      </c>
      <c r="E51" s="26">
        <f>VLOOKUP(C51,classifications!C:K,9,FALSE)</f>
        <v>0</v>
      </c>
      <c r="F51" s="36">
        <f t="shared" si="0"/>
        <v>17.595316909409966</v>
      </c>
      <c r="G51" s="71"/>
      <c r="H51" s="37">
        <f t="shared" si="1"/>
        <v>17.595316909409966</v>
      </c>
      <c r="I51" s="77">
        <f>IF(H51="","",IF($I$8="A",(RANK(H51,H$11:H$368,1)+COUNTIF(H$11:H51,H51)-1),(RANK(H51,H$11:H$368)+COUNTIF(H$11:H51,H51)-1)))</f>
        <v>11</v>
      </c>
      <c r="J51" s="35"/>
      <c r="K51" s="28" t="str">
        <f t="shared" si="7"/>
        <v/>
      </c>
      <c r="L51" s="36" t="str">
        <f t="shared" si="2"/>
        <v/>
      </c>
      <c r="M51" s="102" t="str">
        <f t="shared" si="22"/>
        <v/>
      </c>
      <c r="N51" s="101" t="str">
        <f t="shared" si="23"/>
        <v/>
      </c>
      <c r="O51" s="94" t="str">
        <f t="shared" si="8"/>
        <v/>
      </c>
      <c r="P51" s="94" t="str">
        <f t="shared" si="18"/>
        <v/>
      </c>
      <c r="Q51" s="94" t="str">
        <f t="shared" si="19"/>
        <v/>
      </c>
      <c r="R51" s="90" t="str">
        <f t="shared" si="20"/>
        <v/>
      </c>
      <c r="S51" s="37" t="str">
        <f t="shared" si="9"/>
        <v/>
      </c>
      <c r="T51" s="176" t="str">
        <f>IF(L51="","",VLOOKUP(L51,classifications!C:K,9,FALSE))</f>
        <v/>
      </c>
      <c r="U51" s="183" t="str">
        <f t="shared" si="25"/>
        <v/>
      </c>
      <c r="V51" s="184" t="str">
        <f>IF(U51="","",IF($I$8="A",(RANK(U51,U$11:U$368)+COUNTIF(U$11:U51,U51)-1),(RANK(U51,U$11:U$368,1)+COUNTIF(U$11:U51,U51)-1)))</f>
        <v/>
      </c>
      <c r="W51" s="185"/>
      <c r="X51" s="38" t="str">
        <f>IF(L51="","",VLOOKUP($L51,classifications!$C:$J,6,FALSE))</f>
        <v/>
      </c>
      <c r="Y51" s="26" t="b">
        <f t="shared" si="3"/>
        <v>0</v>
      </c>
      <c r="Z51" s="34" t="e">
        <f>IF(Y51="","",IF(I$8="A",(RANK(Y51,Y$11:Y$368,1)+COUNTIF(Y$11:Y51,Y51)-1),(RANK(Y51,Y$11:Y$368)+COUNTIF(Y$11:Y51,Y51)-1)))</f>
        <v>#N/A</v>
      </c>
      <c r="AA51" s="188" t="str">
        <f>IF(L51="","",VLOOKUP($L51,classifications!C:I,7,FALSE))</f>
        <v/>
      </c>
      <c r="AB51" s="184" t="str">
        <f t="shared" si="11"/>
        <v/>
      </c>
      <c r="AC51" s="184" t="str">
        <f>IF(AB51="","",IF($I$8="A",(RANK(AB51,AB$11:AB$368)+COUNTIF(AB$11:AB51,AB51)-1),(RANK(AB51,AB$11:AB$368,1)+COUNTIF(AB$11:AB51,AB51)-1)))</f>
        <v/>
      </c>
      <c r="AD51" s="184"/>
      <c r="AE51" s="28" t="str">
        <f t="shared" si="24"/>
        <v/>
      </c>
      <c r="AG51" s="96"/>
      <c r="AH51" s="29"/>
      <c r="AI51" s="38" t="str">
        <f>IF(L51="","",VLOOKUP($L51,classifications!$C:$J,8,FALSE))</f>
        <v/>
      </c>
      <c r="AJ51" s="39" t="str">
        <f t="shared" si="4"/>
        <v/>
      </c>
      <c r="AK51" s="34" t="str">
        <f>IF(AJ51="","",IF(I$8="A",(RANK(AJ51,AJ$11:AJ$368,1)+COUNTIF(AJ$11:AJ51,AJ51)-1),(RANK(AJ51,AJ$11:AJ$368)+COUNTIF(AJ$11:AJ51,AJ51)-1)))</f>
        <v/>
      </c>
      <c r="AL51" s="29" t="str">
        <f t="shared" si="13"/>
        <v/>
      </c>
      <c r="AM51" s="8" t="str">
        <f t="shared" si="5"/>
        <v/>
      </c>
      <c r="AN51" s="8" t="str">
        <f t="shared" si="14"/>
        <v/>
      </c>
      <c r="AP51" s="38" t="str">
        <f>IF(L51="","",VLOOKUP($L51,classifications!$C:$E,3,FALSE))</f>
        <v/>
      </c>
      <c r="AQ51" s="39" t="str">
        <f t="shared" si="15"/>
        <v/>
      </c>
      <c r="AR51" s="34" t="str">
        <f>IF(AQ51="","",IF(I$8="A",(RANK(AQ51,AQ$11:AQ$368,1)+COUNTIF(AQ$11:AQ51,AQ51)-1),(RANK(AQ51,AQ$11:AQ$368)+COUNTIF(AQ$11:AQ51,AQ51)-1)))</f>
        <v/>
      </c>
      <c r="AS51" s="29" t="str">
        <f t="shared" si="16"/>
        <v/>
      </c>
      <c r="AT51" s="34" t="str">
        <f t="shared" si="6"/>
        <v/>
      </c>
      <c r="AU51" s="39" t="str">
        <f t="shared" si="17"/>
        <v/>
      </c>
      <c r="AX51" s="21">
        <f>HLOOKUP($AX$9&amp;$AX$10,Data!$A$1:$ZZ$2000,(MATCH($C51,Data!$A$1:$A$2000,0)),FALSE)</f>
        <v>17.595316909409966</v>
      </c>
      <c r="AY51" s="103"/>
      <c r="AZ51" s="21"/>
    </row>
    <row r="52" spans="1:52">
      <c r="A52" s="56" t="str">
        <f>$D$1&amp;42</f>
        <v>SC42</v>
      </c>
      <c r="B52" s="57">
        <f>IF(ISERROR(VLOOKUP(A52,classifications!A:C,3,FALSE)),0,VLOOKUP(A52,classifications!A:C,3,FALSE))</f>
        <v>0</v>
      </c>
      <c r="C52" s="8" t="s">
        <v>26</v>
      </c>
      <c r="D52" s="26" t="str">
        <f>VLOOKUP($C52,classifications!$C:$J,4,FALSE)</f>
        <v>SD</v>
      </c>
      <c r="E52" s="26">
        <f>VLOOKUP(C52,classifications!C:K,9,FALSE)</f>
        <v>0</v>
      </c>
      <c r="F52" s="36">
        <f t="shared" si="0"/>
        <v>10.998091125723644</v>
      </c>
      <c r="G52" s="71"/>
      <c r="H52" s="37" t="str">
        <f t="shared" si="1"/>
        <v/>
      </c>
      <c r="I52" s="77" t="str">
        <f>IF(H52="","",IF($I$8="A",(RANK(H52,H$11:H$368,1)+COUNTIF(H$11:H52,H52)-1),(RANK(H52,H$11:H$368)+COUNTIF(H$11:H52,H52)-1)))</f>
        <v/>
      </c>
      <c r="J52" s="35"/>
      <c r="K52" s="28" t="str">
        <f t="shared" si="7"/>
        <v/>
      </c>
      <c r="L52" s="36" t="str">
        <f t="shared" si="2"/>
        <v/>
      </c>
      <c r="M52" s="102" t="str">
        <f t="shared" si="22"/>
        <v/>
      </c>
      <c r="N52" s="101" t="str">
        <f t="shared" si="23"/>
        <v/>
      </c>
      <c r="O52" s="94" t="str">
        <f t="shared" si="8"/>
        <v/>
      </c>
      <c r="P52" s="94" t="str">
        <f t="shared" si="18"/>
        <v/>
      </c>
      <c r="Q52" s="94" t="str">
        <f t="shared" si="19"/>
        <v/>
      </c>
      <c r="R52" s="90" t="str">
        <f t="shared" si="20"/>
        <v/>
      </c>
      <c r="S52" s="37" t="str">
        <f t="shared" si="9"/>
        <v/>
      </c>
      <c r="T52" s="176" t="str">
        <f>IF(L52="","",VLOOKUP(L52,classifications!C:K,9,FALSE))</f>
        <v/>
      </c>
      <c r="U52" s="183" t="str">
        <f t="shared" si="25"/>
        <v/>
      </c>
      <c r="V52" s="184" t="str">
        <f>IF(U52="","",IF($I$8="A",(RANK(U52,U$11:U$368)+COUNTIF(U$11:U52,U52)-1),(RANK(U52,U$11:U$368,1)+COUNTIF(U$11:U52,U52)-1)))</f>
        <v/>
      </c>
      <c r="W52" s="185"/>
      <c r="X52" s="38" t="str">
        <f>IF(L52="","",VLOOKUP($L52,classifications!$C:$J,6,FALSE))</f>
        <v/>
      </c>
      <c r="Y52" s="26" t="b">
        <f t="shared" si="3"/>
        <v>0</v>
      </c>
      <c r="Z52" s="34" t="e">
        <f>IF(Y52="","",IF(I$8="A",(RANK(Y52,Y$11:Y$368,1)+COUNTIF(Y$11:Y52,Y52)-1),(RANK(Y52,Y$11:Y$368)+COUNTIF(Y$11:Y52,Y52)-1)))</f>
        <v>#N/A</v>
      </c>
      <c r="AA52" s="188" t="str">
        <f>IF(L52="","",VLOOKUP($L52,classifications!C:I,7,FALSE))</f>
        <v/>
      </c>
      <c r="AB52" s="184" t="str">
        <f t="shared" si="11"/>
        <v/>
      </c>
      <c r="AC52" s="184" t="str">
        <f>IF(AB52="","",IF($I$8="A",(RANK(AB52,AB$11:AB$368)+COUNTIF(AB$11:AB52,AB52)-1),(RANK(AB52,AB$11:AB$368,1)+COUNTIF(AB$11:AB52,AB52)-1)))</f>
        <v/>
      </c>
      <c r="AD52" s="184"/>
      <c r="AE52" s="28" t="str">
        <f t="shared" si="24"/>
        <v/>
      </c>
      <c r="AG52" s="96"/>
      <c r="AH52" s="29"/>
      <c r="AI52" s="38" t="str">
        <f>IF(L52="","",VLOOKUP($L52,classifications!$C:$J,8,FALSE))</f>
        <v/>
      </c>
      <c r="AJ52" s="39" t="str">
        <f t="shared" si="4"/>
        <v/>
      </c>
      <c r="AK52" s="34" t="str">
        <f>IF(AJ52="","",IF(I$8="A",(RANK(AJ52,AJ$11:AJ$368,1)+COUNTIF(AJ$11:AJ52,AJ52)-1),(RANK(AJ52,AJ$11:AJ$368)+COUNTIF(AJ$11:AJ52,AJ52)-1)))</f>
        <v/>
      </c>
      <c r="AL52" s="29" t="str">
        <f t="shared" si="13"/>
        <v/>
      </c>
      <c r="AM52" s="8" t="str">
        <f t="shared" si="5"/>
        <v/>
      </c>
      <c r="AN52" s="8" t="str">
        <f t="shared" si="14"/>
        <v/>
      </c>
      <c r="AP52" s="38" t="str">
        <f>IF(L52="","",VLOOKUP($L52,classifications!$C:$E,3,FALSE))</f>
        <v/>
      </c>
      <c r="AQ52" s="39" t="str">
        <f t="shared" si="15"/>
        <v/>
      </c>
      <c r="AR52" s="34" t="str">
        <f>IF(AQ52="","",IF(I$8="A",(RANK(AQ52,AQ$11:AQ$368,1)+COUNTIF(AQ$11:AQ52,AQ52)-1),(RANK(AQ52,AQ$11:AQ$368)+COUNTIF(AQ$11:AQ52,AQ52)-1)))</f>
        <v/>
      </c>
      <c r="AS52" s="29" t="str">
        <f t="shared" si="16"/>
        <v/>
      </c>
      <c r="AT52" s="34" t="str">
        <f t="shared" si="6"/>
        <v/>
      </c>
      <c r="AU52" s="39" t="str">
        <f t="shared" si="17"/>
        <v/>
      </c>
      <c r="AX52" s="21">
        <f>HLOOKUP($AX$9&amp;$AX$10,Data!$A$1:$ZZ$2000,(MATCH($C52,Data!$A$1:$A$2000,0)),FALSE)</f>
        <v>10.998091125723644</v>
      </c>
      <c r="AY52" s="103"/>
      <c r="AZ52" s="21"/>
    </row>
    <row r="53" spans="1:52">
      <c r="A53" s="56" t="str">
        <f>$D$1&amp;43</f>
        <v>SC43</v>
      </c>
      <c r="B53" s="57">
        <f>IF(ISERROR(VLOOKUP(A53,classifications!A:C,3,FALSE)),0,VLOOKUP(A53,classifications!A:C,3,FALSE))</f>
        <v>0</v>
      </c>
      <c r="C53" s="8" t="s">
        <v>226</v>
      </c>
      <c r="D53" s="26" t="str">
        <f>VLOOKUP($C53,classifications!$C:$J,4,FALSE)</f>
        <v>MD</v>
      </c>
      <c r="E53" s="26">
        <f>VLOOKUP(C53,classifications!C:K,9,FALSE)</f>
        <v>0</v>
      </c>
      <c r="F53" s="36">
        <f t="shared" si="0"/>
        <v>13.831136986063388</v>
      </c>
      <c r="G53" s="71"/>
      <c r="H53" s="37" t="str">
        <f t="shared" si="1"/>
        <v/>
      </c>
      <c r="I53" s="77" t="str">
        <f>IF(H53="","",IF($I$8="A",(RANK(H53,H$11:H$368,1)+COUNTIF(H$11:H53,H53)-1),(RANK(H53,H$11:H$368)+COUNTIF(H$11:H53,H53)-1)))</f>
        <v/>
      </c>
      <c r="J53" s="35"/>
      <c r="K53" s="28" t="str">
        <f t="shared" si="7"/>
        <v/>
      </c>
      <c r="L53" s="36" t="str">
        <f t="shared" si="2"/>
        <v/>
      </c>
      <c r="M53" s="102" t="str">
        <f t="shared" si="22"/>
        <v/>
      </c>
      <c r="N53" s="101" t="str">
        <f t="shared" si="23"/>
        <v/>
      </c>
      <c r="O53" s="94" t="str">
        <f t="shared" si="8"/>
        <v/>
      </c>
      <c r="P53" s="94" t="str">
        <f t="shared" si="18"/>
        <v/>
      </c>
      <c r="Q53" s="94" t="str">
        <f t="shared" si="19"/>
        <v/>
      </c>
      <c r="R53" s="90" t="str">
        <f t="shared" si="20"/>
        <v/>
      </c>
      <c r="S53" s="37" t="str">
        <f t="shared" si="9"/>
        <v/>
      </c>
      <c r="T53" s="176" t="str">
        <f>IF(L53="","",VLOOKUP(L53,classifications!C:K,9,FALSE))</f>
        <v/>
      </c>
      <c r="U53" s="183" t="str">
        <f t="shared" si="25"/>
        <v/>
      </c>
      <c r="V53" s="184" t="str">
        <f>IF(U53="","",IF($I$8="A",(RANK(U53,U$11:U$368)+COUNTIF(U$11:U53,U53)-1),(RANK(U53,U$11:U$368,1)+COUNTIF(U$11:U53,U53)-1)))</f>
        <v/>
      </c>
      <c r="W53" s="185"/>
      <c r="X53" s="38" t="str">
        <f>IF(L53="","",VLOOKUP($L53,classifications!$C:$J,6,FALSE))</f>
        <v/>
      </c>
      <c r="Y53" s="26" t="b">
        <f t="shared" si="3"/>
        <v>0</v>
      </c>
      <c r="Z53" s="34" t="e">
        <f>IF(Y53="","",IF(I$8="A",(RANK(Y53,Y$11:Y$368,1)+COUNTIF(Y$11:Y53,Y53)-1),(RANK(Y53,Y$11:Y$368)+COUNTIF(Y$11:Y53,Y53)-1)))</f>
        <v>#N/A</v>
      </c>
      <c r="AA53" s="188" t="str">
        <f>IF(L53="","",VLOOKUP($L53,classifications!C:I,7,FALSE))</f>
        <v/>
      </c>
      <c r="AB53" s="184" t="str">
        <f t="shared" si="11"/>
        <v/>
      </c>
      <c r="AC53" s="184" t="str">
        <f>IF(AB53="","",IF($I$8="A",(RANK(AB53,AB$11:AB$368)+COUNTIF(AB$11:AB53,AB53)-1),(RANK(AB53,AB$11:AB$368,1)+COUNTIF(AB$11:AB53,AB53)-1)))</f>
        <v/>
      </c>
      <c r="AD53" s="184"/>
      <c r="AE53" s="28" t="str">
        <f t="shared" si="24"/>
        <v/>
      </c>
      <c r="AG53" s="96"/>
      <c r="AH53" s="29"/>
      <c r="AI53" s="38" t="str">
        <f>IF(L53="","",VLOOKUP($L53,classifications!$C:$J,8,FALSE))</f>
        <v/>
      </c>
      <c r="AJ53" s="39" t="str">
        <f t="shared" si="4"/>
        <v/>
      </c>
      <c r="AK53" s="34" t="str">
        <f>IF(AJ53="","",IF(I$8="A",(RANK(AJ53,AJ$11:AJ$368,1)+COUNTIF(AJ$11:AJ53,AJ53)-1),(RANK(AJ53,AJ$11:AJ$368)+COUNTIF(AJ$11:AJ53,AJ53)-1)))</f>
        <v/>
      </c>
      <c r="AL53" s="29" t="str">
        <f t="shared" si="13"/>
        <v/>
      </c>
      <c r="AM53" s="8" t="str">
        <f t="shared" si="5"/>
        <v/>
      </c>
      <c r="AN53" s="8" t="str">
        <f t="shared" si="14"/>
        <v/>
      </c>
      <c r="AP53" s="38" t="str">
        <f>IF(L53="","",VLOOKUP($L53,classifications!$C:$E,3,FALSE))</f>
        <v/>
      </c>
      <c r="AQ53" s="39" t="str">
        <f t="shared" si="15"/>
        <v/>
      </c>
      <c r="AR53" s="34" t="str">
        <f>IF(AQ53="","",IF(I$8="A",(RANK(AQ53,AQ$11:AQ$368,1)+COUNTIF(AQ$11:AQ53,AQ53)-1),(RANK(AQ53,AQ$11:AQ$368)+COUNTIF(AQ$11:AQ53,AQ53)-1)))</f>
        <v/>
      </c>
      <c r="AS53" s="29" t="str">
        <f t="shared" si="16"/>
        <v/>
      </c>
      <c r="AT53" s="34" t="str">
        <f t="shared" si="6"/>
        <v/>
      </c>
      <c r="AU53" s="39" t="str">
        <f t="shared" si="17"/>
        <v/>
      </c>
      <c r="AX53" s="21">
        <f>HLOOKUP($AX$9&amp;$AX$10,Data!$A$1:$ZZ$2000,(MATCH($C53,Data!$A$1:$A$2000,0)),FALSE)</f>
        <v>13.831136986063388</v>
      </c>
      <c r="AY53" s="103"/>
      <c r="AZ53" s="21"/>
    </row>
    <row r="54" spans="1:52">
      <c r="A54" s="56" t="str">
        <f>$D$1&amp;44</f>
        <v>SC44</v>
      </c>
      <c r="B54" s="57">
        <f>IF(ISERROR(VLOOKUP(A54,classifications!A:C,3,FALSE)),0,VLOOKUP(A54,classifications!A:C,3,FALSE))</f>
        <v>0</v>
      </c>
      <c r="C54" s="8" t="s">
        <v>227</v>
      </c>
      <c r="D54" s="26" t="str">
        <f>VLOOKUP($C54,classifications!$C:$J,4,FALSE)</f>
        <v>MD</v>
      </c>
      <c r="E54" s="26">
        <f>VLOOKUP(C54,classifications!C:K,9,FALSE)</f>
        <v>0</v>
      </c>
      <c r="F54" s="36">
        <f t="shared" si="0"/>
        <v>13.646521520589888</v>
      </c>
      <c r="G54" s="71"/>
      <c r="H54" s="37" t="str">
        <f t="shared" si="1"/>
        <v/>
      </c>
      <c r="I54" s="77" t="str">
        <f>IF(H54="","",IF($I$8="A",(RANK(H54,H$11:H$368,1)+COUNTIF(H$11:H54,H54)-1),(RANK(H54,H$11:H$368)+COUNTIF(H$11:H54,H54)-1)))</f>
        <v/>
      </c>
      <c r="J54" s="35"/>
      <c r="K54" s="28" t="str">
        <f t="shared" si="7"/>
        <v/>
      </c>
      <c r="L54" s="36" t="str">
        <f t="shared" si="2"/>
        <v/>
      </c>
      <c r="M54" s="102" t="str">
        <f t="shared" si="22"/>
        <v/>
      </c>
      <c r="N54" s="101" t="str">
        <f t="shared" si="23"/>
        <v/>
      </c>
      <c r="O54" s="94" t="str">
        <f t="shared" si="8"/>
        <v/>
      </c>
      <c r="P54" s="94" t="str">
        <f t="shared" si="18"/>
        <v/>
      </c>
      <c r="Q54" s="94" t="str">
        <f t="shared" si="19"/>
        <v/>
      </c>
      <c r="R54" s="90" t="str">
        <f t="shared" si="20"/>
        <v/>
      </c>
      <c r="S54" s="37" t="str">
        <f t="shared" si="9"/>
        <v/>
      </c>
      <c r="T54" s="176" t="str">
        <f>IF(L54="","",VLOOKUP(L54,classifications!C:K,9,FALSE))</f>
        <v/>
      </c>
      <c r="U54" s="183" t="str">
        <f t="shared" si="25"/>
        <v/>
      </c>
      <c r="V54" s="184" t="str">
        <f>IF(U54="","",IF($I$8="A",(RANK(U54,U$11:U$368)+COUNTIF(U$11:U54,U54)-1),(RANK(U54,U$11:U$368,1)+COUNTIF(U$11:U54,U54)-1)))</f>
        <v/>
      </c>
      <c r="W54" s="185"/>
      <c r="X54" s="38" t="str">
        <f>IF(L54="","",VLOOKUP($L54,classifications!$C:$J,6,FALSE))</f>
        <v/>
      </c>
      <c r="Y54" s="26" t="b">
        <f t="shared" si="3"/>
        <v>0</v>
      </c>
      <c r="Z54" s="34" t="e">
        <f>IF(Y54="","",IF(I$8="A",(RANK(Y54,Y$11:Y$368,1)+COUNTIF(Y$11:Y54,Y54)-1),(RANK(Y54,Y$11:Y$368)+COUNTIF(Y$11:Y54,Y54)-1)))</f>
        <v>#N/A</v>
      </c>
      <c r="AA54" s="188" t="str">
        <f>IF(L54="","",VLOOKUP($L54,classifications!C:I,7,FALSE))</f>
        <v/>
      </c>
      <c r="AB54" s="184" t="str">
        <f t="shared" si="11"/>
        <v/>
      </c>
      <c r="AC54" s="184" t="str">
        <f>IF(AB54="","",IF($I$8="A",(RANK(AB54,AB$11:AB$368)+COUNTIF(AB$11:AB54,AB54)-1),(RANK(AB54,AB$11:AB$368,1)+COUNTIF(AB$11:AB54,AB54)-1)))</f>
        <v/>
      </c>
      <c r="AD54" s="184"/>
      <c r="AE54" s="28" t="str">
        <f t="shared" si="24"/>
        <v/>
      </c>
      <c r="AG54" s="96"/>
      <c r="AH54" s="29"/>
      <c r="AI54" s="38" t="str">
        <f>IF(L54="","",VLOOKUP($L54,classifications!$C:$J,8,FALSE))</f>
        <v/>
      </c>
      <c r="AJ54" s="39" t="str">
        <f t="shared" si="4"/>
        <v/>
      </c>
      <c r="AK54" s="34" t="str">
        <f>IF(AJ54="","",IF(I$8="A",(RANK(AJ54,AJ$11:AJ$368,1)+COUNTIF(AJ$11:AJ54,AJ54)-1),(RANK(AJ54,AJ$11:AJ$368)+COUNTIF(AJ$11:AJ54,AJ54)-1)))</f>
        <v/>
      </c>
      <c r="AL54" s="29" t="str">
        <f t="shared" si="13"/>
        <v/>
      </c>
      <c r="AM54" s="8" t="str">
        <f t="shared" si="5"/>
        <v/>
      </c>
      <c r="AN54" s="8" t="str">
        <f t="shared" si="14"/>
        <v/>
      </c>
      <c r="AP54" s="38" t="str">
        <f>IF(L54="","",VLOOKUP($L54,classifications!$C:$E,3,FALSE))</f>
        <v/>
      </c>
      <c r="AQ54" s="39" t="str">
        <f t="shared" si="15"/>
        <v/>
      </c>
      <c r="AR54" s="34" t="str">
        <f>IF(AQ54="","",IF(I$8="A",(RANK(AQ54,AQ$11:AQ$368,1)+COUNTIF(AQ$11:AQ54,AQ54)-1),(RANK(AQ54,AQ$11:AQ$368)+COUNTIF(AQ$11:AQ54,AQ54)-1)))</f>
        <v/>
      </c>
      <c r="AS54" s="29" t="str">
        <f t="shared" si="16"/>
        <v/>
      </c>
      <c r="AT54" s="34" t="str">
        <f t="shared" si="6"/>
        <v/>
      </c>
      <c r="AU54" s="39" t="str">
        <f t="shared" si="17"/>
        <v/>
      </c>
      <c r="AX54" s="21">
        <f>HLOOKUP($AX$9&amp;$AX$10,Data!$A$1:$ZZ$2000,(MATCH($C54,Data!$A$1:$A$2000,0)),FALSE)</f>
        <v>13.646521520589888</v>
      </c>
      <c r="AY54" s="103"/>
      <c r="AZ54" s="21"/>
    </row>
    <row r="55" spans="1:52">
      <c r="A55" s="56" t="str">
        <f>$D$1&amp;45</f>
        <v>SC45</v>
      </c>
      <c r="B55" s="57">
        <f>IF(ISERROR(VLOOKUP(A55,classifications!A:C,3,FALSE)),0,VLOOKUP(A55,classifications!A:C,3,FALSE))</f>
        <v>0</v>
      </c>
      <c r="C55" s="8" t="s">
        <v>27</v>
      </c>
      <c r="D55" s="26" t="str">
        <f>VLOOKUP($C55,classifications!$C:$J,4,FALSE)</f>
        <v>SD</v>
      </c>
      <c r="E55" s="26">
        <f>VLOOKUP(C55,classifications!C:K,9,FALSE)</f>
        <v>0</v>
      </c>
      <c r="F55" s="36">
        <f t="shared" si="0"/>
        <v>60.340783380593422</v>
      </c>
      <c r="G55" s="71"/>
      <c r="H55" s="37" t="str">
        <f t="shared" si="1"/>
        <v/>
      </c>
      <c r="I55" s="77" t="str">
        <f>IF(H55="","",IF($I$8="A",(RANK(H55,H$11:H$368,1)+COUNTIF(H$11:H55,H55)-1),(RANK(H55,H$11:H$368)+COUNTIF(H$11:H55,H55)-1)))</f>
        <v/>
      </c>
      <c r="J55" s="35"/>
      <c r="K55" s="28" t="str">
        <f t="shared" si="7"/>
        <v/>
      </c>
      <c r="L55" s="36" t="str">
        <f t="shared" si="2"/>
        <v/>
      </c>
      <c r="M55" s="102" t="str">
        <f t="shared" si="22"/>
        <v/>
      </c>
      <c r="N55" s="101" t="str">
        <f t="shared" si="23"/>
        <v/>
      </c>
      <c r="O55" s="94" t="str">
        <f t="shared" si="8"/>
        <v/>
      </c>
      <c r="P55" s="94" t="str">
        <f t="shared" si="18"/>
        <v/>
      </c>
      <c r="Q55" s="94" t="str">
        <f t="shared" si="19"/>
        <v/>
      </c>
      <c r="R55" s="90" t="str">
        <f t="shared" si="20"/>
        <v/>
      </c>
      <c r="S55" s="37" t="str">
        <f t="shared" si="9"/>
        <v/>
      </c>
      <c r="T55" s="176" t="str">
        <f>IF(L55="","",VLOOKUP(L55,classifications!C:K,9,FALSE))</f>
        <v/>
      </c>
      <c r="U55" s="183" t="str">
        <f t="shared" si="25"/>
        <v/>
      </c>
      <c r="V55" s="184" t="str">
        <f>IF(U55="","",IF($I$8="A",(RANK(U55,U$11:U$368)+COUNTIF(U$11:U55,U55)-1),(RANK(U55,U$11:U$368,1)+COUNTIF(U$11:U55,U55)-1)))</f>
        <v/>
      </c>
      <c r="W55" s="185"/>
      <c r="X55" s="38" t="str">
        <f>IF(L55="","",VLOOKUP($L55,classifications!$C:$J,6,FALSE))</f>
        <v/>
      </c>
      <c r="Y55" s="26" t="b">
        <f t="shared" si="3"/>
        <v>0</v>
      </c>
      <c r="Z55" s="34" t="e">
        <f>IF(Y55="","",IF(I$8="A",(RANK(Y55,Y$11:Y$368,1)+COUNTIF(Y$11:Y55,Y55)-1),(RANK(Y55,Y$11:Y$368)+COUNTIF(Y$11:Y55,Y55)-1)))</f>
        <v>#N/A</v>
      </c>
      <c r="AA55" s="188" t="str">
        <f>IF(L55="","",VLOOKUP($L55,classifications!C:I,7,FALSE))</f>
        <v/>
      </c>
      <c r="AB55" s="184" t="str">
        <f t="shared" si="11"/>
        <v/>
      </c>
      <c r="AC55" s="184" t="str">
        <f>IF(AB55="","",IF($I$8="A",(RANK(AB55,AB$11:AB$368)+COUNTIF(AB$11:AB55,AB55)-1),(RANK(AB55,AB$11:AB$368,1)+COUNTIF(AB$11:AB55,AB55)-1)))</f>
        <v/>
      </c>
      <c r="AD55" s="184"/>
      <c r="AE55" s="28" t="str">
        <f t="shared" si="24"/>
        <v/>
      </c>
      <c r="AG55" s="96"/>
      <c r="AH55" s="29"/>
      <c r="AI55" s="38" t="str">
        <f>IF(L55="","",VLOOKUP($L55,classifications!$C:$J,8,FALSE))</f>
        <v/>
      </c>
      <c r="AJ55" s="39" t="str">
        <f t="shared" si="4"/>
        <v/>
      </c>
      <c r="AK55" s="34" t="str">
        <f>IF(AJ55="","",IF(I$8="A",(RANK(AJ55,AJ$11:AJ$368,1)+COUNTIF(AJ$11:AJ55,AJ55)-1),(RANK(AJ55,AJ$11:AJ$368)+COUNTIF(AJ$11:AJ55,AJ55)-1)))</f>
        <v/>
      </c>
      <c r="AL55" s="29" t="str">
        <f t="shared" si="13"/>
        <v/>
      </c>
      <c r="AM55" s="8" t="str">
        <f t="shared" si="5"/>
        <v/>
      </c>
      <c r="AN55" s="8" t="str">
        <f t="shared" si="14"/>
        <v/>
      </c>
      <c r="AP55" s="38" t="str">
        <f>IF(L55="","",VLOOKUP($L55,classifications!$C:$E,3,FALSE))</f>
        <v/>
      </c>
      <c r="AQ55" s="39" t="str">
        <f t="shared" si="15"/>
        <v/>
      </c>
      <c r="AR55" s="34" t="str">
        <f>IF(AQ55="","",IF(I$8="A",(RANK(AQ55,AQ$11:AQ$368,1)+COUNTIF(AQ$11:AQ55,AQ55)-1),(RANK(AQ55,AQ$11:AQ$368)+COUNTIF(AQ$11:AQ55,AQ55)-1)))</f>
        <v/>
      </c>
      <c r="AS55" s="29" t="str">
        <f t="shared" si="16"/>
        <v/>
      </c>
      <c r="AT55" s="34" t="str">
        <f t="shared" si="6"/>
        <v/>
      </c>
      <c r="AU55" s="39" t="str">
        <f t="shared" si="17"/>
        <v/>
      </c>
      <c r="AX55" s="21">
        <f>HLOOKUP($AX$9&amp;$AX$10,Data!$A$1:$ZZ$2000,(MATCH($C55,Data!$A$1:$A$2000,0)),FALSE)</f>
        <v>60.340783380593422</v>
      </c>
      <c r="AY55" s="103"/>
      <c r="AZ55" s="21"/>
    </row>
    <row r="56" spans="1:52">
      <c r="A56" s="56" t="str">
        <f>$D$1&amp;46</f>
        <v>SC46</v>
      </c>
      <c r="B56" s="57">
        <f>IF(ISERROR(VLOOKUP(A56,classifications!A:C,3,FALSE)),0,VLOOKUP(A56,classifications!A:C,3,FALSE))</f>
        <v>0</v>
      </c>
      <c r="C56" s="8" t="s">
        <v>302</v>
      </c>
      <c r="D56" s="26" t="str">
        <f>VLOOKUP($C56,classifications!$C:$J,4,FALSE)</f>
        <v>SC</v>
      </c>
      <c r="E56" s="26">
        <f>VLOOKUP(C56,classifications!C:K,9,FALSE)</f>
        <v>0</v>
      </c>
      <c r="F56" s="36">
        <f t="shared" si="0"/>
        <v>30.572479096813858</v>
      </c>
      <c r="G56" s="71"/>
      <c r="H56" s="37">
        <f t="shared" si="1"/>
        <v>30.572479096813858</v>
      </c>
      <c r="I56" s="77">
        <f>IF(H56="","",IF($I$8="A",(RANK(H56,H$11:H$368,1)+COUNTIF(H$11:H56,H56)-1),(RANK(H56,H$11:H$368)+COUNTIF(H$11:H56,H56)-1)))</f>
        <v>1</v>
      </c>
      <c r="J56" s="35"/>
      <c r="K56" s="28" t="str">
        <f t="shared" si="7"/>
        <v/>
      </c>
      <c r="L56" s="36" t="str">
        <f t="shared" si="2"/>
        <v/>
      </c>
      <c r="M56" s="102" t="str">
        <f t="shared" si="22"/>
        <v/>
      </c>
      <c r="N56" s="101" t="str">
        <f t="shared" si="23"/>
        <v/>
      </c>
      <c r="O56" s="94" t="str">
        <f t="shared" si="8"/>
        <v/>
      </c>
      <c r="P56" s="94" t="str">
        <f t="shared" si="18"/>
        <v/>
      </c>
      <c r="Q56" s="94" t="str">
        <f t="shared" si="19"/>
        <v/>
      </c>
      <c r="R56" s="90" t="str">
        <f t="shared" si="20"/>
        <v/>
      </c>
      <c r="S56" s="37" t="str">
        <f t="shared" si="9"/>
        <v/>
      </c>
      <c r="T56" s="176" t="str">
        <f>IF(L56="","",VLOOKUP(L56,classifications!C:K,9,FALSE))</f>
        <v/>
      </c>
      <c r="U56" s="183" t="str">
        <f t="shared" si="25"/>
        <v/>
      </c>
      <c r="V56" s="184" t="str">
        <f>IF(U56="","",IF($I$8="A",(RANK(U56,U$11:U$368)+COUNTIF(U$11:U56,U56)-1),(RANK(U56,U$11:U$368,1)+COUNTIF(U$11:U56,U56)-1)))</f>
        <v/>
      </c>
      <c r="W56" s="185"/>
      <c r="X56" s="38" t="str">
        <f>IF(L56="","",VLOOKUP($L56,classifications!$C:$J,6,FALSE))</f>
        <v/>
      </c>
      <c r="Y56" s="26" t="b">
        <f t="shared" si="3"/>
        <v>0</v>
      </c>
      <c r="Z56" s="34" t="e">
        <f>IF(Y56="","",IF(I$8="A",(RANK(Y56,Y$11:Y$368,1)+COUNTIF(Y$11:Y56,Y56)-1),(RANK(Y56,Y$11:Y$368)+COUNTIF(Y$11:Y56,Y56)-1)))</f>
        <v>#N/A</v>
      </c>
      <c r="AA56" s="188" t="str">
        <f>IF(L56="","",VLOOKUP($L56,classifications!C:I,7,FALSE))</f>
        <v/>
      </c>
      <c r="AB56" s="184" t="str">
        <f t="shared" si="11"/>
        <v/>
      </c>
      <c r="AC56" s="184" t="str">
        <f>IF(AB56="","",IF($I$8="A",(RANK(AB56,AB$11:AB$368)+COUNTIF(AB$11:AB56,AB56)-1),(RANK(AB56,AB$11:AB$368,1)+COUNTIF(AB$11:AB56,AB56)-1)))</f>
        <v/>
      </c>
      <c r="AD56" s="184"/>
      <c r="AE56" s="28" t="str">
        <f t="shared" si="24"/>
        <v/>
      </c>
      <c r="AG56" s="96"/>
      <c r="AH56" s="29"/>
      <c r="AI56" s="38" t="str">
        <f>IF(L56="","",VLOOKUP($L56,classifications!$C:$J,8,FALSE))</f>
        <v/>
      </c>
      <c r="AJ56" s="39" t="str">
        <f t="shared" si="4"/>
        <v/>
      </c>
      <c r="AK56" s="34" t="str">
        <f>IF(AJ56="","",IF(I$8="A",(RANK(AJ56,AJ$11:AJ$368,1)+COUNTIF(AJ$11:AJ56,AJ56)-1),(RANK(AJ56,AJ$11:AJ$368)+COUNTIF(AJ$11:AJ56,AJ56)-1)))</f>
        <v/>
      </c>
      <c r="AL56" s="29" t="str">
        <f t="shared" si="13"/>
        <v/>
      </c>
      <c r="AM56" s="8" t="str">
        <f t="shared" si="5"/>
        <v/>
      </c>
      <c r="AN56" s="8" t="str">
        <f t="shared" si="14"/>
        <v/>
      </c>
      <c r="AP56" s="38" t="str">
        <f>IF(L56="","",VLOOKUP($L56,classifications!$C:$E,3,FALSE))</f>
        <v/>
      </c>
      <c r="AQ56" s="39" t="str">
        <f t="shared" si="15"/>
        <v/>
      </c>
      <c r="AR56" s="34" t="str">
        <f>IF(AQ56="","",IF(I$8="A",(RANK(AQ56,AQ$11:AQ$368,1)+COUNTIF(AQ$11:AQ56,AQ56)-1),(RANK(AQ56,AQ$11:AQ$368)+COUNTIF(AQ$11:AQ56,AQ56)-1)))</f>
        <v/>
      </c>
      <c r="AS56" s="29" t="str">
        <f t="shared" si="16"/>
        <v/>
      </c>
      <c r="AT56" s="34" t="str">
        <f t="shared" si="6"/>
        <v/>
      </c>
      <c r="AU56" s="39" t="str">
        <f t="shared" si="17"/>
        <v/>
      </c>
      <c r="AX56" s="21">
        <f>HLOOKUP($AX$9&amp;$AX$10,Data!$A$1:$ZZ$2000,(MATCH($C56,Data!$A$1:$A$2000,0)),FALSE)</f>
        <v>30.572479096813858</v>
      </c>
      <c r="AY56" s="103"/>
      <c r="AZ56" s="21"/>
    </row>
    <row r="57" spans="1:52">
      <c r="A57" s="56" t="str">
        <f>$D$1&amp;47</f>
        <v>SC47</v>
      </c>
      <c r="B57" s="57">
        <f>IF(ISERROR(VLOOKUP(A57,classifications!A:C,3,FALSE)),0,VLOOKUP(A57,classifications!A:C,3,FALSE))</f>
        <v>0</v>
      </c>
      <c r="C57" s="8" t="s">
        <v>200</v>
      </c>
      <c r="D57" s="26" t="str">
        <f>VLOOKUP($C57,classifications!$C:$J,4,FALSE)</f>
        <v>L</v>
      </c>
      <c r="E57" s="26">
        <f>VLOOKUP(C57,classifications!C:K,9,FALSE)</f>
        <v>0</v>
      </c>
      <c r="F57" s="36">
        <f t="shared" si="0"/>
        <v>18.838687301045123</v>
      </c>
      <c r="G57" s="71"/>
      <c r="H57" s="37" t="str">
        <f t="shared" si="1"/>
        <v/>
      </c>
      <c r="I57" s="77" t="str">
        <f>IF(H57="","",IF($I$8="A",(RANK(H57,H$11:H$368,1)+COUNTIF(H$11:H57,H57)-1),(RANK(H57,H$11:H$368)+COUNTIF(H$11:H57,H57)-1)))</f>
        <v/>
      </c>
      <c r="J57" s="35"/>
      <c r="K57" s="28" t="str">
        <f t="shared" si="7"/>
        <v/>
      </c>
      <c r="L57" s="36" t="str">
        <f t="shared" si="2"/>
        <v/>
      </c>
      <c r="M57" s="102" t="str">
        <f t="shared" si="22"/>
        <v/>
      </c>
      <c r="N57" s="101" t="str">
        <f t="shared" si="23"/>
        <v/>
      </c>
      <c r="O57" s="94" t="str">
        <f t="shared" si="8"/>
        <v/>
      </c>
      <c r="P57" s="94" t="str">
        <f t="shared" si="18"/>
        <v/>
      </c>
      <c r="Q57" s="94" t="str">
        <f t="shared" si="19"/>
        <v/>
      </c>
      <c r="R57" s="90" t="str">
        <f t="shared" si="20"/>
        <v/>
      </c>
      <c r="S57" s="37" t="str">
        <f t="shared" si="9"/>
        <v/>
      </c>
      <c r="T57" s="176" t="str">
        <f>IF(L57="","",VLOOKUP(L57,classifications!C:K,9,FALSE))</f>
        <v/>
      </c>
      <c r="U57" s="183" t="str">
        <f t="shared" si="25"/>
        <v/>
      </c>
      <c r="V57" s="184" t="str">
        <f>IF(U57="","",IF($I$8="A",(RANK(U57,U$11:U$368)+COUNTIF(U$11:U57,U57)-1),(RANK(U57,U$11:U$368,1)+COUNTIF(U$11:U57,U57)-1)))</f>
        <v/>
      </c>
      <c r="W57" s="185"/>
      <c r="X57" s="38" t="str">
        <f>IF(L57="","",VLOOKUP($L57,classifications!$C:$J,6,FALSE))</f>
        <v/>
      </c>
      <c r="Y57" s="26" t="b">
        <f t="shared" si="3"/>
        <v>0</v>
      </c>
      <c r="Z57" s="34" t="e">
        <f>IF(Y57="","",IF(I$8="A",(RANK(Y57,Y$11:Y$368,1)+COUNTIF(Y$11:Y57,Y57)-1),(RANK(Y57,Y$11:Y$368)+COUNTIF(Y$11:Y57,Y57)-1)))</f>
        <v>#N/A</v>
      </c>
      <c r="AA57" s="188" t="str">
        <f>IF(L57="","",VLOOKUP($L57,classifications!C:I,7,FALSE))</f>
        <v/>
      </c>
      <c r="AB57" s="184" t="str">
        <f t="shared" si="11"/>
        <v/>
      </c>
      <c r="AC57" s="184" t="str">
        <f>IF(AB57="","",IF($I$8="A",(RANK(AB57,AB$11:AB$368)+COUNTIF(AB$11:AB57,AB57)-1),(RANK(AB57,AB$11:AB$368,1)+COUNTIF(AB$11:AB57,AB57)-1)))</f>
        <v/>
      </c>
      <c r="AD57" s="184"/>
      <c r="AE57" s="28" t="str">
        <f t="shared" si="24"/>
        <v/>
      </c>
      <c r="AG57" s="96"/>
      <c r="AH57" s="29"/>
      <c r="AI57" s="38" t="str">
        <f>IF(L57="","",VLOOKUP($L57,classifications!$C:$J,8,FALSE))</f>
        <v/>
      </c>
      <c r="AJ57" s="39" t="str">
        <f t="shared" si="4"/>
        <v/>
      </c>
      <c r="AK57" s="34" t="str">
        <f>IF(AJ57="","",IF(I$8="A",(RANK(AJ57,AJ$11:AJ$368,1)+COUNTIF(AJ$11:AJ57,AJ57)-1),(RANK(AJ57,AJ$11:AJ$368)+COUNTIF(AJ$11:AJ57,AJ57)-1)))</f>
        <v/>
      </c>
      <c r="AL57" s="29" t="str">
        <f t="shared" si="13"/>
        <v/>
      </c>
      <c r="AM57" s="8" t="str">
        <f t="shared" si="5"/>
        <v/>
      </c>
      <c r="AN57" s="8" t="str">
        <f t="shared" si="14"/>
        <v/>
      </c>
      <c r="AP57" s="38" t="str">
        <f>IF(L57="","",VLOOKUP($L57,classifications!$C:$E,3,FALSE))</f>
        <v/>
      </c>
      <c r="AQ57" s="39" t="str">
        <f t="shared" si="15"/>
        <v/>
      </c>
      <c r="AR57" s="34" t="str">
        <f>IF(AQ57="","",IF(I$8="A",(RANK(AQ57,AQ$11:AQ$368,1)+COUNTIF(AQ$11:AQ57,AQ57)-1),(RANK(AQ57,AQ$11:AQ$368)+COUNTIF(AQ$11:AQ57,AQ57)-1)))</f>
        <v/>
      </c>
      <c r="AS57" s="29" t="str">
        <f t="shared" si="16"/>
        <v/>
      </c>
      <c r="AT57" s="34" t="str">
        <f t="shared" si="6"/>
        <v/>
      </c>
      <c r="AU57" s="39" t="str">
        <f t="shared" si="17"/>
        <v/>
      </c>
      <c r="AX57" s="21">
        <f>HLOOKUP($AX$9&amp;$AX$10,Data!$A$1:$ZZ$2000,(MATCH($C57,Data!$A$1:$A$2000,0)),FALSE)</f>
        <v>18.838687301045123</v>
      </c>
      <c r="AY57" s="103"/>
      <c r="AZ57" s="21"/>
    </row>
    <row r="58" spans="1:52">
      <c r="A58" s="56" t="str">
        <f>$D$1&amp;48</f>
        <v>SC48</v>
      </c>
      <c r="B58" s="57">
        <f>IF(ISERROR(VLOOKUP(A58,classifications!A:C,3,FALSE)),0,VLOOKUP(A58,classifications!A:C,3,FALSE))</f>
        <v>0</v>
      </c>
      <c r="C58" s="8" t="s">
        <v>28</v>
      </c>
      <c r="D58" s="26" t="str">
        <f>VLOOKUP($C58,classifications!$C:$J,4,FALSE)</f>
        <v>SD</v>
      </c>
      <c r="E58" s="26">
        <f>VLOOKUP(C58,classifications!C:K,9,FALSE)</f>
        <v>0</v>
      </c>
      <c r="F58" s="36">
        <f t="shared" si="0"/>
        <v>11.827959131765803</v>
      </c>
      <c r="G58" s="71"/>
      <c r="H58" s="37" t="str">
        <f t="shared" si="1"/>
        <v/>
      </c>
      <c r="I58" s="77" t="str">
        <f>IF(H58="","",IF($I$8="A",(RANK(H58,H$11:H$368,1)+COUNTIF(H$11:H58,H58)-1),(RANK(H58,H$11:H$368)+COUNTIF(H$11:H58,H58)-1)))</f>
        <v/>
      </c>
      <c r="J58" s="35"/>
      <c r="K58" s="28" t="str">
        <f t="shared" si="7"/>
        <v/>
      </c>
      <c r="L58" s="36" t="str">
        <f t="shared" si="2"/>
        <v/>
      </c>
      <c r="M58" s="102" t="str">
        <f t="shared" si="22"/>
        <v/>
      </c>
      <c r="N58" s="101" t="str">
        <f t="shared" si="23"/>
        <v/>
      </c>
      <c r="O58" s="94" t="str">
        <f t="shared" si="8"/>
        <v/>
      </c>
      <c r="P58" s="94" t="str">
        <f t="shared" si="18"/>
        <v/>
      </c>
      <c r="Q58" s="94" t="str">
        <f t="shared" si="19"/>
        <v/>
      </c>
      <c r="R58" s="90" t="str">
        <f t="shared" si="20"/>
        <v/>
      </c>
      <c r="S58" s="37" t="str">
        <f t="shared" si="9"/>
        <v/>
      </c>
      <c r="T58" s="176" t="str">
        <f>IF(L58="","",VLOOKUP(L58,classifications!C:K,9,FALSE))</f>
        <v/>
      </c>
      <c r="U58" s="183" t="str">
        <f t="shared" si="25"/>
        <v/>
      </c>
      <c r="V58" s="184" t="str">
        <f>IF(U58="","",IF($I$8="A",(RANK(U58,U$11:U$368)+COUNTIF(U$11:U58,U58)-1),(RANK(U58,U$11:U$368,1)+COUNTIF(U$11:U58,U58)-1)))</f>
        <v/>
      </c>
      <c r="W58" s="185"/>
      <c r="X58" s="38" t="str">
        <f>IF(L58="","",VLOOKUP($L58,classifications!$C:$J,6,FALSE))</f>
        <v/>
      </c>
      <c r="Y58" s="26" t="b">
        <f t="shared" si="3"/>
        <v>0</v>
      </c>
      <c r="Z58" s="34" t="e">
        <f>IF(Y58="","",IF(I$8="A",(RANK(Y58,Y$11:Y$368,1)+COUNTIF(Y$11:Y58,Y58)-1),(RANK(Y58,Y$11:Y$368)+COUNTIF(Y$11:Y58,Y58)-1)))</f>
        <v>#N/A</v>
      </c>
      <c r="AA58" s="188" t="str">
        <f>IF(L58="","",VLOOKUP($L58,classifications!C:I,7,FALSE))</f>
        <v/>
      </c>
      <c r="AB58" s="184" t="str">
        <f t="shared" si="11"/>
        <v/>
      </c>
      <c r="AC58" s="184" t="str">
        <f>IF(AB58="","",IF($I$8="A",(RANK(AB58,AB$11:AB$368)+COUNTIF(AB$11:AB58,AB58)-1),(RANK(AB58,AB$11:AB$368,1)+COUNTIF(AB$11:AB58,AB58)-1)))</f>
        <v/>
      </c>
      <c r="AD58" s="184"/>
      <c r="AE58" s="28" t="str">
        <f t="shared" si="24"/>
        <v/>
      </c>
      <c r="AG58" s="96"/>
      <c r="AH58" s="29"/>
      <c r="AI58" s="38" t="str">
        <f>IF(L58="","",VLOOKUP($L58,classifications!$C:$J,8,FALSE))</f>
        <v/>
      </c>
      <c r="AJ58" s="39" t="str">
        <f t="shared" si="4"/>
        <v/>
      </c>
      <c r="AK58" s="34" t="str">
        <f>IF(AJ58="","",IF(I$8="A",(RANK(AJ58,AJ$11:AJ$368,1)+COUNTIF(AJ$11:AJ58,AJ58)-1),(RANK(AJ58,AJ$11:AJ$368)+COUNTIF(AJ$11:AJ58,AJ58)-1)))</f>
        <v/>
      </c>
      <c r="AL58" s="29" t="str">
        <f t="shared" si="13"/>
        <v/>
      </c>
      <c r="AM58" s="8" t="str">
        <f t="shared" si="5"/>
        <v/>
      </c>
      <c r="AN58" s="8" t="str">
        <f t="shared" si="14"/>
        <v/>
      </c>
      <c r="AP58" s="38" t="str">
        <f>IF(L58="","",VLOOKUP($L58,classifications!$C:$E,3,FALSE))</f>
        <v/>
      </c>
      <c r="AQ58" s="39" t="str">
        <f t="shared" si="15"/>
        <v/>
      </c>
      <c r="AR58" s="34" t="str">
        <f>IF(AQ58="","",IF(I$8="A",(RANK(AQ58,AQ$11:AQ$368,1)+COUNTIF(AQ$11:AQ58,AQ58)-1),(RANK(AQ58,AQ$11:AQ$368)+COUNTIF(AQ$11:AQ58,AQ58)-1)))</f>
        <v/>
      </c>
      <c r="AS58" s="29" t="str">
        <f t="shared" si="16"/>
        <v/>
      </c>
      <c r="AT58" s="34" t="str">
        <f t="shared" si="6"/>
        <v/>
      </c>
      <c r="AU58" s="39" t="str">
        <f t="shared" si="17"/>
        <v/>
      </c>
      <c r="AX58" s="21">
        <f>HLOOKUP($AX$9&amp;$AX$10,Data!$A$1:$ZZ$2000,(MATCH($C58,Data!$A$1:$A$2000,0)),FALSE)</f>
        <v>11.827959131765803</v>
      </c>
      <c r="AY58" s="103"/>
      <c r="AZ58" s="21"/>
    </row>
    <row r="59" spans="1:52">
      <c r="A59" s="56" t="str">
        <f>$D$1&amp;49</f>
        <v>SC49</v>
      </c>
      <c r="B59" s="57">
        <f>IF(ISERROR(VLOOKUP(A59,classifications!A:C,3,FALSE)),0,VLOOKUP(A59,classifications!A:C,3,FALSE))</f>
        <v>0</v>
      </c>
      <c r="C59" s="8" t="s">
        <v>29</v>
      </c>
      <c r="D59" s="26" t="str">
        <f>VLOOKUP($C59,classifications!$C:$J,4,FALSE)</f>
        <v>SD</v>
      </c>
      <c r="E59" s="26">
        <f>VLOOKUP(C59,classifications!C:K,9,FALSE)</f>
        <v>0</v>
      </c>
      <c r="F59" s="36">
        <f t="shared" si="0"/>
        <v>22.376897582224775</v>
      </c>
      <c r="G59" s="71"/>
      <c r="H59" s="37" t="str">
        <f t="shared" si="1"/>
        <v/>
      </c>
      <c r="I59" s="77" t="str">
        <f>IF(H59="","",IF($I$8="A",(RANK(H59,H$11:H$368,1)+COUNTIF(H$11:H59,H59)-1),(RANK(H59,H$11:H$368)+COUNTIF(H$11:H59,H59)-1)))</f>
        <v/>
      </c>
      <c r="J59" s="35"/>
      <c r="K59" s="28" t="str">
        <f t="shared" si="7"/>
        <v/>
      </c>
      <c r="L59" s="36" t="str">
        <f t="shared" si="2"/>
        <v/>
      </c>
      <c r="M59" s="102" t="str">
        <f t="shared" si="22"/>
        <v/>
      </c>
      <c r="N59" s="101" t="str">
        <f t="shared" si="23"/>
        <v/>
      </c>
      <c r="O59" s="94" t="str">
        <f t="shared" si="8"/>
        <v/>
      </c>
      <c r="P59" s="94" t="str">
        <f t="shared" si="18"/>
        <v/>
      </c>
      <c r="Q59" s="94" t="str">
        <f t="shared" si="19"/>
        <v/>
      </c>
      <c r="R59" s="90" t="str">
        <f t="shared" si="20"/>
        <v/>
      </c>
      <c r="S59" s="37" t="str">
        <f t="shared" si="9"/>
        <v/>
      </c>
      <c r="T59" s="176" t="str">
        <f>IF(L59="","",VLOOKUP(L59,classifications!C:K,9,FALSE))</f>
        <v/>
      </c>
      <c r="U59" s="183" t="str">
        <f t="shared" si="25"/>
        <v/>
      </c>
      <c r="V59" s="184" t="str">
        <f>IF(U59="","",IF($I$8="A",(RANK(U59,U$11:U$368)+COUNTIF(U$11:U59,U59)-1),(RANK(U59,U$11:U$368,1)+COUNTIF(U$11:U59,U59)-1)))</f>
        <v/>
      </c>
      <c r="W59" s="185"/>
      <c r="X59" s="38" t="str">
        <f>IF(L59="","",VLOOKUP($L59,classifications!$C:$J,6,FALSE))</f>
        <v/>
      </c>
      <c r="Y59" s="26" t="b">
        <f t="shared" si="3"/>
        <v>0</v>
      </c>
      <c r="Z59" s="34" t="e">
        <f>IF(Y59="","",IF(I$8="A",(RANK(Y59,Y$11:Y$368,1)+COUNTIF(Y$11:Y59,Y59)-1),(RANK(Y59,Y$11:Y$368)+COUNTIF(Y$11:Y59,Y59)-1)))</f>
        <v>#N/A</v>
      </c>
      <c r="AA59" s="188" t="str">
        <f>IF(L59="","",VLOOKUP($L59,classifications!C:I,7,FALSE))</f>
        <v/>
      </c>
      <c r="AB59" s="184" t="str">
        <f t="shared" si="11"/>
        <v/>
      </c>
      <c r="AC59" s="184" t="str">
        <f>IF(AB59="","",IF($I$8="A",(RANK(AB59,AB$11:AB$368)+COUNTIF(AB$11:AB59,AB59)-1),(RANK(AB59,AB$11:AB$368,1)+COUNTIF(AB$11:AB59,AB59)-1)))</f>
        <v/>
      </c>
      <c r="AD59" s="184"/>
      <c r="AE59" s="28" t="str">
        <f t="shared" si="24"/>
        <v/>
      </c>
      <c r="AG59" s="96"/>
      <c r="AH59" s="29"/>
      <c r="AI59" s="38" t="str">
        <f>IF(L59="","",VLOOKUP($L59,classifications!$C:$J,8,FALSE))</f>
        <v/>
      </c>
      <c r="AJ59" s="39" t="str">
        <f t="shared" si="4"/>
        <v/>
      </c>
      <c r="AK59" s="34" t="str">
        <f>IF(AJ59="","",IF(I$8="A",(RANK(AJ59,AJ$11:AJ$368,1)+COUNTIF(AJ$11:AJ59,AJ59)-1),(RANK(AJ59,AJ$11:AJ$368)+COUNTIF(AJ$11:AJ59,AJ59)-1)))</f>
        <v/>
      </c>
      <c r="AL59" s="29" t="str">
        <f t="shared" si="13"/>
        <v/>
      </c>
      <c r="AM59" s="8" t="str">
        <f t="shared" si="5"/>
        <v/>
      </c>
      <c r="AN59" s="8" t="str">
        <f t="shared" si="14"/>
        <v/>
      </c>
      <c r="AP59" s="38" t="str">
        <f>IF(L59="","",VLOOKUP($L59,classifications!$C:$E,3,FALSE))</f>
        <v/>
      </c>
      <c r="AQ59" s="39" t="str">
        <f t="shared" si="15"/>
        <v/>
      </c>
      <c r="AR59" s="34" t="str">
        <f>IF(AQ59="","",IF(I$8="A",(RANK(AQ59,AQ$11:AQ$368,1)+COUNTIF(AQ$11:AQ59,AQ59)-1),(RANK(AQ59,AQ$11:AQ$368)+COUNTIF(AQ$11:AQ59,AQ59)-1)))</f>
        <v/>
      </c>
      <c r="AS59" s="29" t="str">
        <f t="shared" si="16"/>
        <v/>
      </c>
      <c r="AT59" s="34" t="str">
        <f t="shared" si="6"/>
        <v/>
      </c>
      <c r="AU59" s="39" t="str">
        <f t="shared" si="17"/>
        <v/>
      </c>
      <c r="AX59" s="21">
        <f>HLOOKUP($AX$9&amp;$AX$10,Data!$A$1:$ZZ$2000,(MATCH($C59,Data!$A$1:$A$2000,0)),FALSE)</f>
        <v>22.376897582224775</v>
      </c>
      <c r="AY59" s="103"/>
      <c r="AZ59" s="21"/>
    </row>
    <row r="60" spans="1:52">
      <c r="A60" s="56" t="str">
        <f>$D$1&amp;50</f>
        <v>SC50</v>
      </c>
      <c r="B60" s="57">
        <f>IF(ISERROR(VLOOKUP(A60,classifications!A:C,3,FALSE)),0,VLOOKUP(A60,classifications!A:C,3,FALSE))</f>
        <v>0</v>
      </c>
      <c r="C60" s="8" t="s">
        <v>30</v>
      </c>
      <c r="D60" s="26" t="str">
        <f>VLOOKUP($C60,classifications!$C:$J,4,FALSE)</f>
        <v>SD</v>
      </c>
      <c r="E60" s="26">
        <f>VLOOKUP(C60,classifications!C:K,9,FALSE)</f>
        <v>0</v>
      </c>
      <c r="F60" s="36">
        <f t="shared" si="0"/>
        <v>16.823734230796841</v>
      </c>
      <c r="G60" s="71"/>
      <c r="H60" s="37" t="str">
        <f t="shared" si="1"/>
        <v/>
      </c>
      <c r="I60" s="77" t="str">
        <f>IF(H60="","",IF($I$8="A",(RANK(H60,H$11:H$368,1)+COUNTIF(H$11:H60,H60)-1),(RANK(H60,H$11:H$368)+COUNTIF(H$11:H60,H60)-1)))</f>
        <v/>
      </c>
      <c r="J60" s="35"/>
      <c r="K60" s="28" t="str">
        <f t="shared" si="7"/>
        <v/>
      </c>
      <c r="L60" s="36" t="str">
        <f t="shared" si="2"/>
        <v/>
      </c>
      <c r="M60" s="102" t="str">
        <f t="shared" si="22"/>
        <v/>
      </c>
      <c r="N60" s="101" t="str">
        <f t="shared" si="23"/>
        <v/>
      </c>
      <c r="O60" s="94" t="str">
        <f t="shared" si="8"/>
        <v/>
      </c>
      <c r="P60" s="94" t="str">
        <f t="shared" si="18"/>
        <v/>
      </c>
      <c r="Q60" s="94" t="str">
        <f t="shared" si="19"/>
        <v/>
      </c>
      <c r="R60" s="90" t="str">
        <f t="shared" si="20"/>
        <v/>
      </c>
      <c r="S60" s="37" t="str">
        <f t="shared" si="9"/>
        <v/>
      </c>
      <c r="T60" s="176" t="str">
        <f>IF(L60="","",VLOOKUP(L60,classifications!C:K,9,FALSE))</f>
        <v/>
      </c>
      <c r="U60" s="183" t="str">
        <f t="shared" si="25"/>
        <v/>
      </c>
      <c r="V60" s="184" t="str">
        <f>IF(U60="","",IF($I$8="A",(RANK(U60,U$11:U$368)+COUNTIF(U$11:U60,U60)-1),(RANK(U60,U$11:U$368,1)+COUNTIF(U$11:U60,U60)-1)))</f>
        <v/>
      </c>
      <c r="W60" s="185"/>
      <c r="X60" s="38" t="str">
        <f>IF(L60="","",VLOOKUP($L60,classifications!$C:$J,6,FALSE))</f>
        <v/>
      </c>
      <c r="Y60" s="26" t="b">
        <f t="shared" si="3"/>
        <v>0</v>
      </c>
      <c r="Z60" s="34" t="e">
        <f>IF(Y60="","",IF(I$8="A",(RANK(Y60,Y$11:Y$368,1)+COUNTIF(Y$11:Y60,Y60)-1),(RANK(Y60,Y$11:Y$368)+COUNTIF(Y$11:Y60,Y60)-1)))</f>
        <v>#N/A</v>
      </c>
      <c r="AA60" s="188" t="str">
        <f>IF(L60="","",VLOOKUP($L60,classifications!C:I,7,FALSE))</f>
        <v/>
      </c>
      <c r="AB60" s="184" t="str">
        <f t="shared" si="11"/>
        <v/>
      </c>
      <c r="AC60" s="184" t="str">
        <f>IF(AB60="","",IF($I$8="A",(RANK(AB60,AB$11:AB$368)+COUNTIF(AB$11:AB60,AB60)-1),(RANK(AB60,AB$11:AB$368,1)+COUNTIF(AB$11:AB60,AB60)-1)))</f>
        <v/>
      </c>
      <c r="AD60" s="184"/>
      <c r="AE60" s="28" t="str">
        <f t="shared" si="24"/>
        <v/>
      </c>
      <c r="AG60" s="96"/>
      <c r="AH60" s="29"/>
      <c r="AI60" s="38" t="str">
        <f>IF(L60="","",VLOOKUP($L60,classifications!$C:$J,8,FALSE))</f>
        <v/>
      </c>
      <c r="AJ60" s="39" t="str">
        <f t="shared" si="4"/>
        <v/>
      </c>
      <c r="AK60" s="34" t="str">
        <f>IF(AJ60="","",IF(I$8="A",(RANK(AJ60,AJ$11:AJ$368,1)+COUNTIF(AJ$11:AJ60,AJ60)-1),(RANK(AJ60,AJ$11:AJ$368)+COUNTIF(AJ$11:AJ60,AJ60)-1)))</f>
        <v/>
      </c>
      <c r="AL60" s="29" t="str">
        <f t="shared" si="13"/>
        <v/>
      </c>
      <c r="AM60" s="8" t="str">
        <f t="shared" si="5"/>
        <v/>
      </c>
      <c r="AN60" s="8" t="str">
        <f t="shared" si="14"/>
        <v/>
      </c>
      <c r="AP60" s="38" t="str">
        <f>IF(L60="","",VLOOKUP($L60,classifications!$C:$E,3,FALSE))</f>
        <v/>
      </c>
      <c r="AQ60" s="39" t="str">
        <f t="shared" si="15"/>
        <v/>
      </c>
      <c r="AR60" s="34" t="str">
        <f>IF(AQ60="","",IF(I$8="A",(RANK(AQ60,AQ$11:AQ$368,1)+COUNTIF(AQ$11:AQ60,AQ60)-1),(RANK(AQ60,AQ$11:AQ$368)+COUNTIF(AQ$11:AQ60,AQ60)-1)))</f>
        <v/>
      </c>
      <c r="AS60" s="29" t="str">
        <f t="shared" si="16"/>
        <v/>
      </c>
      <c r="AT60" s="34" t="str">
        <f t="shared" si="6"/>
        <v/>
      </c>
      <c r="AU60" s="39" t="str">
        <f t="shared" si="17"/>
        <v/>
      </c>
      <c r="AX60" s="21">
        <f>HLOOKUP($AX$9&amp;$AX$10,Data!$A$1:$ZZ$2000,(MATCH($C60,Data!$A$1:$A$2000,0)),FALSE)</f>
        <v>16.823734230796841</v>
      </c>
      <c r="AY60" s="103"/>
      <c r="AZ60" s="21"/>
    </row>
    <row r="61" spans="1:52">
      <c r="A61" s="56" t="str">
        <f>$D$1&amp;51</f>
        <v>SC51</v>
      </c>
      <c r="B61" s="57">
        <f>IF(ISERROR(VLOOKUP(A61,classifications!A:C,3,FALSE)),0,VLOOKUP(A61,classifications!A:C,3,FALSE))</f>
        <v>0</v>
      </c>
      <c r="C61" s="8" t="s">
        <v>31</v>
      </c>
      <c r="D61" s="26" t="str">
        <f>VLOOKUP($C61,classifications!$C:$J,4,FALSE)</f>
        <v>SD</v>
      </c>
      <c r="E61" s="26">
        <f>VLOOKUP(C61,classifications!C:K,9,FALSE)</f>
        <v>0</v>
      </c>
      <c r="F61" s="36">
        <f t="shared" si="0"/>
        <v>12.520784858601314</v>
      </c>
      <c r="G61" s="71"/>
      <c r="H61" s="37" t="str">
        <f t="shared" si="1"/>
        <v/>
      </c>
      <c r="I61" s="77" t="str">
        <f>IF(H61="","",IF($I$8="A",(RANK(H61,H$11:H$368,1)+COUNTIF(H$11:H61,H61)-1),(RANK(H61,H$11:H$368)+COUNTIF(H$11:H61,H61)-1)))</f>
        <v/>
      </c>
      <c r="J61" s="35"/>
      <c r="K61" s="28" t="str">
        <f t="shared" si="7"/>
        <v/>
      </c>
      <c r="L61" s="36" t="str">
        <f t="shared" si="2"/>
        <v/>
      </c>
      <c r="M61" s="102" t="str">
        <f t="shared" si="22"/>
        <v/>
      </c>
      <c r="N61" s="101" t="str">
        <f t="shared" si="23"/>
        <v/>
      </c>
      <c r="O61" s="94" t="str">
        <f t="shared" si="8"/>
        <v/>
      </c>
      <c r="P61" s="94" t="str">
        <f t="shared" si="18"/>
        <v/>
      </c>
      <c r="Q61" s="94" t="str">
        <f t="shared" si="19"/>
        <v/>
      </c>
      <c r="R61" s="90" t="str">
        <f t="shared" si="20"/>
        <v/>
      </c>
      <c r="S61" s="37" t="str">
        <f t="shared" si="9"/>
        <v/>
      </c>
      <c r="T61" s="176" t="str">
        <f>IF(L61="","",VLOOKUP(L61,classifications!C:K,9,FALSE))</f>
        <v/>
      </c>
      <c r="U61" s="183" t="str">
        <f t="shared" si="25"/>
        <v/>
      </c>
      <c r="V61" s="184" t="str">
        <f>IF(U61="","",IF($I$8="A",(RANK(U61,U$11:U$368)+COUNTIF(U$11:U61,U61)-1),(RANK(U61,U$11:U$368,1)+COUNTIF(U$11:U61,U61)-1)))</f>
        <v/>
      </c>
      <c r="W61" s="185"/>
      <c r="X61" s="38" t="str">
        <f>IF(L61="","",VLOOKUP($L61,classifications!$C:$J,6,FALSE))</f>
        <v/>
      </c>
      <c r="Y61" s="26" t="b">
        <f t="shared" si="3"/>
        <v>0</v>
      </c>
      <c r="Z61" s="34" t="e">
        <f>IF(Y61="","",IF(I$8="A",(RANK(Y61,Y$11:Y$368,1)+COUNTIF(Y$11:Y61,Y61)-1),(RANK(Y61,Y$11:Y$368)+COUNTIF(Y$11:Y61,Y61)-1)))</f>
        <v>#N/A</v>
      </c>
      <c r="AA61" s="188" t="str">
        <f>IF(L61="","",VLOOKUP($L61,classifications!C:I,7,FALSE))</f>
        <v/>
      </c>
      <c r="AB61" s="184" t="str">
        <f t="shared" si="11"/>
        <v/>
      </c>
      <c r="AC61" s="184" t="str">
        <f>IF(AB61="","",IF($I$8="A",(RANK(AB61,AB$11:AB$368)+COUNTIF(AB$11:AB61,AB61)-1),(RANK(AB61,AB$11:AB$368,1)+COUNTIF(AB$11:AB61,AB61)-1)))</f>
        <v/>
      </c>
      <c r="AD61" s="184"/>
      <c r="AE61" s="28" t="str">
        <f t="shared" si="24"/>
        <v/>
      </c>
      <c r="AG61" s="96"/>
      <c r="AH61" s="29"/>
      <c r="AI61" s="38" t="str">
        <f>IF(L61="","",VLOOKUP($L61,classifications!$C:$J,8,FALSE))</f>
        <v/>
      </c>
      <c r="AJ61" s="39" t="str">
        <f t="shared" si="4"/>
        <v/>
      </c>
      <c r="AK61" s="34" t="str">
        <f>IF(AJ61="","",IF(I$8="A",(RANK(AJ61,AJ$11:AJ$368,1)+COUNTIF(AJ$11:AJ61,AJ61)-1),(RANK(AJ61,AJ$11:AJ$368)+COUNTIF(AJ$11:AJ61,AJ61)-1)))</f>
        <v/>
      </c>
      <c r="AL61" s="29" t="str">
        <f t="shared" si="13"/>
        <v/>
      </c>
      <c r="AM61" s="8" t="str">
        <f t="shared" si="5"/>
        <v/>
      </c>
      <c r="AN61" s="8" t="str">
        <f t="shared" si="14"/>
        <v/>
      </c>
      <c r="AP61" s="38" t="str">
        <f>IF(L61="","",VLOOKUP($L61,classifications!$C:$E,3,FALSE))</f>
        <v/>
      </c>
      <c r="AQ61" s="39" t="str">
        <f t="shared" si="15"/>
        <v/>
      </c>
      <c r="AR61" s="34" t="str">
        <f>IF(AQ61="","",IF(I$8="A",(RANK(AQ61,AQ$11:AQ$368,1)+COUNTIF(AQ$11:AQ61,AQ61)-1),(RANK(AQ61,AQ$11:AQ$368)+COUNTIF(AQ$11:AQ61,AQ61)-1)))</f>
        <v/>
      </c>
      <c r="AS61" s="29" t="str">
        <f t="shared" si="16"/>
        <v/>
      </c>
      <c r="AT61" s="34" t="str">
        <f t="shared" si="6"/>
        <v/>
      </c>
      <c r="AU61" s="39" t="str">
        <f t="shared" si="17"/>
        <v/>
      </c>
      <c r="AX61" s="21">
        <f>HLOOKUP($AX$9&amp;$AX$10,Data!$A$1:$ZZ$2000,(MATCH($C61,Data!$A$1:$A$2000,0)),FALSE)</f>
        <v>12.520784858601314</v>
      </c>
      <c r="AY61" s="103"/>
      <c r="AZ61" s="21"/>
    </row>
    <row r="62" spans="1:52">
      <c r="A62" s="56" t="str">
        <f>$D$1&amp;52</f>
        <v>SC52</v>
      </c>
      <c r="B62" s="57">
        <f>IF(ISERROR(VLOOKUP(A62,classifications!A:C,3,FALSE)),0,VLOOKUP(A62,classifications!A:C,3,FALSE))</f>
        <v>0</v>
      </c>
      <c r="C62" s="8" t="s">
        <v>303</v>
      </c>
      <c r="D62" s="26" t="str">
        <f>VLOOKUP($C62,classifications!$C:$J,4,FALSE)</f>
        <v>UA</v>
      </c>
      <c r="E62" s="26">
        <f>VLOOKUP(C62,classifications!C:K,9,FALSE)</f>
        <v>0</v>
      </c>
      <c r="F62" s="36">
        <f t="shared" si="0"/>
        <v>14.388922175507101</v>
      </c>
      <c r="G62" s="71"/>
      <c r="H62" s="37" t="str">
        <f t="shared" si="1"/>
        <v/>
      </c>
      <c r="I62" s="77" t="str">
        <f>IF(H62="","",IF($I$8="A",(RANK(H62,H$11:H$368,1)+COUNTIF(H$11:H62,H62)-1),(RANK(H62,H$11:H$368)+COUNTIF(H$11:H62,H62)-1)))</f>
        <v/>
      </c>
      <c r="J62" s="35"/>
      <c r="K62" s="28" t="str">
        <f t="shared" si="7"/>
        <v/>
      </c>
      <c r="L62" s="36" t="str">
        <f t="shared" si="2"/>
        <v/>
      </c>
      <c r="M62" s="102" t="str">
        <f t="shared" si="22"/>
        <v/>
      </c>
      <c r="N62" s="101" t="str">
        <f t="shared" si="23"/>
        <v/>
      </c>
      <c r="O62" s="94" t="str">
        <f t="shared" si="8"/>
        <v/>
      </c>
      <c r="P62" s="94" t="str">
        <f t="shared" si="18"/>
        <v/>
      </c>
      <c r="Q62" s="94" t="str">
        <f t="shared" si="19"/>
        <v/>
      </c>
      <c r="R62" s="90" t="str">
        <f t="shared" si="20"/>
        <v/>
      </c>
      <c r="S62" s="37" t="str">
        <f t="shared" si="9"/>
        <v/>
      </c>
      <c r="T62" s="176" t="str">
        <f>IF(L62="","",VLOOKUP(L62,classifications!C:K,9,FALSE))</f>
        <v/>
      </c>
      <c r="U62" s="183" t="str">
        <f t="shared" si="25"/>
        <v/>
      </c>
      <c r="V62" s="184" t="str">
        <f>IF(U62="","",IF($I$8="A",(RANK(U62,U$11:U$368)+COUNTIF(U$11:U62,U62)-1),(RANK(U62,U$11:U$368,1)+COUNTIF(U$11:U62,U62)-1)))</f>
        <v/>
      </c>
      <c r="W62" s="185"/>
      <c r="X62" s="38" t="str">
        <f>IF(L62="","",VLOOKUP($L62,classifications!$C:$J,6,FALSE))</f>
        <v/>
      </c>
      <c r="Y62" s="26" t="b">
        <f t="shared" si="3"/>
        <v>0</v>
      </c>
      <c r="Z62" s="34" t="e">
        <f>IF(Y62="","",IF(I$8="A",(RANK(Y62,Y$11:Y$368,1)+COUNTIF(Y$11:Y62,Y62)-1),(RANK(Y62,Y$11:Y$368)+COUNTIF(Y$11:Y62,Y62)-1)))</f>
        <v>#N/A</v>
      </c>
      <c r="AA62" s="188" t="str">
        <f>IF(L62="","",VLOOKUP($L62,classifications!C:I,7,FALSE))</f>
        <v/>
      </c>
      <c r="AB62" s="184" t="str">
        <f t="shared" si="11"/>
        <v/>
      </c>
      <c r="AC62" s="184" t="str">
        <f>IF(AB62="","",IF($I$8="A",(RANK(AB62,AB$11:AB$368)+COUNTIF(AB$11:AB62,AB62)-1),(RANK(AB62,AB$11:AB$368,1)+COUNTIF(AB$11:AB62,AB62)-1)))</f>
        <v/>
      </c>
      <c r="AD62" s="184"/>
      <c r="AE62" s="28" t="str">
        <f t="shared" si="24"/>
        <v/>
      </c>
      <c r="AG62" s="96"/>
      <c r="AH62" s="29"/>
      <c r="AI62" s="38" t="str">
        <f>IF(L62="","",VLOOKUP($L62,classifications!$C:$J,8,FALSE))</f>
        <v/>
      </c>
      <c r="AJ62" s="39" t="str">
        <f t="shared" si="4"/>
        <v/>
      </c>
      <c r="AK62" s="34" t="str">
        <f>IF(AJ62="","",IF(I$8="A",(RANK(AJ62,AJ$11:AJ$368,1)+COUNTIF(AJ$11:AJ62,AJ62)-1),(RANK(AJ62,AJ$11:AJ$368)+COUNTIF(AJ$11:AJ62,AJ62)-1)))</f>
        <v/>
      </c>
      <c r="AL62" s="29" t="str">
        <f t="shared" si="13"/>
        <v/>
      </c>
      <c r="AM62" s="8" t="str">
        <f t="shared" si="5"/>
        <v/>
      </c>
      <c r="AN62" s="8" t="str">
        <f t="shared" si="14"/>
        <v/>
      </c>
      <c r="AP62" s="38" t="str">
        <f>IF(L62="","",VLOOKUP($L62,classifications!$C:$E,3,FALSE))</f>
        <v/>
      </c>
      <c r="AQ62" s="39" t="str">
        <f t="shared" si="15"/>
        <v/>
      </c>
      <c r="AR62" s="34" t="str">
        <f>IF(AQ62="","",IF(I$8="A",(RANK(AQ62,AQ$11:AQ$368,1)+COUNTIF(AQ$11:AQ62,AQ62)-1),(RANK(AQ62,AQ$11:AQ$368)+COUNTIF(AQ$11:AQ62,AQ62)-1)))</f>
        <v/>
      </c>
      <c r="AS62" s="29" t="str">
        <f t="shared" si="16"/>
        <v/>
      </c>
      <c r="AT62" s="34" t="str">
        <f t="shared" si="6"/>
        <v/>
      </c>
      <c r="AU62" s="39" t="str">
        <f t="shared" si="17"/>
        <v/>
      </c>
      <c r="AX62" s="21">
        <f>HLOOKUP($AX$9&amp;$AX$10,Data!$A$1:$ZZ$2000,(MATCH($C62,Data!$A$1:$A$2000,0)),FALSE)</f>
        <v>14.388922175507101</v>
      </c>
      <c r="AY62" s="103"/>
      <c r="AZ62" s="21"/>
    </row>
    <row r="63" spans="1:52">
      <c r="A63" s="56" t="str">
        <f>$D$1&amp;53</f>
        <v>SC53</v>
      </c>
      <c r="B63" s="57">
        <f>IF(ISERROR(VLOOKUP(A63,classifications!A:C,3,FALSE)),0,VLOOKUP(A63,classifications!A:C,3,FALSE))</f>
        <v>0</v>
      </c>
      <c r="C63" s="8" t="s">
        <v>32</v>
      </c>
      <c r="D63" s="26" t="str">
        <f>VLOOKUP($C63,classifications!$C:$J,4,FALSE)</f>
        <v>SD</v>
      </c>
      <c r="E63" s="26">
        <f>VLOOKUP(C63,classifications!C:K,9,FALSE)</f>
        <v>0</v>
      </c>
      <c r="F63" s="36">
        <f t="shared" si="0"/>
        <v>17.945707019887656</v>
      </c>
      <c r="G63" s="71"/>
      <c r="H63" s="37" t="str">
        <f t="shared" si="1"/>
        <v/>
      </c>
      <c r="I63" s="77" t="str">
        <f>IF(H63="","",IF($I$8="A",(RANK(H63,H$11:H$368,1)+COUNTIF(H$11:H63,H63)-1),(RANK(H63,H$11:H$368)+COUNTIF(H$11:H63,H63)-1)))</f>
        <v/>
      </c>
      <c r="J63" s="35"/>
      <c r="K63" s="28" t="str">
        <f t="shared" si="7"/>
        <v/>
      </c>
      <c r="L63" s="36" t="str">
        <f t="shared" si="2"/>
        <v/>
      </c>
      <c r="M63" s="102" t="str">
        <f t="shared" si="22"/>
        <v/>
      </c>
      <c r="N63" s="101" t="str">
        <f t="shared" si="23"/>
        <v/>
      </c>
      <c r="O63" s="94" t="str">
        <f t="shared" si="8"/>
        <v/>
      </c>
      <c r="P63" s="94" t="str">
        <f t="shared" si="18"/>
        <v/>
      </c>
      <c r="Q63" s="94" t="str">
        <f t="shared" si="19"/>
        <v/>
      </c>
      <c r="R63" s="90" t="str">
        <f t="shared" si="20"/>
        <v/>
      </c>
      <c r="S63" s="37" t="str">
        <f t="shared" si="9"/>
        <v/>
      </c>
      <c r="T63" s="176" t="str">
        <f>IF(L63="","",VLOOKUP(L63,classifications!C:K,9,FALSE))</f>
        <v/>
      </c>
      <c r="U63" s="183" t="str">
        <f t="shared" si="25"/>
        <v/>
      </c>
      <c r="V63" s="184" t="str">
        <f>IF(U63="","",IF($I$8="A",(RANK(U63,U$11:U$368)+COUNTIF(U$11:U63,U63)-1),(RANK(U63,U$11:U$368,1)+COUNTIF(U$11:U63,U63)-1)))</f>
        <v/>
      </c>
      <c r="W63" s="185"/>
      <c r="X63" s="38" t="str">
        <f>IF(L63="","",VLOOKUP($L63,classifications!$C:$J,6,FALSE))</f>
        <v/>
      </c>
      <c r="Y63" s="26" t="b">
        <f t="shared" si="3"/>
        <v>0</v>
      </c>
      <c r="Z63" s="34" t="e">
        <f>IF(Y63="","",IF(I$8="A",(RANK(Y63,Y$11:Y$368,1)+COUNTIF(Y$11:Y63,Y63)-1),(RANK(Y63,Y$11:Y$368)+COUNTIF(Y$11:Y63,Y63)-1)))</f>
        <v>#N/A</v>
      </c>
      <c r="AA63" s="188" t="str">
        <f>IF(L63="","",VLOOKUP($L63,classifications!C:I,7,FALSE))</f>
        <v/>
      </c>
      <c r="AB63" s="184" t="str">
        <f t="shared" si="11"/>
        <v/>
      </c>
      <c r="AC63" s="184" t="str">
        <f>IF(AB63="","",IF($I$8="A",(RANK(AB63,AB$11:AB$368)+COUNTIF(AB$11:AB63,AB63)-1),(RANK(AB63,AB$11:AB$368,1)+COUNTIF(AB$11:AB63,AB63)-1)))</f>
        <v/>
      </c>
      <c r="AD63" s="184"/>
      <c r="AE63" s="28" t="str">
        <f t="shared" si="24"/>
        <v/>
      </c>
      <c r="AG63" s="96"/>
      <c r="AH63" s="29"/>
      <c r="AI63" s="38" t="str">
        <f>IF(L63="","",VLOOKUP($L63,classifications!$C:$J,8,FALSE))</f>
        <v/>
      </c>
      <c r="AJ63" s="39" t="str">
        <f t="shared" si="4"/>
        <v/>
      </c>
      <c r="AK63" s="34" t="str">
        <f>IF(AJ63="","",IF(I$8="A",(RANK(AJ63,AJ$11:AJ$368,1)+COUNTIF(AJ$11:AJ63,AJ63)-1),(RANK(AJ63,AJ$11:AJ$368)+COUNTIF(AJ$11:AJ63,AJ63)-1)))</f>
        <v/>
      </c>
      <c r="AL63" s="29" t="str">
        <f t="shared" si="13"/>
        <v/>
      </c>
      <c r="AM63" s="8" t="str">
        <f t="shared" si="5"/>
        <v/>
      </c>
      <c r="AN63" s="8" t="str">
        <f t="shared" si="14"/>
        <v/>
      </c>
      <c r="AP63" s="38" t="str">
        <f>IF(L63="","",VLOOKUP($L63,classifications!$C:$E,3,FALSE))</f>
        <v/>
      </c>
      <c r="AQ63" s="39" t="str">
        <f t="shared" si="15"/>
        <v/>
      </c>
      <c r="AR63" s="34" t="str">
        <f>IF(AQ63="","",IF(I$8="A",(RANK(AQ63,AQ$11:AQ$368,1)+COUNTIF(AQ$11:AQ63,AQ63)-1),(RANK(AQ63,AQ$11:AQ$368)+COUNTIF(AQ$11:AQ63,AQ63)-1)))</f>
        <v/>
      </c>
      <c r="AS63" s="29" t="str">
        <f t="shared" si="16"/>
        <v/>
      </c>
      <c r="AT63" s="34" t="str">
        <f t="shared" si="6"/>
        <v/>
      </c>
      <c r="AU63" s="39" t="str">
        <f t="shared" si="17"/>
        <v/>
      </c>
      <c r="AX63" s="21">
        <f>HLOOKUP($AX$9&amp;$AX$10,Data!$A$1:$ZZ$2000,(MATCH($C63,Data!$A$1:$A$2000,0)),FALSE)</f>
        <v>17.945707019887656</v>
      </c>
      <c r="AY63" s="103"/>
      <c r="AZ63" s="21"/>
    </row>
    <row r="64" spans="1:52">
      <c r="A64" s="56" t="str">
        <f>$D$1&amp;54</f>
        <v>SC54</v>
      </c>
      <c r="B64" s="57">
        <f>IF(ISERROR(VLOOKUP(A64,classifications!A:C,3,FALSE)),0,VLOOKUP(A64,classifications!A:C,3,FALSE))</f>
        <v>0</v>
      </c>
      <c r="C64" s="8" t="s">
        <v>33</v>
      </c>
      <c r="D64" s="26" t="str">
        <f>VLOOKUP($C64,classifications!$C:$J,4,FALSE)</f>
        <v>SD</v>
      </c>
      <c r="E64" s="26">
        <f>VLOOKUP(C64,classifications!C:K,9,FALSE)</f>
        <v>0</v>
      </c>
      <c r="F64" s="36">
        <f t="shared" si="0"/>
        <v>14.035180367129602</v>
      </c>
      <c r="G64" s="71"/>
      <c r="H64" s="37" t="str">
        <f t="shared" si="1"/>
        <v/>
      </c>
      <c r="I64" s="77" t="str">
        <f>IF(H64="","",IF($I$8="A",(RANK(H64,H$11:H$368,1)+COUNTIF(H$11:H64,H64)-1),(RANK(H64,H$11:H$368)+COUNTIF(H$11:H64,H64)-1)))</f>
        <v/>
      </c>
      <c r="J64" s="35"/>
      <c r="K64" s="28" t="str">
        <f t="shared" si="7"/>
        <v/>
      </c>
      <c r="L64" s="36" t="str">
        <f t="shared" si="2"/>
        <v/>
      </c>
      <c r="M64" s="102" t="str">
        <f t="shared" si="22"/>
        <v/>
      </c>
      <c r="N64" s="101" t="str">
        <f t="shared" si="23"/>
        <v/>
      </c>
      <c r="O64" s="94" t="str">
        <f t="shared" si="8"/>
        <v/>
      </c>
      <c r="P64" s="94" t="str">
        <f t="shared" si="18"/>
        <v/>
      </c>
      <c r="Q64" s="94" t="str">
        <f t="shared" si="19"/>
        <v/>
      </c>
      <c r="R64" s="90" t="str">
        <f t="shared" si="20"/>
        <v/>
      </c>
      <c r="S64" s="37" t="str">
        <f t="shared" si="9"/>
        <v/>
      </c>
      <c r="T64" s="176" t="str">
        <f>IF(L64="","",VLOOKUP(L64,classifications!C:K,9,FALSE))</f>
        <v/>
      </c>
      <c r="U64" s="183" t="str">
        <f t="shared" si="25"/>
        <v/>
      </c>
      <c r="V64" s="184" t="str">
        <f>IF(U64="","",IF($I$8="A",(RANK(U64,U$11:U$368)+COUNTIF(U$11:U64,U64)-1),(RANK(U64,U$11:U$368,1)+COUNTIF(U$11:U64,U64)-1)))</f>
        <v/>
      </c>
      <c r="W64" s="185"/>
      <c r="X64" s="38" t="str">
        <f>IF(L64="","",VLOOKUP($L64,classifications!$C:$J,6,FALSE))</f>
        <v/>
      </c>
      <c r="Y64" s="26" t="b">
        <f t="shared" si="3"/>
        <v>0</v>
      </c>
      <c r="Z64" s="34" t="e">
        <f>IF(Y64="","",IF(I$8="A",(RANK(Y64,Y$11:Y$368,1)+COUNTIF(Y$11:Y64,Y64)-1),(RANK(Y64,Y$11:Y$368)+COUNTIF(Y$11:Y64,Y64)-1)))</f>
        <v>#N/A</v>
      </c>
      <c r="AA64" s="188" t="str">
        <f>IF(L64="","",VLOOKUP($L64,classifications!C:I,7,FALSE))</f>
        <v/>
      </c>
      <c r="AB64" s="184" t="str">
        <f t="shared" si="11"/>
        <v/>
      </c>
      <c r="AC64" s="184" t="str">
        <f>IF(AB64="","",IF($I$8="A",(RANK(AB64,AB$11:AB$368)+COUNTIF(AB$11:AB64,AB64)-1),(RANK(AB64,AB$11:AB$368,1)+COUNTIF(AB$11:AB64,AB64)-1)))</f>
        <v/>
      </c>
      <c r="AD64" s="184"/>
      <c r="AE64" s="28" t="str">
        <f t="shared" si="24"/>
        <v/>
      </c>
      <c r="AG64" s="96"/>
      <c r="AH64" s="29"/>
      <c r="AI64" s="38" t="str">
        <f>IF(L64="","",VLOOKUP($L64,classifications!$C:$J,8,FALSE))</f>
        <v/>
      </c>
      <c r="AJ64" s="39" t="str">
        <f t="shared" si="4"/>
        <v/>
      </c>
      <c r="AK64" s="34" t="str">
        <f>IF(AJ64="","",IF(I$8="A",(RANK(AJ64,AJ$11:AJ$368,1)+COUNTIF(AJ$11:AJ64,AJ64)-1),(RANK(AJ64,AJ$11:AJ$368)+COUNTIF(AJ$11:AJ64,AJ64)-1)))</f>
        <v/>
      </c>
      <c r="AL64" s="29" t="str">
        <f t="shared" si="13"/>
        <v/>
      </c>
      <c r="AM64" s="8" t="str">
        <f t="shared" si="5"/>
        <v/>
      </c>
      <c r="AN64" s="8" t="str">
        <f t="shared" si="14"/>
        <v/>
      </c>
      <c r="AP64" s="38" t="str">
        <f>IF(L64="","",VLOOKUP($L64,classifications!$C:$E,3,FALSE))</f>
        <v/>
      </c>
      <c r="AQ64" s="39" t="str">
        <f t="shared" si="15"/>
        <v/>
      </c>
      <c r="AR64" s="34" t="str">
        <f>IF(AQ64="","",IF(I$8="A",(RANK(AQ64,AQ$11:AQ$368,1)+COUNTIF(AQ$11:AQ64,AQ64)-1),(RANK(AQ64,AQ$11:AQ$368)+COUNTIF(AQ$11:AQ64,AQ64)-1)))</f>
        <v/>
      </c>
      <c r="AS64" s="29" t="str">
        <f t="shared" si="16"/>
        <v/>
      </c>
      <c r="AT64" s="34" t="str">
        <f t="shared" si="6"/>
        <v/>
      </c>
      <c r="AU64" s="39" t="str">
        <f t="shared" si="17"/>
        <v/>
      </c>
      <c r="AX64" s="21">
        <f>HLOOKUP($AX$9&amp;$AX$10,Data!$A$1:$ZZ$2000,(MATCH($C64,Data!$A$1:$A$2000,0)),FALSE)</f>
        <v>14.035180367129602</v>
      </c>
      <c r="AY64" s="103"/>
      <c r="AZ64" s="21"/>
    </row>
    <row r="65" spans="1:52">
      <c r="A65" s="56" t="str">
        <f>$D$1&amp;55</f>
        <v>SC55</v>
      </c>
      <c r="B65" s="57">
        <f>IF(ISERROR(VLOOKUP(A65,classifications!A:C,3,FALSE)),0,VLOOKUP(A65,classifications!A:C,3,FALSE))</f>
        <v>0</v>
      </c>
      <c r="C65" s="8" t="s">
        <v>34</v>
      </c>
      <c r="D65" s="26" t="str">
        <f>VLOOKUP($C65,classifications!$C:$J,4,FALSE)</f>
        <v>SD</v>
      </c>
      <c r="E65" s="26">
        <f>VLOOKUP(C65,classifications!C:K,9,FALSE)</f>
        <v>0</v>
      </c>
      <c r="F65" s="36">
        <f t="shared" si="0"/>
        <v>23.141166876284405</v>
      </c>
      <c r="G65" s="71"/>
      <c r="H65" s="37" t="str">
        <f t="shared" si="1"/>
        <v/>
      </c>
      <c r="I65" s="77" t="str">
        <f>IF(H65="","",IF($I$8="A",(RANK(H65,H$11:H$368,1)+COUNTIF(H$11:H65,H65)-1),(RANK(H65,H$11:H$368)+COUNTIF(H$11:H65,H65)-1)))</f>
        <v/>
      </c>
      <c r="J65" s="35"/>
      <c r="K65" s="28" t="str">
        <f t="shared" si="7"/>
        <v/>
      </c>
      <c r="L65" s="36" t="str">
        <f t="shared" si="2"/>
        <v/>
      </c>
      <c r="M65" s="102" t="str">
        <f t="shared" si="22"/>
        <v/>
      </c>
      <c r="N65" s="101" t="str">
        <f t="shared" si="23"/>
        <v/>
      </c>
      <c r="O65" s="94" t="str">
        <f t="shared" si="8"/>
        <v/>
      </c>
      <c r="P65" s="94" t="str">
        <f t="shared" si="18"/>
        <v/>
      </c>
      <c r="Q65" s="94" t="str">
        <f t="shared" si="19"/>
        <v/>
      </c>
      <c r="R65" s="90" t="str">
        <f t="shared" si="20"/>
        <v/>
      </c>
      <c r="S65" s="37" t="str">
        <f t="shared" si="9"/>
        <v/>
      </c>
      <c r="T65" s="176" t="str">
        <f>IF(L65="","",VLOOKUP(L65,classifications!C:K,9,FALSE))</f>
        <v/>
      </c>
      <c r="U65" s="183" t="str">
        <f t="shared" si="25"/>
        <v/>
      </c>
      <c r="V65" s="184" t="str">
        <f>IF(U65="","",IF($I$8="A",(RANK(U65,U$11:U$368)+COUNTIF(U$11:U65,U65)-1),(RANK(U65,U$11:U$368,1)+COUNTIF(U$11:U65,U65)-1)))</f>
        <v/>
      </c>
      <c r="W65" s="185"/>
      <c r="X65" s="38" t="str">
        <f>IF(L65="","",VLOOKUP($L65,classifications!$C:$J,6,FALSE))</f>
        <v/>
      </c>
      <c r="Y65" s="26" t="b">
        <f t="shared" si="3"/>
        <v>0</v>
      </c>
      <c r="Z65" s="34" t="e">
        <f>IF(Y65="","",IF(I$8="A",(RANK(Y65,Y$11:Y$368,1)+COUNTIF(Y$11:Y65,Y65)-1),(RANK(Y65,Y$11:Y$368)+COUNTIF(Y$11:Y65,Y65)-1)))</f>
        <v>#N/A</v>
      </c>
      <c r="AA65" s="188" t="str">
        <f>IF(L65="","",VLOOKUP($L65,classifications!C:I,7,FALSE))</f>
        <v/>
      </c>
      <c r="AB65" s="184" t="str">
        <f t="shared" si="11"/>
        <v/>
      </c>
      <c r="AC65" s="184" t="str">
        <f>IF(AB65="","",IF($I$8="A",(RANK(AB65,AB$11:AB$368)+COUNTIF(AB$11:AB65,AB65)-1),(RANK(AB65,AB$11:AB$368,1)+COUNTIF(AB$11:AB65,AB65)-1)))</f>
        <v/>
      </c>
      <c r="AD65" s="184"/>
      <c r="AE65" s="28" t="str">
        <f t="shared" si="24"/>
        <v/>
      </c>
      <c r="AG65" s="96"/>
      <c r="AH65" s="29"/>
      <c r="AI65" s="38" t="str">
        <f>IF(L65="","",VLOOKUP($L65,classifications!$C:$J,8,FALSE))</f>
        <v/>
      </c>
      <c r="AJ65" s="39" t="str">
        <f t="shared" si="4"/>
        <v/>
      </c>
      <c r="AK65" s="34" t="str">
        <f>IF(AJ65="","",IF(I$8="A",(RANK(AJ65,AJ$11:AJ$368,1)+COUNTIF(AJ$11:AJ65,AJ65)-1),(RANK(AJ65,AJ$11:AJ$368)+COUNTIF(AJ$11:AJ65,AJ65)-1)))</f>
        <v/>
      </c>
      <c r="AL65" s="29" t="str">
        <f t="shared" si="13"/>
        <v/>
      </c>
      <c r="AM65" s="8" t="str">
        <f t="shared" si="5"/>
        <v/>
      </c>
      <c r="AN65" s="8" t="str">
        <f t="shared" si="14"/>
        <v/>
      </c>
      <c r="AP65" s="38" t="str">
        <f>IF(L65="","",VLOOKUP($L65,classifications!$C:$E,3,FALSE))</f>
        <v/>
      </c>
      <c r="AQ65" s="39" t="str">
        <f t="shared" si="15"/>
        <v/>
      </c>
      <c r="AR65" s="34" t="str">
        <f>IF(AQ65="","",IF(I$8="A",(RANK(AQ65,AQ$11:AQ$368,1)+COUNTIF(AQ$11:AQ65,AQ65)-1),(RANK(AQ65,AQ$11:AQ$368)+COUNTIF(AQ$11:AQ65,AQ65)-1)))</f>
        <v/>
      </c>
      <c r="AS65" s="29" t="str">
        <f t="shared" si="16"/>
        <v/>
      </c>
      <c r="AT65" s="34" t="str">
        <f t="shared" si="6"/>
        <v/>
      </c>
      <c r="AU65" s="39" t="str">
        <f t="shared" si="17"/>
        <v/>
      </c>
      <c r="AX65" s="21">
        <f>HLOOKUP($AX$9&amp;$AX$10,Data!$A$1:$ZZ$2000,(MATCH($C65,Data!$A$1:$A$2000,0)),FALSE)</f>
        <v>23.141166876284405</v>
      </c>
      <c r="AY65" s="103"/>
      <c r="AZ65" s="21"/>
    </row>
    <row r="66" spans="1:52">
      <c r="A66" s="56" t="str">
        <f>$D$1&amp;56</f>
        <v>SC56</v>
      </c>
      <c r="B66" s="57">
        <f>IF(ISERROR(VLOOKUP(A66,classifications!A:C,3,FALSE)),0,VLOOKUP(A66,classifications!A:C,3,FALSE))</f>
        <v>0</v>
      </c>
      <c r="C66" s="8" t="s">
        <v>35</v>
      </c>
      <c r="D66" s="26" t="str">
        <f>VLOOKUP($C66,classifications!$C:$J,4,FALSE)</f>
        <v>SD</v>
      </c>
      <c r="E66" s="26" t="str">
        <f>VLOOKUP(C66,classifications!C:K,9,FALSE)</f>
        <v>Sparse</v>
      </c>
      <c r="F66" s="36">
        <f t="shared" si="0"/>
        <v>17.654112574739948</v>
      </c>
      <c r="G66" s="71"/>
      <c r="H66" s="37" t="str">
        <f t="shared" si="1"/>
        <v/>
      </c>
      <c r="I66" s="77" t="str">
        <f>IF(H66="","",IF($I$8="A",(RANK(H66,H$11:H$368,1)+COUNTIF(H$11:H66,H66)-1),(RANK(H66,H$11:H$368)+COUNTIF(H$11:H66,H66)-1)))</f>
        <v/>
      </c>
      <c r="J66" s="35"/>
      <c r="K66" s="28" t="str">
        <f t="shared" si="7"/>
        <v/>
      </c>
      <c r="L66" s="36" t="str">
        <f t="shared" si="2"/>
        <v/>
      </c>
      <c r="M66" s="102" t="str">
        <f t="shared" si="22"/>
        <v/>
      </c>
      <c r="N66" s="101" t="str">
        <f t="shared" si="23"/>
        <v/>
      </c>
      <c r="O66" s="94" t="str">
        <f t="shared" si="8"/>
        <v/>
      </c>
      <c r="P66" s="94" t="str">
        <f t="shared" si="18"/>
        <v/>
      </c>
      <c r="Q66" s="94" t="str">
        <f t="shared" si="19"/>
        <v/>
      </c>
      <c r="R66" s="90" t="str">
        <f t="shared" si="20"/>
        <v/>
      </c>
      <c r="S66" s="37" t="str">
        <f t="shared" si="9"/>
        <v/>
      </c>
      <c r="T66" s="176" t="str">
        <f>IF(L66="","",VLOOKUP(L66,classifications!C:K,9,FALSE))</f>
        <v/>
      </c>
      <c r="U66" s="183" t="str">
        <f t="shared" si="25"/>
        <v/>
      </c>
      <c r="V66" s="184" t="str">
        <f>IF(U66="","",IF($I$8="A",(RANK(U66,U$11:U$368)+COUNTIF(U$11:U66,U66)-1),(RANK(U66,U$11:U$368,1)+COUNTIF(U$11:U66,U66)-1)))</f>
        <v/>
      </c>
      <c r="W66" s="185"/>
      <c r="X66" s="38" t="str">
        <f>IF(L66="","",VLOOKUP($L66,classifications!$C:$J,6,FALSE))</f>
        <v/>
      </c>
      <c r="Y66" s="26" t="b">
        <f t="shared" si="3"/>
        <v>0</v>
      </c>
      <c r="Z66" s="34" t="e">
        <f>IF(Y66="","",IF(I$8="A",(RANK(Y66,Y$11:Y$368,1)+COUNTIF(Y$11:Y66,Y66)-1),(RANK(Y66,Y$11:Y$368)+COUNTIF(Y$11:Y66,Y66)-1)))</f>
        <v>#N/A</v>
      </c>
      <c r="AA66" s="188" t="str">
        <f>IF(L66="","",VLOOKUP($L66,classifications!C:I,7,FALSE))</f>
        <v/>
      </c>
      <c r="AB66" s="184" t="str">
        <f t="shared" si="11"/>
        <v/>
      </c>
      <c r="AC66" s="184" t="str">
        <f>IF(AB66="","",IF($I$8="A",(RANK(AB66,AB$11:AB$368)+COUNTIF(AB$11:AB66,AB66)-1),(RANK(AB66,AB$11:AB$368,1)+COUNTIF(AB$11:AB66,AB66)-1)))</f>
        <v/>
      </c>
      <c r="AD66" s="184"/>
      <c r="AE66" s="28" t="str">
        <f t="shared" si="24"/>
        <v/>
      </c>
      <c r="AG66" s="96"/>
      <c r="AH66" s="29"/>
      <c r="AI66" s="38" t="str">
        <f>IF(L66="","",VLOOKUP($L66,classifications!$C:$J,8,FALSE))</f>
        <v/>
      </c>
      <c r="AJ66" s="39" t="str">
        <f t="shared" si="4"/>
        <v/>
      </c>
      <c r="AK66" s="34" t="str">
        <f>IF(AJ66="","",IF(I$8="A",(RANK(AJ66,AJ$11:AJ$368,1)+COUNTIF(AJ$11:AJ66,AJ66)-1),(RANK(AJ66,AJ$11:AJ$368)+COUNTIF(AJ$11:AJ66,AJ66)-1)))</f>
        <v/>
      </c>
      <c r="AL66" s="29" t="str">
        <f t="shared" si="13"/>
        <v/>
      </c>
      <c r="AM66" s="8" t="str">
        <f t="shared" si="5"/>
        <v/>
      </c>
      <c r="AN66" s="8" t="str">
        <f t="shared" si="14"/>
        <v/>
      </c>
      <c r="AP66" s="38" t="str">
        <f>IF(L66="","",VLOOKUP($L66,classifications!$C:$E,3,FALSE))</f>
        <v/>
      </c>
      <c r="AQ66" s="39" t="str">
        <f t="shared" si="15"/>
        <v/>
      </c>
      <c r="AR66" s="34" t="str">
        <f>IF(AQ66="","",IF(I$8="A",(RANK(AQ66,AQ$11:AQ$368,1)+COUNTIF(AQ$11:AQ66,AQ66)-1),(RANK(AQ66,AQ$11:AQ$368)+COUNTIF(AQ$11:AQ66,AQ66)-1)))</f>
        <v/>
      </c>
      <c r="AS66" s="29" t="str">
        <f t="shared" si="16"/>
        <v/>
      </c>
      <c r="AT66" s="34" t="str">
        <f t="shared" si="6"/>
        <v/>
      </c>
      <c r="AU66" s="39" t="str">
        <f t="shared" si="17"/>
        <v/>
      </c>
      <c r="AX66" s="21">
        <f>HLOOKUP($AX$9&amp;$AX$10,Data!$A$1:$ZZ$2000,(MATCH($C66,Data!$A$1:$A$2000,0)),FALSE)</f>
        <v>17.654112574739948</v>
      </c>
      <c r="AY66" s="103"/>
      <c r="AZ66" s="21"/>
    </row>
    <row r="67" spans="1:52">
      <c r="A67" s="56" t="str">
        <f>$D$1&amp;57</f>
        <v>SC57</v>
      </c>
      <c r="B67" s="57">
        <f>IF(ISERROR(VLOOKUP(A67,classifications!A:C,3,FALSE)),0,VLOOKUP(A67,classifications!A:C,3,FALSE))</f>
        <v>0</v>
      </c>
      <c r="C67" s="8" t="s">
        <v>304</v>
      </c>
      <c r="D67" s="26" t="str">
        <f>VLOOKUP($C67,classifications!$C:$J,4,FALSE)</f>
        <v>UA</v>
      </c>
      <c r="E67" s="26" t="str">
        <f>VLOOKUP(C67,classifications!C:K,9,FALSE)</f>
        <v>Sparse</v>
      </c>
      <c r="F67" s="36">
        <f t="shared" si="0"/>
        <v>12.305258547674832</v>
      </c>
      <c r="G67" s="71"/>
      <c r="H67" s="37" t="str">
        <f t="shared" si="1"/>
        <v/>
      </c>
      <c r="I67" s="77" t="str">
        <f>IF(H67="","",IF($I$8="A",(RANK(H67,H$11:H$368,1)+COUNTIF(H$11:H67,H67)-1),(RANK(H67,H$11:H$368)+COUNTIF(H$11:H67,H67)-1)))</f>
        <v/>
      </c>
      <c r="J67" s="35"/>
      <c r="K67" s="28" t="str">
        <f t="shared" si="7"/>
        <v/>
      </c>
      <c r="L67" s="36" t="str">
        <f t="shared" si="2"/>
        <v/>
      </c>
      <c r="M67" s="102" t="str">
        <f t="shared" si="22"/>
        <v/>
      </c>
      <c r="N67" s="101" t="str">
        <f t="shared" si="23"/>
        <v/>
      </c>
      <c r="O67" s="94" t="str">
        <f t="shared" si="8"/>
        <v/>
      </c>
      <c r="P67" s="94" t="str">
        <f t="shared" si="18"/>
        <v/>
      </c>
      <c r="Q67" s="94" t="str">
        <f t="shared" si="19"/>
        <v/>
      </c>
      <c r="R67" s="90" t="str">
        <f t="shared" si="20"/>
        <v/>
      </c>
      <c r="S67" s="37" t="str">
        <f t="shared" si="9"/>
        <v/>
      </c>
      <c r="T67" s="176" t="str">
        <f>IF(L67="","",VLOOKUP(L67,classifications!C:K,9,FALSE))</f>
        <v/>
      </c>
      <c r="U67" s="183" t="str">
        <f t="shared" si="25"/>
        <v/>
      </c>
      <c r="V67" s="184" t="str">
        <f>IF(U67="","",IF($I$8="A",(RANK(U67,U$11:U$368)+COUNTIF(U$11:U67,U67)-1),(RANK(U67,U$11:U$368,1)+COUNTIF(U$11:U67,U67)-1)))</f>
        <v/>
      </c>
      <c r="W67" s="185"/>
      <c r="X67" s="38" t="str">
        <f>IF(L67="","",VLOOKUP($L67,classifications!$C:$J,6,FALSE))</f>
        <v/>
      </c>
      <c r="Y67" s="26" t="b">
        <f t="shared" si="3"/>
        <v>0</v>
      </c>
      <c r="Z67" s="34" t="e">
        <f>IF(Y67="","",IF(I$8="A",(RANK(Y67,Y$11:Y$368,1)+COUNTIF(Y$11:Y67,Y67)-1),(RANK(Y67,Y$11:Y$368)+COUNTIF(Y$11:Y67,Y67)-1)))</f>
        <v>#N/A</v>
      </c>
      <c r="AA67" s="188" t="str">
        <f>IF(L67="","",VLOOKUP($L67,classifications!C:I,7,FALSE))</f>
        <v/>
      </c>
      <c r="AB67" s="184" t="str">
        <f t="shared" si="11"/>
        <v/>
      </c>
      <c r="AC67" s="184" t="str">
        <f>IF(AB67="","",IF($I$8="A",(RANK(AB67,AB$11:AB$368)+COUNTIF(AB$11:AB67,AB67)-1),(RANK(AB67,AB$11:AB$368,1)+COUNTIF(AB$11:AB67,AB67)-1)))</f>
        <v/>
      </c>
      <c r="AD67" s="184"/>
      <c r="AE67" s="28" t="str">
        <f t="shared" si="24"/>
        <v/>
      </c>
      <c r="AG67" s="96"/>
      <c r="AH67" s="29"/>
      <c r="AI67" s="38" t="str">
        <f>IF(L67="","",VLOOKUP($L67,classifications!$C:$J,8,FALSE))</f>
        <v/>
      </c>
      <c r="AJ67" s="39" t="str">
        <f t="shared" si="4"/>
        <v/>
      </c>
      <c r="AK67" s="34" t="str">
        <f>IF(AJ67="","",IF(I$8="A",(RANK(AJ67,AJ$11:AJ$368,1)+COUNTIF(AJ$11:AJ67,AJ67)-1),(RANK(AJ67,AJ$11:AJ$368)+COUNTIF(AJ$11:AJ67,AJ67)-1)))</f>
        <v/>
      </c>
      <c r="AL67" s="29" t="str">
        <f t="shared" si="13"/>
        <v/>
      </c>
      <c r="AM67" s="8" t="str">
        <f t="shared" si="5"/>
        <v/>
      </c>
      <c r="AN67" s="8" t="str">
        <f t="shared" si="14"/>
        <v/>
      </c>
      <c r="AP67" s="38" t="str">
        <f>IF(L67="","",VLOOKUP($L67,classifications!$C:$E,3,FALSE))</f>
        <v/>
      </c>
      <c r="AQ67" s="39" t="str">
        <f t="shared" si="15"/>
        <v/>
      </c>
      <c r="AR67" s="34" t="str">
        <f>IF(AQ67="","",IF(I$8="A",(RANK(AQ67,AQ$11:AQ$368,1)+COUNTIF(AQ$11:AQ67,AQ67)-1),(RANK(AQ67,AQ$11:AQ$368)+COUNTIF(AQ$11:AQ67,AQ67)-1)))</f>
        <v/>
      </c>
      <c r="AS67" s="29" t="str">
        <f t="shared" si="16"/>
        <v/>
      </c>
      <c r="AT67" s="34" t="str">
        <f t="shared" si="6"/>
        <v/>
      </c>
      <c r="AU67" s="39" t="str">
        <f t="shared" si="17"/>
        <v/>
      </c>
      <c r="AX67" s="21">
        <f>HLOOKUP($AX$9&amp;$AX$10,Data!$A$1:$ZZ$2000,(MATCH($C67,Data!$A$1:$A$2000,0)),FALSE)</f>
        <v>12.305258547674832</v>
      </c>
      <c r="AY67" s="103"/>
      <c r="AZ67" s="21"/>
    </row>
    <row r="68" spans="1:52">
      <c r="A68" s="56" t="str">
        <f>$D$1&amp;58</f>
        <v>SC58</v>
      </c>
      <c r="B68" s="57">
        <f>IF(ISERROR(VLOOKUP(A68,classifications!A:C,3,FALSE)),0,VLOOKUP(A68,classifications!A:C,3,FALSE))</f>
        <v>0</v>
      </c>
      <c r="C68" s="8" t="s">
        <v>812</v>
      </c>
      <c r="D68" s="26" t="str">
        <f>VLOOKUP($C68,classifications!$C:$J,4,FALSE)</f>
        <v>UA</v>
      </c>
      <c r="E68" s="26">
        <f>VLOOKUP(C68,classifications!C:K,9,FALSE)</f>
        <v>0</v>
      </c>
      <c r="F68" s="36">
        <f t="shared" si="0"/>
        <v>14.228800242680995</v>
      </c>
      <c r="G68" s="71"/>
      <c r="H68" s="37" t="str">
        <f t="shared" si="1"/>
        <v/>
      </c>
      <c r="I68" s="77" t="str">
        <f>IF(H68="","",IF($I$8="A",(RANK(H68,H$11:H$368,1)+COUNTIF(H$11:H68,H68)-1),(RANK(H68,H$11:H$368)+COUNTIF(H$11:H68,H68)-1)))</f>
        <v/>
      </c>
      <c r="J68" s="35"/>
      <c r="K68" s="28" t="str">
        <f t="shared" si="7"/>
        <v/>
      </c>
      <c r="L68" s="36" t="str">
        <f t="shared" si="2"/>
        <v/>
      </c>
      <c r="M68" s="102" t="str">
        <f t="shared" si="22"/>
        <v/>
      </c>
      <c r="N68" s="101" t="str">
        <f t="shared" si="23"/>
        <v/>
      </c>
      <c r="O68" s="94" t="str">
        <f t="shared" si="8"/>
        <v/>
      </c>
      <c r="P68" s="94" t="str">
        <f t="shared" si="18"/>
        <v/>
      </c>
      <c r="Q68" s="94" t="str">
        <f t="shared" si="19"/>
        <v/>
      </c>
      <c r="R68" s="90" t="str">
        <f t="shared" si="20"/>
        <v/>
      </c>
      <c r="S68" s="37" t="str">
        <f t="shared" si="9"/>
        <v/>
      </c>
      <c r="T68" s="176" t="str">
        <f>IF(L68="","",VLOOKUP(L68,classifications!C:K,9,FALSE))</f>
        <v/>
      </c>
      <c r="U68" s="183" t="str">
        <f t="shared" si="25"/>
        <v/>
      </c>
      <c r="V68" s="184" t="str">
        <f>IF(U68="","",IF($I$8="A",(RANK(U68,U$11:U$368)+COUNTIF(U$11:U68,U68)-1),(RANK(U68,U$11:U$368,1)+COUNTIF(U$11:U68,U68)-1)))</f>
        <v/>
      </c>
      <c r="W68" s="185"/>
      <c r="X68" s="38" t="str">
        <f>IF(L68="","",VLOOKUP($L68,classifications!$C:$J,6,FALSE))</f>
        <v/>
      </c>
      <c r="Y68" s="26" t="b">
        <f t="shared" si="3"/>
        <v>0</v>
      </c>
      <c r="Z68" s="34" t="e">
        <f>IF(Y68="","",IF(I$8="A",(RANK(Y68,Y$11:Y$368,1)+COUNTIF(Y$11:Y68,Y68)-1),(RANK(Y68,Y$11:Y$368)+COUNTIF(Y$11:Y68,Y68)-1)))</f>
        <v>#N/A</v>
      </c>
      <c r="AA68" s="188" t="str">
        <f>IF(L68="","",VLOOKUP($L68,classifications!C:I,7,FALSE))</f>
        <v/>
      </c>
      <c r="AB68" s="184" t="str">
        <f t="shared" si="11"/>
        <v/>
      </c>
      <c r="AC68" s="184" t="str">
        <f>IF(AB68="","",IF($I$8="A",(RANK(AB68,AB$11:AB$368)+COUNTIF(AB$11:AB68,AB68)-1),(RANK(AB68,AB$11:AB$368,1)+COUNTIF(AB$11:AB68,AB68)-1)))</f>
        <v/>
      </c>
      <c r="AD68" s="184"/>
      <c r="AE68" s="28" t="str">
        <f t="shared" si="24"/>
        <v/>
      </c>
      <c r="AG68" s="96"/>
      <c r="AH68" s="29"/>
      <c r="AI68" s="38" t="str">
        <f>IF(L68="","",VLOOKUP($L68,classifications!$C:$J,8,FALSE))</f>
        <v/>
      </c>
      <c r="AJ68" s="39" t="str">
        <f t="shared" si="4"/>
        <v/>
      </c>
      <c r="AK68" s="34" t="str">
        <f>IF(AJ68="","",IF(I$8="A",(RANK(AJ68,AJ$11:AJ$368,1)+COUNTIF(AJ$11:AJ68,AJ68)-1),(RANK(AJ68,AJ$11:AJ$368)+COUNTIF(AJ$11:AJ68,AJ68)-1)))</f>
        <v/>
      </c>
      <c r="AL68" s="29" t="str">
        <f t="shared" si="13"/>
        <v/>
      </c>
      <c r="AM68" s="8" t="str">
        <f t="shared" si="5"/>
        <v/>
      </c>
      <c r="AN68" s="8" t="str">
        <f t="shared" si="14"/>
        <v/>
      </c>
      <c r="AP68" s="38" t="str">
        <f>IF(L68="","",VLOOKUP($L68,classifications!$C:$E,3,FALSE))</f>
        <v/>
      </c>
      <c r="AQ68" s="39" t="str">
        <f t="shared" si="15"/>
        <v/>
      </c>
      <c r="AR68" s="34" t="str">
        <f>IF(AQ68="","",IF(I$8="A",(RANK(AQ68,AQ$11:AQ$368,1)+COUNTIF(AQ$11:AQ68,AQ68)-1),(RANK(AQ68,AQ$11:AQ$368)+COUNTIF(AQ$11:AQ68,AQ68)-1)))</f>
        <v/>
      </c>
      <c r="AS68" s="29" t="str">
        <f t="shared" si="16"/>
        <v/>
      </c>
      <c r="AT68" s="34" t="str">
        <f t="shared" si="6"/>
        <v/>
      </c>
      <c r="AU68" s="39" t="str">
        <f t="shared" si="17"/>
        <v/>
      </c>
      <c r="AX68" s="21">
        <f>HLOOKUP($AX$9&amp;$AX$10,Data!$A$1:$ZZ$2000,(MATCH($C68,Data!$A$1:$A$2000,0)),FALSE)</f>
        <v>14.228800242680995</v>
      </c>
      <c r="AY68" s="103"/>
      <c r="AZ68" s="21"/>
    </row>
    <row r="69" spans="1:52">
      <c r="A69" s="56" t="str">
        <f>$D$1&amp;59</f>
        <v>SC59</v>
      </c>
      <c r="B69" s="57">
        <f>IF(ISERROR(VLOOKUP(A69,classifications!A:C,3,FALSE)),0,VLOOKUP(A69,classifications!A:C,3,FALSE))</f>
        <v>0</v>
      </c>
      <c r="C69" s="8" t="s">
        <v>36</v>
      </c>
      <c r="D69" s="26" t="str">
        <f>VLOOKUP($C69,classifications!$C:$J,4,FALSE)</f>
        <v>SD</v>
      </c>
      <c r="E69" s="26">
        <f>VLOOKUP(C69,classifications!C:K,9,FALSE)</f>
        <v>0</v>
      </c>
      <c r="F69" s="36">
        <f t="shared" si="0"/>
        <v>11.460920519984221</v>
      </c>
      <c r="G69" s="71"/>
      <c r="H69" s="37" t="str">
        <f t="shared" si="1"/>
        <v/>
      </c>
      <c r="I69" s="77" t="str">
        <f>IF(H69="","",IF($I$8="A",(RANK(H69,H$11:H$368,1)+COUNTIF(H$11:H69,H69)-1),(RANK(H69,H$11:H$368)+COUNTIF(H$11:H69,H69)-1)))</f>
        <v/>
      </c>
      <c r="J69" s="35"/>
      <c r="K69" s="28" t="str">
        <f t="shared" si="7"/>
        <v/>
      </c>
      <c r="L69" s="36" t="str">
        <f t="shared" si="2"/>
        <v/>
      </c>
      <c r="M69" s="102" t="str">
        <f t="shared" si="22"/>
        <v/>
      </c>
      <c r="N69" s="101" t="str">
        <f t="shared" si="23"/>
        <v/>
      </c>
      <c r="O69" s="94" t="str">
        <f t="shared" si="8"/>
        <v/>
      </c>
      <c r="P69" s="94" t="str">
        <f t="shared" si="18"/>
        <v/>
      </c>
      <c r="Q69" s="94" t="str">
        <f t="shared" si="19"/>
        <v/>
      </c>
      <c r="R69" s="90" t="str">
        <f t="shared" si="20"/>
        <v/>
      </c>
      <c r="S69" s="37" t="str">
        <f t="shared" si="9"/>
        <v/>
      </c>
      <c r="T69" s="176" t="str">
        <f>IF(L69="","",VLOOKUP(L69,classifications!C:K,9,FALSE))</f>
        <v/>
      </c>
      <c r="U69" s="183" t="str">
        <f t="shared" si="25"/>
        <v/>
      </c>
      <c r="V69" s="184" t="str">
        <f>IF(U69="","",IF($I$8="A",(RANK(U69,U$11:U$368)+COUNTIF(U$11:U69,U69)-1),(RANK(U69,U$11:U$368,1)+COUNTIF(U$11:U69,U69)-1)))</f>
        <v/>
      </c>
      <c r="W69" s="185"/>
      <c r="X69" s="38" t="str">
        <f>IF(L69="","",VLOOKUP($L69,classifications!$C:$J,6,FALSE))</f>
        <v/>
      </c>
      <c r="Y69" s="26" t="b">
        <f t="shared" si="3"/>
        <v>0</v>
      </c>
      <c r="Z69" s="34" t="e">
        <f>IF(Y69="","",IF(I$8="A",(RANK(Y69,Y$11:Y$368,1)+COUNTIF(Y$11:Y69,Y69)-1),(RANK(Y69,Y$11:Y$368)+COUNTIF(Y$11:Y69,Y69)-1)))</f>
        <v>#N/A</v>
      </c>
      <c r="AA69" s="188" t="str">
        <f>IF(L69="","",VLOOKUP($L69,classifications!C:I,7,FALSE))</f>
        <v/>
      </c>
      <c r="AB69" s="184" t="str">
        <f t="shared" si="11"/>
        <v/>
      </c>
      <c r="AC69" s="184" t="str">
        <f>IF(AB69="","",IF($I$8="A",(RANK(AB69,AB$11:AB$368)+COUNTIF(AB$11:AB69,AB69)-1),(RANK(AB69,AB$11:AB$368,1)+COUNTIF(AB$11:AB69,AB69)-1)))</f>
        <v/>
      </c>
      <c r="AD69" s="184"/>
      <c r="AE69" s="28" t="str">
        <f t="shared" si="24"/>
        <v/>
      </c>
      <c r="AG69" s="96"/>
      <c r="AH69" s="29"/>
      <c r="AI69" s="38" t="str">
        <f>IF(L69="","",VLOOKUP($L69,classifications!$C:$J,8,FALSE))</f>
        <v/>
      </c>
      <c r="AJ69" s="39" t="str">
        <f t="shared" si="4"/>
        <v/>
      </c>
      <c r="AK69" s="34" t="str">
        <f>IF(AJ69="","",IF(I$8="A",(RANK(AJ69,AJ$11:AJ$368,1)+COUNTIF(AJ$11:AJ69,AJ69)-1),(RANK(AJ69,AJ$11:AJ$368)+COUNTIF(AJ$11:AJ69,AJ69)-1)))</f>
        <v/>
      </c>
      <c r="AL69" s="29" t="str">
        <f t="shared" si="13"/>
        <v/>
      </c>
      <c r="AM69" s="8" t="str">
        <f t="shared" si="5"/>
        <v/>
      </c>
      <c r="AN69" s="8" t="str">
        <f t="shared" si="14"/>
        <v/>
      </c>
      <c r="AP69" s="38" t="str">
        <f>IF(L69="","",VLOOKUP($L69,classifications!$C:$E,3,FALSE))</f>
        <v/>
      </c>
      <c r="AQ69" s="39" t="str">
        <f t="shared" si="15"/>
        <v/>
      </c>
      <c r="AR69" s="34" t="str">
        <f>IF(AQ69="","",IF(I$8="A",(RANK(AQ69,AQ$11:AQ$368,1)+COUNTIF(AQ$11:AQ69,AQ69)-1),(RANK(AQ69,AQ$11:AQ$368)+COUNTIF(AQ$11:AQ69,AQ69)-1)))</f>
        <v/>
      </c>
      <c r="AS69" s="29" t="str">
        <f t="shared" si="16"/>
        <v/>
      </c>
      <c r="AT69" s="34" t="str">
        <f t="shared" si="6"/>
        <v/>
      </c>
      <c r="AU69" s="39" t="str">
        <f t="shared" si="17"/>
        <v/>
      </c>
      <c r="AX69" s="21">
        <f>HLOOKUP($AX$9&amp;$AX$10,Data!$A$1:$ZZ$2000,(MATCH($C69,Data!$A$1:$A$2000,0)),FALSE)</f>
        <v>11.460920519984221</v>
      </c>
      <c r="AY69" s="103"/>
      <c r="AZ69" s="21"/>
    </row>
    <row r="70" spans="1:52">
      <c r="A70" s="56" t="str">
        <f>$D$1&amp;60</f>
        <v>SC60</v>
      </c>
      <c r="B70" s="57">
        <f>IF(ISERROR(VLOOKUP(A70,classifications!A:C,3,FALSE)),0,VLOOKUP(A70,classifications!A:C,3,FALSE))</f>
        <v>0</v>
      </c>
      <c r="C70" s="8" t="s">
        <v>37</v>
      </c>
      <c r="D70" s="26" t="str">
        <f>VLOOKUP($C70,classifications!$C:$J,4,FALSE)</f>
        <v>SD</v>
      </c>
      <c r="E70" s="26" t="str">
        <f>VLOOKUP(C70,classifications!C:K,9,FALSE)</f>
        <v>Sparse</v>
      </c>
      <c r="F70" s="36">
        <f t="shared" si="0"/>
        <v>23.761991291355585</v>
      </c>
      <c r="G70" s="71"/>
      <c r="H70" s="37" t="str">
        <f t="shared" si="1"/>
        <v/>
      </c>
      <c r="I70" s="77" t="str">
        <f>IF(H70="","",IF($I$8="A",(RANK(H70,H$11:H$368,1)+COUNTIF(H$11:H70,H70)-1),(RANK(H70,H$11:H$368)+COUNTIF(H$11:H70,H70)-1)))</f>
        <v/>
      </c>
      <c r="J70" s="35"/>
      <c r="K70" s="28" t="str">
        <f t="shared" si="7"/>
        <v/>
      </c>
      <c r="L70" s="36" t="str">
        <f t="shared" si="2"/>
        <v/>
      </c>
      <c r="M70" s="102" t="str">
        <f t="shared" si="22"/>
        <v/>
      </c>
      <c r="N70" s="101" t="str">
        <f t="shared" si="23"/>
        <v/>
      </c>
      <c r="O70" s="94" t="str">
        <f t="shared" si="8"/>
        <v/>
      </c>
      <c r="P70" s="94" t="str">
        <f t="shared" si="18"/>
        <v/>
      </c>
      <c r="Q70" s="94" t="str">
        <f t="shared" si="19"/>
        <v/>
      </c>
      <c r="R70" s="90" t="str">
        <f t="shared" si="20"/>
        <v/>
      </c>
      <c r="S70" s="37" t="str">
        <f t="shared" si="9"/>
        <v/>
      </c>
      <c r="T70" s="176" t="str">
        <f>IF(L70="","",VLOOKUP(L70,classifications!C:K,9,FALSE))</f>
        <v/>
      </c>
      <c r="U70" s="183" t="str">
        <f t="shared" si="25"/>
        <v/>
      </c>
      <c r="V70" s="184" t="str">
        <f>IF(U70="","",IF($I$8="A",(RANK(U70,U$11:U$368)+COUNTIF(U$11:U70,U70)-1),(RANK(U70,U$11:U$368,1)+COUNTIF(U$11:U70,U70)-1)))</f>
        <v/>
      </c>
      <c r="W70" s="185"/>
      <c r="X70" s="38" t="str">
        <f>IF(L70="","",VLOOKUP($L70,classifications!$C:$J,6,FALSE))</f>
        <v/>
      </c>
      <c r="Y70" s="26" t="b">
        <f t="shared" si="3"/>
        <v>0</v>
      </c>
      <c r="Z70" s="34" t="e">
        <f>IF(Y70="","",IF(I$8="A",(RANK(Y70,Y$11:Y$368,1)+COUNTIF(Y$11:Y70,Y70)-1),(RANK(Y70,Y$11:Y$368)+COUNTIF(Y$11:Y70,Y70)-1)))</f>
        <v>#N/A</v>
      </c>
      <c r="AA70" s="188" t="str">
        <f>IF(L70="","",VLOOKUP($L70,classifications!C:I,7,FALSE))</f>
        <v/>
      </c>
      <c r="AB70" s="184" t="str">
        <f t="shared" si="11"/>
        <v/>
      </c>
      <c r="AC70" s="184" t="str">
        <f>IF(AB70="","",IF($I$8="A",(RANK(AB70,AB$11:AB$368)+COUNTIF(AB$11:AB70,AB70)-1),(RANK(AB70,AB$11:AB$368,1)+COUNTIF(AB$11:AB70,AB70)-1)))</f>
        <v/>
      </c>
      <c r="AD70" s="184"/>
      <c r="AE70" s="28" t="str">
        <f t="shared" si="24"/>
        <v/>
      </c>
      <c r="AG70" s="96"/>
      <c r="AH70" s="29"/>
      <c r="AI70" s="38" t="str">
        <f>IF(L70="","",VLOOKUP($L70,classifications!$C:$J,8,FALSE))</f>
        <v/>
      </c>
      <c r="AJ70" s="39" t="str">
        <f t="shared" si="4"/>
        <v/>
      </c>
      <c r="AK70" s="34" t="str">
        <f>IF(AJ70="","",IF(I$8="A",(RANK(AJ70,AJ$11:AJ$368,1)+COUNTIF(AJ$11:AJ70,AJ70)-1),(RANK(AJ70,AJ$11:AJ$368)+COUNTIF(AJ$11:AJ70,AJ70)-1)))</f>
        <v/>
      </c>
      <c r="AL70" s="29" t="str">
        <f t="shared" si="13"/>
        <v/>
      </c>
      <c r="AM70" s="8" t="str">
        <f t="shared" si="5"/>
        <v/>
      </c>
      <c r="AN70" s="8" t="str">
        <f t="shared" si="14"/>
        <v/>
      </c>
      <c r="AP70" s="38" t="str">
        <f>IF(L70="","",VLOOKUP($L70,classifications!$C:$E,3,FALSE))</f>
        <v/>
      </c>
      <c r="AQ70" s="39" t="str">
        <f t="shared" si="15"/>
        <v/>
      </c>
      <c r="AR70" s="34" t="str">
        <f>IF(AQ70="","",IF(I$8="A",(RANK(AQ70,AQ$11:AQ$368,1)+COUNTIF(AQ$11:AQ70,AQ70)-1),(RANK(AQ70,AQ$11:AQ$368)+COUNTIF(AQ$11:AQ70,AQ70)-1)))</f>
        <v/>
      </c>
      <c r="AS70" s="29" t="str">
        <f t="shared" si="16"/>
        <v/>
      </c>
      <c r="AT70" s="34" t="str">
        <f t="shared" si="6"/>
        <v/>
      </c>
      <c r="AU70" s="39" t="str">
        <f t="shared" si="17"/>
        <v/>
      </c>
      <c r="AX70" s="21">
        <f>HLOOKUP($AX$9&amp;$AX$10,Data!$A$1:$ZZ$2000,(MATCH($C70,Data!$A$1:$A$2000,0)),FALSE)</f>
        <v>23.761991291355585</v>
      </c>
      <c r="AY70" s="103"/>
      <c r="AZ70" s="21"/>
    </row>
    <row r="71" spans="1:52">
      <c r="A71" s="56" t="str">
        <f>$D$1&amp;61</f>
        <v>SC61</v>
      </c>
      <c r="B71" s="57">
        <f>IF(ISERROR(VLOOKUP(A71,classifications!A:C,3,FALSE)),0,VLOOKUP(A71,classifications!A:C,3,FALSE))</f>
        <v>0</v>
      </c>
      <c r="C71" s="8" t="s">
        <v>38</v>
      </c>
      <c r="D71" s="26" t="str">
        <f>VLOOKUP($C71,classifications!$C:$J,4,FALSE)</f>
        <v>SD</v>
      </c>
      <c r="E71" s="26">
        <f>VLOOKUP(C71,classifications!C:K,9,FALSE)</f>
        <v>0</v>
      </c>
      <c r="F71" s="36">
        <f t="shared" si="0"/>
        <v>21.723567066898237</v>
      </c>
      <c r="G71" s="71"/>
      <c r="H71" s="37" t="str">
        <f t="shared" si="1"/>
        <v/>
      </c>
      <c r="I71" s="77" t="str">
        <f>IF(H71="","",IF($I$8="A",(RANK(H71,H$11:H$368,1)+COUNTIF(H$11:H71,H71)-1),(RANK(H71,H$11:H$368)+COUNTIF(H$11:H71,H71)-1)))</f>
        <v/>
      </c>
      <c r="J71" s="35"/>
      <c r="K71" s="28" t="str">
        <f t="shared" si="7"/>
        <v/>
      </c>
      <c r="L71" s="36" t="str">
        <f t="shared" si="2"/>
        <v/>
      </c>
      <c r="M71" s="102" t="str">
        <f t="shared" si="22"/>
        <v/>
      </c>
      <c r="N71" s="101" t="str">
        <f t="shared" si="23"/>
        <v/>
      </c>
      <c r="O71" s="94" t="str">
        <f t="shared" si="8"/>
        <v/>
      </c>
      <c r="P71" s="94" t="str">
        <f t="shared" si="18"/>
        <v/>
      </c>
      <c r="Q71" s="94" t="str">
        <f t="shared" si="19"/>
        <v/>
      </c>
      <c r="R71" s="90" t="str">
        <f t="shared" si="20"/>
        <v/>
      </c>
      <c r="S71" s="37" t="str">
        <f t="shared" si="9"/>
        <v/>
      </c>
      <c r="T71" s="176" t="str">
        <f>IF(L71="","",VLOOKUP(L71,classifications!C:K,9,FALSE))</f>
        <v/>
      </c>
      <c r="U71" s="183" t="str">
        <f t="shared" si="25"/>
        <v/>
      </c>
      <c r="V71" s="184" t="str">
        <f>IF(U71="","",IF($I$8="A",(RANK(U71,U$11:U$368)+COUNTIF(U$11:U71,U71)-1),(RANK(U71,U$11:U$368,1)+COUNTIF(U$11:U71,U71)-1)))</f>
        <v/>
      </c>
      <c r="W71" s="185"/>
      <c r="X71" s="38" t="str">
        <f>IF(L71="","",VLOOKUP($L71,classifications!$C:$J,6,FALSE))</f>
        <v/>
      </c>
      <c r="Y71" s="26" t="b">
        <f t="shared" si="3"/>
        <v>0</v>
      </c>
      <c r="Z71" s="34" t="e">
        <f>IF(Y71="","",IF(I$8="A",(RANK(Y71,Y$11:Y$368,1)+COUNTIF(Y$11:Y71,Y71)-1),(RANK(Y71,Y$11:Y$368)+COUNTIF(Y$11:Y71,Y71)-1)))</f>
        <v>#N/A</v>
      </c>
      <c r="AA71" s="188" t="str">
        <f>IF(L71="","",VLOOKUP($L71,classifications!C:I,7,FALSE))</f>
        <v/>
      </c>
      <c r="AB71" s="184" t="str">
        <f t="shared" si="11"/>
        <v/>
      </c>
      <c r="AC71" s="184" t="str">
        <f>IF(AB71="","",IF($I$8="A",(RANK(AB71,AB$11:AB$368)+COUNTIF(AB$11:AB71,AB71)-1),(RANK(AB71,AB$11:AB$368,1)+COUNTIF(AB$11:AB71,AB71)-1)))</f>
        <v/>
      </c>
      <c r="AD71" s="184"/>
      <c r="AE71" s="28" t="str">
        <f t="shared" si="24"/>
        <v/>
      </c>
      <c r="AG71" s="96"/>
      <c r="AH71" s="29"/>
      <c r="AI71" s="38" t="str">
        <f>IF(L71="","",VLOOKUP($L71,classifications!$C:$J,8,FALSE))</f>
        <v/>
      </c>
      <c r="AJ71" s="39" t="str">
        <f t="shared" si="4"/>
        <v/>
      </c>
      <c r="AK71" s="34" t="str">
        <f>IF(AJ71="","",IF(I$8="A",(RANK(AJ71,AJ$11:AJ$368,1)+COUNTIF(AJ$11:AJ71,AJ71)-1),(RANK(AJ71,AJ$11:AJ$368)+COUNTIF(AJ$11:AJ71,AJ71)-1)))</f>
        <v/>
      </c>
      <c r="AL71" s="29" t="str">
        <f t="shared" si="13"/>
        <v/>
      </c>
      <c r="AM71" s="8" t="str">
        <f t="shared" si="5"/>
        <v/>
      </c>
      <c r="AN71" s="8" t="str">
        <f t="shared" si="14"/>
        <v/>
      </c>
      <c r="AP71" s="38" t="str">
        <f>IF(L71="","",VLOOKUP($L71,classifications!$C:$E,3,FALSE))</f>
        <v/>
      </c>
      <c r="AQ71" s="39" t="str">
        <f t="shared" si="15"/>
        <v/>
      </c>
      <c r="AR71" s="34" t="str">
        <f>IF(AQ71="","",IF(I$8="A",(RANK(AQ71,AQ$11:AQ$368,1)+COUNTIF(AQ$11:AQ71,AQ71)-1),(RANK(AQ71,AQ$11:AQ$368)+COUNTIF(AQ$11:AQ71,AQ71)-1)))</f>
        <v/>
      </c>
      <c r="AS71" s="29" t="str">
        <f t="shared" si="16"/>
        <v/>
      </c>
      <c r="AT71" s="34" t="str">
        <f t="shared" si="6"/>
        <v/>
      </c>
      <c r="AU71" s="39" t="str">
        <f t="shared" si="17"/>
        <v/>
      </c>
      <c r="AX71" s="21">
        <f>HLOOKUP($AX$9&amp;$AX$10,Data!$A$1:$ZZ$2000,(MATCH($C71,Data!$A$1:$A$2000,0)),FALSE)</f>
        <v>21.723567066898237</v>
      </c>
      <c r="AY71" s="103"/>
      <c r="AZ71" s="21"/>
    </row>
    <row r="72" spans="1:52">
      <c r="A72" s="56" t="str">
        <f>$D$1&amp;62</f>
        <v>SC62</v>
      </c>
      <c r="B72" s="57">
        <f>IF(ISERROR(VLOOKUP(A72,classifications!A:C,3,FALSE)),0,VLOOKUP(A72,classifications!A:C,3,FALSE))</f>
        <v>0</v>
      </c>
      <c r="C72" s="8" t="s">
        <v>39</v>
      </c>
      <c r="D72" s="26" t="str">
        <f>VLOOKUP($C72,classifications!$C:$J,4,FALSE)</f>
        <v>SD</v>
      </c>
      <c r="E72" s="26">
        <f>VLOOKUP(C72,classifications!C:K,9,FALSE)</f>
        <v>0</v>
      </c>
      <c r="F72" s="36">
        <f t="shared" si="0"/>
        <v>14.931839908853616</v>
      </c>
      <c r="G72" s="71"/>
      <c r="H72" s="37" t="str">
        <f t="shared" si="1"/>
        <v/>
      </c>
      <c r="I72" s="77" t="str">
        <f>IF(H72="","",IF($I$8="A",(RANK(H72,H$11:H$368,1)+COUNTIF(H$11:H72,H72)-1),(RANK(H72,H$11:H$368)+COUNTIF(H$11:H72,H72)-1)))</f>
        <v/>
      </c>
      <c r="J72" s="35"/>
      <c r="K72" s="28" t="str">
        <f t="shared" si="7"/>
        <v/>
      </c>
      <c r="L72" s="36" t="str">
        <f t="shared" si="2"/>
        <v/>
      </c>
      <c r="M72" s="102" t="str">
        <f t="shared" si="22"/>
        <v/>
      </c>
      <c r="N72" s="101" t="str">
        <f t="shared" si="23"/>
        <v/>
      </c>
      <c r="O72" s="94" t="str">
        <f t="shared" si="8"/>
        <v/>
      </c>
      <c r="P72" s="94" t="str">
        <f t="shared" si="18"/>
        <v/>
      </c>
      <c r="Q72" s="94" t="str">
        <f t="shared" si="19"/>
        <v/>
      </c>
      <c r="R72" s="90" t="str">
        <f t="shared" si="20"/>
        <v/>
      </c>
      <c r="S72" s="37" t="str">
        <f t="shared" si="9"/>
        <v/>
      </c>
      <c r="T72" s="176" t="str">
        <f>IF(L72="","",VLOOKUP(L72,classifications!C:K,9,FALSE))</f>
        <v/>
      </c>
      <c r="U72" s="183" t="str">
        <f t="shared" si="25"/>
        <v/>
      </c>
      <c r="V72" s="184" t="str">
        <f>IF(U72="","",IF($I$8="A",(RANK(U72,U$11:U$368)+COUNTIF(U$11:U72,U72)-1),(RANK(U72,U$11:U$368,1)+COUNTIF(U$11:U72,U72)-1)))</f>
        <v/>
      </c>
      <c r="W72" s="185"/>
      <c r="X72" s="38" t="str">
        <f>IF(L72="","",VLOOKUP($L72,classifications!$C:$J,6,FALSE))</f>
        <v/>
      </c>
      <c r="Y72" s="26" t="b">
        <f t="shared" si="3"/>
        <v>0</v>
      </c>
      <c r="Z72" s="34" t="e">
        <f>IF(Y72="","",IF(I$8="A",(RANK(Y72,Y$11:Y$368,1)+COUNTIF(Y$11:Y72,Y72)-1),(RANK(Y72,Y$11:Y$368)+COUNTIF(Y$11:Y72,Y72)-1)))</f>
        <v>#N/A</v>
      </c>
      <c r="AA72" s="188" t="str">
        <f>IF(L72="","",VLOOKUP($L72,classifications!C:I,7,FALSE))</f>
        <v/>
      </c>
      <c r="AB72" s="184" t="str">
        <f t="shared" si="11"/>
        <v/>
      </c>
      <c r="AC72" s="184" t="str">
        <f>IF(AB72="","",IF($I$8="A",(RANK(AB72,AB$11:AB$368)+COUNTIF(AB$11:AB72,AB72)-1),(RANK(AB72,AB$11:AB$368,1)+COUNTIF(AB$11:AB72,AB72)-1)))</f>
        <v/>
      </c>
      <c r="AD72" s="184"/>
      <c r="AE72" s="28" t="str">
        <f t="shared" si="24"/>
        <v/>
      </c>
      <c r="AG72" s="96"/>
      <c r="AH72" s="29"/>
      <c r="AI72" s="38" t="str">
        <f>IF(L72="","",VLOOKUP($L72,classifications!$C:$J,8,FALSE))</f>
        <v/>
      </c>
      <c r="AJ72" s="39" t="str">
        <f t="shared" si="4"/>
        <v/>
      </c>
      <c r="AK72" s="34" t="str">
        <f>IF(AJ72="","",IF(I$8="A",(RANK(AJ72,AJ$11:AJ$368,1)+COUNTIF(AJ$11:AJ72,AJ72)-1),(RANK(AJ72,AJ$11:AJ$368)+COUNTIF(AJ$11:AJ72,AJ72)-1)))</f>
        <v/>
      </c>
      <c r="AL72" s="29" t="str">
        <f t="shared" si="13"/>
        <v/>
      </c>
      <c r="AM72" s="8" t="str">
        <f t="shared" si="5"/>
        <v/>
      </c>
      <c r="AN72" s="8" t="str">
        <f t="shared" si="14"/>
        <v/>
      </c>
      <c r="AP72" s="38" t="str">
        <f>IF(L72="","",VLOOKUP($L72,classifications!$C:$E,3,FALSE))</f>
        <v/>
      </c>
      <c r="AQ72" s="39" t="str">
        <f t="shared" si="15"/>
        <v/>
      </c>
      <c r="AR72" s="34" t="str">
        <f>IF(AQ72="","",IF(I$8="A",(RANK(AQ72,AQ$11:AQ$368,1)+COUNTIF(AQ$11:AQ72,AQ72)-1),(RANK(AQ72,AQ$11:AQ$368)+COUNTIF(AQ$11:AQ72,AQ72)-1)))</f>
        <v/>
      </c>
      <c r="AS72" s="29" t="str">
        <f t="shared" si="16"/>
        <v/>
      </c>
      <c r="AT72" s="34" t="str">
        <f t="shared" si="6"/>
        <v/>
      </c>
      <c r="AU72" s="39" t="str">
        <f t="shared" si="17"/>
        <v/>
      </c>
      <c r="AX72" s="21">
        <f>HLOOKUP($AX$9&amp;$AX$10,Data!$A$1:$ZZ$2000,(MATCH($C72,Data!$A$1:$A$2000,0)),FALSE)</f>
        <v>14.931839908853616</v>
      </c>
      <c r="AY72" s="103"/>
      <c r="AZ72" s="21"/>
    </row>
    <row r="73" spans="1:52">
      <c r="A73" s="56" t="str">
        <f>$D$1&amp;63</f>
        <v>SC63</v>
      </c>
      <c r="B73" s="57">
        <f>IF(ISERROR(VLOOKUP(A73,classifications!A:C,3,FALSE)),0,VLOOKUP(A73,classifications!A:C,3,FALSE))</f>
        <v>0</v>
      </c>
      <c r="C73" s="8" t="s">
        <v>40</v>
      </c>
      <c r="D73" s="26" t="str">
        <f>VLOOKUP($C73,classifications!$C:$J,4,FALSE)</f>
        <v>SD</v>
      </c>
      <c r="E73" s="26">
        <f>VLOOKUP(C73,classifications!C:K,9,FALSE)</f>
        <v>0</v>
      </c>
      <c r="F73" s="36">
        <f t="shared" si="0"/>
        <v>0</v>
      </c>
      <c r="G73" s="71"/>
      <c r="H73" s="37" t="str">
        <f t="shared" si="1"/>
        <v/>
      </c>
      <c r="I73" s="77" t="str">
        <f>IF(H73="","",IF($I$8="A",(RANK(H73,H$11:H$368,1)+COUNTIF(H$11:H73,H73)-1),(RANK(H73,H$11:H$368)+COUNTIF(H$11:H73,H73)-1)))</f>
        <v/>
      </c>
      <c r="J73" s="35"/>
      <c r="K73" s="28" t="str">
        <f t="shared" si="7"/>
        <v/>
      </c>
      <c r="L73" s="36" t="str">
        <f t="shared" si="2"/>
        <v/>
      </c>
      <c r="M73" s="102" t="str">
        <f t="shared" si="22"/>
        <v/>
      </c>
      <c r="N73" s="101" t="str">
        <f t="shared" si="23"/>
        <v/>
      </c>
      <c r="O73" s="94" t="str">
        <f t="shared" si="8"/>
        <v/>
      </c>
      <c r="P73" s="94" t="str">
        <f t="shared" si="18"/>
        <v/>
      </c>
      <c r="Q73" s="94" t="str">
        <f t="shared" si="19"/>
        <v/>
      </c>
      <c r="R73" s="90" t="str">
        <f t="shared" si="20"/>
        <v/>
      </c>
      <c r="S73" s="37" t="str">
        <f t="shared" si="9"/>
        <v/>
      </c>
      <c r="T73" s="176" t="str">
        <f>IF(L73="","",VLOOKUP(L73,classifications!C:K,9,FALSE))</f>
        <v/>
      </c>
      <c r="U73" s="183" t="str">
        <f t="shared" si="25"/>
        <v/>
      </c>
      <c r="V73" s="184" t="str">
        <f>IF(U73="","",IF($I$8="A",(RANK(U73,U$11:U$368)+COUNTIF(U$11:U73,U73)-1),(RANK(U73,U$11:U$368,1)+COUNTIF(U$11:U73,U73)-1)))</f>
        <v/>
      </c>
      <c r="W73" s="185"/>
      <c r="X73" s="38" t="str">
        <f>IF(L73="","",VLOOKUP($L73,classifications!$C:$J,6,FALSE))</f>
        <v/>
      </c>
      <c r="Y73" s="26" t="b">
        <f t="shared" si="3"/>
        <v>0</v>
      </c>
      <c r="Z73" s="34" t="e">
        <f>IF(Y73="","",IF(I$8="A",(RANK(Y73,Y$11:Y$368,1)+COUNTIF(Y$11:Y73,Y73)-1),(RANK(Y73,Y$11:Y$368)+COUNTIF(Y$11:Y73,Y73)-1)))</f>
        <v>#N/A</v>
      </c>
      <c r="AA73" s="188" t="str">
        <f>IF(L73="","",VLOOKUP($L73,classifications!C:I,7,FALSE))</f>
        <v/>
      </c>
      <c r="AB73" s="184" t="str">
        <f t="shared" si="11"/>
        <v/>
      </c>
      <c r="AC73" s="184" t="str">
        <f>IF(AB73="","",IF($I$8="A",(RANK(AB73,AB$11:AB$368)+COUNTIF(AB$11:AB73,AB73)-1),(RANK(AB73,AB$11:AB$368,1)+COUNTIF(AB$11:AB73,AB73)-1)))</f>
        <v/>
      </c>
      <c r="AD73" s="184"/>
      <c r="AE73" s="28" t="str">
        <f t="shared" si="24"/>
        <v/>
      </c>
      <c r="AG73" s="96"/>
      <c r="AH73" s="29"/>
      <c r="AI73" s="38" t="str">
        <f>IF(L73="","",VLOOKUP($L73,classifications!$C:$J,8,FALSE))</f>
        <v/>
      </c>
      <c r="AJ73" s="39" t="str">
        <f t="shared" si="4"/>
        <v/>
      </c>
      <c r="AK73" s="34" t="str">
        <f>IF(AJ73="","",IF(I$8="A",(RANK(AJ73,AJ$11:AJ$368,1)+COUNTIF(AJ$11:AJ73,AJ73)-1),(RANK(AJ73,AJ$11:AJ$368)+COUNTIF(AJ$11:AJ73,AJ73)-1)))</f>
        <v/>
      </c>
      <c r="AL73" s="29" t="str">
        <f t="shared" si="13"/>
        <v/>
      </c>
      <c r="AM73" s="8" t="str">
        <f t="shared" si="5"/>
        <v/>
      </c>
      <c r="AN73" s="8" t="str">
        <f t="shared" si="14"/>
        <v/>
      </c>
      <c r="AP73" s="38" t="str">
        <f>IF(L73="","",VLOOKUP($L73,classifications!$C:$E,3,FALSE))</f>
        <v/>
      </c>
      <c r="AQ73" s="39" t="str">
        <f t="shared" si="15"/>
        <v/>
      </c>
      <c r="AR73" s="34" t="str">
        <f>IF(AQ73="","",IF(I$8="A",(RANK(AQ73,AQ$11:AQ$368,1)+COUNTIF(AQ$11:AQ73,AQ73)-1),(RANK(AQ73,AQ$11:AQ$368)+COUNTIF(AQ$11:AQ73,AQ73)-1)))</f>
        <v/>
      </c>
      <c r="AS73" s="29" t="str">
        <f t="shared" si="16"/>
        <v/>
      </c>
      <c r="AT73" s="34" t="str">
        <f t="shared" si="6"/>
        <v/>
      </c>
      <c r="AU73" s="39" t="str">
        <f t="shared" si="17"/>
        <v/>
      </c>
      <c r="AX73" s="21">
        <f>HLOOKUP($AX$9&amp;$AX$10,Data!$A$1:$ZZ$2000,(MATCH($C73,Data!$A$1:$A$2000,0)),FALSE)</f>
        <v>0</v>
      </c>
      <c r="AY73" s="103"/>
      <c r="AZ73" s="21"/>
    </row>
    <row r="74" spans="1:52">
      <c r="A74" s="56" t="str">
        <f>$D$1&amp;64</f>
        <v>SC64</v>
      </c>
      <c r="B74" s="57">
        <f>IF(ISERROR(VLOOKUP(A74,classifications!A:C,3,FALSE)),0,VLOOKUP(A74,classifications!A:C,3,FALSE))</f>
        <v>0</v>
      </c>
      <c r="C74" s="8" t="s">
        <v>370</v>
      </c>
      <c r="D74" s="26" t="str">
        <f>VLOOKUP($C74,classifications!$C:$J,4,FALSE)</f>
        <v>L</v>
      </c>
      <c r="E74" s="26">
        <f>VLOOKUP(C74,classifications!C:K,9,FALSE)</f>
        <v>0</v>
      </c>
      <c r="F74" s="36">
        <f t="shared" si="0"/>
        <v>25.734692283751198</v>
      </c>
      <c r="G74" s="71"/>
      <c r="H74" s="37" t="str">
        <f t="shared" si="1"/>
        <v/>
      </c>
      <c r="I74" s="77" t="str">
        <f>IF(H74="","",IF($I$8="A",(RANK(H74,H$11:H$368,1)+COUNTIF(H$11:H74,H74)-1),(RANK(H74,H$11:H$368)+COUNTIF(H$11:H74,H74)-1)))</f>
        <v/>
      </c>
      <c r="J74" s="35"/>
      <c r="K74" s="28" t="str">
        <f t="shared" si="7"/>
        <v/>
      </c>
      <c r="L74" s="36" t="str">
        <f t="shared" si="2"/>
        <v/>
      </c>
      <c r="M74" s="102" t="str">
        <f t="shared" si="22"/>
        <v/>
      </c>
      <c r="N74" s="101" t="str">
        <f t="shared" si="23"/>
        <v/>
      </c>
      <c r="O74" s="94" t="str">
        <f t="shared" si="8"/>
        <v/>
      </c>
      <c r="P74" s="94" t="str">
        <f t="shared" si="18"/>
        <v/>
      </c>
      <c r="Q74" s="94" t="str">
        <f t="shared" si="19"/>
        <v/>
      </c>
      <c r="R74" s="90" t="str">
        <f t="shared" si="20"/>
        <v/>
      </c>
      <c r="S74" s="37" t="str">
        <f t="shared" si="9"/>
        <v/>
      </c>
      <c r="T74" s="176" t="str">
        <f>IF(L74="","",VLOOKUP(L74,classifications!C:K,9,FALSE))</f>
        <v/>
      </c>
      <c r="U74" s="183" t="str">
        <f t="shared" si="25"/>
        <v/>
      </c>
      <c r="V74" s="184" t="str">
        <f>IF(U74="","",IF($I$8="A",(RANK(U74,U$11:U$368)+COUNTIF(U$11:U74,U74)-1),(RANK(U74,U$11:U$368,1)+COUNTIF(U$11:U74,U74)-1)))</f>
        <v/>
      </c>
      <c r="W74" s="185"/>
      <c r="X74" s="38" t="str">
        <f>IF(L74="","",VLOOKUP($L74,classifications!$C:$J,6,FALSE))</f>
        <v/>
      </c>
      <c r="Y74" s="26" t="b">
        <f t="shared" si="3"/>
        <v>0</v>
      </c>
      <c r="Z74" s="34" t="e">
        <f>IF(Y74="","",IF(I$8="A",(RANK(Y74,Y$11:Y$368,1)+COUNTIF(Y$11:Y74,Y74)-1),(RANK(Y74,Y$11:Y$368)+COUNTIF(Y$11:Y74,Y74)-1)))</f>
        <v>#N/A</v>
      </c>
      <c r="AA74" s="188" t="str">
        <f>IF(L74="","",VLOOKUP($L74,classifications!C:I,7,FALSE))</f>
        <v/>
      </c>
      <c r="AB74" s="184" t="str">
        <f t="shared" si="11"/>
        <v/>
      </c>
      <c r="AC74" s="184" t="str">
        <f>IF(AB74="","",IF($I$8="A",(RANK(AB74,AB$11:AB$368)+COUNTIF(AB$11:AB74,AB74)-1),(RANK(AB74,AB$11:AB$368,1)+COUNTIF(AB$11:AB74,AB74)-1)))</f>
        <v/>
      </c>
      <c r="AD74" s="184"/>
      <c r="AE74" s="28" t="str">
        <f t="shared" si="24"/>
        <v/>
      </c>
      <c r="AG74" s="96"/>
      <c r="AH74" s="29"/>
      <c r="AI74" s="38" t="str">
        <f>IF(L74="","",VLOOKUP($L74,classifications!$C:$J,8,FALSE))</f>
        <v/>
      </c>
      <c r="AJ74" s="39" t="str">
        <f t="shared" si="4"/>
        <v/>
      </c>
      <c r="AK74" s="34" t="str">
        <f>IF(AJ74="","",IF(I$8="A",(RANK(AJ74,AJ$11:AJ$368,1)+COUNTIF(AJ$11:AJ74,AJ74)-1),(RANK(AJ74,AJ$11:AJ$368)+COUNTIF(AJ$11:AJ74,AJ74)-1)))</f>
        <v/>
      </c>
      <c r="AL74" s="29" t="str">
        <f t="shared" si="13"/>
        <v/>
      </c>
      <c r="AM74" s="8" t="str">
        <f t="shared" si="5"/>
        <v/>
      </c>
      <c r="AN74" s="8" t="str">
        <f t="shared" si="14"/>
        <v/>
      </c>
      <c r="AP74" s="38" t="str">
        <f>IF(L74="","",VLOOKUP($L74,classifications!$C:$E,3,FALSE))</f>
        <v/>
      </c>
      <c r="AQ74" s="39" t="str">
        <f t="shared" si="15"/>
        <v/>
      </c>
      <c r="AR74" s="34" t="str">
        <f>IF(AQ74="","",IF(I$8="A",(RANK(AQ74,AQ$11:AQ$368,1)+COUNTIF(AQ$11:AQ74,AQ74)-1),(RANK(AQ74,AQ$11:AQ$368)+COUNTIF(AQ$11:AQ74,AQ74)-1)))</f>
        <v/>
      </c>
      <c r="AS74" s="29" t="str">
        <f t="shared" si="16"/>
        <v/>
      </c>
      <c r="AT74" s="34" t="str">
        <f t="shared" si="6"/>
        <v/>
      </c>
      <c r="AU74" s="39" t="str">
        <f t="shared" si="17"/>
        <v/>
      </c>
      <c r="AX74" s="21">
        <f>HLOOKUP($AX$9&amp;$AX$10,Data!$A$1:$ZZ$2000,(MATCH($C74,Data!$A$1:$A$2000,0)),FALSE)</f>
        <v>25.734692283751198</v>
      </c>
      <c r="AY74" s="103"/>
      <c r="AZ74" s="21"/>
    </row>
    <row r="75" spans="1:52">
      <c r="A75" s="56" t="str">
        <f>$D$1&amp;65</f>
        <v>SC65</v>
      </c>
      <c r="B75" s="57">
        <f>IF(ISERROR(VLOOKUP(A75,classifications!A:C,3,FALSE)),0,VLOOKUP(A75,classifications!A:C,3,FALSE))</f>
        <v>0</v>
      </c>
      <c r="C75" s="8" t="s">
        <v>41</v>
      </c>
      <c r="D75" s="26" t="str">
        <f>VLOOKUP($C75,classifications!$C:$J,4,FALSE)</f>
        <v>SD</v>
      </c>
      <c r="E75" s="26">
        <f>VLOOKUP(C75,classifications!C:K,9,FALSE)</f>
        <v>0</v>
      </c>
      <c r="F75" s="36">
        <f t="shared" ref="F75:F138" si="26">HLOOKUP($D$6,AX$10:ZX$368,ROW()-9,FALSE)</f>
        <v>22.688163821930118</v>
      </c>
      <c r="G75" s="71"/>
      <c r="H75" s="37" t="str">
        <f t="shared" ref="H75:H138" si="27">IF(D75=$D$1,HLOOKUP($D$6,$AX$10:$ZZ$368,ROW()-9,FALSE),"")</f>
        <v/>
      </c>
      <c r="I75" s="77" t="str">
        <f>IF(H75="","",IF($I$8="A",(RANK(H75,H$11:H$368,1)+COUNTIF(H$11:H75,H75)-1),(RANK(H75,H$11:H$368)+COUNTIF(H$11:H75,H75)-1)))</f>
        <v/>
      </c>
      <c r="J75" s="35"/>
      <c r="K75" s="28" t="str">
        <f t="shared" si="7"/>
        <v/>
      </c>
      <c r="L75" s="36" t="str">
        <f t="shared" ref="L75:L138" si="28">IF(K75="","",INDEX(C$11:C$368,MATCH(K75,I$11:I$368,0)))</f>
        <v/>
      </c>
      <c r="M75" s="102" t="str">
        <f t="shared" si="22"/>
        <v/>
      </c>
      <c r="N75" s="101" t="str">
        <f t="shared" si="23"/>
        <v/>
      </c>
      <c r="O75" s="94" t="str">
        <f t="shared" ref="O75:O138" si="29">IF(I$8="A",IF(N75&gt;=$P$7,IF(N75&lt;=$O$10,N75,""),""),IF(N75&lt;=$P$7,IF(N75&gt;=$O$10,N75,""),""))</f>
        <v/>
      </c>
      <c r="P75" s="94" t="str">
        <f t="shared" si="18"/>
        <v/>
      </c>
      <c r="Q75" s="94" t="str">
        <f t="shared" si="19"/>
        <v/>
      </c>
      <c r="R75" s="90" t="str">
        <f t="shared" si="20"/>
        <v/>
      </c>
      <c r="S75" s="37" t="str">
        <f t="shared" si="9"/>
        <v/>
      </c>
      <c r="T75" s="176" t="str">
        <f>IF(L75="","",VLOOKUP(L75,classifications!C:K,9,FALSE))</f>
        <v/>
      </c>
      <c r="U75" s="183" t="str">
        <f t="shared" ref="U75:U138" si="30">IF(T75="Sparse",M75,"")</f>
        <v/>
      </c>
      <c r="V75" s="184" t="str">
        <f>IF(U75="","",IF($I$8="A",(RANK(U75,U$11:U$368)+COUNTIF(U$11:U75,U75)-1),(RANK(U75,U$11:U$368,1)+COUNTIF(U$11:U75,U75)-1)))</f>
        <v/>
      </c>
      <c r="W75" s="185"/>
      <c r="X75" s="38" t="str">
        <f>IF(L75="","",VLOOKUP($L75,classifications!$C:$J,6,FALSE))</f>
        <v/>
      </c>
      <c r="Y75" s="26" t="b">
        <f t="shared" ref="Y75:Y138" si="31">IF($D$1="UA",IF(X75="Largely Rural (rural including hub towns 50-79%) ",M75,IF(X75="Mainly Rural (rural including hub towns &gt;=80%) ",M75,IF(X75="Urban with Significant Rural (rural including hub towns 26-49%)",M75,""))),IF($D$1="SD",IF(X75=$H$3,M75,"")))</f>
        <v>0</v>
      </c>
      <c r="Z75" s="34" t="e">
        <f>IF(Y75="","",IF(I$8="A",(RANK(Y75,Y$11:Y$368,1)+COUNTIF(Y$11:Y75,Y75)-1),(RANK(Y75,Y$11:Y$368)+COUNTIF(Y$11:Y75,Y75)-1)))</f>
        <v>#N/A</v>
      </c>
      <c r="AA75" s="188" t="str">
        <f>IF(L75="","",VLOOKUP($L75,classifications!C:I,7,FALSE))</f>
        <v/>
      </c>
      <c r="AB75" s="184" t="str">
        <f t="shared" si="11"/>
        <v/>
      </c>
      <c r="AC75" s="184" t="str">
        <f>IF(AB75="","",IF($I$8="A",(RANK(AB75,AB$11:AB$368)+COUNTIF(AB$11:AB75,AB75)-1),(RANK(AB75,AB$11:AB$368,1)+COUNTIF(AB$11:AB75,AB75)-1)))</f>
        <v/>
      </c>
      <c r="AD75" s="184"/>
      <c r="AE75" s="28" t="str">
        <f t="shared" si="24"/>
        <v/>
      </c>
      <c r="AG75" s="96"/>
      <c r="AH75" s="29"/>
      <c r="AI75" s="38" t="str">
        <f>IF(L75="","",VLOOKUP($L75,classifications!$C:$J,8,FALSE))</f>
        <v/>
      </c>
      <c r="AJ75" s="39" t="str">
        <f t="shared" ref="AJ75:AJ138" si="32">IF(AI75=$I$3,M75,"")</f>
        <v/>
      </c>
      <c r="AK75" s="34" t="str">
        <f>IF(AJ75="","",IF(I$8="A",(RANK(AJ75,AJ$11:AJ$368,1)+COUNTIF(AJ$11:AJ75,AJ75)-1),(RANK(AJ75,AJ$11:AJ$368)+COUNTIF(AJ$11:AJ75,AJ75)-1)))</f>
        <v/>
      </c>
      <c r="AL75" s="29" t="str">
        <f t="shared" si="13"/>
        <v/>
      </c>
      <c r="AM75" s="8" t="str">
        <f t="shared" ref="AM75:AM138" si="33">IF(ISNA(IF(AL75="","",INDEX(L$11:L$368,MATCH(AL75,AK$11:AK$368,0)))),"",(IF(AL75="","",INDEX(L$11:L$368,MATCH(AL75,AK$11:AK$368,0)))))</f>
        <v/>
      </c>
      <c r="AN75" s="8" t="str">
        <f t="shared" si="14"/>
        <v/>
      </c>
      <c r="AP75" s="38" t="str">
        <f>IF(L75="","",VLOOKUP($L75,classifications!$C:$E,3,FALSE))</f>
        <v/>
      </c>
      <c r="AQ75" s="39" t="str">
        <f t="shared" si="15"/>
        <v/>
      </c>
      <c r="AR75" s="34" t="str">
        <f>IF(AQ75="","",IF(I$8="A",(RANK(AQ75,AQ$11:AQ$368,1)+COUNTIF(AQ$11:AQ75,AQ75)-1),(RANK(AQ75,AQ$11:AQ$368)+COUNTIF(AQ$11:AQ75,AQ75)-1)))</f>
        <v/>
      </c>
      <c r="AS75" s="29" t="str">
        <f t="shared" si="16"/>
        <v/>
      </c>
      <c r="AT75" s="34" t="str">
        <f t="shared" ref="AT75:AT138" si="34">IF(AS75="","",INDEX(L$11:L$368,MATCH(AS75,AR$11:AR$368,0)))</f>
        <v/>
      </c>
      <c r="AU75" s="39" t="str">
        <f t="shared" si="17"/>
        <v/>
      </c>
      <c r="AX75" s="21">
        <f>HLOOKUP($AX$9&amp;$AX$10,Data!$A$1:$ZZ$2000,(MATCH($C75,Data!$A$1:$A$2000,0)),FALSE)</f>
        <v>22.688163821930118</v>
      </c>
      <c r="AY75" s="103"/>
      <c r="AZ75" s="21"/>
    </row>
    <row r="76" spans="1:52">
      <c r="A76" s="56" t="str">
        <f>$D$1&amp;66</f>
        <v>SC66</v>
      </c>
      <c r="B76" s="57">
        <f>IF(ISERROR(VLOOKUP(A76,classifications!A:C,3,FALSE)),0,VLOOKUP(A76,classifications!A:C,3,FALSE))</f>
        <v>0</v>
      </c>
      <c r="C76" s="8" t="s">
        <v>42</v>
      </c>
      <c r="D76" s="26" t="str">
        <f>VLOOKUP($C76,classifications!$C:$J,4,FALSE)</f>
        <v>SD</v>
      </c>
      <c r="E76" s="26" t="str">
        <f>VLOOKUP(C76,classifications!C:K,9,FALSE)</f>
        <v>Sparse</v>
      </c>
      <c r="F76" s="36">
        <f t="shared" si="26"/>
        <v>8.6197321840163177</v>
      </c>
      <c r="G76" s="71"/>
      <c r="H76" s="37" t="str">
        <f t="shared" si="27"/>
        <v/>
      </c>
      <c r="I76" s="77" t="str">
        <f>IF(H76="","",IF($I$8="A",(RANK(H76,H$11:H$368,1)+COUNTIF(H$11:H76,H76)-1),(RANK(H76,H$11:H$368)+COUNTIF(H$11:H76,H76)-1)))</f>
        <v/>
      </c>
      <c r="J76" s="35"/>
      <c r="K76" s="28" t="str">
        <f t="shared" ref="K76:K139" si="35">IF(K75="","",IF(K75+1&gt;(COUNT(H$11:H$368)),"",K75+1))</f>
        <v/>
      </c>
      <c r="L76" s="36" t="str">
        <f t="shared" si="28"/>
        <v/>
      </c>
      <c r="M76" s="102" t="str">
        <f t="shared" ref="M76:M139" si="36">IF(L76="","",IF(VLOOKUP(L76,C:D,2,FALSE)=$F$3,VLOOKUP(L76,C:H,6,FALSE),""))</f>
        <v/>
      </c>
      <c r="N76" s="101" t="str">
        <f t="shared" ref="N76:N139" si="37">IF(L76="","",IF($H$8="%%",M76*100,M76))</f>
        <v/>
      </c>
      <c r="O76" s="94" t="str">
        <f t="shared" si="29"/>
        <v/>
      </c>
      <c r="P76" s="94" t="str">
        <f t="shared" si="18"/>
        <v/>
      </c>
      <c r="Q76" s="94" t="str">
        <f t="shared" si="19"/>
        <v/>
      </c>
      <c r="R76" s="90" t="str">
        <f t="shared" si="20"/>
        <v/>
      </c>
      <c r="S76" s="37" t="str">
        <f t="shared" ref="S76:S139" si="38">IF(L76=D$3,"u","")</f>
        <v/>
      </c>
      <c r="T76" s="176" t="str">
        <f>IF(L76="","",VLOOKUP(L76,classifications!C:K,9,FALSE))</f>
        <v/>
      </c>
      <c r="U76" s="183" t="str">
        <f t="shared" si="30"/>
        <v/>
      </c>
      <c r="V76" s="184" t="str">
        <f>IF(U76="","",IF($I$8="A",(RANK(U76,U$11:U$368)+COUNTIF(U$11:U76,U76)-1),(RANK(U76,U$11:U$368,1)+COUNTIF(U$11:U76,U76)-1)))</f>
        <v/>
      </c>
      <c r="W76" s="185"/>
      <c r="X76" s="38" t="str">
        <f>IF(L76="","",VLOOKUP($L76,classifications!$C:$J,6,FALSE))</f>
        <v/>
      </c>
      <c r="Y76" s="26" t="b">
        <f t="shared" si="31"/>
        <v>0</v>
      </c>
      <c r="Z76" s="34" t="e">
        <f>IF(Y76="","",IF(I$8="A",(RANK(Y76,Y$11:Y$368,1)+COUNTIF(Y$11:Y76,Y76)-1),(RANK(Y76,Y$11:Y$368)+COUNTIF(Y$11:Y76,Y76)-1)))</f>
        <v>#N/A</v>
      </c>
      <c r="AA76" s="188" t="str">
        <f>IF(L76="","",VLOOKUP($L76,classifications!C:I,7,FALSE))</f>
        <v/>
      </c>
      <c r="AB76" s="184" t="str">
        <f t="shared" ref="AB76:AB139" si="39">IF(AA76=$J$3,M76,"")</f>
        <v/>
      </c>
      <c r="AC76" s="184" t="str">
        <f>IF(AB76="","",IF($I$8="A",(RANK(AB76,AB$11:AB$368)+COUNTIF(AB$11:AB76,AB76)-1),(RANK(AB76,AB$11:AB$368,1)+COUNTIF(AB$11:AB76,AB76)-1)))</f>
        <v/>
      </c>
      <c r="AD76" s="184"/>
      <c r="AE76" s="28" t="str">
        <f t="shared" si="24"/>
        <v/>
      </c>
      <c r="AG76" s="96"/>
      <c r="AH76" s="29"/>
      <c r="AI76" s="38" t="str">
        <f>IF(L76="","",VLOOKUP($L76,classifications!$C:$J,8,FALSE))</f>
        <v/>
      </c>
      <c r="AJ76" s="39" t="str">
        <f t="shared" si="32"/>
        <v/>
      </c>
      <c r="AK76" s="34" t="str">
        <f>IF(AJ76="","",IF(I$8="A",(RANK(AJ76,AJ$11:AJ$368,1)+COUNTIF(AJ$11:AJ76,AJ76)-1),(RANK(AJ76,AJ$11:AJ$368)+COUNTIF(AJ$11:AJ76,AJ76)-1)))</f>
        <v/>
      </c>
      <c r="AL76" s="29" t="str">
        <f t="shared" ref="AL76:AL139" si="40">IF(AL75="","",IF(AL75+1&gt;(COUNT(AJ$11:AJ$368)),"",AL75+1))</f>
        <v/>
      </c>
      <c r="AM76" s="8" t="str">
        <f t="shared" si="33"/>
        <v/>
      </c>
      <c r="AN76" s="8" t="str">
        <f t="shared" ref="AN76:AN139" si="41">(VLOOKUP(AM76,L:M,2,FALSE))</f>
        <v/>
      </c>
      <c r="AP76" s="38" t="str">
        <f>IF(L76="","",VLOOKUP($L76,classifications!$C:$E,3,FALSE))</f>
        <v/>
      </c>
      <c r="AQ76" s="39" t="str">
        <f t="shared" ref="AQ76:AQ139" si="42">IF(AP76=$G$3,$M76,"")</f>
        <v/>
      </c>
      <c r="AR76" s="34" t="str">
        <f>IF(AQ76="","",IF(I$8="A",(RANK(AQ76,AQ$11:AQ$368,1)+COUNTIF(AQ$11:AQ76,AQ76)-1),(RANK(AQ76,AQ$11:AQ$368)+COUNTIF(AQ$11:AQ76,AQ76)-1)))</f>
        <v/>
      </c>
      <c r="AS76" s="29" t="str">
        <f t="shared" ref="AS76:AS139" si="43">IF(AS75="","",IF(AS75+1&gt;(COUNT(AQ$11:AQ$368)),"",AS75+1))</f>
        <v/>
      </c>
      <c r="AT76" s="34" t="str">
        <f t="shared" si="34"/>
        <v/>
      </c>
      <c r="AU76" s="39" t="str">
        <f t="shared" ref="AU76:AU80" si="44">IF(AT76="","",VLOOKUP(AT76,L:M,2,FALSE))</f>
        <v/>
      </c>
      <c r="AX76" s="21">
        <f>HLOOKUP($AX$9&amp;$AX$10,Data!$A$1:$ZZ$2000,(MATCH($C76,Data!$A$1:$A$2000,0)),FALSE)</f>
        <v>8.6197321840163177</v>
      </c>
      <c r="AY76" s="103"/>
      <c r="AZ76" s="21"/>
    </row>
    <row r="77" spans="1:52">
      <c r="A77" s="56" t="str">
        <f>$D$1&amp;67</f>
        <v>SC67</v>
      </c>
      <c r="B77" s="57">
        <f>IF(ISERROR(VLOOKUP(A77,classifications!A:C,3,FALSE)),0,VLOOKUP(A77,classifications!A:C,3,FALSE))</f>
        <v>0</v>
      </c>
      <c r="C77" s="8" t="s">
        <v>43</v>
      </c>
      <c r="D77" s="26" t="str">
        <f>VLOOKUP($C77,classifications!$C:$J,4,FALSE)</f>
        <v>SD</v>
      </c>
      <c r="E77" s="26">
        <f>VLOOKUP(C77,classifications!C:K,9,FALSE)</f>
        <v>0</v>
      </c>
      <c r="F77" s="36">
        <f t="shared" si="26"/>
        <v>11.579199149309465</v>
      </c>
      <c r="G77" s="71"/>
      <c r="H77" s="37" t="str">
        <f t="shared" si="27"/>
        <v/>
      </c>
      <c r="I77" s="77" t="str">
        <f>IF(H77="","",IF($I$8="A",(RANK(H77,H$11:H$368,1)+COUNTIF(H$11:H77,H77)-1),(RANK(H77,H$11:H$368)+COUNTIF(H$11:H77,H77)-1)))</f>
        <v/>
      </c>
      <c r="J77" s="35"/>
      <c r="K77" s="28" t="str">
        <f t="shared" si="35"/>
        <v/>
      </c>
      <c r="L77" s="36" t="str">
        <f t="shared" si="28"/>
        <v/>
      </c>
      <c r="M77" s="102" t="str">
        <f t="shared" si="36"/>
        <v/>
      </c>
      <c r="N77" s="101" t="str">
        <f t="shared" si="37"/>
        <v/>
      </c>
      <c r="O77" s="94" t="str">
        <f t="shared" si="29"/>
        <v/>
      </c>
      <c r="P77" s="94" t="str">
        <f t="shared" ref="P77:P140" si="45">IF(I$8="A",IF(N77&gt;$O$10,IF(N77&lt;=$P$10,N77,""),""),IF(N77&lt;$O$10,IF(N77&gt;=$P$10,N77,""),""))</f>
        <v/>
      </c>
      <c r="Q77" s="94" t="str">
        <f t="shared" ref="Q77:Q140" si="46">IF(I$8="A",IF(N77&gt;$P$10,IF(N77&lt;=$Q$10,N77,""),""),IF(N77&lt;$P$10,IF(N77&gt;=$Q$10,N77,""),""))</f>
        <v/>
      </c>
      <c r="R77" s="90" t="str">
        <f t="shared" ref="R77:R140" si="47">IF(I$8="A",IF(N77&gt;$Q$10,N77,""),IF(N77&lt;$Q$10,N77,""))</f>
        <v/>
      </c>
      <c r="S77" s="37" t="str">
        <f t="shared" si="38"/>
        <v/>
      </c>
      <c r="T77" s="176" t="str">
        <f>IF(L77="","",VLOOKUP(L77,classifications!C:K,9,FALSE))</f>
        <v/>
      </c>
      <c r="U77" s="183" t="str">
        <f t="shared" si="30"/>
        <v/>
      </c>
      <c r="V77" s="184" t="str">
        <f>IF(U77="","",IF($I$8="A",(RANK(U77,U$11:U$368)+COUNTIF(U$11:U77,U77)-1),(RANK(U77,U$11:U$368,1)+COUNTIF(U$11:U77,U77)-1)))</f>
        <v/>
      </c>
      <c r="W77" s="185"/>
      <c r="X77" s="38" t="str">
        <f>IF(L77="","",VLOOKUP($L77,classifications!$C:$J,6,FALSE))</f>
        <v/>
      </c>
      <c r="Y77" s="26" t="b">
        <f t="shared" si="31"/>
        <v>0</v>
      </c>
      <c r="Z77" s="34" t="e">
        <f>IF(Y77="","",IF(I$8="A",(RANK(Y77,Y$11:Y$368,1)+COUNTIF(Y$11:Y77,Y77)-1),(RANK(Y77,Y$11:Y$368)+COUNTIF(Y$11:Y77,Y77)-1)))</f>
        <v>#N/A</v>
      </c>
      <c r="AA77" s="188" t="str">
        <f>IF(L77="","",VLOOKUP($L77,classifications!C:I,7,FALSE))</f>
        <v/>
      </c>
      <c r="AB77" s="184" t="str">
        <f t="shared" si="39"/>
        <v/>
      </c>
      <c r="AC77" s="184" t="str">
        <f>IF(AB77="","",IF($I$8="A",(RANK(AB77,AB$11:AB$368)+COUNTIF(AB$11:AB77,AB77)-1),(RANK(AB77,AB$11:AB$368,1)+COUNTIF(AB$11:AB77,AB77)-1)))</f>
        <v/>
      </c>
      <c r="AD77" s="184"/>
      <c r="AE77" s="28" t="str">
        <f t="shared" si="24"/>
        <v/>
      </c>
      <c r="AG77" s="96"/>
      <c r="AH77" s="29"/>
      <c r="AI77" s="38" t="str">
        <f>IF(L77="","",VLOOKUP($L77,classifications!$C:$J,8,FALSE))</f>
        <v/>
      </c>
      <c r="AJ77" s="39" t="str">
        <f t="shared" si="32"/>
        <v/>
      </c>
      <c r="AK77" s="34" t="str">
        <f>IF(AJ77="","",IF(I$8="A",(RANK(AJ77,AJ$11:AJ$368,1)+COUNTIF(AJ$11:AJ77,AJ77)-1),(RANK(AJ77,AJ$11:AJ$368)+COUNTIF(AJ$11:AJ77,AJ77)-1)))</f>
        <v/>
      </c>
      <c r="AL77" s="29" t="str">
        <f t="shared" si="40"/>
        <v/>
      </c>
      <c r="AM77" s="8" t="str">
        <f t="shared" si="33"/>
        <v/>
      </c>
      <c r="AN77" s="8" t="str">
        <f t="shared" si="41"/>
        <v/>
      </c>
      <c r="AP77" s="38" t="str">
        <f>IF(L77="","",VLOOKUP($L77,classifications!$C:$E,3,FALSE))</f>
        <v/>
      </c>
      <c r="AQ77" s="39" t="str">
        <f t="shared" si="42"/>
        <v/>
      </c>
      <c r="AR77" s="34" t="str">
        <f>IF(AQ77="","",IF(I$8="A",(RANK(AQ77,AQ$11:AQ$368,1)+COUNTIF(AQ$11:AQ77,AQ77)-1),(RANK(AQ77,AQ$11:AQ$368)+COUNTIF(AQ$11:AQ77,AQ77)-1)))</f>
        <v/>
      </c>
      <c r="AS77" s="29" t="str">
        <f t="shared" si="43"/>
        <v/>
      </c>
      <c r="AT77" s="34" t="str">
        <f t="shared" si="34"/>
        <v/>
      </c>
      <c r="AU77" s="39" t="str">
        <f t="shared" si="44"/>
        <v/>
      </c>
      <c r="AX77" s="21">
        <f>HLOOKUP($AX$9&amp;$AX$10,Data!$A$1:$ZZ$2000,(MATCH($C77,Data!$A$1:$A$2000,0)),FALSE)</f>
        <v>11.579199149309465</v>
      </c>
      <c r="AY77" s="103"/>
      <c r="AZ77" s="21"/>
    </row>
    <row r="78" spans="1:52">
      <c r="A78" s="56" t="str">
        <f>$D$1&amp;68</f>
        <v>SC68</v>
      </c>
      <c r="B78" s="57">
        <f>IF(ISERROR(VLOOKUP(A78,classifications!A:C,3,FALSE)),0,VLOOKUP(A78,classifications!A:C,3,FALSE))</f>
        <v>0</v>
      </c>
      <c r="C78" s="8" t="s">
        <v>305</v>
      </c>
      <c r="D78" s="26" t="str">
        <f>VLOOKUP($C78,classifications!$C:$J,4,FALSE)</f>
        <v>UA</v>
      </c>
      <c r="E78" s="26" t="str">
        <f>VLOOKUP(C78,classifications!C:K,9,FALSE)</f>
        <v>Sparse</v>
      </c>
      <c r="F78" s="36">
        <f t="shared" si="26"/>
        <v>14.736420150086701</v>
      </c>
      <c r="G78" s="71"/>
      <c r="H78" s="37" t="str">
        <f t="shared" si="27"/>
        <v/>
      </c>
      <c r="I78" s="77" t="str">
        <f>IF(H78="","",IF($I$8="A",(RANK(H78,H$11:H$368,1)+COUNTIF(H$11:H78,H78)-1),(RANK(H78,H$11:H$368)+COUNTIF(H$11:H78,H78)-1)))</f>
        <v/>
      </c>
      <c r="J78" s="35"/>
      <c r="K78" s="28" t="str">
        <f t="shared" si="35"/>
        <v/>
      </c>
      <c r="L78" s="36" t="str">
        <f t="shared" si="28"/>
        <v/>
      </c>
      <c r="M78" s="102" t="str">
        <f t="shared" si="36"/>
        <v/>
      </c>
      <c r="N78" s="101" t="str">
        <f t="shared" si="37"/>
        <v/>
      </c>
      <c r="O78" s="94" t="str">
        <f t="shared" si="29"/>
        <v/>
      </c>
      <c r="P78" s="94" t="str">
        <f t="shared" si="45"/>
        <v/>
      </c>
      <c r="Q78" s="94" t="str">
        <f t="shared" si="46"/>
        <v/>
      </c>
      <c r="R78" s="90" t="str">
        <f t="shared" si="47"/>
        <v/>
      </c>
      <c r="S78" s="37" t="str">
        <f t="shared" si="38"/>
        <v/>
      </c>
      <c r="T78" s="176" t="str">
        <f>IF(L78="","",VLOOKUP(L78,classifications!C:K,9,FALSE))</f>
        <v/>
      </c>
      <c r="U78" s="183" t="str">
        <f t="shared" si="30"/>
        <v/>
      </c>
      <c r="V78" s="184" t="str">
        <f>IF(U78="","",IF($I$8="A",(RANK(U78,U$11:U$368)+COUNTIF(U$11:U78,U78)-1),(RANK(U78,U$11:U$368,1)+COUNTIF(U$11:U78,U78)-1)))</f>
        <v/>
      </c>
      <c r="W78" s="185"/>
      <c r="X78" s="38" t="str">
        <f>IF(L78="","",VLOOKUP($L78,classifications!$C:$J,6,FALSE))</f>
        <v/>
      </c>
      <c r="Y78" s="26" t="b">
        <f t="shared" si="31"/>
        <v>0</v>
      </c>
      <c r="Z78" s="34" t="e">
        <f>IF(Y78="","",IF(I$8="A",(RANK(Y78,Y$11:Y$368,1)+COUNTIF(Y$11:Y78,Y78)-1),(RANK(Y78,Y$11:Y$368)+COUNTIF(Y$11:Y78,Y78)-1)))</f>
        <v>#N/A</v>
      </c>
      <c r="AA78" s="188" t="str">
        <f>IF(L78="","",VLOOKUP($L78,classifications!C:I,7,FALSE))</f>
        <v/>
      </c>
      <c r="AB78" s="184" t="str">
        <f t="shared" si="39"/>
        <v/>
      </c>
      <c r="AC78" s="184" t="str">
        <f>IF(AB78="","",IF($I$8="A",(RANK(AB78,AB$11:AB$368)+COUNTIF(AB$11:AB78,AB78)-1),(RANK(AB78,AB$11:AB$368,1)+COUNTIF(AB$11:AB78,AB78)-1)))</f>
        <v/>
      </c>
      <c r="AD78" s="184"/>
      <c r="AE78" s="28" t="str">
        <f t="shared" si="24"/>
        <v/>
      </c>
      <c r="AG78" s="96"/>
      <c r="AH78" s="29"/>
      <c r="AI78" s="38" t="str">
        <f>IF(L78="","",VLOOKUP($L78,classifications!$C:$J,8,FALSE))</f>
        <v/>
      </c>
      <c r="AJ78" s="39" t="str">
        <f t="shared" si="32"/>
        <v/>
      </c>
      <c r="AK78" s="34" t="str">
        <f>IF(AJ78="","",IF(I$8="A",(RANK(AJ78,AJ$11:AJ$368,1)+COUNTIF(AJ$11:AJ78,AJ78)-1),(RANK(AJ78,AJ$11:AJ$368)+COUNTIF(AJ$11:AJ78,AJ78)-1)))</f>
        <v/>
      </c>
      <c r="AL78" s="29" t="str">
        <f t="shared" si="40"/>
        <v/>
      </c>
      <c r="AM78" s="8" t="str">
        <f t="shared" si="33"/>
        <v/>
      </c>
      <c r="AN78" s="8" t="str">
        <f t="shared" si="41"/>
        <v/>
      </c>
      <c r="AP78" s="38" t="str">
        <f>IF(L78="","",VLOOKUP($L78,classifications!$C:$E,3,FALSE))</f>
        <v/>
      </c>
      <c r="AQ78" s="39" t="str">
        <f t="shared" si="42"/>
        <v/>
      </c>
      <c r="AR78" s="34" t="str">
        <f>IF(AQ78="","",IF(I$8="A",(RANK(AQ78,AQ$11:AQ$368,1)+COUNTIF(AQ$11:AQ78,AQ78)-1),(RANK(AQ78,AQ$11:AQ$368)+COUNTIF(AQ$11:AQ78,AQ78)-1)))</f>
        <v/>
      </c>
      <c r="AS78" s="29" t="str">
        <f t="shared" si="43"/>
        <v/>
      </c>
      <c r="AT78" s="34" t="str">
        <f t="shared" si="34"/>
        <v/>
      </c>
      <c r="AU78" s="39" t="str">
        <f t="shared" si="44"/>
        <v/>
      </c>
      <c r="AX78" s="21">
        <f>HLOOKUP($AX$9&amp;$AX$10,Data!$A$1:$ZZ$2000,(MATCH($C78,Data!$A$1:$A$2000,0)),FALSE)</f>
        <v>14.736420150086701</v>
      </c>
      <c r="AY78" s="103"/>
      <c r="AZ78" s="21"/>
    </row>
    <row r="79" spans="1:52">
      <c r="A79" s="56" t="str">
        <f>$D$1&amp;69</f>
        <v>SC69</v>
      </c>
      <c r="B79" s="57">
        <f>IF(ISERROR(VLOOKUP(A79,classifications!A:C,3,FALSE)),0,VLOOKUP(A79,classifications!A:C,3,FALSE))</f>
        <v>0</v>
      </c>
      <c r="C79" s="8" t="s">
        <v>44</v>
      </c>
      <c r="D79" s="26" t="str">
        <f>VLOOKUP($C79,classifications!$C:$J,4,FALSE)</f>
        <v>SD</v>
      </c>
      <c r="E79" s="26" t="str">
        <f>VLOOKUP(C79,classifications!C:K,9,FALSE)</f>
        <v>Sparse</v>
      </c>
      <c r="F79" s="36">
        <f t="shared" si="26"/>
        <v>14.183362037295097</v>
      </c>
      <c r="G79" s="71"/>
      <c r="H79" s="37" t="str">
        <f t="shared" si="27"/>
        <v/>
      </c>
      <c r="I79" s="77" t="str">
        <f>IF(H79="","",IF($I$8="A",(RANK(H79,H$11:H$368,1)+COUNTIF(H$11:H79,H79)-1),(RANK(H79,H$11:H$368)+COUNTIF(H$11:H79,H79)-1)))</f>
        <v/>
      </c>
      <c r="J79" s="35"/>
      <c r="K79" s="28" t="str">
        <f t="shared" si="35"/>
        <v/>
      </c>
      <c r="L79" s="36" t="str">
        <f t="shared" si="28"/>
        <v/>
      </c>
      <c r="M79" s="102" t="str">
        <f t="shared" si="36"/>
        <v/>
      </c>
      <c r="N79" s="101" t="str">
        <f t="shared" si="37"/>
        <v/>
      </c>
      <c r="O79" s="94" t="str">
        <f t="shared" si="29"/>
        <v/>
      </c>
      <c r="P79" s="94" t="str">
        <f t="shared" si="45"/>
        <v/>
      </c>
      <c r="Q79" s="94" t="str">
        <f t="shared" si="46"/>
        <v/>
      </c>
      <c r="R79" s="90" t="str">
        <f t="shared" si="47"/>
        <v/>
      </c>
      <c r="S79" s="37" t="str">
        <f t="shared" si="38"/>
        <v/>
      </c>
      <c r="T79" s="176" t="str">
        <f>IF(L79="","",VLOOKUP(L79,classifications!C:K,9,FALSE))</f>
        <v/>
      </c>
      <c r="U79" s="183" t="str">
        <f t="shared" si="30"/>
        <v/>
      </c>
      <c r="V79" s="184" t="str">
        <f>IF(U79="","",IF($I$8="A",(RANK(U79,U$11:U$368)+COUNTIF(U$11:U79,U79)-1),(RANK(U79,U$11:U$368,1)+COUNTIF(U$11:U79,U79)-1)))</f>
        <v/>
      </c>
      <c r="W79" s="185"/>
      <c r="X79" s="38" t="str">
        <f>IF(L79="","",VLOOKUP($L79,classifications!$C:$J,6,FALSE))</f>
        <v/>
      </c>
      <c r="Y79" s="26" t="b">
        <f t="shared" si="31"/>
        <v>0</v>
      </c>
      <c r="Z79" s="34" t="e">
        <f>IF(Y79="","",IF(I$8="A",(RANK(Y79,Y$11:Y$368,1)+COUNTIF(Y$11:Y79,Y79)-1),(RANK(Y79,Y$11:Y$368)+COUNTIF(Y$11:Y79,Y79)-1)))</f>
        <v>#N/A</v>
      </c>
      <c r="AA79" s="188" t="str">
        <f>IF(L79="","",VLOOKUP($L79,classifications!C:I,7,FALSE))</f>
        <v/>
      </c>
      <c r="AB79" s="184" t="str">
        <f t="shared" si="39"/>
        <v/>
      </c>
      <c r="AC79" s="184" t="str">
        <f>IF(AB79="","",IF($I$8="A",(RANK(AB79,AB$11:AB$368)+COUNTIF(AB$11:AB79,AB79)-1),(RANK(AB79,AB$11:AB$368,1)+COUNTIF(AB$11:AB79,AB79)-1)))</f>
        <v/>
      </c>
      <c r="AD79" s="184"/>
      <c r="AE79" s="28" t="str">
        <f t="shared" si="24"/>
        <v/>
      </c>
      <c r="AG79" s="96"/>
      <c r="AH79" s="29"/>
      <c r="AI79" s="38" t="str">
        <f>IF(L79="","",VLOOKUP($L79,classifications!$C:$J,8,FALSE))</f>
        <v/>
      </c>
      <c r="AJ79" s="39" t="str">
        <f t="shared" si="32"/>
        <v/>
      </c>
      <c r="AK79" s="34" t="str">
        <f>IF(AJ79="","",IF(I$8="A",(RANK(AJ79,AJ$11:AJ$368,1)+COUNTIF(AJ$11:AJ79,AJ79)-1),(RANK(AJ79,AJ$11:AJ$368)+COUNTIF(AJ$11:AJ79,AJ79)-1)))</f>
        <v/>
      </c>
      <c r="AL79" s="29" t="str">
        <f t="shared" si="40"/>
        <v/>
      </c>
      <c r="AM79" s="8" t="str">
        <f t="shared" si="33"/>
        <v/>
      </c>
      <c r="AN79" s="8" t="str">
        <f t="shared" si="41"/>
        <v/>
      </c>
      <c r="AP79" s="38" t="str">
        <f>IF(L79="","",VLOOKUP($L79,classifications!$C:$E,3,FALSE))</f>
        <v/>
      </c>
      <c r="AQ79" s="39" t="str">
        <f t="shared" si="42"/>
        <v/>
      </c>
      <c r="AR79" s="34" t="str">
        <f>IF(AQ79="","",IF(I$8="A",(RANK(AQ79,AQ$11:AQ$368,1)+COUNTIF(AQ$11:AQ79,AQ79)-1),(RANK(AQ79,AQ$11:AQ$368)+COUNTIF(AQ$11:AQ79,AQ79)-1)))</f>
        <v/>
      </c>
      <c r="AS79" s="29" t="str">
        <f t="shared" si="43"/>
        <v/>
      </c>
      <c r="AT79" s="34" t="str">
        <f t="shared" si="34"/>
        <v/>
      </c>
      <c r="AU79" s="39" t="str">
        <f t="shared" si="44"/>
        <v/>
      </c>
      <c r="AX79" s="21">
        <f>HLOOKUP($AX$9&amp;$AX$10,Data!$A$1:$ZZ$2000,(MATCH($C79,Data!$A$1:$A$2000,0)),FALSE)</f>
        <v>14.183362037295097</v>
      </c>
      <c r="AY79" s="103"/>
      <c r="AZ79" s="21"/>
    </row>
    <row r="80" spans="1:52">
      <c r="A80" s="56" t="str">
        <f>$D$1&amp;70</f>
        <v>SC70</v>
      </c>
      <c r="B80" s="57">
        <f>IF(ISERROR(VLOOKUP(A80,classifications!A:C,3,FALSE)),0,VLOOKUP(A80,classifications!A:C,3,FALSE))</f>
        <v>0</v>
      </c>
      <c r="C80" s="8" t="s">
        <v>228</v>
      </c>
      <c r="D80" s="26" t="str">
        <f>VLOOKUP($C80,classifications!$C:$J,4,FALSE)</f>
        <v>MD</v>
      </c>
      <c r="E80" s="26">
        <f>VLOOKUP(C80,classifications!C:K,9,FALSE)</f>
        <v>0</v>
      </c>
      <c r="F80" s="36">
        <f t="shared" si="26"/>
        <v>14.755879353720339</v>
      </c>
      <c r="G80" s="71"/>
      <c r="H80" s="37" t="str">
        <f t="shared" si="27"/>
        <v/>
      </c>
      <c r="I80" s="77" t="str">
        <f>IF(H80="","",IF($I$8="A",(RANK(H80,H$11:H$368,1)+COUNTIF(H$11:H80,H80)-1),(RANK(H80,H$11:H$368)+COUNTIF(H$11:H80,H80)-1)))</f>
        <v/>
      </c>
      <c r="J80" s="35"/>
      <c r="K80" s="28" t="str">
        <f t="shared" si="35"/>
        <v/>
      </c>
      <c r="L80" s="36" t="str">
        <f t="shared" si="28"/>
        <v/>
      </c>
      <c r="M80" s="102" t="str">
        <f t="shared" si="36"/>
        <v/>
      </c>
      <c r="N80" s="101" t="str">
        <f t="shared" si="37"/>
        <v/>
      </c>
      <c r="O80" s="94" t="str">
        <f t="shared" si="29"/>
        <v/>
      </c>
      <c r="P80" s="94" t="str">
        <f t="shared" si="45"/>
        <v/>
      </c>
      <c r="Q80" s="94" t="str">
        <f t="shared" si="46"/>
        <v/>
      </c>
      <c r="R80" s="90" t="str">
        <f t="shared" si="47"/>
        <v/>
      </c>
      <c r="S80" s="37" t="str">
        <f t="shared" si="38"/>
        <v/>
      </c>
      <c r="T80" s="176" t="str">
        <f>IF(L80="","",VLOOKUP(L80,classifications!C:K,9,FALSE))</f>
        <v/>
      </c>
      <c r="U80" s="183" t="str">
        <f t="shared" si="30"/>
        <v/>
      </c>
      <c r="V80" s="184" t="str">
        <f>IF(U80="","",IF($I$8="A",(RANK(U80,U$11:U$368)+COUNTIF(U$11:U80,U80)-1),(RANK(U80,U$11:U$368,1)+COUNTIF(U$11:U80,U80)-1)))</f>
        <v/>
      </c>
      <c r="W80" s="185"/>
      <c r="X80" s="38" t="str">
        <f>IF(L80="","",VLOOKUP($L80,classifications!$C:$J,6,FALSE))</f>
        <v/>
      </c>
      <c r="Y80" s="26" t="b">
        <f t="shared" si="31"/>
        <v>0</v>
      </c>
      <c r="Z80" s="34" t="e">
        <f>IF(Y80="","",IF(I$8="A",(RANK(Y80,Y$11:Y$368,1)+COUNTIF(Y$11:Y80,Y80)-1),(RANK(Y80,Y$11:Y$368)+COUNTIF(Y$11:Y80,Y80)-1)))</f>
        <v>#N/A</v>
      </c>
      <c r="AA80" s="188" t="str">
        <f>IF(L80="","",VLOOKUP($L80,classifications!C:I,7,FALSE))</f>
        <v/>
      </c>
      <c r="AB80" s="184" t="str">
        <f t="shared" si="39"/>
        <v/>
      </c>
      <c r="AC80" s="184" t="str">
        <f>IF(AB80="","",IF($I$8="A",(RANK(AB80,AB$11:AB$368)+COUNTIF(AB$11:AB80,AB80)-1),(RANK(AB80,AB$11:AB$368,1)+COUNTIF(AB$11:AB80,AB80)-1)))</f>
        <v/>
      </c>
      <c r="AD80" s="184"/>
      <c r="AE80" s="28" t="str">
        <f t="shared" si="24"/>
        <v/>
      </c>
      <c r="AG80" s="96"/>
      <c r="AH80" s="29"/>
      <c r="AI80" s="38" t="str">
        <f>IF(L80="","",VLOOKUP($L80,classifications!$C:$J,8,FALSE))</f>
        <v/>
      </c>
      <c r="AJ80" s="39" t="str">
        <f t="shared" si="32"/>
        <v/>
      </c>
      <c r="AK80" s="34" t="str">
        <f>IF(AJ80="","",IF(I$8="A",(RANK(AJ80,AJ$11:AJ$368,1)+COUNTIF(AJ$11:AJ80,AJ80)-1),(RANK(AJ80,AJ$11:AJ$368)+COUNTIF(AJ$11:AJ80,AJ80)-1)))</f>
        <v/>
      </c>
      <c r="AL80" s="29" t="str">
        <f t="shared" si="40"/>
        <v/>
      </c>
      <c r="AM80" s="8" t="str">
        <f t="shared" si="33"/>
        <v/>
      </c>
      <c r="AN80" s="8" t="str">
        <f t="shared" si="41"/>
        <v/>
      </c>
      <c r="AP80" s="38" t="str">
        <f>IF(L80="","",VLOOKUP($L80,classifications!$C:$E,3,FALSE))</f>
        <v/>
      </c>
      <c r="AQ80" s="39" t="str">
        <f t="shared" si="42"/>
        <v/>
      </c>
      <c r="AR80" s="34" t="str">
        <f>IF(AQ80="","",IF(I$8="A",(RANK(AQ80,AQ$11:AQ$368,1)+COUNTIF(AQ$11:AQ80,AQ80)-1),(RANK(AQ80,AQ$11:AQ$368)+COUNTIF(AQ$11:AQ80,AQ80)-1)))</f>
        <v/>
      </c>
      <c r="AS80" s="29" t="str">
        <f t="shared" si="43"/>
        <v/>
      </c>
      <c r="AT80" s="34" t="str">
        <f t="shared" si="34"/>
        <v/>
      </c>
      <c r="AU80" s="39" t="str">
        <f t="shared" si="44"/>
        <v/>
      </c>
      <c r="AX80" s="21">
        <f>HLOOKUP($AX$9&amp;$AX$10,Data!$A$1:$ZZ$2000,(MATCH($C80,Data!$A$1:$A$2000,0)),FALSE)</f>
        <v>14.755879353720339</v>
      </c>
      <c r="AY80" s="103"/>
      <c r="AZ80" s="21"/>
    </row>
    <row r="81" spans="1:52">
      <c r="A81" s="56" t="str">
        <f>$D$1&amp;71</f>
        <v>SC71</v>
      </c>
      <c r="B81" s="57">
        <f>IF(ISERROR(VLOOKUP(A81,classifications!A:C,3,FALSE)),0,VLOOKUP(A81,classifications!A:C,3,FALSE))</f>
        <v>0</v>
      </c>
      <c r="C81" s="8" t="s">
        <v>45</v>
      </c>
      <c r="D81" s="26" t="str">
        <f>VLOOKUP($C81,classifications!$C:$J,4,FALSE)</f>
        <v>SD</v>
      </c>
      <c r="E81" s="26" t="str">
        <f>VLOOKUP(C81,classifications!C:K,9,FALSE)</f>
        <v>Sparse</v>
      </c>
      <c r="F81" s="36">
        <f t="shared" si="26"/>
        <v>15.410557572049409</v>
      </c>
      <c r="G81" s="71"/>
      <c r="H81" s="37" t="str">
        <f t="shared" si="27"/>
        <v/>
      </c>
      <c r="I81" s="77" t="str">
        <f>IF(H81="","",IF($I$8="A",(RANK(H81,H$11:H$368,1)+COUNTIF(H$11:H81,H81)-1),(RANK(H81,H$11:H$368)+COUNTIF(H$11:H81,H81)-1)))</f>
        <v/>
      </c>
      <c r="J81" s="35"/>
      <c r="K81" s="28" t="str">
        <f t="shared" si="35"/>
        <v/>
      </c>
      <c r="L81" s="36" t="str">
        <f t="shared" si="28"/>
        <v/>
      </c>
      <c r="M81" s="102" t="str">
        <f t="shared" si="36"/>
        <v/>
      </c>
      <c r="N81" s="101" t="str">
        <f t="shared" si="37"/>
        <v/>
      </c>
      <c r="O81" s="94" t="str">
        <f t="shared" si="29"/>
        <v/>
      </c>
      <c r="P81" s="94" t="str">
        <f t="shared" si="45"/>
        <v/>
      </c>
      <c r="Q81" s="94" t="str">
        <f t="shared" si="46"/>
        <v/>
      </c>
      <c r="R81" s="90" t="str">
        <f t="shared" si="47"/>
        <v/>
      </c>
      <c r="S81" s="37" t="str">
        <f t="shared" si="38"/>
        <v/>
      </c>
      <c r="T81" s="176" t="str">
        <f>IF(L81="","",VLOOKUP(L81,classifications!C:K,9,FALSE))</f>
        <v/>
      </c>
      <c r="U81" s="183" t="str">
        <f t="shared" si="30"/>
        <v/>
      </c>
      <c r="V81" s="184" t="str">
        <f>IF(U81="","",IF($I$8="A",(RANK(U81,U$11:U$368)+COUNTIF(U$11:U81,U81)-1),(RANK(U81,U$11:U$368,1)+COUNTIF(U$11:U81,U81)-1)))</f>
        <v/>
      </c>
      <c r="W81" s="185"/>
      <c r="X81" s="38" t="str">
        <f>IF(L81="","",VLOOKUP($L81,classifications!$C:$J,6,FALSE))</f>
        <v/>
      </c>
      <c r="Y81" s="26" t="b">
        <f t="shared" si="31"/>
        <v>0</v>
      </c>
      <c r="Z81" s="34" t="e">
        <f>IF(Y81="","",IF(I$8="A",(RANK(Y81,Y$11:Y$368,1)+COUNTIF(Y$11:Y81,Y81)-1),(RANK(Y81,Y$11:Y$368)+COUNTIF(Y$11:Y81,Y81)-1)))</f>
        <v>#N/A</v>
      </c>
      <c r="AA81" s="188" t="str">
        <f>IF(L81="","",VLOOKUP($L81,classifications!C:I,7,FALSE))</f>
        <v/>
      </c>
      <c r="AB81" s="184" t="str">
        <f t="shared" si="39"/>
        <v/>
      </c>
      <c r="AC81" s="184" t="str">
        <f>IF(AB81="","",IF($I$8="A",(RANK(AB81,AB$11:AB$368)+COUNTIF(AB$11:AB81,AB81)-1),(RANK(AB81,AB$11:AB$368,1)+COUNTIF(AB$11:AB81,AB81)-1)))</f>
        <v/>
      </c>
      <c r="AD81" s="184"/>
      <c r="AE81" s="28" t="str">
        <f t="shared" si="24"/>
        <v/>
      </c>
      <c r="AG81" s="96"/>
      <c r="AH81" s="29"/>
      <c r="AI81" s="38" t="str">
        <f>IF(L81="","",VLOOKUP($L81,classifications!$C:$J,8,FALSE))</f>
        <v/>
      </c>
      <c r="AJ81" s="39" t="str">
        <f t="shared" si="32"/>
        <v/>
      </c>
      <c r="AK81" s="34" t="str">
        <f>IF(AJ81="","",IF(I$8="A",(RANK(AJ81,AJ$11:AJ$368,1)+COUNTIF(AJ$11:AJ81,AJ81)-1),(RANK(AJ81,AJ$11:AJ$368)+COUNTIF(AJ$11:AJ81,AJ81)-1)))</f>
        <v/>
      </c>
      <c r="AL81" s="29" t="str">
        <f t="shared" si="40"/>
        <v/>
      </c>
      <c r="AM81" s="8" t="str">
        <f t="shared" si="33"/>
        <v/>
      </c>
      <c r="AN81" s="8" t="str">
        <f t="shared" si="41"/>
        <v/>
      </c>
      <c r="AP81" s="38" t="str">
        <f>IF(L81="","",VLOOKUP($L81,classifications!$C:$E,3,FALSE))</f>
        <v/>
      </c>
      <c r="AQ81" s="39" t="str">
        <f t="shared" si="42"/>
        <v/>
      </c>
      <c r="AR81" s="34" t="str">
        <f>IF(AQ81="","",IF(I$8="A",(RANK(AQ81,AQ$11:AQ$368,1)+COUNTIF(AQ$11:AQ81,AQ81)-1),(RANK(AQ81,AQ$11:AQ$368)+COUNTIF(AQ$11:AQ81,AQ81)-1)))</f>
        <v/>
      </c>
      <c r="AS81" s="29" t="str">
        <f t="shared" si="43"/>
        <v/>
      </c>
      <c r="AT81" s="34" t="str">
        <f t="shared" si="34"/>
        <v/>
      </c>
      <c r="AU81" s="39" t="str">
        <f>IF(AT81="","",VLOOKUP(AT81,L:M,2,FALSE))</f>
        <v/>
      </c>
      <c r="AX81" s="21">
        <f>HLOOKUP($AX$9&amp;$AX$10,Data!$A$1:$ZZ$2000,(MATCH($C81,Data!$A$1:$A$2000,0)),FALSE)</f>
        <v>15.410557572049409</v>
      </c>
      <c r="AY81" s="103"/>
      <c r="AZ81" s="21"/>
    </row>
    <row r="82" spans="1:52">
      <c r="A82" s="56" t="str">
        <f>$D$1&amp;72</f>
        <v>SC72</v>
      </c>
      <c r="B82" s="57">
        <f>IF(ISERROR(VLOOKUP(A82,classifications!A:C,3,FALSE)),0,VLOOKUP(A82,classifications!A:C,3,FALSE))</f>
        <v>0</v>
      </c>
      <c r="C82" s="8" t="s">
        <v>46</v>
      </c>
      <c r="D82" s="26" t="str">
        <f>VLOOKUP($C82,classifications!$C:$J,4,FALSE)</f>
        <v>SD</v>
      </c>
      <c r="E82" s="26">
        <f>VLOOKUP(C82,classifications!C:K,9,FALSE)</f>
        <v>0</v>
      </c>
      <c r="F82" s="36">
        <f t="shared" si="26"/>
        <v>15.015793404181776</v>
      </c>
      <c r="G82" s="71"/>
      <c r="H82" s="37" t="str">
        <f t="shared" si="27"/>
        <v/>
      </c>
      <c r="I82" s="77" t="str">
        <f>IF(H82="","",IF($I$8="A",(RANK(H82,H$11:H$368,1)+COUNTIF(H$11:H82,H82)-1),(RANK(H82,H$11:H$368)+COUNTIF(H$11:H82,H82)-1)))</f>
        <v/>
      </c>
      <c r="J82" s="35"/>
      <c r="K82" s="28" t="str">
        <f t="shared" si="35"/>
        <v/>
      </c>
      <c r="L82" s="36" t="str">
        <f t="shared" si="28"/>
        <v/>
      </c>
      <c r="M82" s="102" t="str">
        <f t="shared" si="36"/>
        <v/>
      </c>
      <c r="N82" s="101" t="str">
        <f t="shared" si="37"/>
        <v/>
      </c>
      <c r="O82" s="94" t="str">
        <f t="shared" si="29"/>
        <v/>
      </c>
      <c r="P82" s="94" t="str">
        <f t="shared" si="45"/>
        <v/>
      </c>
      <c r="Q82" s="94" t="str">
        <f t="shared" si="46"/>
        <v/>
      </c>
      <c r="R82" s="90" t="str">
        <f t="shared" si="47"/>
        <v/>
      </c>
      <c r="S82" s="37" t="str">
        <f t="shared" si="38"/>
        <v/>
      </c>
      <c r="T82" s="176" t="str">
        <f>IF(L82="","",VLOOKUP(L82,classifications!C:K,9,FALSE))</f>
        <v/>
      </c>
      <c r="U82" s="183" t="str">
        <f t="shared" si="30"/>
        <v/>
      </c>
      <c r="V82" s="184" t="str">
        <f>IF(U82="","",IF($I$8="A",(RANK(U82,U$11:U$368)+COUNTIF(U$11:U82,U82)-1),(RANK(U82,U$11:U$368,1)+COUNTIF(U$11:U82,U82)-1)))</f>
        <v/>
      </c>
      <c r="W82" s="185"/>
      <c r="X82" s="38" t="str">
        <f>IF(L82="","",VLOOKUP($L82,classifications!$C:$J,6,FALSE))</f>
        <v/>
      </c>
      <c r="Y82" s="26" t="b">
        <f t="shared" si="31"/>
        <v>0</v>
      </c>
      <c r="Z82" s="34" t="e">
        <f>IF(Y82="","",IF(I$8="A",(RANK(Y82,Y$11:Y$368,1)+COUNTIF(Y$11:Y82,Y82)-1),(RANK(Y82,Y$11:Y$368)+COUNTIF(Y$11:Y82,Y82)-1)))</f>
        <v>#N/A</v>
      </c>
      <c r="AA82" s="188" t="str">
        <f>IF(L82="","",VLOOKUP($L82,classifications!C:I,7,FALSE))</f>
        <v/>
      </c>
      <c r="AB82" s="184" t="str">
        <f t="shared" si="39"/>
        <v/>
      </c>
      <c r="AC82" s="184" t="str">
        <f>IF(AB82="","",IF($I$8="A",(RANK(AB82,AB$11:AB$368)+COUNTIF(AB$11:AB82,AB82)-1),(RANK(AB82,AB$11:AB$368,1)+COUNTIF(AB$11:AB82,AB82)-1)))</f>
        <v/>
      </c>
      <c r="AD82" s="184"/>
      <c r="AE82" s="28" t="str">
        <f t="shared" si="24"/>
        <v/>
      </c>
      <c r="AG82" s="96"/>
      <c r="AH82" s="29"/>
      <c r="AI82" s="38" t="str">
        <f>IF(L82="","",VLOOKUP($L82,classifications!$C:$J,8,FALSE))</f>
        <v/>
      </c>
      <c r="AJ82" s="39" t="str">
        <f t="shared" si="32"/>
        <v/>
      </c>
      <c r="AK82" s="34" t="str">
        <f>IF(AJ82="","",IF(I$8="A",(RANK(AJ82,AJ$11:AJ$368,1)+COUNTIF(AJ$11:AJ82,AJ82)-1),(RANK(AJ82,AJ$11:AJ$368)+COUNTIF(AJ$11:AJ82,AJ82)-1)))</f>
        <v/>
      </c>
      <c r="AL82" s="29" t="str">
        <f t="shared" si="40"/>
        <v/>
      </c>
      <c r="AM82" s="8" t="str">
        <f t="shared" si="33"/>
        <v/>
      </c>
      <c r="AN82" s="8" t="str">
        <f t="shared" si="41"/>
        <v/>
      </c>
      <c r="AP82" s="38" t="str">
        <f>IF(L82="","",VLOOKUP($L82,classifications!$C:$E,3,FALSE))</f>
        <v/>
      </c>
      <c r="AQ82" s="39" t="str">
        <f t="shared" si="42"/>
        <v/>
      </c>
      <c r="AR82" s="34" t="str">
        <f>IF(AQ82="","",IF(I$8="A",(RANK(AQ82,AQ$11:AQ$368,1)+COUNTIF(AQ$11:AQ82,AQ82)-1),(RANK(AQ82,AQ$11:AQ$368)+COUNTIF(AQ$11:AQ82,AQ82)-1)))</f>
        <v/>
      </c>
      <c r="AS82" s="29" t="str">
        <f t="shared" si="43"/>
        <v/>
      </c>
      <c r="AT82" s="34" t="str">
        <f t="shared" si="34"/>
        <v/>
      </c>
      <c r="AU82" s="39" t="str">
        <f t="shared" ref="AU82:AU145" si="48">IF(AT82="","",VLOOKUP(AT82,L:M,2,FALSE))</f>
        <v/>
      </c>
      <c r="AX82" s="21">
        <f>HLOOKUP($AX$9&amp;$AX$10,Data!$A$1:$ZZ$2000,(MATCH($C82,Data!$A$1:$A$2000,0)),FALSE)</f>
        <v>15.015793404181776</v>
      </c>
      <c r="AY82" s="103"/>
      <c r="AZ82" s="21"/>
    </row>
    <row r="83" spans="1:52">
      <c r="A83" s="56" t="str">
        <f>$D$1&amp;73</f>
        <v>SC73</v>
      </c>
      <c r="B83" s="57">
        <f>IF(ISERROR(VLOOKUP(A83,classifications!A:C,3,FALSE)),0,VLOOKUP(A83,classifications!A:C,3,FALSE))</f>
        <v>0</v>
      </c>
      <c r="C83" s="8" t="s">
        <v>201</v>
      </c>
      <c r="D83" s="26" t="str">
        <f>VLOOKUP($C83,classifications!$C:$J,4,FALSE)</f>
        <v>L</v>
      </c>
      <c r="E83" s="26">
        <f>VLOOKUP(C83,classifications!C:K,9,FALSE)</f>
        <v>0</v>
      </c>
      <c r="F83" s="36">
        <f t="shared" si="26"/>
        <v>6.6083539403089961</v>
      </c>
      <c r="G83" s="71"/>
      <c r="H83" s="37" t="str">
        <f t="shared" si="27"/>
        <v/>
      </c>
      <c r="I83" s="77" t="str">
        <f>IF(H83="","",IF($I$8="A",(RANK(H83,H$11:H$368,1)+COUNTIF(H$11:H83,H83)-1),(RANK(H83,H$11:H$368)+COUNTIF(H$11:H83,H83)-1)))</f>
        <v/>
      </c>
      <c r="J83" s="35"/>
      <c r="K83" s="28" t="str">
        <f t="shared" si="35"/>
        <v/>
      </c>
      <c r="L83" s="36" t="str">
        <f t="shared" si="28"/>
        <v/>
      </c>
      <c r="M83" s="102" t="str">
        <f t="shared" si="36"/>
        <v/>
      </c>
      <c r="N83" s="101" t="str">
        <f t="shared" si="37"/>
        <v/>
      </c>
      <c r="O83" s="94" t="str">
        <f t="shared" si="29"/>
        <v/>
      </c>
      <c r="P83" s="94" t="str">
        <f t="shared" si="45"/>
        <v/>
      </c>
      <c r="Q83" s="94" t="str">
        <f t="shared" si="46"/>
        <v/>
      </c>
      <c r="R83" s="90" t="str">
        <f t="shared" si="47"/>
        <v/>
      </c>
      <c r="S83" s="37" t="str">
        <f t="shared" si="38"/>
        <v/>
      </c>
      <c r="T83" s="176" t="str">
        <f>IF(L83="","",VLOOKUP(L83,classifications!C:K,9,FALSE))</f>
        <v/>
      </c>
      <c r="U83" s="183" t="str">
        <f t="shared" si="30"/>
        <v/>
      </c>
      <c r="V83" s="184" t="str">
        <f>IF(U83="","",IF($I$8="A",(RANK(U83,U$11:U$368)+COUNTIF(U$11:U83,U83)-1),(RANK(U83,U$11:U$368,1)+COUNTIF(U$11:U83,U83)-1)))</f>
        <v/>
      </c>
      <c r="W83" s="185"/>
      <c r="X83" s="38" t="str">
        <f>IF(L83="","",VLOOKUP($L83,classifications!$C:$J,6,FALSE))</f>
        <v/>
      </c>
      <c r="Y83" s="26" t="b">
        <f t="shared" si="31"/>
        <v>0</v>
      </c>
      <c r="Z83" s="34" t="e">
        <f>IF(Y83="","",IF(I$8="A",(RANK(Y83,Y$11:Y$368,1)+COUNTIF(Y$11:Y83,Y83)-1),(RANK(Y83,Y$11:Y$368)+COUNTIF(Y$11:Y83,Y83)-1)))</f>
        <v>#N/A</v>
      </c>
      <c r="AA83" s="188" t="str">
        <f>IF(L83="","",VLOOKUP($L83,classifications!C:I,7,FALSE))</f>
        <v/>
      </c>
      <c r="AB83" s="184" t="str">
        <f t="shared" si="39"/>
        <v/>
      </c>
      <c r="AC83" s="184" t="str">
        <f>IF(AB83="","",IF($I$8="A",(RANK(AB83,AB$11:AB$368)+COUNTIF(AB$11:AB83,AB83)-1),(RANK(AB83,AB$11:AB$368,1)+COUNTIF(AB$11:AB83,AB83)-1)))</f>
        <v/>
      </c>
      <c r="AD83" s="184"/>
      <c r="AE83" s="28" t="str">
        <f t="shared" si="24"/>
        <v/>
      </c>
      <c r="AG83" s="96"/>
      <c r="AH83" s="29"/>
      <c r="AI83" s="38" t="str">
        <f>IF(L83="","",VLOOKUP($L83,classifications!$C:$J,8,FALSE))</f>
        <v/>
      </c>
      <c r="AJ83" s="39" t="str">
        <f t="shared" si="32"/>
        <v/>
      </c>
      <c r="AK83" s="34" t="str">
        <f>IF(AJ83="","",IF(I$8="A",(RANK(AJ83,AJ$11:AJ$368,1)+COUNTIF(AJ$11:AJ83,AJ83)-1),(RANK(AJ83,AJ$11:AJ$368)+COUNTIF(AJ$11:AJ83,AJ83)-1)))</f>
        <v/>
      </c>
      <c r="AL83" s="29" t="str">
        <f t="shared" si="40"/>
        <v/>
      </c>
      <c r="AM83" s="8" t="str">
        <f t="shared" si="33"/>
        <v/>
      </c>
      <c r="AN83" s="8" t="str">
        <f t="shared" si="41"/>
        <v/>
      </c>
      <c r="AP83" s="38" t="str">
        <f>IF(L83="","",VLOOKUP($L83,classifications!$C:$E,3,FALSE))</f>
        <v/>
      </c>
      <c r="AQ83" s="39" t="str">
        <f t="shared" si="42"/>
        <v/>
      </c>
      <c r="AR83" s="34" t="str">
        <f>IF(AQ83="","",IF(I$8="A",(RANK(AQ83,AQ$11:AQ$368,1)+COUNTIF(AQ$11:AQ83,AQ83)-1),(RANK(AQ83,AQ$11:AQ$368)+COUNTIF(AQ$11:AQ83,AQ83)-1)))</f>
        <v/>
      </c>
      <c r="AS83" s="29" t="str">
        <f t="shared" si="43"/>
        <v/>
      </c>
      <c r="AT83" s="34" t="str">
        <f t="shared" si="34"/>
        <v/>
      </c>
      <c r="AU83" s="39" t="str">
        <f t="shared" si="48"/>
        <v/>
      </c>
      <c r="AX83" s="21">
        <f>HLOOKUP($AX$9&amp;$AX$10,Data!$A$1:$ZZ$2000,(MATCH($C83,Data!$A$1:$A$2000,0)),FALSE)</f>
        <v>6.6083539403089961</v>
      </c>
      <c r="AY83" s="103"/>
      <c r="AZ83" s="21"/>
    </row>
    <row r="84" spans="1:52">
      <c r="A84" s="56" t="str">
        <f>$D$1&amp;74</f>
        <v>SC74</v>
      </c>
      <c r="B84" s="57">
        <f>IF(ISERROR(VLOOKUP(A84,classifications!A:C,3,FALSE)),0,VLOOKUP(A84,classifications!A:C,3,FALSE))</f>
        <v>0</v>
      </c>
      <c r="C84" s="8" t="s">
        <v>306</v>
      </c>
      <c r="D84" s="26" t="str">
        <f>VLOOKUP($C84,classifications!$C:$J,4,FALSE)</f>
        <v>SC</v>
      </c>
      <c r="E84" s="26" t="str">
        <f>VLOOKUP(C84,classifications!C:K,9,FALSE)</f>
        <v>Sparse</v>
      </c>
      <c r="F84" s="36">
        <f t="shared" si="26"/>
        <v>16.018311396308022</v>
      </c>
      <c r="G84" s="71"/>
      <c r="H84" s="37">
        <f t="shared" si="27"/>
        <v>16.018311396308022</v>
      </c>
      <c r="I84" s="77">
        <f>IF(H84="","",IF($I$8="A",(RANK(H84,H$11:H$368,1)+COUNTIF(H$11:H84,H84)-1),(RANK(H84,H$11:H$368)+COUNTIF(H$11:H84,H84)-1)))</f>
        <v>16</v>
      </c>
      <c r="J84" s="35"/>
      <c r="K84" s="28" t="str">
        <f t="shared" si="35"/>
        <v/>
      </c>
      <c r="L84" s="36" t="str">
        <f t="shared" si="28"/>
        <v/>
      </c>
      <c r="M84" s="102" t="str">
        <f t="shared" si="36"/>
        <v/>
      </c>
      <c r="N84" s="101" t="str">
        <f t="shared" si="37"/>
        <v/>
      </c>
      <c r="O84" s="94" t="str">
        <f t="shared" si="29"/>
        <v/>
      </c>
      <c r="P84" s="94" t="str">
        <f t="shared" si="45"/>
        <v/>
      </c>
      <c r="Q84" s="94" t="str">
        <f t="shared" si="46"/>
        <v/>
      </c>
      <c r="R84" s="90" t="str">
        <f t="shared" si="47"/>
        <v/>
      </c>
      <c r="S84" s="37" t="str">
        <f t="shared" si="38"/>
        <v/>
      </c>
      <c r="T84" s="176" t="str">
        <f>IF(L84="","",VLOOKUP(L84,classifications!C:K,9,FALSE))</f>
        <v/>
      </c>
      <c r="U84" s="183" t="str">
        <f t="shared" si="30"/>
        <v/>
      </c>
      <c r="V84" s="184" t="str">
        <f>IF(U84="","",IF($I$8="A",(RANK(U84,U$11:U$368)+COUNTIF(U$11:U84,U84)-1),(RANK(U84,U$11:U$368,1)+COUNTIF(U$11:U84,U84)-1)))</f>
        <v/>
      </c>
      <c r="W84" s="185"/>
      <c r="X84" s="38" t="str">
        <f>IF(L84="","",VLOOKUP($L84,classifications!$C:$J,6,FALSE))</f>
        <v/>
      </c>
      <c r="Y84" s="26" t="b">
        <f t="shared" si="31"/>
        <v>0</v>
      </c>
      <c r="Z84" s="34" t="e">
        <f>IF(Y84="","",IF(I$8="A",(RANK(Y84,Y$11:Y$368,1)+COUNTIF(Y$11:Y84,Y84)-1),(RANK(Y84,Y$11:Y$368)+COUNTIF(Y$11:Y84,Y84)-1)))</f>
        <v>#N/A</v>
      </c>
      <c r="AA84" s="188" t="str">
        <f>IF(L84="","",VLOOKUP($L84,classifications!C:I,7,FALSE))</f>
        <v/>
      </c>
      <c r="AB84" s="184" t="str">
        <f t="shared" si="39"/>
        <v/>
      </c>
      <c r="AC84" s="184" t="str">
        <f>IF(AB84="","",IF($I$8="A",(RANK(AB84,AB$11:AB$368)+COUNTIF(AB$11:AB84,AB84)-1),(RANK(AB84,AB$11:AB$368,1)+COUNTIF(AB$11:AB84,AB84)-1)))</f>
        <v/>
      </c>
      <c r="AD84" s="184"/>
      <c r="AE84" s="28" t="str">
        <f t="shared" si="24"/>
        <v/>
      </c>
      <c r="AG84" s="96"/>
      <c r="AH84" s="29"/>
      <c r="AI84" s="38" t="str">
        <f>IF(L84="","",VLOOKUP($L84,classifications!$C:$J,8,FALSE))</f>
        <v/>
      </c>
      <c r="AJ84" s="39" t="str">
        <f t="shared" si="32"/>
        <v/>
      </c>
      <c r="AK84" s="34" t="str">
        <f>IF(AJ84="","",IF(I$8="A",(RANK(AJ84,AJ$11:AJ$368,1)+COUNTIF(AJ$11:AJ84,AJ84)-1),(RANK(AJ84,AJ$11:AJ$368)+COUNTIF(AJ$11:AJ84,AJ84)-1)))</f>
        <v/>
      </c>
      <c r="AL84" s="29" t="str">
        <f t="shared" si="40"/>
        <v/>
      </c>
      <c r="AM84" s="8" t="str">
        <f t="shared" si="33"/>
        <v/>
      </c>
      <c r="AN84" s="8" t="str">
        <f t="shared" si="41"/>
        <v/>
      </c>
      <c r="AP84" s="38" t="str">
        <f>IF(L84="","",VLOOKUP($L84,classifications!$C:$E,3,FALSE))</f>
        <v/>
      </c>
      <c r="AQ84" s="39" t="str">
        <f t="shared" si="42"/>
        <v/>
      </c>
      <c r="AR84" s="34" t="str">
        <f>IF(AQ84="","",IF(I$8="A",(RANK(AQ84,AQ$11:AQ$368,1)+COUNTIF(AQ$11:AQ84,AQ84)-1),(RANK(AQ84,AQ$11:AQ$368)+COUNTIF(AQ$11:AQ84,AQ84)-1)))</f>
        <v/>
      </c>
      <c r="AS84" s="29" t="str">
        <f t="shared" si="43"/>
        <v/>
      </c>
      <c r="AT84" s="34" t="str">
        <f t="shared" si="34"/>
        <v/>
      </c>
      <c r="AU84" s="39" t="str">
        <f t="shared" si="48"/>
        <v/>
      </c>
      <c r="AX84" s="21">
        <f>HLOOKUP($AX$9&amp;$AX$10,Data!$A$1:$ZZ$2000,(MATCH($C84,Data!$A$1:$A$2000,0)),FALSE)</f>
        <v>16.018311396308022</v>
      </c>
      <c r="AY84" s="103"/>
      <c r="AZ84" s="21"/>
    </row>
    <row r="85" spans="1:52">
      <c r="A85" s="56" t="str">
        <f>$D$1&amp;75</f>
        <v>SC75</v>
      </c>
      <c r="B85" s="57">
        <f>IF(ISERROR(VLOOKUP(A85,classifications!A:C,3,FALSE)),0,VLOOKUP(A85,classifications!A:C,3,FALSE))</f>
        <v>0</v>
      </c>
      <c r="C85" s="8" t="s">
        <v>47</v>
      </c>
      <c r="D85" s="26" t="str">
        <f>VLOOKUP($C85,classifications!$C:$J,4,FALSE)</f>
        <v>SD</v>
      </c>
      <c r="E85" s="26">
        <f>VLOOKUP(C85,classifications!C:K,9,FALSE)</f>
        <v>0</v>
      </c>
      <c r="F85" s="36">
        <f t="shared" si="26"/>
        <v>13.273069196328619</v>
      </c>
      <c r="G85" s="71"/>
      <c r="H85" s="37" t="str">
        <f t="shared" si="27"/>
        <v/>
      </c>
      <c r="I85" s="77" t="str">
        <f>IF(H85="","",IF($I$8="A",(RANK(H85,H$11:H$368,1)+COUNTIF(H$11:H85,H85)-1),(RANK(H85,H$11:H$368)+COUNTIF(H$11:H85,H85)-1)))</f>
        <v/>
      </c>
      <c r="J85" s="35"/>
      <c r="K85" s="28" t="str">
        <f t="shared" si="35"/>
        <v/>
      </c>
      <c r="L85" s="36" t="str">
        <f t="shared" si="28"/>
        <v/>
      </c>
      <c r="M85" s="102" t="str">
        <f t="shared" si="36"/>
        <v/>
      </c>
      <c r="N85" s="101" t="str">
        <f t="shared" si="37"/>
        <v/>
      </c>
      <c r="O85" s="94" t="str">
        <f t="shared" si="29"/>
        <v/>
      </c>
      <c r="P85" s="94" t="str">
        <f t="shared" si="45"/>
        <v/>
      </c>
      <c r="Q85" s="94" t="str">
        <f t="shared" si="46"/>
        <v/>
      </c>
      <c r="R85" s="90" t="str">
        <f t="shared" si="47"/>
        <v/>
      </c>
      <c r="S85" s="37" t="str">
        <f t="shared" si="38"/>
        <v/>
      </c>
      <c r="T85" s="176" t="str">
        <f>IF(L85="","",VLOOKUP(L85,classifications!C:K,9,FALSE))</f>
        <v/>
      </c>
      <c r="U85" s="183" t="str">
        <f t="shared" si="30"/>
        <v/>
      </c>
      <c r="V85" s="184" t="str">
        <f>IF(U85="","",IF($I$8="A",(RANK(U85,U$11:U$368)+COUNTIF(U$11:U85,U85)-1),(RANK(U85,U$11:U$368,1)+COUNTIF(U$11:U85,U85)-1)))</f>
        <v/>
      </c>
      <c r="W85" s="185"/>
      <c r="X85" s="38" t="str">
        <f>IF(L85="","",VLOOKUP($L85,classifications!$C:$J,6,FALSE))</f>
        <v/>
      </c>
      <c r="Y85" s="26" t="b">
        <f t="shared" si="31"/>
        <v>0</v>
      </c>
      <c r="Z85" s="34" t="e">
        <f>IF(Y85="","",IF(I$8="A",(RANK(Y85,Y$11:Y$368,1)+COUNTIF(Y$11:Y85,Y85)-1),(RANK(Y85,Y$11:Y$368)+COUNTIF(Y$11:Y85,Y85)-1)))</f>
        <v>#N/A</v>
      </c>
      <c r="AA85" s="188" t="str">
        <f>IF(L85="","",VLOOKUP($L85,classifications!C:I,7,FALSE))</f>
        <v/>
      </c>
      <c r="AB85" s="184" t="str">
        <f t="shared" si="39"/>
        <v/>
      </c>
      <c r="AC85" s="184" t="str">
        <f>IF(AB85="","",IF($I$8="A",(RANK(AB85,AB$11:AB$368)+COUNTIF(AB$11:AB85,AB85)-1),(RANK(AB85,AB$11:AB$368,1)+COUNTIF(AB$11:AB85,AB85)-1)))</f>
        <v/>
      </c>
      <c r="AD85" s="184"/>
      <c r="AE85" s="28" t="str">
        <f t="shared" si="24"/>
        <v/>
      </c>
      <c r="AG85" s="96"/>
      <c r="AH85" s="29"/>
      <c r="AI85" s="38" t="str">
        <f>IF(L85="","",VLOOKUP($L85,classifications!$C:$J,8,FALSE))</f>
        <v/>
      </c>
      <c r="AJ85" s="39" t="str">
        <f t="shared" si="32"/>
        <v/>
      </c>
      <c r="AK85" s="34" t="str">
        <f>IF(AJ85="","",IF(I$8="A",(RANK(AJ85,AJ$11:AJ$368,1)+COUNTIF(AJ$11:AJ85,AJ85)-1),(RANK(AJ85,AJ$11:AJ$368)+COUNTIF(AJ$11:AJ85,AJ85)-1)))</f>
        <v/>
      </c>
      <c r="AL85" s="29" t="str">
        <f t="shared" si="40"/>
        <v/>
      </c>
      <c r="AM85" s="8" t="str">
        <f t="shared" si="33"/>
        <v/>
      </c>
      <c r="AN85" s="8" t="str">
        <f t="shared" si="41"/>
        <v/>
      </c>
      <c r="AP85" s="38" t="str">
        <f>IF(L85="","",VLOOKUP($L85,classifications!$C:$E,3,FALSE))</f>
        <v/>
      </c>
      <c r="AQ85" s="39" t="str">
        <f t="shared" si="42"/>
        <v/>
      </c>
      <c r="AR85" s="34" t="str">
        <f>IF(AQ85="","",IF(I$8="A",(RANK(AQ85,AQ$11:AQ$368,1)+COUNTIF(AQ$11:AQ85,AQ85)-1),(RANK(AQ85,AQ$11:AQ$368)+COUNTIF(AQ$11:AQ85,AQ85)-1)))</f>
        <v/>
      </c>
      <c r="AS85" s="29" t="str">
        <f t="shared" si="43"/>
        <v/>
      </c>
      <c r="AT85" s="34" t="str">
        <f t="shared" si="34"/>
        <v/>
      </c>
      <c r="AU85" s="39" t="str">
        <f t="shared" si="48"/>
        <v/>
      </c>
      <c r="AX85" s="21">
        <f>HLOOKUP($AX$9&amp;$AX$10,Data!$A$1:$ZZ$2000,(MATCH($C85,Data!$A$1:$A$2000,0)),FALSE)</f>
        <v>13.273069196328619</v>
      </c>
      <c r="AY85" s="103"/>
      <c r="AZ85" s="21"/>
    </row>
    <row r="86" spans="1:52">
      <c r="A86" s="56" t="str">
        <f>$D$1&amp;76</f>
        <v>SC76</v>
      </c>
      <c r="B86" s="57">
        <f>IF(ISERROR(VLOOKUP(A86,classifications!A:C,3,FALSE)),0,VLOOKUP(A86,classifications!A:C,3,FALSE))</f>
        <v>0</v>
      </c>
      <c r="C86" s="8" t="s">
        <v>264</v>
      </c>
      <c r="D86" s="26" t="str">
        <f>VLOOKUP($C86,classifications!$C:$J,4,FALSE)</f>
        <v>UA</v>
      </c>
      <c r="E86" s="26">
        <f>VLOOKUP(C86,classifications!C:K,9,FALSE)</f>
        <v>0</v>
      </c>
      <c r="F86" s="36">
        <f t="shared" si="26"/>
        <v>12.934954480666184</v>
      </c>
      <c r="G86" s="71"/>
      <c r="H86" s="37" t="str">
        <f t="shared" si="27"/>
        <v/>
      </c>
      <c r="I86" s="77" t="str">
        <f>IF(H86="","",IF($I$8="A",(RANK(H86,H$11:H$368,1)+COUNTIF(H$11:H86,H86)-1),(RANK(H86,H$11:H$368)+COUNTIF(H$11:H86,H86)-1)))</f>
        <v/>
      </c>
      <c r="J86" s="35"/>
      <c r="K86" s="28" t="str">
        <f t="shared" si="35"/>
        <v/>
      </c>
      <c r="L86" s="36" t="str">
        <f t="shared" si="28"/>
        <v/>
      </c>
      <c r="M86" s="102" t="str">
        <f t="shared" si="36"/>
        <v/>
      </c>
      <c r="N86" s="101" t="str">
        <f t="shared" si="37"/>
        <v/>
      </c>
      <c r="O86" s="94" t="str">
        <f t="shared" si="29"/>
        <v/>
      </c>
      <c r="P86" s="94" t="str">
        <f t="shared" si="45"/>
        <v/>
      </c>
      <c r="Q86" s="94" t="str">
        <f t="shared" si="46"/>
        <v/>
      </c>
      <c r="R86" s="90" t="str">
        <f t="shared" si="47"/>
        <v/>
      </c>
      <c r="S86" s="37" t="str">
        <f t="shared" si="38"/>
        <v/>
      </c>
      <c r="T86" s="176" t="str">
        <f>IF(L86="","",VLOOKUP(L86,classifications!C:K,9,FALSE))</f>
        <v/>
      </c>
      <c r="U86" s="183" t="str">
        <f t="shared" si="30"/>
        <v/>
      </c>
      <c r="V86" s="184" t="str">
        <f>IF(U86="","",IF($I$8="A",(RANK(U86,U$11:U$368)+COUNTIF(U$11:U86,U86)-1),(RANK(U86,U$11:U$368,1)+COUNTIF(U$11:U86,U86)-1)))</f>
        <v/>
      </c>
      <c r="W86" s="185"/>
      <c r="X86" s="38" t="str">
        <f>IF(L86="","",VLOOKUP($L86,classifications!$C:$J,6,FALSE))</f>
        <v/>
      </c>
      <c r="Y86" s="26" t="b">
        <f t="shared" si="31"/>
        <v>0</v>
      </c>
      <c r="Z86" s="34" t="e">
        <f>IF(Y86="","",IF(I$8="A",(RANK(Y86,Y$11:Y$368,1)+COUNTIF(Y$11:Y86,Y86)-1),(RANK(Y86,Y$11:Y$368)+COUNTIF(Y$11:Y86,Y86)-1)))</f>
        <v>#N/A</v>
      </c>
      <c r="AA86" s="188" t="str">
        <f>IF(L86="","",VLOOKUP($L86,classifications!C:I,7,FALSE))</f>
        <v/>
      </c>
      <c r="AB86" s="184" t="str">
        <f t="shared" si="39"/>
        <v/>
      </c>
      <c r="AC86" s="184" t="str">
        <f>IF(AB86="","",IF($I$8="A",(RANK(AB86,AB$11:AB$368)+COUNTIF(AB$11:AB86,AB86)-1),(RANK(AB86,AB$11:AB$368,1)+COUNTIF(AB$11:AB86,AB86)-1)))</f>
        <v/>
      </c>
      <c r="AD86" s="184"/>
      <c r="AE86" s="28" t="str">
        <f t="shared" si="24"/>
        <v/>
      </c>
      <c r="AG86" s="96"/>
      <c r="AH86" s="29"/>
      <c r="AI86" s="38" t="str">
        <f>IF(L86="","",VLOOKUP($L86,classifications!$C:$J,8,FALSE))</f>
        <v/>
      </c>
      <c r="AJ86" s="39" t="str">
        <f t="shared" si="32"/>
        <v/>
      </c>
      <c r="AK86" s="34" t="str">
        <f>IF(AJ86="","",IF(I$8="A",(RANK(AJ86,AJ$11:AJ$368,1)+COUNTIF(AJ$11:AJ86,AJ86)-1),(RANK(AJ86,AJ$11:AJ$368)+COUNTIF(AJ$11:AJ86,AJ86)-1)))</f>
        <v/>
      </c>
      <c r="AL86" s="29" t="str">
        <f t="shared" si="40"/>
        <v/>
      </c>
      <c r="AM86" s="8" t="str">
        <f t="shared" si="33"/>
        <v/>
      </c>
      <c r="AN86" s="8" t="str">
        <f t="shared" si="41"/>
        <v/>
      </c>
      <c r="AP86" s="38" t="str">
        <f>IF(L86="","",VLOOKUP($L86,classifications!$C:$E,3,FALSE))</f>
        <v/>
      </c>
      <c r="AQ86" s="39" t="str">
        <f t="shared" si="42"/>
        <v/>
      </c>
      <c r="AR86" s="34" t="str">
        <f>IF(AQ86="","",IF(I$8="A",(RANK(AQ86,AQ$11:AQ$368,1)+COUNTIF(AQ$11:AQ86,AQ86)-1),(RANK(AQ86,AQ$11:AQ$368)+COUNTIF(AQ$11:AQ86,AQ86)-1)))</f>
        <v/>
      </c>
      <c r="AS86" s="29" t="str">
        <f t="shared" si="43"/>
        <v/>
      </c>
      <c r="AT86" s="34" t="str">
        <f t="shared" si="34"/>
        <v/>
      </c>
      <c r="AU86" s="39" t="str">
        <f t="shared" si="48"/>
        <v/>
      </c>
      <c r="AX86" s="21">
        <f>HLOOKUP($AX$9&amp;$AX$10,Data!$A$1:$ZZ$2000,(MATCH($C86,Data!$A$1:$A$2000,0)),FALSE)</f>
        <v>12.934954480666184</v>
      </c>
      <c r="AY86" s="103"/>
      <c r="AZ86" s="21"/>
    </row>
    <row r="87" spans="1:52">
      <c r="A87" s="56" t="str">
        <f>$D$1&amp;77</f>
        <v>SC77</v>
      </c>
      <c r="B87" s="57">
        <f>IF(ISERROR(VLOOKUP(A87,classifications!A:C,3,FALSE)),0,VLOOKUP(A87,classifications!A:C,3,FALSE))</f>
        <v>0</v>
      </c>
      <c r="C87" s="8" t="s">
        <v>48</v>
      </c>
      <c r="D87" s="26" t="str">
        <f>VLOOKUP($C87,classifications!$C:$J,4,FALSE)</f>
        <v>SD</v>
      </c>
      <c r="E87" s="26">
        <f>VLOOKUP(C87,classifications!C:K,9,FALSE)</f>
        <v>0</v>
      </c>
      <c r="F87" s="36">
        <f t="shared" si="26"/>
        <v>9.6137899400222722</v>
      </c>
      <c r="G87" s="71"/>
      <c r="H87" s="37" t="str">
        <f t="shared" si="27"/>
        <v/>
      </c>
      <c r="I87" s="77" t="str">
        <f>IF(H87="","",IF($I$8="A",(RANK(H87,H$11:H$368,1)+COUNTIF(H$11:H87,H87)-1),(RANK(H87,H$11:H$368)+COUNTIF(H$11:H87,H87)-1)))</f>
        <v/>
      </c>
      <c r="J87" s="35"/>
      <c r="K87" s="28" t="str">
        <f t="shared" si="35"/>
        <v/>
      </c>
      <c r="L87" s="36" t="str">
        <f t="shared" si="28"/>
        <v/>
      </c>
      <c r="M87" s="102" t="str">
        <f t="shared" si="36"/>
        <v/>
      </c>
      <c r="N87" s="101" t="str">
        <f t="shared" si="37"/>
        <v/>
      </c>
      <c r="O87" s="94" t="str">
        <f t="shared" si="29"/>
        <v/>
      </c>
      <c r="P87" s="94" t="str">
        <f t="shared" si="45"/>
        <v/>
      </c>
      <c r="Q87" s="94" t="str">
        <f t="shared" si="46"/>
        <v/>
      </c>
      <c r="R87" s="90" t="str">
        <f t="shared" si="47"/>
        <v/>
      </c>
      <c r="S87" s="37" t="str">
        <f t="shared" si="38"/>
        <v/>
      </c>
      <c r="T87" s="176" t="str">
        <f>IF(L87="","",VLOOKUP(L87,classifications!C:K,9,FALSE))</f>
        <v/>
      </c>
      <c r="U87" s="183" t="str">
        <f t="shared" si="30"/>
        <v/>
      </c>
      <c r="V87" s="184" t="str">
        <f>IF(U87="","",IF($I$8="A",(RANK(U87,U$11:U$368)+COUNTIF(U$11:U87,U87)-1),(RANK(U87,U$11:U$368,1)+COUNTIF(U$11:U87,U87)-1)))</f>
        <v/>
      </c>
      <c r="W87" s="185"/>
      <c r="X87" s="38" t="str">
        <f>IF(L87="","",VLOOKUP($L87,classifications!$C:$J,6,FALSE))</f>
        <v/>
      </c>
      <c r="Y87" s="26" t="b">
        <f t="shared" si="31"/>
        <v>0</v>
      </c>
      <c r="Z87" s="34" t="e">
        <f>IF(Y87="","",IF(I$8="A",(RANK(Y87,Y$11:Y$368,1)+COUNTIF(Y$11:Y87,Y87)-1),(RANK(Y87,Y$11:Y$368)+COUNTIF(Y$11:Y87,Y87)-1)))</f>
        <v>#N/A</v>
      </c>
      <c r="AA87" s="188" t="str">
        <f>IF(L87="","",VLOOKUP($L87,classifications!C:I,7,FALSE))</f>
        <v/>
      </c>
      <c r="AB87" s="184" t="str">
        <f t="shared" si="39"/>
        <v/>
      </c>
      <c r="AC87" s="184" t="str">
        <f>IF(AB87="","",IF($I$8="A",(RANK(AB87,AB$11:AB$368)+COUNTIF(AB$11:AB87,AB87)-1),(RANK(AB87,AB$11:AB$368,1)+COUNTIF(AB$11:AB87,AB87)-1)))</f>
        <v/>
      </c>
      <c r="AD87" s="184"/>
      <c r="AE87" s="28" t="str">
        <f t="shared" si="24"/>
        <v/>
      </c>
      <c r="AG87" s="96"/>
      <c r="AH87" s="29"/>
      <c r="AI87" s="38" t="str">
        <f>IF(L87="","",VLOOKUP($L87,classifications!$C:$J,8,FALSE))</f>
        <v/>
      </c>
      <c r="AJ87" s="39" t="str">
        <f t="shared" si="32"/>
        <v/>
      </c>
      <c r="AK87" s="34" t="str">
        <f>IF(AJ87="","",IF(I$8="A",(RANK(AJ87,AJ$11:AJ$368,1)+COUNTIF(AJ$11:AJ87,AJ87)-1),(RANK(AJ87,AJ$11:AJ$368)+COUNTIF(AJ$11:AJ87,AJ87)-1)))</f>
        <v/>
      </c>
      <c r="AL87" s="29" t="str">
        <f t="shared" si="40"/>
        <v/>
      </c>
      <c r="AM87" s="8" t="str">
        <f t="shared" si="33"/>
        <v/>
      </c>
      <c r="AN87" s="8" t="str">
        <f t="shared" si="41"/>
        <v/>
      </c>
      <c r="AP87" s="38" t="str">
        <f>IF(L87="","",VLOOKUP($L87,classifications!$C:$E,3,FALSE))</f>
        <v/>
      </c>
      <c r="AQ87" s="39" t="str">
        <f t="shared" si="42"/>
        <v/>
      </c>
      <c r="AR87" s="34" t="str">
        <f>IF(AQ87="","",IF(I$8="A",(RANK(AQ87,AQ$11:AQ$368,1)+COUNTIF(AQ$11:AQ87,AQ87)-1),(RANK(AQ87,AQ$11:AQ$368)+COUNTIF(AQ$11:AQ87,AQ87)-1)))</f>
        <v/>
      </c>
      <c r="AS87" s="29" t="str">
        <f t="shared" si="43"/>
        <v/>
      </c>
      <c r="AT87" s="34" t="str">
        <f t="shared" si="34"/>
        <v/>
      </c>
      <c r="AU87" s="39" t="str">
        <f t="shared" si="48"/>
        <v/>
      </c>
      <c r="AX87" s="21">
        <f>HLOOKUP($AX$9&amp;$AX$10,Data!$A$1:$ZZ$2000,(MATCH($C87,Data!$A$1:$A$2000,0)),FALSE)</f>
        <v>9.6137899400222722</v>
      </c>
      <c r="AY87" s="103"/>
      <c r="AZ87" s="21"/>
    </row>
    <row r="88" spans="1:52">
      <c r="A88" s="56" t="str">
        <f>$D$1&amp;78</f>
        <v>SC78</v>
      </c>
      <c r="B88" s="57">
        <f>IF(ISERROR(VLOOKUP(A88,classifications!A:C,3,FALSE)),0,VLOOKUP(A88,classifications!A:C,3,FALSE))</f>
        <v>0</v>
      </c>
      <c r="C88" s="8" t="s">
        <v>49</v>
      </c>
      <c r="D88" s="26" t="str">
        <f>VLOOKUP($C88,classifications!$C:$J,4,FALSE)</f>
        <v>SD</v>
      </c>
      <c r="E88" s="26" t="str">
        <f>VLOOKUP(C88,classifications!C:K,9,FALSE)</f>
        <v>Sparse</v>
      </c>
      <c r="F88" s="36">
        <f t="shared" si="26"/>
        <v>13.325942426255821</v>
      </c>
      <c r="G88" s="71"/>
      <c r="H88" s="37" t="str">
        <f t="shared" si="27"/>
        <v/>
      </c>
      <c r="I88" s="77" t="str">
        <f>IF(H88="","",IF($I$8="A",(RANK(H88,H$11:H$368,1)+COUNTIF(H$11:H88,H88)-1),(RANK(H88,H$11:H$368)+COUNTIF(H$11:H88,H88)-1)))</f>
        <v/>
      </c>
      <c r="J88" s="35"/>
      <c r="K88" s="28" t="str">
        <f t="shared" si="35"/>
        <v/>
      </c>
      <c r="L88" s="36" t="str">
        <f t="shared" si="28"/>
        <v/>
      </c>
      <c r="M88" s="102" t="str">
        <f t="shared" si="36"/>
        <v/>
      </c>
      <c r="N88" s="101" t="str">
        <f t="shared" si="37"/>
        <v/>
      </c>
      <c r="O88" s="94" t="str">
        <f t="shared" si="29"/>
        <v/>
      </c>
      <c r="P88" s="94" t="str">
        <f t="shared" si="45"/>
        <v/>
      </c>
      <c r="Q88" s="94" t="str">
        <f t="shared" si="46"/>
        <v/>
      </c>
      <c r="R88" s="90" t="str">
        <f t="shared" si="47"/>
        <v/>
      </c>
      <c r="S88" s="37" t="str">
        <f t="shared" si="38"/>
        <v/>
      </c>
      <c r="T88" s="176" t="str">
        <f>IF(L88="","",VLOOKUP(L88,classifications!C:K,9,FALSE))</f>
        <v/>
      </c>
      <c r="U88" s="183" t="str">
        <f t="shared" si="30"/>
        <v/>
      </c>
      <c r="V88" s="184" t="str">
        <f>IF(U88="","",IF($I$8="A",(RANK(U88,U$11:U$368)+COUNTIF(U$11:U88,U88)-1),(RANK(U88,U$11:U$368,1)+COUNTIF(U$11:U88,U88)-1)))</f>
        <v/>
      </c>
      <c r="W88" s="185"/>
      <c r="X88" s="38" t="str">
        <f>IF(L88="","",VLOOKUP($L88,classifications!$C:$J,6,FALSE))</f>
        <v/>
      </c>
      <c r="Y88" s="26" t="b">
        <f t="shared" si="31"/>
        <v>0</v>
      </c>
      <c r="Z88" s="34" t="e">
        <f>IF(Y88="","",IF(I$8="A",(RANK(Y88,Y$11:Y$368,1)+COUNTIF(Y$11:Y88,Y88)-1),(RANK(Y88,Y$11:Y$368)+COUNTIF(Y$11:Y88,Y88)-1)))</f>
        <v>#N/A</v>
      </c>
      <c r="AA88" s="188" t="str">
        <f>IF(L88="","",VLOOKUP($L88,classifications!C:I,7,FALSE))</f>
        <v/>
      </c>
      <c r="AB88" s="184" t="str">
        <f t="shared" si="39"/>
        <v/>
      </c>
      <c r="AC88" s="184" t="str">
        <f>IF(AB88="","",IF($I$8="A",(RANK(AB88,AB$11:AB$368)+COUNTIF(AB$11:AB88,AB88)-1),(RANK(AB88,AB$11:AB$368,1)+COUNTIF(AB$11:AB88,AB88)-1)))</f>
        <v/>
      </c>
      <c r="AD88" s="184"/>
      <c r="AE88" s="28" t="str">
        <f t="shared" si="24"/>
        <v/>
      </c>
      <c r="AG88" s="96"/>
      <c r="AH88" s="29"/>
      <c r="AI88" s="38" t="str">
        <f>IF(L88="","",VLOOKUP($L88,classifications!$C:$J,8,FALSE))</f>
        <v/>
      </c>
      <c r="AJ88" s="39" t="str">
        <f t="shared" si="32"/>
        <v/>
      </c>
      <c r="AK88" s="34" t="str">
        <f>IF(AJ88="","",IF(I$8="A",(RANK(AJ88,AJ$11:AJ$368,1)+COUNTIF(AJ$11:AJ88,AJ88)-1),(RANK(AJ88,AJ$11:AJ$368)+COUNTIF(AJ$11:AJ88,AJ88)-1)))</f>
        <v/>
      </c>
      <c r="AL88" s="29" t="str">
        <f t="shared" si="40"/>
        <v/>
      </c>
      <c r="AM88" s="8" t="str">
        <f t="shared" si="33"/>
        <v/>
      </c>
      <c r="AN88" s="8" t="str">
        <f t="shared" si="41"/>
        <v/>
      </c>
      <c r="AP88" s="38" t="str">
        <f>IF(L88="","",VLOOKUP($L88,classifications!$C:$E,3,FALSE))</f>
        <v/>
      </c>
      <c r="AQ88" s="39" t="str">
        <f t="shared" si="42"/>
        <v/>
      </c>
      <c r="AR88" s="34" t="str">
        <f>IF(AQ88="","",IF(I$8="A",(RANK(AQ88,AQ$11:AQ$368,1)+COUNTIF(AQ$11:AQ88,AQ88)-1),(RANK(AQ88,AQ$11:AQ$368)+COUNTIF(AQ$11:AQ88,AQ88)-1)))</f>
        <v/>
      </c>
      <c r="AS88" s="29" t="str">
        <f t="shared" si="43"/>
        <v/>
      </c>
      <c r="AT88" s="34" t="str">
        <f t="shared" si="34"/>
        <v/>
      </c>
      <c r="AU88" s="39" t="str">
        <f t="shared" si="48"/>
        <v/>
      </c>
      <c r="AX88" s="21">
        <f>HLOOKUP($AX$9&amp;$AX$10,Data!$A$1:$ZZ$2000,(MATCH($C88,Data!$A$1:$A$2000,0)),FALSE)</f>
        <v>13.325942426255821</v>
      </c>
      <c r="AY88" s="103"/>
      <c r="AZ88" s="21"/>
    </row>
    <row r="89" spans="1:52">
      <c r="A89" s="56" t="str">
        <f>$D$1&amp;79</f>
        <v>SC79</v>
      </c>
      <c r="B89" s="57">
        <f>IF(ISERROR(VLOOKUP(A89,classifications!A:C,3,FALSE)),0,VLOOKUP(A89,classifications!A:C,3,FALSE))</f>
        <v>0</v>
      </c>
      <c r="C89" s="8" t="s">
        <v>265</v>
      </c>
      <c r="D89" s="26" t="str">
        <f>VLOOKUP($C89,classifications!$C:$J,4,FALSE)</f>
        <v>UA</v>
      </c>
      <c r="E89" s="26">
        <f>VLOOKUP(C89,classifications!C:K,9,FALSE)</f>
        <v>0</v>
      </c>
      <c r="F89" s="36">
        <f t="shared" si="26"/>
        <v>13.947962931963536</v>
      </c>
      <c r="G89" s="71"/>
      <c r="H89" s="37" t="str">
        <f t="shared" si="27"/>
        <v/>
      </c>
      <c r="I89" s="77" t="str">
        <f>IF(H89="","",IF($I$8="A",(RANK(H89,H$11:H$368,1)+COUNTIF(H$11:H89,H89)-1),(RANK(H89,H$11:H$368)+COUNTIF(H$11:H89,H89)-1)))</f>
        <v/>
      </c>
      <c r="J89" s="35"/>
      <c r="K89" s="28" t="str">
        <f t="shared" si="35"/>
        <v/>
      </c>
      <c r="L89" s="36" t="str">
        <f t="shared" si="28"/>
        <v/>
      </c>
      <c r="M89" s="102" t="str">
        <f t="shared" si="36"/>
        <v/>
      </c>
      <c r="N89" s="101" t="str">
        <f t="shared" si="37"/>
        <v/>
      </c>
      <c r="O89" s="94" t="str">
        <f t="shared" si="29"/>
        <v/>
      </c>
      <c r="P89" s="94" t="str">
        <f t="shared" si="45"/>
        <v/>
      </c>
      <c r="Q89" s="94" t="str">
        <f t="shared" si="46"/>
        <v/>
      </c>
      <c r="R89" s="90" t="str">
        <f t="shared" si="47"/>
        <v/>
      </c>
      <c r="S89" s="37" t="str">
        <f t="shared" si="38"/>
        <v/>
      </c>
      <c r="T89" s="176" t="str">
        <f>IF(L89="","",VLOOKUP(L89,classifications!C:K,9,FALSE))</f>
        <v/>
      </c>
      <c r="U89" s="183" t="str">
        <f t="shared" si="30"/>
        <v/>
      </c>
      <c r="V89" s="184" t="str">
        <f>IF(U89="","",IF($I$8="A",(RANK(U89,U$11:U$368)+COUNTIF(U$11:U89,U89)-1),(RANK(U89,U$11:U$368,1)+COUNTIF(U$11:U89,U89)-1)))</f>
        <v/>
      </c>
      <c r="W89" s="185"/>
      <c r="X89" s="38" t="str">
        <f>IF(L89="","",VLOOKUP($L89,classifications!$C:$J,6,FALSE))</f>
        <v/>
      </c>
      <c r="Y89" s="26" t="b">
        <f t="shared" si="31"/>
        <v>0</v>
      </c>
      <c r="Z89" s="34" t="e">
        <f>IF(Y89="","",IF(I$8="A",(RANK(Y89,Y$11:Y$368,1)+COUNTIF(Y$11:Y89,Y89)-1),(RANK(Y89,Y$11:Y$368)+COUNTIF(Y$11:Y89,Y89)-1)))</f>
        <v>#N/A</v>
      </c>
      <c r="AA89" s="188" t="str">
        <f>IF(L89="","",VLOOKUP($L89,classifications!C:I,7,FALSE))</f>
        <v/>
      </c>
      <c r="AB89" s="184" t="str">
        <f t="shared" si="39"/>
        <v/>
      </c>
      <c r="AC89" s="184" t="str">
        <f>IF(AB89="","",IF($I$8="A",(RANK(AB89,AB$11:AB$368)+COUNTIF(AB$11:AB89,AB89)-1),(RANK(AB89,AB$11:AB$368,1)+COUNTIF(AB$11:AB89,AB89)-1)))</f>
        <v/>
      </c>
      <c r="AD89" s="184"/>
      <c r="AE89" s="28" t="str">
        <f t="shared" si="24"/>
        <v/>
      </c>
      <c r="AG89" s="96"/>
      <c r="AH89" s="29"/>
      <c r="AI89" s="38" t="str">
        <f>IF(L89="","",VLOOKUP($L89,classifications!$C:$J,8,FALSE))</f>
        <v/>
      </c>
      <c r="AJ89" s="39" t="str">
        <f t="shared" si="32"/>
        <v/>
      </c>
      <c r="AK89" s="34" t="str">
        <f>IF(AJ89="","",IF(I$8="A",(RANK(AJ89,AJ$11:AJ$368,1)+COUNTIF(AJ$11:AJ89,AJ89)-1),(RANK(AJ89,AJ$11:AJ$368)+COUNTIF(AJ$11:AJ89,AJ89)-1)))</f>
        <v/>
      </c>
      <c r="AL89" s="29" t="str">
        <f t="shared" si="40"/>
        <v/>
      </c>
      <c r="AM89" s="8" t="str">
        <f t="shared" si="33"/>
        <v/>
      </c>
      <c r="AN89" s="8" t="str">
        <f t="shared" si="41"/>
        <v/>
      </c>
      <c r="AP89" s="38" t="str">
        <f>IF(L89="","",VLOOKUP($L89,classifications!$C:$E,3,FALSE))</f>
        <v/>
      </c>
      <c r="AQ89" s="39" t="str">
        <f t="shared" si="42"/>
        <v/>
      </c>
      <c r="AR89" s="34" t="str">
        <f>IF(AQ89="","",IF(I$8="A",(RANK(AQ89,AQ$11:AQ$368,1)+COUNTIF(AQ$11:AQ89,AQ89)-1),(RANK(AQ89,AQ$11:AQ$368)+COUNTIF(AQ$11:AQ89,AQ89)-1)))</f>
        <v/>
      </c>
      <c r="AS89" s="29" t="str">
        <f t="shared" si="43"/>
        <v/>
      </c>
      <c r="AT89" s="34" t="str">
        <f t="shared" si="34"/>
        <v/>
      </c>
      <c r="AU89" s="39" t="str">
        <f t="shared" si="48"/>
        <v/>
      </c>
      <c r="AX89" s="21">
        <f>HLOOKUP($AX$9&amp;$AX$10,Data!$A$1:$ZZ$2000,(MATCH($C89,Data!$A$1:$A$2000,0)),FALSE)</f>
        <v>13.947962931963536</v>
      </c>
      <c r="AY89" s="103"/>
      <c r="AZ89" s="21"/>
    </row>
    <row r="90" spans="1:52">
      <c r="A90" s="56" t="str">
        <f>$D$1&amp;80</f>
        <v>SC80</v>
      </c>
      <c r="B90" s="57">
        <f>IF(ISERROR(VLOOKUP(A90,classifications!A:C,3,FALSE)),0,VLOOKUP(A90,classifications!A:C,3,FALSE))</f>
        <v>0</v>
      </c>
      <c r="C90" s="8" t="s">
        <v>307</v>
      </c>
      <c r="D90" s="26" t="str">
        <f>VLOOKUP($C90,classifications!$C:$J,4,FALSE)</f>
        <v>SC</v>
      </c>
      <c r="E90" s="26" t="str">
        <f>VLOOKUP(C90,classifications!C:K,9,FALSE)</f>
        <v>Sparse</v>
      </c>
      <c r="F90" s="36">
        <f t="shared" si="26"/>
        <v>13.91293811582649</v>
      </c>
      <c r="G90" s="71"/>
      <c r="H90" s="37">
        <f t="shared" si="27"/>
        <v>13.91293811582649</v>
      </c>
      <c r="I90" s="77">
        <f>IF(H90="","",IF($I$8="A",(RANK(H90,H$11:H$368,1)+COUNTIF(H$11:H90,H90)-1),(RANK(H90,H$11:H$368)+COUNTIF(H$11:H90,H90)-1)))</f>
        <v>22</v>
      </c>
      <c r="J90" s="35"/>
      <c r="K90" s="28" t="str">
        <f t="shared" si="35"/>
        <v/>
      </c>
      <c r="L90" s="36" t="str">
        <f t="shared" si="28"/>
        <v/>
      </c>
      <c r="M90" s="102" t="str">
        <f t="shared" si="36"/>
        <v/>
      </c>
      <c r="N90" s="101" t="str">
        <f t="shared" si="37"/>
        <v/>
      </c>
      <c r="O90" s="94" t="str">
        <f t="shared" si="29"/>
        <v/>
      </c>
      <c r="P90" s="94" t="str">
        <f t="shared" si="45"/>
        <v/>
      </c>
      <c r="Q90" s="94" t="str">
        <f t="shared" si="46"/>
        <v/>
      </c>
      <c r="R90" s="90" t="str">
        <f t="shared" si="47"/>
        <v/>
      </c>
      <c r="S90" s="37" t="str">
        <f t="shared" si="38"/>
        <v/>
      </c>
      <c r="T90" s="176" t="str">
        <f>IF(L90="","",VLOOKUP(L90,classifications!C:K,9,FALSE))</f>
        <v/>
      </c>
      <c r="U90" s="183" t="str">
        <f t="shared" si="30"/>
        <v/>
      </c>
      <c r="V90" s="184" t="str">
        <f>IF(U90="","",IF($I$8="A",(RANK(U90,U$11:U$368)+COUNTIF(U$11:U90,U90)-1),(RANK(U90,U$11:U$368,1)+COUNTIF(U$11:U90,U90)-1)))</f>
        <v/>
      </c>
      <c r="W90" s="185"/>
      <c r="X90" s="38" t="str">
        <f>IF(L90="","",VLOOKUP($L90,classifications!$C:$J,6,FALSE))</f>
        <v/>
      </c>
      <c r="Y90" s="26" t="b">
        <f t="shared" si="31"/>
        <v>0</v>
      </c>
      <c r="Z90" s="34" t="e">
        <f>IF(Y90="","",IF(I$8="A",(RANK(Y90,Y$11:Y$368,1)+COUNTIF(Y$11:Y90,Y90)-1),(RANK(Y90,Y$11:Y$368)+COUNTIF(Y$11:Y90,Y90)-1)))</f>
        <v>#N/A</v>
      </c>
      <c r="AA90" s="188" t="str">
        <f>IF(L90="","",VLOOKUP($L90,classifications!C:I,7,FALSE))</f>
        <v/>
      </c>
      <c r="AB90" s="184" t="str">
        <f t="shared" si="39"/>
        <v/>
      </c>
      <c r="AC90" s="184" t="str">
        <f>IF(AB90="","",IF($I$8="A",(RANK(AB90,AB$11:AB$368)+COUNTIF(AB$11:AB90,AB90)-1),(RANK(AB90,AB$11:AB$368,1)+COUNTIF(AB$11:AB90,AB90)-1)))</f>
        <v/>
      </c>
      <c r="AD90" s="184"/>
      <c r="AE90" s="28" t="str">
        <f t="shared" si="24"/>
        <v/>
      </c>
      <c r="AG90" s="96"/>
      <c r="AH90" s="29"/>
      <c r="AI90" s="38" t="str">
        <f>IF(L90="","",VLOOKUP($L90,classifications!$C:$J,8,FALSE))</f>
        <v/>
      </c>
      <c r="AJ90" s="39" t="str">
        <f t="shared" si="32"/>
        <v/>
      </c>
      <c r="AK90" s="34" t="str">
        <f>IF(AJ90="","",IF(I$8="A",(RANK(AJ90,AJ$11:AJ$368,1)+COUNTIF(AJ$11:AJ90,AJ90)-1),(RANK(AJ90,AJ$11:AJ$368)+COUNTIF(AJ$11:AJ90,AJ90)-1)))</f>
        <v/>
      </c>
      <c r="AL90" s="29" t="str">
        <f t="shared" si="40"/>
        <v/>
      </c>
      <c r="AM90" s="8" t="str">
        <f t="shared" si="33"/>
        <v/>
      </c>
      <c r="AN90" s="8" t="str">
        <f t="shared" si="41"/>
        <v/>
      </c>
      <c r="AP90" s="38" t="str">
        <f>IF(L90="","",VLOOKUP($L90,classifications!$C:$E,3,FALSE))</f>
        <v/>
      </c>
      <c r="AQ90" s="39" t="str">
        <f t="shared" si="42"/>
        <v/>
      </c>
      <c r="AR90" s="34" t="str">
        <f>IF(AQ90="","",IF(I$8="A",(RANK(AQ90,AQ$11:AQ$368,1)+COUNTIF(AQ$11:AQ90,AQ90)-1),(RANK(AQ90,AQ$11:AQ$368)+COUNTIF(AQ$11:AQ90,AQ90)-1)))</f>
        <v/>
      </c>
      <c r="AS90" s="29" t="str">
        <f t="shared" si="43"/>
        <v/>
      </c>
      <c r="AT90" s="34" t="str">
        <f t="shared" si="34"/>
        <v/>
      </c>
      <c r="AU90" s="39" t="str">
        <f t="shared" si="48"/>
        <v/>
      </c>
      <c r="AX90" s="21">
        <f>HLOOKUP($AX$9&amp;$AX$10,Data!$A$1:$ZZ$2000,(MATCH($C90,Data!$A$1:$A$2000,0)),FALSE)</f>
        <v>13.91293811582649</v>
      </c>
      <c r="AY90" s="103"/>
      <c r="AZ90" s="21"/>
    </row>
    <row r="91" spans="1:52">
      <c r="A91" s="56" t="str">
        <f>$D$1&amp;81</f>
        <v>SC81</v>
      </c>
      <c r="B91" s="57">
        <f>IF(ISERROR(VLOOKUP(A91,classifications!A:C,3,FALSE)),0,VLOOKUP(A91,classifications!A:C,3,FALSE))</f>
        <v>0</v>
      </c>
      <c r="C91" s="8" t="s">
        <v>50</v>
      </c>
      <c r="D91" s="26" t="str">
        <f>VLOOKUP($C91,classifications!$C:$J,4,FALSE)</f>
        <v>SD</v>
      </c>
      <c r="E91" s="26" t="str">
        <f>VLOOKUP(C91,classifications!C:K,9,FALSE)</f>
        <v>Sparse</v>
      </c>
      <c r="F91" s="36">
        <f t="shared" si="26"/>
        <v>17.35651758530194</v>
      </c>
      <c r="G91" s="71"/>
      <c r="H91" s="37" t="str">
        <f t="shared" si="27"/>
        <v/>
      </c>
      <c r="I91" s="77" t="str">
        <f>IF(H91="","",IF($I$8="A",(RANK(H91,H$11:H$368,1)+COUNTIF(H$11:H91,H91)-1),(RANK(H91,H$11:H$368)+COUNTIF(H$11:H91,H91)-1)))</f>
        <v/>
      </c>
      <c r="J91" s="35"/>
      <c r="K91" s="28" t="str">
        <f t="shared" si="35"/>
        <v/>
      </c>
      <c r="L91" s="36" t="str">
        <f t="shared" si="28"/>
        <v/>
      </c>
      <c r="M91" s="102" t="str">
        <f t="shared" si="36"/>
        <v/>
      </c>
      <c r="N91" s="101" t="str">
        <f t="shared" si="37"/>
        <v/>
      </c>
      <c r="O91" s="94" t="str">
        <f t="shared" si="29"/>
        <v/>
      </c>
      <c r="P91" s="94" t="str">
        <f t="shared" si="45"/>
        <v/>
      </c>
      <c r="Q91" s="94" t="str">
        <f t="shared" si="46"/>
        <v/>
      </c>
      <c r="R91" s="90" t="str">
        <f t="shared" si="47"/>
        <v/>
      </c>
      <c r="S91" s="37" t="str">
        <f t="shared" si="38"/>
        <v/>
      </c>
      <c r="T91" s="176" t="str">
        <f>IF(L91="","",VLOOKUP(L91,classifications!C:K,9,FALSE))</f>
        <v/>
      </c>
      <c r="U91" s="183" t="str">
        <f t="shared" si="30"/>
        <v/>
      </c>
      <c r="V91" s="184" t="str">
        <f>IF(U91="","",IF($I$8="A",(RANK(U91,U$11:U$368)+COUNTIF(U$11:U91,U91)-1),(RANK(U91,U$11:U$368,1)+COUNTIF(U$11:U91,U91)-1)))</f>
        <v/>
      </c>
      <c r="W91" s="185"/>
      <c r="X91" s="38" t="str">
        <f>IF(L91="","",VLOOKUP($L91,classifications!$C:$J,6,FALSE))</f>
        <v/>
      </c>
      <c r="Y91" s="26" t="b">
        <f t="shared" si="31"/>
        <v>0</v>
      </c>
      <c r="Z91" s="34" t="e">
        <f>IF(Y91="","",IF(I$8="A",(RANK(Y91,Y$11:Y$368,1)+COUNTIF(Y$11:Y91,Y91)-1),(RANK(Y91,Y$11:Y$368)+COUNTIF(Y$11:Y91,Y91)-1)))</f>
        <v>#N/A</v>
      </c>
      <c r="AA91" s="188" t="str">
        <f>IF(L91="","",VLOOKUP($L91,classifications!C:I,7,FALSE))</f>
        <v/>
      </c>
      <c r="AB91" s="184" t="str">
        <f t="shared" si="39"/>
        <v/>
      </c>
      <c r="AC91" s="184" t="str">
        <f>IF(AB91="","",IF($I$8="A",(RANK(AB91,AB$11:AB$368)+COUNTIF(AB$11:AB91,AB91)-1),(RANK(AB91,AB$11:AB$368,1)+COUNTIF(AB$11:AB91,AB91)-1)))</f>
        <v/>
      </c>
      <c r="AD91" s="184"/>
      <c r="AE91" s="28" t="str">
        <f t="shared" si="24"/>
        <v/>
      </c>
      <c r="AG91" s="96"/>
      <c r="AH91" s="29"/>
      <c r="AI91" s="38" t="str">
        <f>IF(L91="","",VLOOKUP($L91,classifications!$C:$J,8,FALSE))</f>
        <v/>
      </c>
      <c r="AJ91" s="39" t="str">
        <f t="shared" si="32"/>
        <v/>
      </c>
      <c r="AK91" s="34" t="str">
        <f>IF(AJ91="","",IF(I$8="A",(RANK(AJ91,AJ$11:AJ$368,1)+COUNTIF(AJ$11:AJ91,AJ91)-1),(RANK(AJ91,AJ$11:AJ$368)+COUNTIF(AJ$11:AJ91,AJ91)-1)))</f>
        <v/>
      </c>
      <c r="AL91" s="29" t="str">
        <f t="shared" si="40"/>
        <v/>
      </c>
      <c r="AM91" s="8" t="str">
        <f t="shared" si="33"/>
        <v/>
      </c>
      <c r="AN91" s="8" t="str">
        <f t="shared" si="41"/>
        <v/>
      </c>
      <c r="AP91" s="38" t="str">
        <f>IF(L91="","",VLOOKUP($L91,classifications!$C:$E,3,FALSE))</f>
        <v/>
      </c>
      <c r="AQ91" s="39" t="str">
        <f t="shared" si="42"/>
        <v/>
      </c>
      <c r="AR91" s="34" t="str">
        <f>IF(AQ91="","",IF(I$8="A",(RANK(AQ91,AQ$11:AQ$368,1)+COUNTIF(AQ$11:AQ91,AQ91)-1),(RANK(AQ91,AQ$11:AQ$368)+COUNTIF(AQ$11:AQ91,AQ91)-1)))</f>
        <v/>
      </c>
      <c r="AS91" s="29" t="str">
        <f t="shared" si="43"/>
        <v/>
      </c>
      <c r="AT91" s="34" t="str">
        <f t="shared" si="34"/>
        <v/>
      </c>
      <c r="AU91" s="39" t="str">
        <f t="shared" si="48"/>
        <v/>
      </c>
      <c r="AX91" s="21">
        <f>HLOOKUP($AX$9&amp;$AX$10,Data!$A$1:$ZZ$2000,(MATCH($C91,Data!$A$1:$A$2000,0)),FALSE)</f>
        <v>17.35651758530194</v>
      </c>
      <c r="AY91" s="103"/>
      <c r="AZ91" s="21"/>
    </row>
    <row r="92" spans="1:52">
      <c r="A92" s="56" t="str">
        <f>$D$1&amp;82</f>
        <v>SC82</v>
      </c>
      <c r="B92" s="57">
        <f>IF(ISERROR(VLOOKUP(A92,classifications!A:C,3,FALSE)),0,VLOOKUP(A92,classifications!A:C,3,FALSE))</f>
        <v>0</v>
      </c>
      <c r="C92" s="8" t="s">
        <v>308</v>
      </c>
      <c r="D92" s="26" t="str">
        <f>VLOOKUP($C92,classifications!$C:$J,4,FALSE)</f>
        <v>SC</v>
      </c>
      <c r="E92" s="26" t="str">
        <f>VLOOKUP(C92,classifications!C:K,9,FALSE)</f>
        <v>Sparse</v>
      </c>
      <c r="F92" s="36">
        <f t="shared" si="26"/>
        <v>20.569845842883787</v>
      </c>
      <c r="G92" s="71"/>
      <c r="H92" s="37">
        <f t="shared" si="27"/>
        <v>20.569845842883787</v>
      </c>
      <c r="I92" s="77">
        <f>IF(H92="","",IF($I$8="A",(RANK(H92,H$11:H$368,1)+COUNTIF(H$11:H92,H92)-1),(RANK(H92,H$11:H$368)+COUNTIF(H$11:H92,H92)-1)))</f>
        <v>3</v>
      </c>
      <c r="J92" s="35"/>
      <c r="K92" s="28" t="str">
        <f t="shared" si="35"/>
        <v/>
      </c>
      <c r="L92" s="36" t="str">
        <f t="shared" si="28"/>
        <v/>
      </c>
      <c r="M92" s="102" t="str">
        <f t="shared" si="36"/>
        <v/>
      </c>
      <c r="N92" s="101" t="str">
        <f t="shared" si="37"/>
        <v/>
      </c>
      <c r="O92" s="94" t="str">
        <f t="shared" si="29"/>
        <v/>
      </c>
      <c r="P92" s="94" t="str">
        <f t="shared" si="45"/>
        <v/>
      </c>
      <c r="Q92" s="94" t="str">
        <f t="shared" si="46"/>
        <v/>
      </c>
      <c r="R92" s="90" t="str">
        <f t="shared" si="47"/>
        <v/>
      </c>
      <c r="S92" s="37" t="str">
        <f t="shared" si="38"/>
        <v/>
      </c>
      <c r="T92" s="176" t="str">
        <f>IF(L92="","",VLOOKUP(L92,classifications!C:K,9,FALSE))</f>
        <v/>
      </c>
      <c r="U92" s="183" t="str">
        <f t="shared" si="30"/>
        <v/>
      </c>
      <c r="V92" s="184" t="str">
        <f>IF(U92="","",IF($I$8="A",(RANK(U92,U$11:U$368)+COUNTIF(U$11:U92,U92)-1),(RANK(U92,U$11:U$368,1)+COUNTIF(U$11:U92,U92)-1)))</f>
        <v/>
      </c>
      <c r="W92" s="185"/>
      <c r="X92" s="38" t="str">
        <f>IF(L92="","",VLOOKUP($L92,classifications!$C:$J,6,FALSE))</f>
        <v/>
      </c>
      <c r="Y92" s="26" t="b">
        <f t="shared" si="31"/>
        <v>0</v>
      </c>
      <c r="Z92" s="34" t="e">
        <f>IF(Y92="","",IF(I$8="A",(RANK(Y92,Y$11:Y$368,1)+COUNTIF(Y$11:Y92,Y92)-1),(RANK(Y92,Y$11:Y$368)+COUNTIF(Y$11:Y92,Y92)-1)))</f>
        <v>#N/A</v>
      </c>
      <c r="AA92" s="188" t="str">
        <f>IF(L92="","",VLOOKUP($L92,classifications!C:I,7,FALSE))</f>
        <v/>
      </c>
      <c r="AB92" s="184" t="str">
        <f t="shared" si="39"/>
        <v/>
      </c>
      <c r="AC92" s="184" t="str">
        <f>IF(AB92="","",IF($I$8="A",(RANK(AB92,AB$11:AB$368)+COUNTIF(AB$11:AB92,AB92)-1),(RANK(AB92,AB$11:AB$368,1)+COUNTIF(AB$11:AB92,AB92)-1)))</f>
        <v/>
      </c>
      <c r="AD92" s="184"/>
      <c r="AE92" s="28" t="str">
        <f t="shared" si="24"/>
        <v/>
      </c>
      <c r="AG92" s="96"/>
      <c r="AH92" s="29"/>
      <c r="AI92" s="38" t="str">
        <f>IF(L92="","",VLOOKUP($L92,classifications!$C:$J,8,FALSE))</f>
        <v/>
      </c>
      <c r="AJ92" s="39" t="str">
        <f t="shared" si="32"/>
        <v/>
      </c>
      <c r="AK92" s="34" t="str">
        <f>IF(AJ92="","",IF(I$8="A",(RANK(AJ92,AJ$11:AJ$368,1)+COUNTIF(AJ$11:AJ92,AJ92)-1),(RANK(AJ92,AJ$11:AJ$368)+COUNTIF(AJ$11:AJ92,AJ92)-1)))</f>
        <v/>
      </c>
      <c r="AL92" s="29" t="str">
        <f t="shared" si="40"/>
        <v/>
      </c>
      <c r="AM92" s="8" t="str">
        <f t="shared" si="33"/>
        <v/>
      </c>
      <c r="AN92" s="8" t="str">
        <f t="shared" si="41"/>
        <v/>
      </c>
      <c r="AP92" s="38" t="str">
        <f>IF(L92="","",VLOOKUP($L92,classifications!$C:$E,3,FALSE))</f>
        <v/>
      </c>
      <c r="AQ92" s="39" t="str">
        <f t="shared" si="42"/>
        <v/>
      </c>
      <c r="AR92" s="34" t="str">
        <f>IF(AQ92="","",IF(I$8="A",(RANK(AQ92,AQ$11:AQ$368,1)+COUNTIF(AQ$11:AQ92,AQ92)-1),(RANK(AQ92,AQ$11:AQ$368)+COUNTIF(AQ$11:AQ92,AQ92)-1)))</f>
        <v/>
      </c>
      <c r="AS92" s="29" t="str">
        <f t="shared" si="43"/>
        <v/>
      </c>
      <c r="AT92" s="34" t="str">
        <f t="shared" si="34"/>
        <v/>
      </c>
      <c r="AU92" s="39" t="str">
        <f t="shared" si="48"/>
        <v/>
      </c>
      <c r="AX92" s="21">
        <f>HLOOKUP($AX$9&amp;$AX$10,Data!$A$1:$ZZ$2000,(MATCH($C92,Data!$A$1:$A$2000,0)),FALSE)</f>
        <v>20.569845842883787</v>
      </c>
      <c r="AY92" s="103"/>
      <c r="AZ92" s="21"/>
    </row>
    <row r="93" spans="1:52">
      <c r="A93" s="56" t="str">
        <f>$D$1&amp;83</f>
        <v>SC83</v>
      </c>
      <c r="B93" s="57">
        <f>IF(ISERROR(VLOOKUP(A93,classifications!A:C,3,FALSE)),0,VLOOKUP(A93,classifications!A:C,3,FALSE))</f>
        <v>0</v>
      </c>
      <c r="C93" s="8" t="s">
        <v>229</v>
      </c>
      <c r="D93" s="26" t="str">
        <f>VLOOKUP($C93,classifications!$C:$J,4,FALSE)</f>
        <v>MD</v>
      </c>
      <c r="E93" s="26">
        <f>VLOOKUP(C93,classifications!C:K,9,FALSE)</f>
        <v>0</v>
      </c>
      <c r="F93" s="36">
        <f t="shared" si="26"/>
        <v>13.564783086077096</v>
      </c>
      <c r="G93" s="71"/>
      <c r="H93" s="37" t="str">
        <f t="shared" si="27"/>
        <v/>
      </c>
      <c r="I93" s="77" t="str">
        <f>IF(H93="","",IF($I$8="A",(RANK(H93,H$11:H$368,1)+COUNTIF(H$11:H93,H93)-1),(RANK(H93,H$11:H$368)+COUNTIF(H$11:H93,H93)-1)))</f>
        <v/>
      </c>
      <c r="J93" s="35"/>
      <c r="K93" s="28" t="str">
        <f t="shared" si="35"/>
        <v/>
      </c>
      <c r="L93" s="36" t="str">
        <f t="shared" si="28"/>
        <v/>
      </c>
      <c r="M93" s="102" t="str">
        <f t="shared" si="36"/>
        <v/>
      </c>
      <c r="N93" s="101" t="str">
        <f t="shared" si="37"/>
        <v/>
      </c>
      <c r="O93" s="94" t="str">
        <f t="shared" si="29"/>
        <v/>
      </c>
      <c r="P93" s="94" t="str">
        <f t="shared" si="45"/>
        <v/>
      </c>
      <c r="Q93" s="94" t="str">
        <f t="shared" si="46"/>
        <v/>
      </c>
      <c r="R93" s="90" t="str">
        <f t="shared" si="47"/>
        <v/>
      </c>
      <c r="S93" s="37" t="str">
        <f t="shared" si="38"/>
        <v/>
      </c>
      <c r="T93" s="176" t="str">
        <f>IF(L93="","",VLOOKUP(L93,classifications!C:K,9,FALSE))</f>
        <v/>
      </c>
      <c r="U93" s="183" t="str">
        <f t="shared" si="30"/>
        <v/>
      </c>
      <c r="V93" s="184" t="str">
        <f>IF(U93="","",IF($I$8="A",(RANK(U93,U$11:U$368)+COUNTIF(U$11:U93,U93)-1),(RANK(U93,U$11:U$368,1)+COUNTIF(U$11:U93,U93)-1)))</f>
        <v/>
      </c>
      <c r="W93" s="185"/>
      <c r="X93" s="38" t="str">
        <f>IF(L93="","",VLOOKUP($L93,classifications!$C:$J,6,FALSE))</f>
        <v/>
      </c>
      <c r="Y93" s="26" t="b">
        <f t="shared" si="31"/>
        <v>0</v>
      </c>
      <c r="Z93" s="34" t="e">
        <f>IF(Y93="","",IF(I$8="A",(RANK(Y93,Y$11:Y$368,1)+COUNTIF(Y$11:Y93,Y93)-1),(RANK(Y93,Y$11:Y$368)+COUNTIF(Y$11:Y93,Y93)-1)))</f>
        <v>#N/A</v>
      </c>
      <c r="AA93" s="188" t="str">
        <f>IF(L93="","",VLOOKUP($L93,classifications!C:I,7,FALSE))</f>
        <v/>
      </c>
      <c r="AB93" s="184" t="str">
        <f t="shared" si="39"/>
        <v/>
      </c>
      <c r="AC93" s="184" t="str">
        <f>IF(AB93="","",IF($I$8="A",(RANK(AB93,AB$11:AB$368)+COUNTIF(AB$11:AB93,AB93)-1),(RANK(AB93,AB$11:AB$368,1)+COUNTIF(AB$11:AB93,AB93)-1)))</f>
        <v/>
      </c>
      <c r="AD93" s="184"/>
      <c r="AE93" s="28" t="str">
        <f t="shared" si="24"/>
        <v/>
      </c>
      <c r="AG93" s="96"/>
      <c r="AH93" s="29"/>
      <c r="AI93" s="38" t="str">
        <f>IF(L93="","",VLOOKUP($L93,classifications!$C:$J,8,FALSE))</f>
        <v/>
      </c>
      <c r="AJ93" s="39" t="str">
        <f t="shared" si="32"/>
        <v/>
      </c>
      <c r="AK93" s="34" t="str">
        <f>IF(AJ93="","",IF(I$8="A",(RANK(AJ93,AJ$11:AJ$368,1)+COUNTIF(AJ$11:AJ93,AJ93)-1),(RANK(AJ93,AJ$11:AJ$368)+COUNTIF(AJ$11:AJ93,AJ93)-1)))</f>
        <v/>
      </c>
      <c r="AL93" s="29" t="str">
        <f t="shared" si="40"/>
        <v/>
      </c>
      <c r="AM93" s="8" t="str">
        <f t="shared" si="33"/>
        <v/>
      </c>
      <c r="AN93" s="8" t="str">
        <f t="shared" si="41"/>
        <v/>
      </c>
      <c r="AP93" s="38" t="str">
        <f>IF(L93="","",VLOOKUP($L93,classifications!$C:$E,3,FALSE))</f>
        <v/>
      </c>
      <c r="AQ93" s="39" t="str">
        <f t="shared" si="42"/>
        <v/>
      </c>
      <c r="AR93" s="34" t="str">
        <f>IF(AQ93="","",IF(I$8="A",(RANK(AQ93,AQ$11:AQ$368,1)+COUNTIF(AQ$11:AQ93,AQ93)-1),(RANK(AQ93,AQ$11:AQ$368)+COUNTIF(AQ$11:AQ93,AQ93)-1)))</f>
        <v/>
      </c>
      <c r="AS93" s="29" t="str">
        <f t="shared" si="43"/>
        <v/>
      </c>
      <c r="AT93" s="34" t="str">
        <f t="shared" si="34"/>
        <v/>
      </c>
      <c r="AU93" s="39" t="str">
        <f t="shared" si="48"/>
        <v/>
      </c>
      <c r="AX93" s="21">
        <f>HLOOKUP($AX$9&amp;$AX$10,Data!$A$1:$ZZ$2000,(MATCH($C93,Data!$A$1:$A$2000,0)),FALSE)</f>
        <v>13.564783086077096</v>
      </c>
      <c r="AY93" s="103"/>
      <c r="AZ93" s="21"/>
    </row>
    <row r="94" spans="1:52">
      <c r="A94" s="56" t="str">
        <f>$D$1&amp;84</f>
        <v>SC84</v>
      </c>
      <c r="B94" s="57">
        <f>IF(ISERROR(VLOOKUP(A94,classifications!A:C,3,FALSE)),0,VLOOKUP(A94,classifications!A:C,3,FALSE))</f>
        <v>0</v>
      </c>
      <c r="C94" s="8" t="s">
        <v>309</v>
      </c>
      <c r="D94" s="26" t="str">
        <f>VLOOKUP($C94,classifications!$C:$J,4,FALSE)</f>
        <v>SC</v>
      </c>
      <c r="E94" s="26">
        <f>VLOOKUP(C94,classifications!C:K,9,FALSE)</f>
        <v>0</v>
      </c>
      <c r="F94" s="36">
        <f t="shared" si="26"/>
        <v>0</v>
      </c>
      <c r="G94" s="71"/>
      <c r="H94" s="37">
        <f t="shared" si="27"/>
        <v>0</v>
      </c>
      <c r="I94" s="77">
        <f>IF(H94="","",IF($I$8="A",(RANK(H94,H$11:H$368,1)+COUNTIF(H$11:H94,H94)-1),(RANK(H94,H$11:H$368)+COUNTIF(H$11:H94,H94)-1)))</f>
        <v>27</v>
      </c>
      <c r="J94" s="35"/>
      <c r="K94" s="28" t="str">
        <f t="shared" si="35"/>
        <v/>
      </c>
      <c r="L94" s="36" t="str">
        <f t="shared" si="28"/>
        <v/>
      </c>
      <c r="M94" s="102" t="str">
        <f t="shared" si="36"/>
        <v/>
      </c>
      <c r="N94" s="101" t="str">
        <f t="shared" si="37"/>
        <v/>
      </c>
      <c r="O94" s="94" t="str">
        <f t="shared" si="29"/>
        <v/>
      </c>
      <c r="P94" s="94" t="str">
        <f t="shared" si="45"/>
        <v/>
      </c>
      <c r="Q94" s="94" t="str">
        <f t="shared" si="46"/>
        <v/>
      </c>
      <c r="R94" s="90" t="str">
        <f t="shared" si="47"/>
        <v/>
      </c>
      <c r="S94" s="37" t="str">
        <f t="shared" si="38"/>
        <v/>
      </c>
      <c r="T94" s="176" t="str">
        <f>IF(L94="","",VLOOKUP(L94,classifications!C:K,9,FALSE))</f>
        <v/>
      </c>
      <c r="U94" s="183" t="str">
        <f t="shared" si="30"/>
        <v/>
      </c>
      <c r="V94" s="184" t="str">
        <f>IF(U94="","",IF($I$8="A",(RANK(U94,U$11:U$368)+COUNTIF(U$11:U94,U94)-1),(RANK(U94,U$11:U$368,1)+COUNTIF(U$11:U94,U94)-1)))</f>
        <v/>
      </c>
      <c r="W94" s="185"/>
      <c r="X94" s="38" t="str">
        <f>IF(L94="","",VLOOKUP($L94,classifications!$C:$J,6,FALSE))</f>
        <v/>
      </c>
      <c r="Y94" s="26" t="b">
        <f t="shared" si="31"/>
        <v>0</v>
      </c>
      <c r="Z94" s="34" t="e">
        <f>IF(Y94="","",IF(I$8="A",(RANK(Y94,Y$11:Y$368,1)+COUNTIF(Y$11:Y94,Y94)-1),(RANK(Y94,Y$11:Y$368)+COUNTIF(Y$11:Y94,Y94)-1)))</f>
        <v>#N/A</v>
      </c>
      <c r="AA94" s="188" t="str">
        <f>IF(L94="","",VLOOKUP($L94,classifications!C:I,7,FALSE))</f>
        <v/>
      </c>
      <c r="AB94" s="184" t="str">
        <f t="shared" si="39"/>
        <v/>
      </c>
      <c r="AC94" s="184" t="str">
        <f>IF(AB94="","",IF($I$8="A",(RANK(AB94,AB$11:AB$368)+COUNTIF(AB$11:AB94,AB94)-1),(RANK(AB94,AB$11:AB$368,1)+COUNTIF(AB$11:AB94,AB94)-1)))</f>
        <v/>
      </c>
      <c r="AD94" s="184"/>
      <c r="AE94" s="28" t="str">
        <f t="shared" si="24"/>
        <v/>
      </c>
      <c r="AG94" s="96"/>
      <c r="AH94" s="29"/>
      <c r="AI94" s="38" t="str">
        <f>IF(L94="","",VLOOKUP($L94,classifications!$C:$J,8,FALSE))</f>
        <v/>
      </c>
      <c r="AJ94" s="39" t="str">
        <f t="shared" si="32"/>
        <v/>
      </c>
      <c r="AK94" s="34" t="str">
        <f>IF(AJ94="","",IF(I$8="A",(RANK(AJ94,AJ$11:AJ$368,1)+COUNTIF(AJ$11:AJ94,AJ94)-1),(RANK(AJ94,AJ$11:AJ$368)+COUNTIF(AJ$11:AJ94,AJ94)-1)))</f>
        <v/>
      </c>
      <c r="AL94" s="29" t="str">
        <f t="shared" si="40"/>
        <v/>
      </c>
      <c r="AM94" s="8" t="str">
        <f t="shared" si="33"/>
        <v/>
      </c>
      <c r="AN94" s="8" t="str">
        <f t="shared" si="41"/>
        <v/>
      </c>
      <c r="AP94" s="38" t="str">
        <f>IF(L94="","",VLOOKUP($L94,classifications!$C:$E,3,FALSE))</f>
        <v/>
      </c>
      <c r="AQ94" s="39" t="str">
        <f t="shared" si="42"/>
        <v/>
      </c>
      <c r="AR94" s="34" t="str">
        <f>IF(AQ94="","",IF(I$8="A",(RANK(AQ94,AQ$11:AQ$368,1)+COUNTIF(AQ$11:AQ94,AQ94)-1),(RANK(AQ94,AQ$11:AQ$368)+COUNTIF(AQ$11:AQ94,AQ94)-1)))</f>
        <v/>
      </c>
      <c r="AS94" s="29" t="str">
        <f t="shared" si="43"/>
        <v/>
      </c>
      <c r="AT94" s="34" t="str">
        <f t="shared" si="34"/>
        <v/>
      </c>
      <c r="AU94" s="39" t="str">
        <f t="shared" si="48"/>
        <v/>
      </c>
      <c r="AX94" s="21">
        <f>HLOOKUP($AX$9&amp;$AX$10,Data!$A$1:$ZZ$2000,(MATCH($C94,Data!$A$1:$A$2000,0)),FALSE)</f>
        <v>0</v>
      </c>
      <c r="AY94" s="103"/>
      <c r="AZ94" s="21"/>
    </row>
    <row r="95" spans="1:52">
      <c r="A95" s="56" t="str">
        <f>$D$1&amp;85</f>
        <v>SC85</v>
      </c>
      <c r="B95" s="57">
        <f>IF(ISERROR(VLOOKUP(A95,classifications!A:C,3,FALSE)),0,VLOOKUP(A95,classifications!A:C,3,FALSE))</f>
        <v>0</v>
      </c>
      <c r="C95" s="8" t="s">
        <v>907</v>
      </c>
      <c r="D95" s="26" t="str">
        <f>VLOOKUP($C95,classifications!$C:$J,4,FALSE)</f>
        <v>UA</v>
      </c>
      <c r="E95" s="26">
        <f>VLOOKUP(C95,classifications!C:K,9,FALSE)</f>
        <v>0</v>
      </c>
      <c r="F95" s="36">
        <f t="shared" si="26"/>
        <v>21.214615942843405</v>
      </c>
      <c r="G95" s="71"/>
      <c r="H95" s="37" t="str">
        <f t="shared" si="27"/>
        <v/>
      </c>
      <c r="I95" s="77" t="str">
        <f>IF(H95="","",IF($I$8="A",(RANK(H95,H$11:H$368,1)+COUNTIF(H$11:H95,H95)-1),(RANK(H95,H$11:H$368)+COUNTIF(H$11:H95,H95)-1)))</f>
        <v/>
      </c>
      <c r="J95" s="35"/>
      <c r="K95" s="28" t="str">
        <f t="shared" si="35"/>
        <v/>
      </c>
      <c r="L95" s="36" t="str">
        <f t="shared" si="28"/>
        <v/>
      </c>
      <c r="M95" s="102" t="str">
        <f t="shared" si="36"/>
        <v/>
      </c>
      <c r="N95" s="101" t="str">
        <f t="shared" si="37"/>
        <v/>
      </c>
      <c r="O95" s="94" t="str">
        <f t="shared" si="29"/>
        <v/>
      </c>
      <c r="P95" s="94" t="str">
        <f t="shared" si="45"/>
        <v/>
      </c>
      <c r="Q95" s="94" t="str">
        <f t="shared" si="46"/>
        <v/>
      </c>
      <c r="R95" s="90" t="str">
        <f t="shared" si="47"/>
        <v/>
      </c>
      <c r="S95" s="37" t="str">
        <f t="shared" si="38"/>
        <v/>
      </c>
      <c r="T95" s="176" t="str">
        <f>IF(L95="","",VLOOKUP(L95,classifications!C:K,9,FALSE))</f>
        <v/>
      </c>
      <c r="U95" s="183" t="str">
        <f t="shared" si="30"/>
        <v/>
      </c>
      <c r="V95" s="184" t="str">
        <f>IF(U95="","",IF($I$8="A",(RANK(U95,U$11:U$368)+COUNTIF(U$11:U95,U95)-1),(RANK(U95,U$11:U$368,1)+COUNTIF(U$11:U95,U95)-1)))</f>
        <v/>
      </c>
      <c r="W95" s="185"/>
      <c r="X95" s="38" t="str">
        <f>IF(L95="","",VLOOKUP($L95,classifications!$C:$J,6,FALSE))</f>
        <v/>
      </c>
      <c r="Y95" s="26" t="b">
        <f t="shared" si="31"/>
        <v>0</v>
      </c>
      <c r="Z95" s="34" t="e">
        <f>IF(Y95="","",IF(I$8="A",(RANK(Y95,Y$11:Y$368,1)+COUNTIF(Y$11:Y95,Y95)-1),(RANK(Y95,Y$11:Y$368)+COUNTIF(Y$11:Y95,Y95)-1)))</f>
        <v>#N/A</v>
      </c>
      <c r="AA95" s="188" t="str">
        <f>IF(L95="","",VLOOKUP($L95,classifications!C:I,7,FALSE))</f>
        <v/>
      </c>
      <c r="AB95" s="184" t="str">
        <f t="shared" si="39"/>
        <v/>
      </c>
      <c r="AC95" s="184" t="str">
        <f>IF(AB95="","",IF($I$8="A",(RANK(AB95,AB$11:AB$368)+COUNTIF(AB$11:AB95,AB95)-1),(RANK(AB95,AB$11:AB$368,1)+COUNTIF(AB$11:AB95,AB95)-1)))</f>
        <v/>
      </c>
      <c r="AD95" s="184"/>
      <c r="AE95" s="28" t="str">
        <f t="shared" si="24"/>
        <v/>
      </c>
      <c r="AG95" s="96"/>
      <c r="AH95" s="29"/>
      <c r="AI95" s="38" t="str">
        <f>IF(L95="","",VLOOKUP($L95,classifications!$C:$J,8,FALSE))</f>
        <v/>
      </c>
      <c r="AJ95" s="39" t="str">
        <f t="shared" si="32"/>
        <v/>
      </c>
      <c r="AK95" s="34" t="str">
        <f>IF(AJ95="","",IF(I$8="A",(RANK(AJ95,AJ$11:AJ$368,1)+COUNTIF(AJ$11:AJ95,AJ95)-1),(RANK(AJ95,AJ$11:AJ$368)+COUNTIF(AJ$11:AJ95,AJ95)-1)))</f>
        <v/>
      </c>
      <c r="AL95" s="29" t="str">
        <f t="shared" si="40"/>
        <v/>
      </c>
      <c r="AM95" s="8" t="str">
        <f t="shared" si="33"/>
        <v/>
      </c>
      <c r="AN95" s="8" t="str">
        <f t="shared" si="41"/>
        <v/>
      </c>
      <c r="AP95" s="38" t="str">
        <f>IF(L95="","",VLOOKUP($L95,classifications!$C:$E,3,FALSE))</f>
        <v/>
      </c>
      <c r="AQ95" s="39" t="str">
        <f t="shared" si="42"/>
        <v/>
      </c>
      <c r="AR95" s="34" t="str">
        <f>IF(AQ95="","",IF(I$8="A",(RANK(AQ95,AQ$11:AQ$368,1)+COUNTIF(AQ$11:AQ95,AQ95)-1),(RANK(AQ95,AQ$11:AQ$368)+COUNTIF(AQ$11:AQ95,AQ95)-1)))</f>
        <v/>
      </c>
      <c r="AS95" s="29" t="str">
        <f t="shared" si="43"/>
        <v/>
      </c>
      <c r="AT95" s="34" t="str">
        <f t="shared" si="34"/>
        <v/>
      </c>
      <c r="AU95" s="39" t="str">
        <f t="shared" si="48"/>
        <v/>
      </c>
      <c r="AX95" s="21">
        <f>HLOOKUP($AX$9&amp;$AX$10,Data!$A$1:$ZZ$2000,(MATCH($C95,Data!$A$1:$A$2000,0)),FALSE)</f>
        <v>21.214615942843405</v>
      </c>
      <c r="AY95" s="103"/>
      <c r="AZ95" s="21"/>
    </row>
    <row r="96" spans="1:52">
      <c r="A96" s="56" t="str">
        <f>$D$1&amp;86</f>
        <v>SC86</v>
      </c>
      <c r="B96" s="57">
        <f>IF(ISERROR(VLOOKUP(A96,classifications!A:C,3,FALSE)),0,VLOOKUP(A96,classifications!A:C,3,FALSE))</f>
        <v>0</v>
      </c>
      <c r="C96" s="8" t="s">
        <v>51</v>
      </c>
      <c r="D96" s="26" t="str">
        <f>VLOOKUP($C96,classifications!$C:$J,4,FALSE)</f>
        <v>SD</v>
      </c>
      <c r="E96" s="26">
        <f>VLOOKUP(C96,classifications!C:K,9,FALSE)</f>
        <v>0</v>
      </c>
      <c r="F96" s="36">
        <f t="shared" si="26"/>
        <v>18.013729224933677</v>
      </c>
      <c r="G96" s="71"/>
      <c r="H96" s="37" t="str">
        <f t="shared" si="27"/>
        <v/>
      </c>
      <c r="I96" s="77" t="str">
        <f>IF(H96="","",IF($I$8="A",(RANK(H96,H$11:H$368,1)+COUNTIF(H$11:H96,H96)-1),(RANK(H96,H$11:H$368)+COUNTIF(H$11:H96,H96)-1)))</f>
        <v/>
      </c>
      <c r="J96" s="35"/>
      <c r="K96" s="28" t="str">
        <f t="shared" si="35"/>
        <v/>
      </c>
      <c r="L96" s="36" t="str">
        <f t="shared" si="28"/>
        <v/>
      </c>
      <c r="M96" s="102" t="str">
        <f t="shared" si="36"/>
        <v/>
      </c>
      <c r="N96" s="101" t="str">
        <f t="shared" si="37"/>
        <v/>
      </c>
      <c r="O96" s="94" t="str">
        <f t="shared" si="29"/>
        <v/>
      </c>
      <c r="P96" s="94" t="str">
        <f t="shared" si="45"/>
        <v/>
      </c>
      <c r="Q96" s="94" t="str">
        <f t="shared" si="46"/>
        <v/>
      </c>
      <c r="R96" s="90" t="str">
        <f t="shared" si="47"/>
        <v/>
      </c>
      <c r="S96" s="37" t="str">
        <f t="shared" si="38"/>
        <v/>
      </c>
      <c r="T96" s="176" t="str">
        <f>IF(L96="","",VLOOKUP(L96,classifications!C:K,9,FALSE))</f>
        <v/>
      </c>
      <c r="U96" s="183" t="str">
        <f t="shared" si="30"/>
        <v/>
      </c>
      <c r="V96" s="184" t="str">
        <f>IF(U96="","",IF($I$8="A",(RANK(U96,U$11:U$368)+COUNTIF(U$11:U96,U96)-1),(RANK(U96,U$11:U$368,1)+COUNTIF(U$11:U96,U96)-1)))</f>
        <v/>
      </c>
      <c r="W96" s="185"/>
      <c r="X96" s="38" t="str">
        <f>IF(L96="","",VLOOKUP($L96,classifications!$C:$J,6,FALSE))</f>
        <v/>
      </c>
      <c r="Y96" s="26" t="b">
        <f t="shared" si="31"/>
        <v>0</v>
      </c>
      <c r="Z96" s="34" t="e">
        <f>IF(Y96="","",IF(I$8="A",(RANK(Y96,Y$11:Y$368,1)+COUNTIF(Y$11:Y96,Y96)-1),(RANK(Y96,Y$11:Y$368)+COUNTIF(Y$11:Y96,Y96)-1)))</f>
        <v>#N/A</v>
      </c>
      <c r="AA96" s="188" t="str">
        <f>IF(L96="","",VLOOKUP($L96,classifications!C:I,7,FALSE))</f>
        <v/>
      </c>
      <c r="AB96" s="184" t="str">
        <f t="shared" si="39"/>
        <v/>
      </c>
      <c r="AC96" s="184" t="str">
        <f>IF(AB96="","",IF($I$8="A",(RANK(AB96,AB$11:AB$368)+COUNTIF(AB$11:AB96,AB96)-1),(RANK(AB96,AB$11:AB$368,1)+COUNTIF(AB$11:AB96,AB96)-1)))</f>
        <v/>
      </c>
      <c r="AD96" s="184"/>
      <c r="AE96" s="28" t="str">
        <f t="shared" si="24"/>
        <v/>
      </c>
      <c r="AG96" s="96"/>
      <c r="AH96" s="29"/>
      <c r="AI96" s="38" t="str">
        <f>IF(L96="","",VLOOKUP($L96,classifications!$C:$J,8,FALSE))</f>
        <v/>
      </c>
      <c r="AJ96" s="39" t="str">
        <f t="shared" si="32"/>
        <v/>
      </c>
      <c r="AK96" s="34" t="str">
        <f>IF(AJ96="","",IF(I$8="A",(RANK(AJ96,AJ$11:AJ$368,1)+COUNTIF(AJ$11:AJ96,AJ96)-1),(RANK(AJ96,AJ$11:AJ$368)+COUNTIF(AJ$11:AJ96,AJ96)-1)))</f>
        <v/>
      </c>
      <c r="AL96" s="29" t="str">
        <f t="shared" si="40"/>
        <v/>
      </c>
      <c r="AM96" s="8" t="str">
        <f t="shared" si="33"/>
        <v/>
      </c>
      <c r="AN96" s="8" t="str">
        <f t="shared" si="41"/>
        <v/>
      </c>
      <c r="AP96" s="38" t="str">
        <f>IF(L96="","",VLOOKUP($L96,classifications!$C:$E,3,FALSE))</f>
        <v/>
      </c>
      <c r="AQ96" s="39" t="str">
        <f t="shared" si="42"/>
        <v/>
      </c>
      <c r="AR96" s="34" t="str">
        <f>IF(AQ96="","",IF(I$8="A",(RANK(AQ96,AQ$11:AQ$368,1)+COUNTIF(AQ$11:AQ96,AQ96)-1),(RANK(AQ96,AQ$11:AQ$368)+COUNTIF(AQ$11:AQ96,AQ96)-1)))</f>
        <v/>
      </c>
      <c r="AS96" s="29" t="str">
        <f t="shared" si="43"/>
        <v/>
      </c>
      <c r="AT96" s="34" t="str">
        <f t="shared" si="34"/>
        <v/>
      </c>
      <c r="AU96" s="39" t="str">
        <f t="shared" si="48"/>
        <v/>
      </c>
      <c r="AX96" s="21">
        <f>HLOOKUP($AX$9&amp;$AX$10,Data!$A$1:$ZZ$2000,(MATCH($C96,Data!$A$1:$A$2000,0)),FALSE)</f>
        <v>18.013729224933677</v>
      </c>
      <c r="AY96" s="103"/>
      <c r="AZ96" s="21"/>
    </row>
    <row r="97" spans="1:52">
      <c r="A97" s="56" t="str">
        <f>$D$1&amp;87</f>
        <v>SC87</v>
      </c>
      <c r="B97" s="57">
        <f>IF(ISERROR(VLOOKUP(A97,classifications!A:C,3,FALSE)),0,VLOOKUP(A97,classifications!A:C,3,FALSE))</f>
        <v>0</v>
      </c>
      <c r="C97" s="8" t="s">
        <v>266</v>
      </c>
      <c r="D97" s="26" t="str">
        <f>VLOOKUP($C97,classifications!$C:$J,4,FALSE)</f>
        <v>UA</v>
      </c>
      <c r="E97" s="26" t="str">
        <f>VLOOKUP(C97,classifications!C:K,9,FALSE)</f>
        <v>Sparse</v>
      </c>
      <c r="F97" s="36">
        <f t="shared" si="26"/>
        <v>9.9857686634970584</v>
      </c>
      <c r="G97" s="71"/>
      <c r="H97" s="37" t="str">
        <f t="shared" si="27"/>
        <v/>
      </c>
      <c r="I97" s="77" t="str">
        <f>IF(H97="","",IF($I$8="A",(RANK(H97,H$11:H$368,1)+COUNTIF(H$11:H97,H97)-1),(RANK(H97,H$11:H$368)+COUNTIF(H$11:H97,H97)-1)))</f>
        <v/>
      </c>
      <c r="J97" s="35"/>
      <c r="K97" s="28" t="str">
        <f t="shared" si="35"/>
        <v/>
      </c>
      <c r="L97" s="36" t="str">
        <f t="shared" si="28"/>
        <v/>
      </c>
      <c r="M97" s="102" t="str">
        <f t="shared" si="36"/>
        <v/>
      </c>
      <c r="N97" s="101" t="str">
        <f t="shared" si="37"/>
        <v/>
      </c>
      <c r="O97" s="94" t="str">
        <f t="shared" si="29"/>
        <v/>
      </c>
      <c r="P97" s="94" t="str">
        <f t="shared" si="45"/>
        <v/>
      </c>
      <c r="Q97" s="94" t="str">
        <f t="shared" si="46"/>
        <v/>
      </c>
      <c r="R97" s="90" t="str">
        <f t="shared" si="47"/>
        <v/>
      </c>
      <c r="S97" s="37" t="str">
        <f t="shared" si="38"/>
        <v/>
      </c>
      <c r="T97" s="176" t="str">
        <f>IF(L97="","",VLOOKUP(L97,classifications!C:K,9,FALSE))</f>
        <v/>
      </c>
      <c r="U97" s="183" t="str">
        <f t="shared" si="30"/>
        <v/>
      </c>
      <c r="V97" s="184" t="str">
        <f>IF(U97="","",IF($I$8="A",(RANK(U97,U$11:U$368)+COUNTIF(U$11:U97,U97)-1),(RANK(U97,U$11:U$368,1)+COUNTIF(U$11:U97,U97)-1)))</f>
        <v/>
      </c>
      <c r="W97" s="185"/>
      <c r="X97" s="38" t="str">
        <f>IF(L97="","",VLOOKUP($L97,classifications!$C:$J,6,FALSE))</f>
        <v/>
      </c>
      <c r="Y97" s="26" t="b">
        <f t="shared" si="31"/>
        <v>0</v>
      </c>
      <c r="Z97" s="34" t="e">
        <f>IF(Y97="","",IF(I$8="A",(RANK(Y97,Y$11:Y$368,1)+COUNTIF(Y$11:Y97,Y97)-1),(RANK(Y97,Y$11:Y$368)+COUNTIF(Y$11:Y97,Y97)-1)))</f>
        <v>#N/A</v>
      </c>
      <c r="AA97" s="188" t="str">
        <f>IF(L97="","",VLOOKUP($L97,classifications!C:I,7,FALSE))</f>
        <v/>
      </c>
      <c r="AB97" s="184" t="str">
        <f t="shared" si="39"/>
        <v/>
      </c>
      <c r="AC97" s="184" t="str">
        <f>IF(AB97="","",IF($I$8="A",(RANK(AB97,AB$11:AB$368)+COUNTIF(AB$11:AB97,AB97)-1),(RANK(AB97,AB$11:AB$368,1)+COUNTIF(AB$11:AB97,AB97)-1)))</f>
        <v/>
      </c>
      <c r="AD97" s="184"/>
      <c r="AE97" s="28" t="str">
        <f t="shared" si="24"/>
        <v/>
      </c>
      <c r="AG97" s="96"/>
      <c r="AH97" s="29"/>
      <c r="AI97" s="38" t="str">
        <f>IF(L97="","",VLOOKUP($L97,classifications!$C:$J,8,FALSE))</f>
        <v/>
      </c>
      <c r="AJ97" s="39" t="str">
        <f t="shared" si="32"/>
        <v/>
      </c>
      <c r="AK97" s="34" t="str">
        <f>IF(AJ97="","",IF(I$8="A",(RANK(AJ97,AJ$11:AJ$368,1)+COUNTIF(AJ$11:AJ97,AJ97)-1),(RANK(AJ97,AJ$11:AJ$368)+COUNTIF(AJ$11:AJ97,AJ97)-1)))</f>
        <v/>
      </c>
      <c r="AL97" s="29" t="str">
        <f t="shared" si="40"/>
        <v/>
      </c>
      <c r="AM97" s="8" t="str">
        <f t="shared" si="33"/>
        <v/>
      </c>
      <c r="AN97" s="8" t="str">
        <f t="shared" si="41"/>
        <v/>
      </c>
      <c r="AP97" s="38" t="str">
        <f>IF(L97="","",VLOOKUP($L97,classifications!$C:$E,3,FALSE))</f>
        <v/>
      </c>
      <c r="AQ97" s="39" t="str">
        <f t="shared" si="42"/>
        <v/>
      </c>
      <c r="AR97" s="34" t="str">
        <f>IF(AQ97="","",IF(I$8="A",(RANK(AQ97,AQ$11:AQ$368,1)+COUNTIF(AQ$11:AQ97,AQ97)-1),(RANK(AQ97,AQ$11:AQ$368)+COUNTIF(AQ$11:AQ97,AQ97)-1)))</f>
        <v/>
      </c>
      <c r="AS97" s="29" t="str">
        <f t="shared" si="43"/>
        <v/>
      </c>
      <c r="AT97" s="34" t="str">
        <f t="shared" si="34"/>
        <v/>
      </c>
      <c r="AU97" s="39" t="str">
        <f t="shared" si="48"/>
        <v/>
      </c>
      <c r="AX97" s="21">
        <f>HLOOKUP($AX$9&amp;$AX$10,Data!$A$1:$ZZ$2000,(MATCH($C97,Data!$A$1:$A$2000,0)),FALSE)</f>
        <v>9.9857686634970584</v>
      </c>
      <c r="AY97" s="103"/>
      <c r="AZ97" s="21"/>
    </row>
    <row r="98" spans="1:52">
      <c r="A98" s="56" t="str">
        <f>$D$1&amp;88</f>
        <v>SC88</v>
      </c>
      <c r="B98" s="57">
        <f>IF(ISERROR(VLOOKUP(A98,classifications!A:C,3,FALSE)),0,VLOOKUP(A98,classifications!A:C,3,FALSE))</f>
        <v>0</v>
      </c>
      <c r="C98" s="8" t="s">
        <v>230</v>
      </c>
      <c r="D98" s="26" t="str">
        <f>VLOOKUP($C98,classifications!$C:$J,4,FALSE)</f>
        <v>MD</v>
      </c>
      <c r="E98" s="26">
        <f>VLOOKUP(C98,classifications!C:K,9,FALSE)</f>
        <v>0</v>
      </c>
      <c r="F98" s="36">
        <f t="shared" si="26"/>
        <v>7.6398698929340165</v>
      </c>
      <c r="G98" s="71"/>
      <c r="H98" s="37" t="str">
        <f t="shared" si="27"/>
        <v/>
      </c>
      <c r="I98" s="77" t="str">
        <f>IF(H98="","",IF($I$8="A",(RANK(H98,H$11:H$368,1)+COUNTIF(H$11:H98,H98)-1),(RANK(H98,H$11:H$368)+COUNTIF(H$11:H98,H98)-1)))</f>
        <v/>
      </c>
      <c r="J98" s="35"/>
      <c r="K98" s="28" t="str">
        <f t="shared" si="35"/>
        <v/>
      </c>
      <c r="L98" s="36" t="str">
        <f t="shared" si="28"/>
        <v/>
      </c>
      <c r="M98" s="102" t="str">
        <f t="shared" si="36"/>
        <v/>
      </c>
      <c r="N98" s="101" t="str">
        <f t="shared" si="37"/>
        <v/>
      </c>
      <c r="O98" s="94" t="str">
        <f t="shared" si="29"/>
        <v/>
      </c>
      <c r="P98" s="94" t="str">
        <f t="shared" si="45"/>
        <v/>
      </c>
      <c r="Q98" s="94" t="str">
        <f t="shared" si="46"/>
        <v/>
      </c>
      <c r="R98" s="90" t="str">
        <f t="shared" si="47"/>
        <v/>
      </c>
      <c r="S98" s="37" t="str">
        <f t="shared" si="38"/>
        <v/>
      </c>
      <c r="T98" s="176" t="str">
        <f>IF(L98="","",VLOOKUP(L98,classifications!C:K,9,FALSE))</f>
        <v/>
      </c>
      <c r="U98" s="183" t="str">
        <f t="shared" si="30"/>
        <v/>
      </c>
      <c r="V98" s="184" t="str">
        <f>IF(U98="","",IF($I$8="A",(RANK(U98,U$11:U$368)+COUNTIF(U$11:U98,U98)-1),(RANK(U98,U$11:U$368,1)+COUNTIF(U$11:U98,U98)-1)))</f>
        <v/>
      </c>
      <c r="W98" s="185"/>
      <c r="X98" s="38" t="str">
        <f>IF(L98="","",VLOOKUP($L98,classifications!$C:$J,6,FALSE))</f>
        <v/>
      </c>
      <c r="Y98" s="26" t="b">
        <f t="shared" si="31"/>
        <v>0</v>
      </c>
      <c r="Z98" s="34" t="e">
        <f>IF(Y98="","",IF(I$8="A",(RANK(Y98,Y$11:Y$368,1)+COUNTIF(Y$11:Y98,Y98)-1),(RANK(Y98,Y$11:Y$368)+COUNTIF(Y$11:Y98,Y98)-1)))</f>
        <v>#N/A</v>
      </c>
      <c r="AA98" s="188" t="str">
        <f>IF(L98="","",VLOOKUP($L98,classifications!C:I,7,FALSE))</f>
        <v/>
      </c>
      <c r="AB98" s="184" t="str">
        <f t="shared" si="39"/>
        <v/>
      </c>
      <c r="AC98" s="184" t="str">
        <f>IF(AB98="","",IF($I$8="A",(RANK(AB98,AB$11:AB$368)+COUNTIF(AB$11:AB98,AB98)-1),(RANK(AB98,AB$11:AB$368,1)+COUNTIF(AB$11:AB98,AB98)-1)))</f>
        <v/>
      </c>
      <c r="AD98" s="184"/>
      <c r="AE98" s="28" t="str">
        <f t="shared" si="24"/>
        <v/>
      </c>
      <c r="AG98" s="96"/>
      <c r="AH98" s="29"/>
      <c r="AI98" s="38" t="str">
        <f>IF(L98="","",VLOOKUP($L98,classifications!$C:$J,8,FALSE))</f>
        <v/>
      </c>
      <c r="AJ98" s="39" t="str">
        <f t="shared" si="32"/>
        <v/>
      </c>
      <c r="AK98" s="34" t="str">
        <f>IF(AJ98="","",IF(I$8="A",(RANK(AJ98,AJ$11:AJ$368,1)+COUNTIF(AJ$11:AJ98,AJ98)-1),(RANK(AJ98,AJ$11:AJ$368)+COUNTIF(AJ$11:AJ98,AJ98)-1)))</f>
        <v/>
      </c>
      <c r="AL98" s="29" t="str">
        <f t="shared" si="40"/>
        <v/>
      </c>
      <c r="AM98" s="8" t="str">
        <f t="shared" si="33"/>
        <v/>
      </c>
      <c r="AN98" s="8" t="str">
        <f t="shared" si="41"/>
        <v/>
      </c>
      <c r="AP98" s="38" t="str">
        <f>IF(L98="","",VLOOKUP($L98,classifications!$C:$E,3,FALSE))</f>
        <v/>
      </c>
      <c r="AQ98" s="39" t="str">
        <f t="shared" si="42"/>
        <v/>
      </c>
      <c r="AR98" s="34" t="str">
        <f>IF(AQ98="","",IF(I$8="A",(RANK(AQ98,AQ$11:AQ$368,1)+COUNTIF(AQ$11:AQ98,AQ98)-1),(RANK(AQ98,AQ$11:AQ$368)+COUNTIF(AQ$11:AQ98,AQ98)-1)))</f>
        <v/>
      </c>
      <c r="AS98" s="29" t="str">
        <f t="shared" si="43"/>
        <v/>
      </c>
      <c r="AT98" s="34" t="str">
        <f t="shared" si="34"/>
        <v/>
      </c>
      <c r="AU98" s="39" t="str">
        <f t="shared" si="48"/>
        <v/>
      </c>
      <c r="AX98" s="21">
        <f>HLOOKUP($AX$9&amp;$AX$10,Data!$A$1:$ZZ$2000,(MATCH($C98,Data!$A$1:$A$2000,0)),FALSE)</f>
        <v>7.6398698929340165</v>
      </c>
      <c r="AY98" s="103"/>
      <c r="AZ98" s="21"/>
    </row>
    <row r="99" spans="1:52">
      <c r="A99" s="56" t="str">
        <f>$D$1&amp;89</f>
        <v>SC89</v>
      </c>
      <c r="B99" s="57">
        <f>IF(ISERROR(VLOOKUP(A99,classifications!A:C,3,FALSE)),0,VLOOKUP(A99,classifications!A:C,3,FALSE))</f>
        <v>0</v>
      </c>
      <c r="C99" s="8" t="s">
        <v>202</v>
      </c>
      <c r="D99" s="26" t="str">
        <f>VLOOKUP($C99,classifications!$C:$J,4,FALSE)</f>
        <v>L</v>
      </c>
      <c r="E99" s="26">
        <f>VLOOKUP(C99,classifications!C:K,9,FALSE)</f>
        <v>0</v>
      </c>
      <c r="F99" s="36">
        <f t="shared" si="26"/>
        <v>13.927509308210762</v>
      </c>
      <c r="G99" s="71"/>
      <c r="H99" s="37" t="str">
        <f t="shared" si="27"/>
        <v/>
      </c>
      <c r="I99" s="77" t="str">
        <f>IF(H99="","",IF($I$8="A",(RANK(H99,H$11:H$368,1)+COUNTIF(H$11:H99,H99)-1),(RANK(H99,H$11:H$368)+COUNTIF(H$11:H99,H99)-1)))</f>
        <v/>
      </c>
      <c r="J99" s="35"/>
      <c r="K99" s="28" t="str">
        <f t="shared" si="35"/>
        <v/>
      </c>
      <c r="L99" s="36" t="str">
        <f t="shared" si="28"/>
        <v/>
      </c>
      <c r="M99" s="102" t="str">
        <f t="shared" si="36"/>
        <v/>
      </c>
      <c r="N99" s="101" t="str">
        <f t="shared" si="37"/>
        <v/>
      </c>
      <c r="O99" s="94" t="str">
        <f t="shared" si="29"/>
        <v/>
      </c>
      <c r="P99" s="94" t="str">
        <f t="shared" si="45"/>
        <v/>
      </c>
      <c r="Q99" s="94" t="str">
        <f t="shared" si="46"/>
        <v/>
      </c>
      <c r="R99" s="90" t="str">
        <f t="shared" si="47"/>
        <v/>
      </c>
      <c r="S99" s="37" t="str">
        <f t="shared" si="38"/>
        <v/>
      </c>
      <c r="T99" s="176" t="str">
        <f>IF(L99="","",VLOOKUP(L99,classifications!C:K,9,FALSE))</f>
        <v/>
      </c>
      <c r="U99" s="183" t="str">
        <f t="shared" si="30"/>
        <v/>
      </c>
      <c r="V99" s="184" t="str">
        <f>IF(U99="","",IF($I$8="A",(RANK(U99,U$11:U$368)+COUNTIF(U$11:U99,U99)-1),(RANK(U99,U$11:U$368,1)+COUNTIF(U$11:U99,U99)-1)))</f>
        <v/>
      </c>
      <c r="W99" s="185"/>
      <c r="X99" s="38" t="str">
        <f>IF(L99="","",VLOOKUP($L99,classifications!$C:$J,6,FALSE))</f>
        <v/>
      </c>
      <c r="Y99" s="26" t="b">
        <f t="shared" si="31"/>
        <v>0</v>
      </c>
      <c r="Z99" s="34" t="e">
        <f>IF(Y99="","",IF(I$8="A",(RANK(Y99,Y$11:Y$368,1)+COUNTIF(Y$11:Y99,Y99)-1),(RANK(Y99,Y$11:Y$368)+COUNTIF(Y$11:Y99,Y99)-1)))</f>
        <v>#N/A</v>
      </c>
      <c r="AA99" s="188" t="str">
        <f>IF(L99="","",VLOOKUP($L99,classifications!C:I,7,FALSE))</f>
        <v/>
      </c>
      <c r="AB99" s="184" t="str">
        <f t="shared" si="39"/>
        <v/>
      </c>
      <c r="AC99" s="184" t="str">
        <f>IF(AB99="","",IF($I$8="A",(RANK(AB99,AB$11:AB$368)+COUNTIF(AB$11:AB99,AB99)-1),(RANK(AB99,AB$11:AB$368,1)+COUNTIF(AB$11:AB99,AB99)-1)))</f>
        <v/>
      </c>
      <c r="AD99" s="184"/>
      <c r="AE99" s="28" t="str">
        <f t="shared" ref="AE99:AE162" si="49">IF(AE98="","",IF(AE98+1&gt;(COUNT(AG:AG)),"",AE98+1))</f>
        <v/>
      </c>
      <c r="AG99" s="96"/>
      <c r="AH99" s="29"/>
      <c r="AI99" s="38" t="str">
        <f>IF(L99="","",VLOOKUP($L99,classifications!$C:$J,8,FALSE))</f>
        <v/>
      </c>
      <c r="AJ99" s="39" t="str">
        <f t="shared" si="32"/>
        <v/>
      </c>
      <c r="AK99" s="34" t="str">
        <f>IF(AJ99="","",IF(I$8="A",(RANK(AJ99,AJ$11:AJ$368,1)+COUNTIF(AJ$11:AJ99,AJ99)-1),(RANK(AJ99,AJ$11:AJ$368)+COUNTIF(AJ$11:AJ99,AJ99)-1)))</f>
        <v/>
      </c>
      <c r="AL99" s="29" t="str">
        <f t="shared" si="40"/>
        <v/>
      </c>
      <c r="AM99" s="8" t="str">
        <f t="shared" si="33"/>
        <v/>
      </c>
      <c r="AN99" s="8" t="str">
        <f t="shared" si="41"/>
        <v/>
      </c>
      <c r="AP99" s="38" t="str">
        <f>IF(L99="","",VLOOKUP($L99,classifications!$C:$E,3,FALSE))</f>
        <v/>
      </c>
      <c r="AQ99" s="39" t="str">
        <f t="shared" si="42"/>
        <v/>
      </c>
      <c r="AR99" s="34" t="str">
        <f>IF(AQ99="","",IF(I$8="A",(RANK(AQ99,AQ$11:AQ$368,1)+COUNTIF(AQ$11:AQ99,AQ99)-1),(RANK(AQ99,AQ$11:AQ$368)+COUNTIF(AQ$11:AQ99,AQ99)-1)))</f>
        <v/>
      </c>
      <c r="AS99" s="29" t="str">
        <f t="shared" si="43"/>
        <v/>
      </c>
      <c r="AT99" s="34" t="str">
        <f t="shared" si="34"/>
        <v/>
      </c>
      <c r="AU99" s="39" t="str">
        <f t="shared" si="48"/>
        <v/>
      </c>
      <c r="AX99" s="21">
        <f>HLOOKUP($AX$9&amp;$AX$10,Data!$A$1:$ZZ$2000,(MATCH($C99,Data!$A$1:$A$2000,0)),FALSE)</f>
        <v>13.927509308210762</v>
      </c>
      <c r="AY99" s="103"/>
      <c r="AZ99" s="21"/>
    </row>
    <row r="100" spans="1:52">
      <c r="A100" s="56" t="str">
        <f>$D$1&amp;90</f>
        <v>SC90</v>
      </c>
      <c r="B100" s="57">
        <f>IF(ISERROR(VLOOKUP(A100,classifications!A:C,3,FALSE)),0,VLOOKUP(A100,classifications!A:C,3,FALSE))</f>
        <v>0</v>
      </c>
      <c r="C100" s="8" t="s">
        <v>52</v>
      </c>
      <c r="D100" s="26" t="str">
        <f>VLOOKUP($C100,classifications!$C:$J,4,FALSE)</f>
        <v>SD</v>
      </c>
      <c r="E100" s="26" t="str">
        <f>VLOOKUP(C100,classifications!C:K,9,FALSE)</f>
        <v>Sparse</v>
      </c>
      <c r="F100" s="36">
        <f t="shared" si="26"/>
        <v>25.915533131882306</v>
      </c>
      <c r="G100" s="71"/>
      <c r="H100" s="37" t="str">
        <f t="shared" si="27"/>
        <v/>
      </c>
      <c r="I100" s="77" t="str">
        <f>IF(H100="","",IF($I$8="A",(RANK(H100,H$11:H$368,1)+COUNTIF(H$11:H100,H100)-1),(RANK(H100,H$11:H$368)+COUNTIF(H$11:H100,H100)-1)))</f>
        <v/>
      </c>
      <c r="J100" s="35"/>
      <c r="K100" s="28" t="str">
        <f t="shared" si="35"/>
        <v/>
      </c>
      <c r="L100" s="36" t="str">
        <f t="shared" si="28"/>
        <v/>
      </c>
      <c r="M100" s="102" t="str">
        <f t="shared" si="36"/>
        <v/>
      </c>
      <c r="N100" s="101" t="str">
        <f t="shared" si="37"/>
        <v/>
      </c>
      <c r="O100" s="94" t="str">
        <f t="shared" si="29"/>
        <v/>
      </c>
      <c r="P100" s="94" t="str">
        <f t="shared" si="45"/>
        <v/>
      </c>
      <c r="Q100" s="94" t="str">
        <f t="shared" si="46"/>
        <v/>
      </c>
      <c r="R100" s="90" t="str">
        <f t="shared" si="47"/>
        <v/>
      </c>
      <c r="S100" s="37" t="str">
        <f t="shared" si="38"/>
        <v/>
      </c>
      <c r="T100" s="176" t="str">
        <f>IF(L100="","",VLOOKUP(L100,classifications!C:K,9,FALSE))</f>
        <v/>
      </c>
      <c r="U100" s="183" t="str">
        <f t="shared" si="30"/>
        <v/>
      </c>
      <c r="V100" s="184" t="str">
        <f>IF(U100="","",IF($I$8="A",(RANK(U100,U$11:U$368)+COUNTIF(U$11:U100,U100)-1),(RANK(U100,U$11:U$368,1)+COUNTIF(U$11:U100,U100)-1)))</f>
        <v/>
      </c>
      <c r="W100" s="185"/>
      <c r="X100" s="38" t="str">
        <f>IF(L100="","",VLOOKUP($L100,classifications!$C:$J,6,FALSE))</f>
        <v/>
      </c>
      <c r="Y100" s="26" t="b">
        <f t="shared" si="31"/>
        <v>0</v>
      </c>
      <c r="Z100" s="34" t="e">
        <f>IF(Y100="","",IF(I$8="A",(RANK(Y100,Y$11:Y$368,1)+COUNTIF(Y$11:Y100,Y100)-1),(RANK(Y100,Y$11:Y$368)+COUNTIF(Y$11:Y100,Y100)-1)))</f>
        <v>#N/A</v>
      </c>
      <c r="AA100" s="188" t="str">
        <f>IF(L100="","",VLOOKUP($L100,classifications!C:I,7,FALSE))</f>
        <v/>
      </c>
      <c r="AB100" s="184" t="str">
        <f t="shared" si="39"/>
        <v/>
      </c>
      <c r="AC100" s="184" t="str">
        <f>IF(AB100="","",IF($I$8="A",(RANK(AB100,AB$11:AB$368)+COUNTIF(AB$11:AB100,AB100)-1),(RANK(AB100,AB$11:AB$368,1)+COUNTIF(AB$11:AB100,AB100)-1)))</f>
        <v/>
      </c>
      <c r="AD100" s="184"/>
      <c r="AE100" s="28" t="str">
        <f t="shared" si="49"/>
        <v/>
      </c>
      <c r="AG100" s="96"/>
      <c r="AH100" s="29"/>
      <c r="AI100" s="38" t="str">
        <f>IF(L100="","",VLOOKUP($L100,classifications!$C:$J,8,FALSE))</f>
        <v/>
      </c>
      <c r="AJ100" s="39" t="str">
        <f t="shared" si="32"/>
        <v/>
      </c>
      <c r="AK100" s="34" t="str">
        <f>IF(AJ100="","",IF(I$8="A",(RANK(AJ100,AJ$11:AJ$368,1)+COUNTIF(AJ$11:AJ100,AJ100)-1),(RANK(AJ100,AJ$11:AJ$368)+COUNTIF(AJ$11:AJ100,AJ100)-1)))</f>
        <v/>
      </c>
      <c r="AL100" s="29" t="str">
        <f t="shared" si="40"/>
        <v/>
      </c>
      <c r="AM100" s="8" t="str">
        <f t="shared" si="33"/>
        <v/>
      </c>
      <c r="AN100" s="8" t="str">
        <f t="shared" si="41"/>
        <v/>
      </c>
      <c r="AP100" s="38" t="str">
        <f>IF(L100="","",VLOOKUP($L100,classifications!$C:$E,3,FALSE))</f>
        <v/>
      </c>
      <c r="AQ100" s="39" t="str">
        <f t="shared" si="42"/>
        <v/>
      </c>
      <c r="AR100" s="34" t="str">
        <f>IF(AQ100="","",IF(I$8="A",(RANK(AQ100,AQ$11:AQ$368,1)+COUNTIF(AQ$11:AQ100,AQ100)-1),(RANK(AQ100,AQ$11:AQ$368)+COUNTIF(AQ$11:AQ100,AQ100)-1)))</f>
        <v/>
      </c>
      <c r="AS100" s="29" t="str">
        <f t="shared" si="43"/>
        <v/>
      </c>
      <c r="AT100" s="34" t="str">
        <f t="shared" si="34"/>
        <v/>
      </c>
      <c r="AU100" s="39" t="str">
        <f t="shared" si="48"/>
        <v/>
      </c>
      <c r="AX100" s="21">
        <f>HLOOKUP($AX$9&amp;$AX$10,Data!$A$1:$ZZ$2000,(MATCH($C100,Data!$A$1:$A$2000,0)),FALSE)</f>
        <v>25.915533131882306</v>
      </c>
      <c r="AY100" s="103"/>
      <c r="AZ100" s="21"/>
    </row>
    <row r="101" spans="1:52">
      <c r="A101" s="56" t="str">
        <f>$D$1&amp;91</f>
        <v>SC91</v>
      </c>
      <c r="B101" s="57">
        <f>IF(ISERROR(VLOOKUP(A101,classifications!A:C,3,FALSE)),0,VLOOKUP(A101,classifications!A:C,3,FALSE))</f>
        <v>0</v>
      </c>
      <c r="C101" s="8" t="s">
        <v>53</v>
      </c>
      <c r="D101" s="26" t="str">
        <f>VLOOKUP($C101,classifications!$C:$J,4,FALSE)</f>
        <v>SD</v>
      </c>
      <c r="E101" s="26" t="str">
        <f>VLOOKUP(C101,classifications!C:K,9,FALSE)</f>
        <v>Sparse</v>
      </c>
      <c r="F101" s="36">
        <f t="shared" si="26"/>
        <v>18.572474285437107</v>
      </c>
      <c r="G101" s="71"/>
      <c r="H101" s="37" t="str">
        <f t="shared" si="27"/>
        <v/>
      </c>
      <c r="I101" s="77" t="str">
        <f>IF(H101="","",IF($I$8="A",(RANK(H101,H$11:H$368,1)+COUNTIF(H$11:H101,H101)-1),(RANK(H101,H$11:H$368)+COUNTIF(H$11:H101,H101)-1)))</f>
        <v/>
      </c>
      <c r="J101" s="35"/>
      <c r="K101" s="28" t="str">
        <f t="shared" si="35"/>
        <v/>
      </c>
      <c r="L101" s="36" t="str">
        <f t="shared" si="28"/>
        <v/>
      </c>
      <c r="M101" s="102" t="str">
        <f t="shared" si="36"/>
        <v/>
      </c>
      <c r="N101" s="101" t="str">
        <f t="shared" si="37"/>
        <v/>
      </c>
      <c r="O101" s="94" t="str">
        <f t="shared" si="29"/>
        <v/>
      </c>
      <c r="P101" s="94" t="str">
        <f t="shared" si="45"/>
        <v/>
      </c>
      <c r="Q101" s="94" t="str">
        <f t="shared" si="46"/>
        <v/>
      </c>
      <c r="R101" s="90" t="str">
        <f t="shared" si="47"/>
        <v/>
      </c>
      <c r="S101" s="37" t="str">
        <f t="shared" si="38"/>
        <v/>
      </c>
      <c r="T101" s="176" t="str">
        <f>IF(L101="","",VLOOKUP(L101,classifications!C:K,9,FALSE))</f>
        <v/>
      </c>
      <c r="U101" s="183" t="str">
        <f t="shared" si="30"/>
        <v/>
      </c>
      <c r="V101" s="184" t="str">
        <f>IF(U101="","",IF($I$8="A",(RANK(U101,U$11:U$368)+COUNTIF(U$11:U101,U101)-1),(RANK(U101,U$11:U$368,1)+COUNTIF(U$11:U101,U101)-1)))</f>
        <v/>
      </c>
      <c r="W101" s="185"/>
      <c r="X101" s="38" t="str">
        <f>IF(L101="","",VLOOKUP($L101,classifications!$C:$J,6,FALSE))</f>
        <v/>
      </c>
      <c r="Y101" s="26" t="b">
        <f t="shared" si="31"/>
        <v>0</v>
      </c>
      <c r="Z101" s="34" t="e">
        <f>IF(Y101="","",IF(I$8="A",(RANK(Y101,Y$11:Y$368,1)+COUNTIF(Y$11:Y101,Y101)-1),(RANK(Y101,Y$11:Y$368)+COUNTIF(Y$11:Y101,Y101)-1)))</f>
        <v>#N/A</v>
      </c>
      <c r="AA101" s="188" t="str">
        <f>IF(L101="","",VLOOKUP($L101,classifications!C:I,7,FALSE))</f>
        <v/>
      </c>
      <c r="AB101" s="184" t="str">
        <f t="shared" si="39"/>
        <v/>
      </c>
      <c r="AC101" s="184" t="str">
        <f>IF(AB101="","",IF($I$8="A",(RANK(AB101,AB$11:AB$368)+COUNTIF(AB$11:AB101,AB101)-1),(RANK(AB101,AB$11:AB$368,1)+COUNTIF(AB$11:AB101,AB101)-1)))</f>
        <v/>
      </c>
      <c r="AD101" s="184"/>
      <c r="AE101" s="28" t="str">
        <f t="shared" si="49"/>
        <v/>
      </c>
      <c r="AG101" s="96"/>
      <c r="AH101" s="29"/>
      <c r="AI101" s="38" t="str">
        <f>IF(L101="","",VLOOKUP($L101,classifications!$C:$J,8,FALSE))</f>
        <v/>
      </c>
      <c r="AJ101" s="39" t="str">
        <f t="shared" si="32"/>
        <v/>
      </c>
      <c r="AK101" s="34" t="str">
        <f>IF(AJ101="","",IF(I$8="A",(RANK(AJ101,AJ$11:AJ$368,1)+COUNTIF(AJ$11:AJ101,AJ101)-1),(RANK(AJ101,AJ$11:AJ$368)+COUNTIF(AJ$11:AJ101,AJ101)-1)))</f>
        <v/>
      </c>
      <c r="AL101" s="29" t="str">
        <f t="shared" si="40"/>
        <v/>
      </c>
      <c r="AM101" s="8" t="str">
        <f t="shared" si="33"/>
        <v/>
      </c>
      <c r="AN101" s="8" t="str">
        <f t="shared" si="41"/>
        <v/>
      </c>
      <c r="AP101" s="38" t="str">
        <f>IF(L101="","",VLOOKUP($L101,classifications!$C:$E,3,FALSE))</f>
        <v/>
      </c>
      <c r="AQ101" s="39" t="str">
        <f t="shared" si="42"/>
        <v/>
      </c>
      <c r="AR101" s="34" t="str">
        <f>IF(AQ101="","",IF(I$8="A",(RANK(AQ101,AQ$11:AQ$368,1)+COUNTIF(AQ$11:AQ101,AQ101)-1),(RANK(AQ101,AQ$11:AQ$368)+COUNTIF(AQ$11:AQ101,AQ101)-1)))</f>
        <v/>
      </c>
      <c r="AS101" s="29" t="str">
        <f t="shared" si="43"/>
        <v/>
      </c>
      <c r="AT101" s="34" t="str">
        <f t="shared" si="34"/>
        <v/>
      </c>
      <c r="AU101" s="39" t="str">
        <f t="shared" si="48"/>
        <v/>
      </c>
      <c r="AX101" s="21">
        <f>HLOOKUP($AX$9&amp;$AX$10,Data!$A$1:$ZZ$2000,(MATCH($C101,Data!$A$1:$A$2000,0)),FALSE)</f>
        <v>18.572474285437107</v>
      </c>
      <c r="AY101" s="103"/>
      <c r="AZ101" s="21"/>
    </row>
    <row r="102" spans="1:52">
      <c r="A102" s="56" t="str">
        <f>$D$1&amp;92</f>
        <v>SC92</v>
      </c>
      <c r="B102" s="57">
        <f>IF(ISERROR(VLOOKUP(A102,classifications!A:C,3,FALSE)),0,VLOOKUP(A102,classifications!A:C,3,FALSE))</f>
        <v>0</v>
      </c>
      <c r="C102" s="8" t="s">
        <v>54</v>
      </c>
      <c r="D102" s="26" t="str">
        <f>VLOOKUP($C102,classifications!$C:$J,4,FALSE)</f>
        <v>SD</v>
      </c>
      <c r="E102" s="26">
        <f>VLOOKUP(C102,classifications!C:K,9,FALSE)</f>
        <v>0</v>
      </c>
      <c r="F102" s="36">
        <f t="shared" si="26"/>
        <v>0</v>
      </c>
      <c r="G102" s="71"/>
      <c r="H102" s="37" t="str">
        <f t="shared" si="27"/>
        <v/>
      </c>
      <c r="I102" s="77" t="str">
        <f>IF(H102="","",IF($I$8="A",(RANK(H102,H$11:H$368,1)+COUNTIF(H$11:H102,H102)-1),(RANK(H102,H$11:H$368)+COUNTIF(H$11:H102,H102)-1)))</f>
        <v/>
      </c>
      <c r="J102" s="35"/>
      <c r="K102" s="28" t="str">
        <f t="shared" si="35"/>
        <v/>
      </c>
      <c r="L102" s="36" t="str">
        <f t="shared" si="28"/>
        <v/>
      </c>
      <c r="M102" s="102" t="str">
        <f t="shared" si="36"/>
        <v/>
      </c>
      <c r="N102" s="101" t="str">
        <f t="shared" si="37"/>
        <v/>
      </c>
      <c r="O102" s="94" t="str">
        <f t="shared" si="29"/>
        <v/>
      </c>
      <c r="P102" s="94" t="str">
        <f t="shared" si="45"/>
        <v/>
      </c>
      <c r="Q102" s="94" t="str">
        <f t="shared" si="46"/>
        <v/>
      </c>
      <c r="R102" s="90" t="str">
        <f t="shared" si="47"/>
        <v/>
      </c>
      <c r="S102" s="37" t="str">
        <f t="shared" si="38"/>
        <v/>
      </c>
      <c r="T102" s="176" t="str">
        <f>IF(L102="","",VLOOKUP(L102,classifications!C:K,9,FALSE))</f>
        <v/>
      </c>
      <c r="U102" s="183" t="str">
        <f t="shared" si="30"/>
        <v/>
      </c>
      <c r="V102" s="184" t="str">
        <f>IF(U102="","",IF($I$8="A",(RANK(U102,U$11:U$368)+COUNTIF(U$11:U102,U102)-1),(RANK(U102,U$11:U$368,1)+COUNTIF(U$11:U102,U102)-1)))</f>
        <v/>
      </c>
      <c r="W102" s="185"/>
      <c r="X102" s="38" t="str">
        <f>IF(L102="","",VLOOKUP($L102,classifications!$C:$J,6,FALSE))</f>
        <v/>
      </c>
      <c r="Y102" s="26" t="b">
        <f t="shared" si="31"/>
        <v>0</v>
      </c>
      <c r="Z102" s="34" t="e">
        <f>IF(Y102="","",IF(I$8="A",(RANK(Y102,Y$11:Y$368,1)+COUNTIF(Y$11:Y102,Y102)-1),(RANK(Y102,Y$11:Y$368)+COUNTIF(Y$11:Y102,Y102)-1)))</f>
        <v>#N/A</v>
      </c>
      <c r="AA102" s="188" t="str">
        <f>IF(L102="","",VLOOKUP($L102,classifications!C:I,7,FALSE))</f>
        <v/>
      </c>
      <c r="AB102" s="184" t="str">
        <f t="shared" si="39"/>
        <v/>
      </c>
      <c r="AC102" s="184" t="str">
        <f>IF(AB102="","",IF($I$8="A",(RANK(AB102,AB$11:AB$368)+COUNTIF(AB$11:AB102,AB102)-1),(RANK(AB102,AB$11:AB$368,1)+COUNTIF(AB$11:AB102,AB102)-1)))</f>
        <v/>
      </c>
      <c r="AD102" s="184"/>
      <c r="AE102" s="28" t="str">
        <f t="shared" si="49"/>
        <v/>
      </c>
      <c r="AG102" s="96"/>
      <c r="AH102" s="29"/>
      <c r="AI102" s="38" t="str">
        <f>IF(L102="","",VLOOKUP($L102,classifications!$C:$J,8,FALSE))</f>
        <v/>
      </c>
      <c r="AJ102" s="39" t="str">
        <f t="shared" si="32"/>
        <v/>
      </c>
      <c r="AK102" s="34" t="str">
        <f>IF(AJ102="","",IF(I$8="A",(RANK(AJ102,AJ$11:AJ$368,1)+COUNTIF(AJ$11:AJ102,AJ102)-1),(RANK(AJ102,AJ$11:AJ$368)+COUNTIF(AJ$11:AJ102,AJ102)-1)))</f>
        <v/>
      </c>
      <c r="AL102" s="29" t="str">
        <f t="shared" si="40"/>
        <v/>
      </c>
      <c r="AM102" s="8" t="str">
        <f t="shared" si="33"/>
        <v/>
      </c>
      <c r="AN102" s="8" t="str">
        <f t="shared" si="41"/>
        <v/>
      </c>
      <c r="AP102" s="38" t="str">
        <f>IF(L102="","",VLOOKUP($L102,classifications!$C:$E,3,FALSE))</f>
        <v/>
      </c>
      <c r="AQ102" s="39" t="str">
        <f t="shared" si="42"/>
        <v/>
      </c>
      <c r="AR102" s="34" t="str">
        <f>IF(AQ102="","",IF(I$8="A",(RANK(AQ102,AQ$11:AQ$368,1)+COUNTIF(AQ$11:AQ102,AQ102)-1),(RANK(AQ102,AQ$11:AQ$368)+COUNTIF(AQ$11:AQ102,AQ102)-1)))</f>
        <v/>
      </c>
      <c r="AS102" s="29" t="str">
        <f t="shared" si="43"/>
        <v/>
      </c>
      <c r="AT102" s="34" t="str">
        <f t="shared" si="34"/>
        <v/>
      </c>
      <c r="AU102" s="39" t="str">
        <f t="shared" si="48"/>
        <v/>
      </c>
      <c r="AX102" s="21">
        <f>HLOOKUP($AX$9&amp;$AX$10,Data!$A$1:$ZZ$2000,(MATCH($C102,Data!$A$1:$A$2000,0)),FALSE)</f>
        <v>0</v>
      </c>
      <c r="AY102" s="103"/>
      <c r="AZ102" s="21"/>
    </row>
    <row r="103" spans="1:52">
      <c r="A103" s="56" t="str">
        <f>$D$1&amp;93</f>
        <v>SC93</v>
      </c>
      <c r="B103" s="57">
        <f>IF(ISERROR(VLOOKUP(A103,classifications!A:C,3,FALSE)),0,VLOOKUP(A103,classifications!A:C,3,FALSE))</f>
        <v>0</v>
      </c>
      <c r="C103" s="8" t="s">
        <v>55</v>
      </c>
      <c r="D103" s="26" t="str">
        <f>VLOOKUP($C103,classifications!$C:$J,4,FALSE)</f>
        <v>SD</v>
      </c>
      <c r="E103" s="26">
        <f>VLOOKUP(C103,classifications!C:K,9,FALSE)</f>
        <v>0</v>
      </c>
      <c r="F103" s="36">
        <f t="shared" si="26"/>
        <v>15.288633696193148</v>
      </c>
      <c r="G103" s="71"/>
      <c r="H103" s="37" t="str">
        <f t="shared" si="27"/>
        <v/>
      </c>
      <c r="I103" s="77" t="str">
        <f>IF(H103="","",IF($I$8="A",(RANK(H103,H$11:H$368,1)+COUNTIF(H$11:H103,H103)-1),(RANK(H103,H$11:H$368)+COUNTIF(H$11:H103,H103)-1)))</f>
        <v/>
      </c>
      <c r="J103" s="35"/>
      <c r="K103" s="28" t="str">
        <f t="shared" si="35"/>
        <v/>
      </c>
      <c r="L103" s="36" t="str">
        <f t="shared" si="28"/>
        <v/>
      </c>
      <c r="M103" s="102" t="str">
        <f t="shared" si="36"/>
        <v/>
      </c>
      <c r="N103" s="101" t="str">
        <f t="shared" si="37"/>
        <v/>
      </c>
      <c r="O103" s="94" t="str">
        <f t="shared" si="29"/>
        <v/>
      </c>
      <c r="P103" s="94" t="str">
        <f t="shared" si="45"/>
        <v/>
      </c>
      <c r="Q103" s="94" t="str">
        <f t="shared" si="46"/>
        <v/>
      </c>
      <c r="R103" s="90" t="str">
        <f t="shared" si="47"/>
        <v/>
      </c>
      <c r="S103" s="37" t="str">
        <f t="shared" si="38"/>
        <v/>
      </c>
      <c r="T103" s="176" t="str">
        <f>IF(L103="","",VLOOKUP(L103,classifications!C:K,9,FALSE))</f>
        <v/>
      </c>
      <c r="U103" s="183" t="str">
        <f t="shared" si="30"/>
        <v/>
      </c>
      <c r="V103" s="184" t="str">
        <f>IF(U103="","",IF($I$8="A",(RANK(U103,U$11:U$368)+COUNTIF(U$11:U103,U103)-1),(RANK(U103,U$11:U$368,1)+COUNTIF(U$11:U103,U103)-1)))</f>
        <v/>
      </c>
      <c r="W103" s="185"/>
      <c r="X103" s="38" t="str">
        <f>IF(L103="","",VLOOKUP($L103,classifications!$C:$J,6,FALSE))</f>
        <v/>
      </c>
      <c r="Y103" s="26" t="b">
        <f t="shared" si="31"/>
        <v>0</v>
      </c>
      <c r="Z103" s="34" t="e">
        <f>IF(Y103="","",IF(I$8="A",(RANK(Y103,Y$11:Y$368,1)+COUNTIF(Y$11:Y103,Y103)-1),(RANK(Y103,Y$11:Y$368)+COUNTIF(Y$11:Y103,Y103)-1)))</f>
        <v>#N/A</v>
      </c>
      <c r="AA103" s="188" t="str">
        <f>IF(L103="","",VLOOKUP($L103,classifications!C:I,7,FALSE))</f>
        <v/>
      </c>
      <c r="AB103" s="184" t="str">
        <f t="shared" si="39"/>
        <v/>
      </c>
      <c r="AC103" s="184" t="str">
        <f>IF(AB103="","",IF($I$8="A",(RANK(AB103,AB$11:AB$368)+COUNTIF(AB$11:AB103,AB103)-1),(RANK(AB103,AB$11:AB$368,1)+COUNTIF(AB$11:AB103,AB103)-1)))</f>
        <v/>
      </c>
      <c r="AD103" s="184"/>
      <c r="AE103" s="28" t="str">
        <f t="shared" si="49"/>
        <v/>
      </c>
      <c r="AG103" s="96"/>
      <c r="AH103" s="29"/>
      <c r="AI103" s="38" t="str">
        <f>IF(L103="","",VLOOKUP($L103,classifications!$C:$J,8,FALSE))</f>
        <v/>
      </c>
      <c r="AJ103" s="39" t="str">
        <f t="shared" si="32"/>
        <v/>
      </c>
      <c r="AK103" s="34" t="str">
        <f>IF(AJ103="","",IF(I$8="A",(RANK(AJ103,AJ$11:AJ$368,1)+COUNTIF(AJ$11:AJ103,AJ103)-1),(RANK(AJ103,AJ$11:AJ$368)+COUNTIF(AJ$11:AJ103,AJ103)-1)))</f>
        <v/>
      </c>
      <c r="AL103" s="29" t="str">
        <f t="shared" si="40"/>
        <v/>
      </c>
      <c r="AM103" s="8" t="str">
        <f t="shared" si="33"/>
        <v/>
      </c>
      <c r="AN103" s="8" t="str">
        <f t="shared" si="41"/>
        <v/>
      </c>
      <c r="AP103" s="38" t="str">
        <f>IF(L103="","",VLOOKUP($L103,classifications!$C:$E,3,FALSE))</f>
        <v/>
      </c>
      <c r="AQ103" s="39" t="str">
        <f t="shared" si="42"/>
        <v/>
      </c>
      <c r="AR103" s="34" t="str">
        <f>IF(AQ103="","",IF(I$8="A",(RANK(AQ103,AQ$11:AQ$368,1)+COUNTIF(AQ$11:AQ103,AQ103)-1),(RANK(AQ103,AQ$11:AQ$368)+COUNTIF(AQ$11:AQ103,AQ103)-1)))</f>
        <v/>
      </c>
      <c r="AS103" s="29" t="str">
        <f t="shared" si="43"/>
        <v/>
      </c>
      <c r="AT103" s="34" t="str">
        <f t="shared" si="34"/>
        <v/>
      </c>
      <c r="AU103" s="39" t="str">
        <f t="shared" si="48"/>
        <v/>
      </c>
      <c r="AX103" s="21">
        <f>HLOOKUP($AX$9&amp;$AX$10,Data!$A$1:$ZZ$2000,(MATCH($C103,Data!$A$1:$A$2000,0)),FALSE)</f>
        <v>15.288633696193148</v>
      </c>
      <c r="AY103" s="103"/>
      <c r="AZ103" s="21"/>
    </row>
    <row r="104" spans="1:52">
      <c r="A104" s="56" t="str">
        <f>$D$1&amp;94</f>
        <v>SC94</v>
      </c>
      <c r="B104" s="57">
        <f>IF(ISERROR(VLOOKUP(A104,classifications!A:C,3,FALSE)),0,VLOOKUP(A104,classifications!A:C,3,FALSE))</f>
        <v>0</v>
      </c>
      <c r="C104" s="8" t="s">
        <v>56</v>
      </c>
      <c r="D104" s="26" t="str">
        <f>VLOOKUP($C104,classifications!$C:$J,4,FALSE)</f>
        <v>SD</v>
      </c>
      <c r="E104" s="26" t="str">
        <f>VLOOKUP(C104,classifications!C:K,9,FALSE)</f>
        <v>Sparse</v>
      </c>
      <c r="F104" s="36">
        <f t="shared" si="26"/>
        <v>17.63569429600161</v>
      </c>
      <c r="G104" s="71"/>
      <c r="H104" s="37" t="str">
        <f t="shared" si="27"/>
        <v/>
      </c>
      <c r="I104" s="77" t="str">
        <f>IF(H104="","",IF($I$8="A",(RANK(H104,H$11:H$368,1)+COUNTIF(H$11:H104,H104)-1),(RANK(H104,H$11:H$368)+COUNTIF(H$11:H104,H104)-1)))</f>
        <v/>
      </c>
      <c r="J104" s="35"/>
      <c r="K104" s="28" t="str">
        <f t="shared" si="35"/>
        <v/>
      </c>
      <c r="L104" s="36" t="str">
        <f t="shared" si="28"/>
        <v/>
      </c>
      <c r="M104" s="102" t="str">
        <f t="shared" si="36"/>
        <v/>
      </c>
      <c r="N104" s="101" t="str">
        <f t="shared" si="37"/>
        <v/>
      </c>
      <c r="O104" s="94" t="str">
        <f t="shared" si="29"/>
        <v/>
      </c>
      <c r="P104" s="94" t="str">
        <f t="shared" si="45"/>
        <v/>
      </c>
      <c r="Q104" s="94" t="str">
        <f t="shared" si="46"/>
        <v/>
      </c>
      <c r="R104" s="90" t="str">
        <f t="shared" si="47"/>
        <v/>
      </c>
      <c r="S104" s="37" t="str">
        <f t="shared" si="38"/>
        <v/>
      </c>
      <c r="T104" s="176" t="str">
        <f>IF(L104="","",VLOOKUP(L104,classifications!C:K,9,FALSE))</f>
        <v/>
      </c>
      <c r="U104" s="183" t="str">
        <f t="shared" si="30"/>
        <v/>
      </c>
      <c r="V104" s="184" t="str">
        <f>IF(U104="","",IF($I$8="A",(RANK(U104,U$11:U$368)+COUNTIF(U$11:U104,U104)-1),(RANK(U104,U$11:U$368,1)+COUNTIF(U$11:U104,U104)-1)))</f>
        <v/>
      </c>
      <c r="W104" s="185"/>
      <c r="X104" s="38" t="str">
        <f>IF(L104="","",VLOOKUP($L104,classifications!$C:$J,6,FALSE))</f>
        <v/>
      </c>
      <c r="Y104" s="26" t="b">
        <f t="shared" si="31"/>
        <v>0</v>
      </c>
      <c r="Z104" s="34" t="e">
        <f>IF(Y104="","",IF(I$8="A",(RANK(Y104,Y$11:Y$368,1)+COUNTIF(Y$11:Y104,Y104)-1),(RANK(Y104,Y$11:Y$368)+COUNTIF(Y$11:Y104,Y104)-1)))</f>
        <v>#N/A</v>
      </c>
      <c r="AA104" s="188" t="str">
        <f>IF(L104="","",VLOOKUP($L104,classifications!C:I,7,FALSE))</f>
        <v/>
      </c>
      <c r="AB104" s="184" t="str">
        <f t="shared" si="39"/>
        <v/>
      </c>
      <c r="AC104" s="184" t="str">
        <f>IF(AB104="","",IF($I$8="A",(RANK(AB104,AB$11:AB$368)+COUNTIF(AB$11:AB104,AB104)-1),(RANK(AB104,AB$11:AB$368,1)+COUNTIF(AB$11:AB104,AB104)-1)))</f>
        <v/>
      </c>
      <c r="AD104" s="184"/>
      <c r="AE104" s="28" t="str">
        <f t="shared" si="49"/>
        <v/>
      </c>
      <c r="AG104" s="96"/>
      <c r="AH104" s="29"/>
      <c r="AI104" s="38" t="str">
        <f>IF(L104="","",VLOOKUP($L104,classifications!$C:$J,8,FALSE))</f>
        <v/>
      </c>
      <c r="AJ104" s="39" t="str">
        <f t="shared" si="32"/>
        <v/>
      </c>
      <c r="AK104" s="34" t="str">
        <f>IF(AJ104="","",IF(I$8="A",(RANK(AJ104,AJ$11:AJ$368,1)+COUNTIF(AJ$11:AJ104,AJ104)-1),(RANK(AJ104,AJ$11:AJ$368)+COUNTIF(AJ$11:AJ104,AJ104)-1)))</f>
        <v/>
      </c>
      <c r="AL104" s="29" t="str">
        <f t="shared" si="40"/>
        <v/>
      </c>
      <c r="AM104" s="8" t="str">
        <f t="shared" si="33"/>
        <v/>
      </c>
      <c r="AN104" s="8" t="str">
        <f t="shared" si="41"/>
        <v/>
      </c>
      <c r="AP104" s="38" t="str">
        <f>IF(L104="","",VLOOKUP($L104,classifications!$C:$E,3,FALSE))</f>
        <v/>
      </c>
      <c r="AQ104" s="39" t="str">
        <f t="shared" si="42"/>
        <v/>
      </c>
      <c r="AR104" s="34" t="str">
        <f>IF(AQ104="","",IF(I$8="A",(RANK(AQ104,AQ$11:AQ$368,1)+COUNTIF(AQ$11:AQ104,AQ104)-1),(RANK(AQ104,AQ$11:AQ$368)+COUNTIF(AQ$11:AQ104,AQ104)-1)))</f>
        <v/>
      </c>
      <c r="AS104" s="29" t="str">
        <f t="shared" si="43"/>
        <v/>
      </c>
      <c r="AT104" s="34" t="str">
        <f t="shared" si="34"/>
        <v/>
      </c>
      <c r="AU104" s="39" t="str">
        <f t="shared" si="48"/>
        <v/>
      </c>
      <c r="AX104" s="21">
        <f>HLOOKUP($AX$9&amp;$AX$10,Data!$A$1:$ZZ$2000,(MATCH($C104,Data!$A$1:$A$2000,0)),FALSE)</f>
        <v>17.63569429600161</v>
      </c>
      <c r="AY104" s="103"/>
      <c r="AZ104" s="21"/>
    </row>
    <row r="105" spans="1:52">
      <c r="A105" s="56" t="str">
        <f>$D$1&amp;95</f>
        <v>SC95</v>
      </c>
      <c r="B105" s="57">
        <f>IF(ISERROR(VLOOKUP(A105,classifications!A:C,3,FALSE)),0,VLOOKUP(A105,classifications!A:C,3,FALSE))</f>
        <v>0</v>
      </c>
      <c r="C105" s="8" t="s">
        <v>57</v>
      </c>
      <c r="D105" s="26" t="str">
        <f>VLOOKUP($C105,classifications!$C:$J,4,FALSE)</f>
        <v>SD</v>
      </c>
      <c r="E105" s="26" t="str">
        <f>VLOOKUP(C105,classifications!C:K,9,FALSE)</f>
        <v>Sparse</v>
      </c>
      <c r="F105" s="36">
        <f t="shared" si="26"/>
        <v>14.783623878592769</v>
      </c>
      <c r="G105" s="71"/>
      <c r="H105" s="37" t="str">
        <f t="shared" si="27"/>
        <v/>
      </c>
      <c r="I105" s="77" t="str">
        <f>IF(H105="","",IF($I$8="A",(RANK(H105,H$11:H$368,1)+COUNTIF(H$11:H105,H105)-1),(RANK(H105,H$11:H$368)+COUNTIF(H$11:H105,H105)-1)))</f>
        <v/>
      </c>
      <c r="J105" s="35"/>
      <c r="K105" s="28" t="str">
        <f t="shared" si="35"/>
        <v/>
      </c>
      <c r="L105" s="36" t="str">
        <f t="shared" si="28"/>
        <v/>
      </c>
      <c r="M105" s="102" t="str">
        <f t="shared" si="36"/>
        <v/>
      </c>
      <c r="N105" s="101" t="str">
        <f t="shared" si="37"/>
        <v/>
      </c>
      <c r="O105" s="94" t="str">
        <f t="shared" si="29"/>
        <v/>
      </c>
      <c r="P105" s="94" t="str">
        <f t="shared" si="45"/>
        <v/>
      </c>
      <c r="Q105" s="94" t="str">
        <f t="shared" si="46"/>
        <v/>
      </c>
      <c r="R105" s="90" t="str">
        <f t="shared" si="47"/>
        <v/>
      </c>
      <c r="S105" s="37" t="str">
        <f t="shared" si="38"/>
        <v/>
      </c>
      <c r="T105" s="176" t="str">
        <f>IF(L105="","",VLOOKUP(L105,classifications!C:K,9,FALSE))</f>
        <v/>
      </c>
      <c r="U105" s="183" t="str">
        <f t="shared" si="30"/>
        <v/>
      </c>
      <c r="V105" s="184" t="str">
        <f>IF(U105="","",IF($I$8="A",(RANK(U105,U$11:U$368)+COUNTIF(U$11:U105,U105)-1),(RANK(U105,U$11:U$368,1)+COUNTIF(U$11:U105,U105)-1)))</f>
        <v/>
      </c>
      <c r="W105" s="185"/>
      <c r="X105" s="38" t="str">
        <f>IF(L105="","",VLOOKUP($L105,classifications!$C:$J,6,FALSE))</f>
        <v/>
      </c>
      <c r="Y105" s="26" t="b">
        <f t="shared" si="31"/>
        <v>0</v>
      </c>
      <c r="Z105" s="34" t="e">
        <f>IF(Y105="","",IF(I$8="A",(RANK(Y105,Y$11:Y$368,1)+COUNTIF(Y$11:Y105,Y105)-1),(RANK(Y105,Y$11:Y$368)+COUNTIF(Y$11:Y105,Y105)-1)))</f>
        <v>#N/A</v>
      </c>
      <c r="AA105" s="188" t="str">
        <f>IF(L105="","",VLOOKUP($L105,classifications!C:I,7,FALSE))</f>
        <v/>
      </c>
      <c r="AB105" s="184" t="str">
        <f t="shared" si="39"/>
        <v/>
      </c>
      <c r="AC105" s="184" t="str">
        <f>IF(AB105="","",IF($I$8="A",(RANK(AB105,AB$11:AB$368)+COUNTIF(AB$11:AB105,AB105)-1),(RANK(AB105,AB$11:AB$368,1)+COUNTIF(AB$11:AB105,AB105)-1)))</f>
        <v/>
      </c>
      <c r="AD105" s="184"/>
      <c r="AE105" s="28" t="str">
        <f t="shared" si="49"/>
        <v/>
      </c>
      <c r="AG105" s="96"/>
      <c r="AH105" s="29"/>
      <c r="AI105" s="38" t="str">
        <f>IF(L105="","",VLOOKUP($L105,classifications!$C:$J,8,FALSE))</f>
        <v/>
      </c>
      <c r="AJ105" s="39" t="str">
        <f t="shared" si="32"/>
        <v/>
      </c>
      <c r="AK105" s="34" t="str">
        <f>IF(AJ105="","",IF(I$8="A",(RANK(AJ105,AJ$11:AJ$368,1)+COUNTIF(AJ$11:AJ105,AJ105)-1),(RANK(AJ105,AJ$11:AJ$368)+COUNTIF(AJ$11:AJ105,AJ105)-1)))</f>
        <v/>
      </c>
      <c r="AL105" s="29" t="str">
        <f t="shared" si="40"/>
        <v/>
      </c>
      <c r="AM105" s="8" t="str">
        <f t="shared" si="33"/>
        <v/>
      </c>
      <c r="AN105" s="8" t="str">
        <f t="shared" si="41"/>
        <v/>
      </c>
      <c r="AP105" s="38" t="str">
        <f>IF(L105="","",VLOOKUP($L105,classifications!$C:$E,3,FALSE))</f>
        <v/>
      </c>
      <c r="AQ105" s="39" t="str">
        <f t="shared" si="42"/>
        <v/>
      </c>
      <c r="AR105" s="34" t="str">
        <f>IF(AQ105="","",IF(I$8="A",(RANK(AQ105,AQ$11:AQ$368,1)+COUNTIF(AQ$11:AQ105,AQ105)-1),(RANK(AQ105,AQ$11:AQ$368)+COUNTIF(AQ$11:AQ105,AQ105)-1)))</f>
        <v/>
      </c>
      <c r="AS105" s="29" t="str">
        <f t="shared" si="43"/>
        <v/>
      </c>
      <c r="AT105" s="34" t="str">
        <f t="shared" si="34"/>
        <v/>
      </c>
      <c r="AU105" s="39" t="str">
        <f t="shared" si="48"/>
        <v/>
      </c>
      <c r="AX105" s="21">
        <f>HLOOKUP($AX$9&amp;$AX$10,Data!$A$1:$ZZ$2000,(MATCH($C105,Data!$A$1:$A$2000,0)),FALSE)</f>
        <v>14.783623878592769</v>
      </c>
      <c r="AY105" s="103"/>
      <c r="AZ105" s="21"/>
    </row>
    <row r="106" spans="1:52">
      <c r="A106" s="56" t="str">
        <f>$D$1&amp;96</f>
        <v>SC96</v>
      </c>
      <c r="B106" s="57">
        <f>IF(ISERROR(VLOOKUP(A106,classifications!A:C,3,FALSE)),0,VLOOKUP(A106,classifications!A:C,3,FALSE))</f>
        <v>0</v>
      </c>
      <c r="C106" s="8" t="s">
        <v>58</v>
      </c>
      <c r="D106" s="26" t="str">
        <f>VLOOKUP($C106,classifications!$C:$J,4,FALSE)</f>
        <v>SD</v>
      </c>
      <c r="E106" s="26" t="str">
        <f>VLOOKUP(C106,classifications!C:K,9,FALSE)</f>
        <v>Sparse</v>
      </c>
      <c r="F106" s="36">
        <f t="shared" si="26"/>
        <v>15.435739864575353</v>
      </c>
      <c r="G106" s="71"/>
      <c r="H106" s="37" t="str">
        <f t="shared" si="27"/>
        <v/>
      </c>
      <c r="I106" s="77" t="str">
        <f>IF(H106="","",IF($I$8="A",(RANK(H106,H$11:H$368,1)+COUNTIF(H$11:H106,H106)-1),(RANK(H106,H$11:H$368)+COUNTIF(H$11:H106,H106)-1)))</f>
        <v/>
      </c>
      <c r="J106" s="35"/>
      <c r="K106" s="28" t="str">
        <f t="shared" si="35"/>
        <v/>
      </c>
      <c r="L106" s="36" t="str">
        <f t="shared" si="28"/>
        <v/>
      </c>
      <c r="M106" s="102" t="str">
        <f t="shared" si="36"/>
        <v/>
      </c>
      <c r="N106" s="101" t="str">
        <f t="shared" si="37"/>
        <v/>
      </c>
      <c r="O106" s="94" t="str">
        <f t="shared" si="29"/>
        <v/>
      </c>
      <c r="P106" s="94" t="str">
        <f t="shared" si="45"/>
        <v/>
      </c>
      <c r="Q106" s="94" t="str">
        <f t="shared" si="46"/>
        <v/>
      </c>
      <c r="R106" s="90" t="str">
        <f t="shared" si="47"/>
        <v/>
      </c>
      <c r="S106" s="37" t="str">
        <f t="shared" si="38"/>
        <v/>
      </c>
      <c r="T106" s="176" t="str">
        <f>IF(L106="","",VLOOKUP(L106,classifications!C:K,9,FALSE))</f>
        <v/>
      </c>
      <c r="U106" s="183" t="str">
        <f t="shared" si="30"/>
        <v/>
      </c>
      <c r="V106" s="184" t="str">
        <f>IF(U106="","",IF($I$8="A",(RANK(U106,U$11:U$368)+COUNTIF(U$11:U106,U106)-1),(RANK(U106,U$11:U$368,1)+COUNTIF(U$11:U106,U106)-1)))</f>
        <v/>
      </c>
      <c r="W106" s="185"/>
      <c r="X106" s="38" t="str">
        <f>IF(L106="","",VLOOKUP($L106,classifications!$C:$J,6,FALSE))</f>
        <v/>
      </c>
      <c r="Y106" s="26" t="b">
        <f t="shared" si="31"/>
        <v>0</v>
      </c>
      <c r="Z106" s="34" t="e">
        <f>IF(Y106="","",IF(I$8="A",(RANK(Y106,Y$11:Y$368,1)+COUNTIF(Y$11:Y106,Y106)-1),(RANK(Y106,Y$11:Y$368)+COUNTIF(Y$11:Y106,Y106)-1)))</f>
        <v>#N/A</v>
      </c>
      <c r="AA106" s="188" t="str">
        <f>IF(L106="","",VLOOKUP($L106,classifications!C:I,7,FALSE))</f>
        <v/>
      </c>
      <c r="AB106" s="184" t="str">
        <f t="shared" si="39"/>
        <v/>
      </c>
      <c r="AC106" s="184" t="str">
        <f>IF(AB106="","",IF($I$8="A",(RANK(AB106,AB$11:AB$368)+COUNTIF(AB$11:AB106,AB106)-1),(RANK(AB106,AB$11:AB$368,1)+COUNTIF(AB$11:AB106,AB106)-1)))</f>
        <v/>
      </c>
      <c r="AD106" s="184"/>
      <c r="AE106" s="28" t="str">
        <f t="shared" si="49"/>
        <v/>
      </c>
      <c r="AG106" s="96"/>
      <c r="AH106" s="29"/>
      <c r="AI106" s="38" t="str">
        <f>IF(L106="","",VLOOKUP($L106,classifications!$C:$J,8,FALSE))</f>
        <v/>
      </c>
      <c r="AJ106" s="39" t="str">
        <f t="shared" si="32"/>
        <v/>
      </c>
      <c r="AK106" s="34" t="str">
        <f>IF(AJ106="","",IF(I$8="A",(RANK(AJ106,AJ$11:AJ$368,1)+COUNTIF(AJ$11:AJ106,AJ106)-1),(RANK(AJ106,AJ$11:AJ$368)+COUNTIF(AJ$11:AJ106,AJ106)-1)))</f>
        <v/>
      </c>
      <c r="AL106" s="29" t="str">
        <f t="shared" si="40"/>
        <v/>
      </c>
      <c r="AM106" s="8" t="str">
        <f t="shared" si="33"/>
        <v/>
      </c>
      <c r="AN106" s="8" t="str">
        <f t="shared" si="41"/>
        <v/>
      </c>
      <c r="AP106" s="38" t="str">
        <f>IF(L106="","",VLOOKUP($L106,classifications!$C:$E,3,FALSE))</f>
        <v/>
      </c>
      <c r="AQ106" s="39" t="str">
        <f t="shared" si="42"/>
        <v/>
      </c>
      <c r="AR106" s="34" t="str">
        <f>IF(AQ106="","",IF(I$8="A",(RANK(AQ106,AQ$11:AQ$368,1)+COUNTIF(AQ$11:AQ106,AQ106)-1),(RANK(AQ106,AQ$11:AQ$368)+COUNTIF(AQ$11:AQ106,AQ106)-1)))</f>
        <v/>
      </c>
      <c r="AS106" s="29" t="str">
        <f t="shared" si="43"/>
        <v/>
      </c>
      <c r="AT106" s="34" t="str">
        <f t="shared" si="34"/>
        <v/>
      </c>
      <c r="AU106" s="39" t="str">
        <f t="shared" si="48"/>
        <v/>
      </c>
      <c r="AX106" s="21">
        <f>HLOOKUP($AX$9&amp;$AX$10,Data!$A$1:$ZZ$2000,(MATCH($C106,Data!$A$1:$A$2000,0)),FALSE)</f>
        <v>15.435739864575353</v>
      </c>
      <c r="AY106" s="103"/>
      <c r="AZ106" s="21"/>
    </row>
    <row r="107" spans="1:52">
      <c r="A107" s="56" t="str">
        <f>$D$1&amp;97</f>
        <v>SC97</v>
      </c>
      <c r="B107" s="57">
        <f>IF(ISERROR(VLOOKUP(A107,classifications!A:C,3,FALSE)),0,VLOOKUP(A107,classifications!A:C,3,FALSE))</f>
        <v>0</v>
      </c>
      <c r="C107" s="8" t="s">
        <v>267</v>
      </c>
      <c r="D107" s="26" t="str">
        <f>VLOOKUP($C107,classifications!$C:$J,4,FALSE)</f>
        <v>UA</v>
      </c>
      <c r="E107" s="26" t="str">
        <f>VLOOKUP(C107,classifications!C:K,9,FALSE)</f>
        <v>Sparse</v>
      </c>
      <c r="F107" s="36">
        <f t="shared" si="26"/>
        <v>17.275442292247849</v>
      </c>
      <c r="G107" s="71"/>
      <c r="H107" s="37" t="str">
        <f t="shared" si="27"/>
        <v/>
      </c>
      <c r="I107" s="77" t="str">
        <f>IF(H107="","",IF($I$8="A",(RANK(H107,H$11:H$368,1)+COUNTIF(H$11:H107,H107)-1),(RANK(H107,H$11:H$368)+COUNTIF(H$11:H107,H107)-1)))</f>
        <v/>
      </c>
      <c r="J107" s="35"/>
      <c r="K107" s="28" t="str">
        <f t="shared" si="35"/>
        <v/>
      </c>
      <c r="L107" s="36" t="str">
        <f t="shared" si="28"/>
        <v/>
      </c>
      <c r="M107" s="102" t="str">
        <f t="shared" si="36"/>
        <v/>
      </c>
      <c r="N107" s="101" t="str">
        <f t="shared" si="37"/>
        <v/>
      </c>
      <c r="O107" s="94" t="str">
        <f t="shared" si="29"/>
        <v/>
      </c>
      <c r="P107" s="94" t="str">
        <f t="shared" si="45"/>
        <v/>
      </c>
      <c r="Q107" s="94" t="str">
        <f t="shared" si="46"/>
        <v/>
      </c>
      <c r="R107" s="90" t="str">
        <f t="shared" si="47"/>
        <v/>
      </c>
      <c r="S107" s="37" t="str">
        <f t="shared" si="38"/>
        <v/>
      </c>
      <c r="T107" s="176" t="str">
        <f>IF(L107="","",VLOOKUP(L107,classifications!C:K,9,FALSE))</f>
        <v/>
      </c>
      <c r="U107" s="183" t="str">
        <f t="shared" si="30"/>
        <v/>
      </c>
      <c r="V107" s="184" t="str">
        <f>IF(U107="","",IF($I$8="A",(RANK(U107,U$11:U$368)+COUNTIF(U$11:U107,U107)-1),(RANK(U107,U$11:U$368,1)+COUNTIF(U$11:U107,U107)-1)))</f>
        <v/>
      </c>
      <c r="W107" s="185"/>
      <c r="X107" s="38" t="str">
        <f>IF(L107="","",VLOOKUP($L107,classifications!$C:$J,6,FALSE))</f>
        <v/>
      </c>
      <c r="Y107" s="26" t="b">
        <f t="shared" si="31"/>
        <v>0</v>
      </c>
      <c r="Z107" s="34" t="e">
        <f>IF(Y107="","",IF(I$8="A",(RANK(Y107,Y$11:Y$368,1)+COUNTIF(Y$11:Y107,Y107)-1),(RANK(Y107,Y$11:Y$368)+COUNTIF(Y$11:Y107,Y107)-1)))</f>
        <v>#N/A</v>
      </c>
      <c r="AA107" s="188" t="str">
        <f>IF(L107="","",VLOOKUP($L107,classifications!C:I,7,FALSE))</f>
        <v/>
      </c>
      <c r="AB107" s="184" t="str">
        <f t="shared" si="39"/>
        <v/>
      </c>
      <c r="AC107" s="184" t="str">
        <f>IF(AB107="","",IF($I$8="A",(RANK(AB107,AB$11:AB$368)+COUNTIF(AB$11:AB107,AB107)-1),(RANK(AB107,AB$11:AB$368,1)+COUNTIF(AB$11:AB107,AB107)-1)))</f>
        <v/>
      </c>
      <c r="AD107" s="184"/>
      <c r="AE107" s="28" t="str">
        <f t="shared" si="49"/>
        <v/>
      </c>
      <c r="AG107" s="96"/>
      <c r="AH107" s="29"/>
      <c r="AI107" s="38" t="str">
        <f>IF(L107="","",VLOOKUP($L107,classifications!$C:$J,8,FALSE))</f>
        <v/>
      </c>
      <c r="AJ107" s="39" t="str">
        <f t="shared" si="32"/>
        <v/>
      </c>
      <c r="AK107" s="34" t="str">
        <f>IF(AJ107="","",IF(I$8="A",(RANK(AJ107,AJ$11:AJ$368,1)+COUNTIF(AJ$11:AJ107,AJ107)-1),(RANK(AJ107,AJ$11:AJ$368)+COUNTIF(AJ$11:AJ107,AJ107)-1)))</f>
        <v/>
      </c>
      <c r="AL107" s="29" t="str">
        <f t="shared" si="40"/>
        <v/>
      </c>
      <c r="AM107" s="8" t="str">
        <f t="shared" si="33"/>
        <v/>
      </c>
      <c r="AN107" s="8" t="str">
        <f t="shared" si="41"/>
        <v/>
      </c>
      <c r="AP107" s="38" t="str">
        <f>IF(L107="","",VLOOKUP($L107,classifications!$C:$E,3,FALSE))</f>
        <v/>
      </c>
      <c r="AQ107" s="39" t="str">
        <f t="shared" si="42"/>
        <v/>
      </c>
      <c r="AR107" s="34" t="str">
        <f>IF(AQ107="","",IF(I$8="A",(RANK(AQ107,AQ$11:AQ$368,1)+COUNTIF(AQ$11:AQ107,AQ107)-1),(RANK(AQ107,AQ$11:AQ$368)+COUNTIF(AQ$11:AQ107,AQ107)-1)))</f>
        <v/>
      </c>
      <c r="AS107" s="29" t="str">
        <f t="shared" si="43"/>
        <v/>
      </c>
      <c r="AT107" s="34" t="str">
        <f t="shared" si="34"/>
        <v/>
      </c>
      <c r="AU107" s="39" t="str">
        <f t="shared" si="48"/>
        <v/>
      </c>
      <c r="AX107" s="21">
        <f>HLOOKUP($AX$9&amp;$AX$10,Data!$A$1:$ZZ$2000,(MATCH($C107,Data!$A$1:$A$2000,0)),FALSE)</f>
        <v>17.275442292247849</v>
      </c>
      <c r="AY107" s="103"/>
      <c r="AZ107" s="21"/>
    </row>
    <row r="108" spans="1:52">
      <c r="A108" s="56" t="str">
        <f>$D$1&amp;98</f>
        <v>SC98</v>
      </c>
      <c r="B108" s="57">
        <f>IF(ISERROR(VLOOKUP(A108,classifications!A:C,3,FALSE)),0,VLOOKUP(A108,classifications!A:C,3,FALSE))</f>
        <v>0</v>
      </c>
      <c r="C108" s="8" t="s">
        <v>59</v>
      </c>
      <c r="D108" s="26" t="str">
        <f>VLOOKUP($C108,classifications!$C:$J,4,FALSE)</f>
        <v>SD</v>
      </c>
      <c r="E108" s="26">
        <f>VLOOKUP(C108,classifications!C:K,9,FALSE)</f>
        <v>0</v>
      </c>
      <c r="F108" s="36">
        <f t="shared" si="26"/>
        <v>12.883004912520324</v>
      </c>
      <c r="G108" s="71"/>
      <c r="H108" s="37" t="str">
        <f t="shared" si="27"/>
        <v/>
      </c>
      <c r="I108" s="77" t="str">
        <f>IF(H108="","",IF($I$8="A",(RANK(H108,H$11:H$368,1)+COUNTIF(H$11:H108,H108)-1),(RANK(H108,H$11:H$368)+COUNTIF(H$11:H108,H108)-1)))</f>
        <v/>
      </c>
      <c r="J108" s="35"/>
      <c r="K108" s="28" t="str">
        <f t="shared" si="35"/>
        <v/>
      </c>
      <c r="L108" s="36" t="str">
        <f t="shared" si="28"/>
        <v/>
      </c>
      <c r="M108" s="102" t="str">
        <f t="shared" si="36"/>
        <v/>
      </c>
      <c r="N108" s="101" t="str">
        <f t="shared" si="37"/>
        <v/>
      </c>
      <c r="O108" s="94" t="str">
        <f t="shared" si="29"/>
        <v/>
      </c>
      <c r="P108" s="94" t="str">
        <f t="shared" si="45"/>
        <v/>
      </c>
      <c r="Q108" s="94" t="str">
        <f t="shared" si="46"/>
        <v/>
      </c>
      <c r="R108" s="90" t="str">
        <f t="shared" si="47"/>
        <v/>
      </c>
      <c r="S108" s="37" t="str">
        <f t="shared" si="38"/>
        <v/>
      </c>
      <c r="T108" s="176" t="str">
        <f>IF(L108="","",VLOOKUP(L108,classifications!C:K,9,FALSE))</f>
        <v/>
      </c>
      <c r="U108" s="183" t="str">
        <f t="shared" si="30"/>
        <v/>
      </c>
      <c r="V108" s="184" t="str">
        <f>IF(U108="","",IF($I$8="A",(RANK(U108,U$11:U$368)+COUNTIF(U$11:U108,U108)-1),(RANK(U108,U$11:U$368,1)+COUNTIF(U$11:U108,U108)-1)))</f>
        <v/>
      </c>
      <c r="W108" s="185"/>
      <c r="X108" s="38" t="str">
        <f>IF(L108="","",VLOOKUP($L108,classifications!$C:$J,6,FALSE))</f>
        <v/>
      </c>
      <c r="Y108" s="26" t="b">
        <f t="shared" si="31"/>
        <v>0</v>
      </c>
      <c r="Z108" s="34" t="e">
        <f>IF(Y108="","",IF(I$8="A",(RANK(Y108,Y$11:Y$368,1)+COUNTIF(Y$11:Y108,Y108)-1),(RANK(Y108,Y$11:Y$368)+COUNTIF(Y$11:Y108,Y108)-1)))</f>
        <v>#N/A</v>
      </c>
      <c r="AA108" s="188" t="str">
        <f>IF(L108="","",VLOOKUP($L108,classifications!C:I,7,FALSE))</f>
        <v/>
      </c>
      <c r="AB108" s="184" t="str">
        <f t="shared" si="39"/>
        <v/>
      </c>
      <c r="AC108" s="184" t="str">
        <f>IF(AB108="","",IF($I$8="A",(RANK(AB108,AB$11:AB$368)+COUNTIF(AB$11:AB108,AB108)-1),(RANK(AB108,AB$11:AB$368,1)+COUNTIF(AB$11:AB108,AB108)-1)))</f>
        <v/>
      </c>
      <c r="AD108" s="184"/>
      <c r="AE108" s="28" t="str">
        <f t="shared" si="49"/>
        <v/>
      </c>
      <c r="AG108" s="96"/>
      <c r="AH108" s="29"/>
      <c r="AI108" s="38" t="str">
        <f>IF(L108="","",VLOOKUP($L108,classifications!$C:$J,8,FALSE))</f>
        <v/>
      </c>
      <c r="AJ108" s="39" t="str">
        <f t="shared" si="32"/>
        <v/>
      </c>
      <c r="AK108" s="34" t="str">
        <f>IF(AJ108="","",IF(I$8="A",(RANK(AJ108,AJ$11:AJ$368,1)+COUNTIF(AJ$11:AJ108,AJ108)-1),(RANK(AJ108,AJ$11:AJ$368)+COUNTIF(AJ$11:AJ108,AJ108)-1)))</f>
        <v/>
      </c>
      <c r="AL108" s="29" t="str">
        <f t="shared" si="40"/>
        <v/>
      </c>
      <c r="AM108" s="8" t="str">
        <f t="shared" si="33"/>
        <v/>
      </c>
      <c r="AN108" s="8" t="str">
        <f t="shared" si="41"/>
        <v/>
      </c>
      <c r="AP108" s="38" t="str">
        <f>IF(L108="","",VLOOKUP($L108,classifications!$C:$E,3,FALSE))</f>
        <v/>
      </c>
      <c r="AQ108" s="39" t="str">
        <f t="shared" si="42"/>
        <v/>
      </c>
      <c r="AR108" s="34" t="str">
        <f>IF(AQ108="","",IF(I$8="A",(RANK(AQ108,AQ$11:AQ$368,1)+COUNTIF(AQ$11:AQ108,AQ108)-1),(RANK(AQ108,AQ$11:AQ$368)+COUNTIF(AQ$11:AQ108,AQ108)-1)))</f>
        <v/>
      </c>
      <c r="AS108" s="29" t="str">
        <f t="shared" si="43"/>
        <v/>
      </c>
      <c r="AT108" s="34" t="str">
        <f t="shared" si="34"/>
        <v/>
      </c>
      <c r="AU108" s="39" t="str">
        <f t="shared" si="48"/>
        <v/>
      </c>
      <c r="AX108" s="21">
        <f>HLOOKUP($AX$9&amp;$AX$10,Data!$A$1:$ZZ$2000,(MATCH($C108,Data!$A$1:$A$2000,0)),FALSE)</f>
        <v>12.883004912520324</v>
      </c>
      <c r="AY108" s="103"/>
      <c r="AZ108" s="21"/>
    </row>
    <row r="109" spans="1:52">
      <c r="A109" s="56" t="str">
        <f>$D$1&amp;99</f>
        <v>SC99</v>
      </c>
      <c r="B109" s="57">
        <f>IF(ISERROR(VLOOKUP(A109,classifications!A:C,3,FALSE)),0,VLOOKUP(A109,classifications!A:C,3,FALSE))</f>
        <v>0</v>
      </c>
      <c r="C109" s="8" t="s">
        <v>908</v>
      </c>
      <c r="D109" s="26" t="str">
        <f>VLOOKUP($C109,classifications!$C:$J,4,FALSE)</f>
        <v>SD</v>
      </c>
      <c r="E109" s="26" t="str">
        <f>VLOOKUP(C109,classifications!C:K,9,FALSE)</f>
        <v>Sparse</v>
      </c>
      <c r="F109" s="36">
        <f t="shared" si="26"/>
        <v>21.592272617150616</v>
      </c>
      <c r="G109" s="71"/>
      <c r="H109" s="37" t="str">
        <f t="shared" si="27"/>
        <v/>
      </c>
      <c r="I109" s="77" t="str">
        <f>IF(H109="","",IF($I$8="A",(RANK(H109,H$11:H$368,1)+COUNTIF(H$11:H109,H109)-1),(RANK(H109,H$11:H$368)+COUNTIF(H$11:H109,H109)-1)))</f>
        <v/>
      </c>
      <c r="J109" s="35"/>
      <c r="K109" s="28" t="str">
        <f t="shared" si="35"/>
        <v/>
      </c>
      <c r="L109" s="36" t="str">
        <f t="shared" si="28"/>
        <v/>
      </c>
      <c r="M109" s="102" t="str">
        <f t="shared" si="36"/>
        <v/>
      </c>
      <c r="N109" s="101" t="str">
        <f t="shared" si="37"/>
        <v/>
      </c>
      <c r="O109" s="94" t="str">
        <f t="shared" si="29"/>
        <v/>
      </c>
      <c r="P109" s="94" t="str">
        <f t="shared" si="45"/>
        <v/>
      </c>
      <c r="Q109" s="94" t="str">
        <f t="shared" si="46"/>
        <v/>
      </c>
      <c r="R109" s="90" t="str">
        <f t="shared" si="47"/>
        <v/>
      </c>
      <c r="S109" s="37" t="str">
        <f t="shared" si="38"/>
        <v/>
      </c>
      <c r="T109" s="176" t="str">
        <f>IF(L109="","",VLOOKUP(L109,classifications!C:K,9,FALSE))</f>
        <v/>
      </c>
      <c r="U109" s="183" t="str">
        <f t="shared" si="30"/>
        <v/>
      </c>
      <c r="V109" s="184" t="str">
        <f>IF(U109="","",IF($I$8="A",(RANK(U109,U$11:U$368)+COUNTIF(U$11:U109,U109)-1),(RANK(U109,U$11:U$368,1)+COUNTIF(U$11:U109,U109)-1)))</f>
        <v/>
      </c>
      <c r="W109" s="185"/>
      <c r="X109" s="38" t="str">
        <f>IF(L109="","",VLOOKUP($L109,classifications!$C:$J,6,FALSE))</f>
        <v/>
      </c>
      <c r="Y109" s="26" t="b">
        <f t="shared" si="31"/>
        <v>0</v>
      </c>
      <c r="Z109" s="34" t="e">
        <f>IF(Y109="","",IF(I$8="A",(RANK(Y109,Y$11:Y$368,1)+COUNTIF(Y$11:Y109,Y109)-1),(RANK(Y109,Y$11:Y$368)+COUNTIF(Y$11:Y109,Y109)-1)))</f>
        <v>#N/A</v>
      </c>
      <c r="AA109" s="188" t="str">
        <f>IF(L109="","",VLOOKUP($L109,classifications!C:I,7,FALSE))</f>
        <v/>
      </c>
      <c r="AB109" s="184" t="str">
        <f t="shared" si="39"/>
        <v/>
      </c>
      <c r="AC109" s="184" t="str">
        <f>IF(AB109="","",IF($I$8="A",(RANK(AB109,AB$11:AB$368)+COUNTIF(AB$11:AB109,AB109)-1),(RANK(AB109,AB$11:AB$368,1)+COUNTIF(AB$11:AB109,AB109)-1)))</f>
        <v/>
      </c>
      <c r="AD109" s="184"/>
      <c r="AE109" s="28" t="str">
        <f t="shared" si="49"/>
        <v/>
      </c>
      <c r="AG109" s="96"/>
      <c r="AH109" s="29"/>
      <c r="AI109" s="38" t="str">
        <f>IF(L109="","",VLOOKUP($L109,classifications!$C:$J,8,FALSE))</f>
        <v/>
      </c>
      <c r="AJ109" s="39" t="str">
        <f t="shared" si="32"/>
        <v/>
      </c>
      <c r="AK109" s="34" t="str">
        <f>IF(AJ109="","",IF(I$8="A",(RANK(AJ109,AJ$11:AJ$368,1)+COUNTIF(AJ$11:AJ109,AJ109)-1),(RANK(AJ109,AJ$11:AJ$368)+COUNTIF(AJ$11:AJ109,AJ109)-1)))</f>
        <v/>
      </c>
      <c r="AL109" s="29" t="str">
        <f t="shared" si="40"/>
        <v/>
      </c>
      <c r="AM109" s="8" t="str">
        <f t="shared" si="33"/>
        <v/>
      </c>
      <c r="AN109" s="8" t="str">
        <f t="shared" si="41"/>
        <v/>
      </c>
      <c r="AP109" s="38" t="str">
        <f>IF(L109="","",VLOOKUP($L109,classifications!$C:$E,3,FALSE))</f>
        <v/>
      </c>
      <c r="AQ109" s="39" t="str">
        <f t="shared" si="42"/>
        <v/>
      </c>
      <c r="AR109" s="34" t="str">
        <f>IF(AQ109="","",IF(I$8="A",(RANK(AQ109,AQ$11:AQ$368,1)+COUNTIF(AQ$11:AQ109,AQ109)-1),(RANK(AQ109,AQ$11:AQ$368)+COUNTIF(AQ$11:AQ109,AQ109)-1)))</f>
        <v/>
      </c>
      <c r="AS109" s="29" t="str">
        <f t="shared" si="43"/>
        <v/>
      </c>
      <c r="AT109" s="34" t="str">
        <f t="shared" si="34"/>
        <v/>
      </c>
      <c r="AU109" s="39" t="str">
        <f t="shared" si="48"/>
        <v/>
      </c>
      <c r="AX109" s="21">
        <f>HLOOKUP($AX$9&amp;$AX$10,Data!$A$1:$ZZ$2000,(MATCH($C109,Data!$A$1:$A$2000,0)),FALSE)</f>
        <v>21.592272617150616</v>
      </c>
      <c r="AY109" s="103"/>
      <c r="AZ109" s="21"/>
    </row>
    <row r="110" spans="1:52">
      <c r="A110" s="56" t="str">
        <f>$D$1&amp;100</f>
        <v>SC100</v>
      </c>
      <c r="B110" s="57">
        <f>IF(ISERROR(VLOOKUP(A110,classifications!A:C,3,FALSE)),0,VLOOKUP(A110,classifications!A:C,3,FALSE))</f>
        <v>0</v>
      </c>
      <c r="C110" s="8" t="s">
        <v>310</v>
      </c>
      <c r="D110" s="26" t="str">
        <f>VLOOKUP($C110,classifications!$C:$J,4,FALSE)</f>
        <v>SC</v>
      </c>
      <c r="E110" s="26" t="str">
        <f>VLOOKUP(C110,classifications!C:K,9,FALSE)</f>
        <v>Sparse</v>
      </c>
      <c r="F110" s="36">
        <f t="shared" si="26"/>
        <v>13.818832595268283</v>
      </c>
      <c r="G110" s="71"/>
      <c r="H110" s="37">
        <f t="shared" si="27"/>
        <v>13.818832595268283</v>
      </c>
      <c r="I110" s="77">
        <f>IF(H110="","",IF($I$8="A",(RANK(H110,H$11:H$368,1)+COUNTIF(H$11:H110,H110)-1),(RANK(H110,H$11:H$368)+COUNTIF(H$11:H110,H110)-1)))</f>
        <v>23</v>
      </c>
      <c r="J110" s="35"/>
      <c r="K110" s="28" t="str">
        <f t="shared" si="35"/>
        <v/>
      </c>
      <c r="L110" s="36" t="str">
        <f t="shared" si="28"/>
        <v/>
      </c>
      <c r="M110" s="102" t="str">
        <f t="shared" si="36"/>
        <v/>
      </c>
      <c r="N110" s="101" t="str">
        <f t="shared" si="37"/>
        <v/>
      </c>
      <c r="O110" s="94" t="str">
        <f t="shared" si="29"/>
        <v/>
      </c>
      <c r="P110" s="94" t="str">
        <f t="shared" si="45"/>
        <v/>
      </c>
      <c r="Q110" s="94" t="str">
        <f t="shared" si="46"/>
        <v/>
      </c>
      <c r="R110" s="90" t="str">
        <f t="shared" si="47"/>
        <v/>
      </c>
      <c r="S110" s="37" t="str">
        <f t="shared" si="38"/>
        <v/>
      </c>
      <c r="T110" s="176" t="str">
        <f>IF(L110="","",VLOOKUP(L110,classifications!C:K,9,FALSE))</f>
        <v/>
      </c>
      <c r="U110" s="183" t="str">
        <f t="shared" si="30"/>
        <v/>
      </c>
      <c r="V110" s="184" t="str">
        <f>IF(U110="","",IF($I$8="A",(RANK(U110,U$11:U$368)+COUNTIF(U$11:U110,U110)-1),(RANK(U110,U$11:U$368,1)+COUNTIF(U$11:U110,U110)-1)))</f>
        <v/>
      </c>
      <c r="W110" s="185"/>
      <c r="X110" s="38" t="str">
        <f>IF(L110="","",VLOOKUP($L110,classifications!$C:$J,6,FALSE))</f>
        <v/>
      </c>
      <c r="Y110" s="26" t="b">
        <f t="shared" si="31"/>
        <v>0</v>
      </c>
      <c r="Z110" s="34" t="e">
        <f>IF(Y110="","",IF(I$8="A",(RANK(Y110,Y$11:Y$368,1)+COUNTIF(Y$11:Y110,Y110)-1),(RANK(Y110,Y$11:Y$368)+COUNTIF(Y$11:Y110,Y110)-1)))</f>
        <v>#N/A</v>
      </c>
      <c r="AA110" s="188" t="str">
        <f>IF(L110="","",VLOOKUP($L110,classifications!C:I,7,FALSE))</f>
        <v/>
      </c>
      <c r="AB110" s="184" t="str">
        <f t="shared" si="39"/>
        <v/>
      </c>
      <c r="AC110" s="184" t="str">
        <f>IF(AB110="","",IF($I$8="A",(RANK(AB110,AB$11:AB$368)+COUNTIF(AB$11:AB110,AB110)-1),(RANK(AB110,AB$11:AB$368,1)+COUNTIF(AB$11:AB110,AB110)-1)))</f>
        <v/>
      </c>
      <c r="AD110" s="184"/>
      <c r="AE110" s="28" t="str">
        <f t="shared" si="49"/>
        <v/>
      </c>
      <c r="AG110" s="96"/>
      <c r="AH110" s="29"/>
      <c r="AI110" s="38" t="str">
        <f>IF(L110="","",VLOOKUP($L110,classifications!$C:$J,8,FALSE))</f>
        <v/>
      </c>
      <c r="AJ110" s="39" t="str">
        <f t="shared" si="32"/>
        <v/>
      </c>
      <c r="AK110" s="34" t="str">
        <f>IF(AJ110="","",IF(I$8="A",(RANK(AJ110,AJ$11:AJ$368,1)+COUNTIF(AJ$11:AJ110,AJ110)-1),(RANK(AJ110,AJ$11:AJ$368)+COUNTIF(AJ$11:AJ110,AJ110)-1)))</f>
        <v/>
      </c>
      <c r="AL110" s="29" t="str">
        <f t="shared" si="40"/>
        <v/>
      </c>
      <c r="AM110" s="8" t="str">
        <f t="shared" si="33"/>
        <v/>
      </c>
      <c r="AN110" s="8" t="str">
        <f t="shared" si="41"/>
        <v/>
      </c>
      <c r="AP110" s="38" t="str">
        <f>IF(L110="","",VLOOKUP($L110,classifications!$C:$E,3,FALSE))</f>
        <v/>
      </c>
      <c r="AQ110" s="39" t="str">
        <f t="shared" si="42"/>
        <v/>
      </c>
      <c r="AR110" s="34" t="str">
        <f>IF(AQ110="","",IF(I$8="A",(RANK(AQ110,AQ$11:AQ$368,1)+COUNTIF(AQ$11:AQ110,AQ110)-1),(RANK(AQ110,AQ$11:AQ$368)+COUNTIF(AQ$11:AQ110,AQ110)-1)))</f>
        <v/>
      </c>
      <c r="AS110" s="29" t="str">
        <f t="shared" si="43"/>
        <v/>
      </c>
      <c r="AT110" s="34" t="str">
        <f t="shared" si="34"/>
        <v/>
      </c>
      <c r="AU110" s="39" t="str">
        <f t="shared" si="48"/>
        <v/>
      </c>
      <c r="AX110" s="21">
        <f>HLOOKUP($AX$9&amp;$AX$10,Data!$A$1:$ZZ$2000,(MATCH($C110,Data!$A$1:$A$2000,0)),FALSE)</f>
        <v>13.818832595268283</v>
      </c>
      <c r="AY110" s="103"/>
      <c r="AZ110" s="21"/>
    </row>
    <row r="111" spans="1:52">
      <c r="A111" s="56" t="str">
        <f>$D$1&amp;101</f>
        <v>SC101</v>
      </c>
      <c r="B111" s="57">
        <f>IF(ISERROR(VLOOKUP(A111,classifications!A:C,3,FALSE)),0,VLOOKUP(A111,classifications!A:C,3,FALSE))</f>
        <v>0</v>
      </c>
      <c r="C111" s="8" t="s">
        <v>60</v>
      </c>
      <c r="D111" s="26" t="str">
        <f>VLOOKUP($C111,classifications!$C:$J,4,FALSE)</f>
        <v>SD</v>
      </c>
      <c r="E111" s="26">
        <f>VLOOKUP(C111,classifications!C:K,9,FALSE)</f>
        <v>0</v>
      </c>
      <c r="F111" s="36">
        <f t="shared" si="26"/>
        <v>13.255046238646528</v>
      </c>
      <c r="G111" s="71"/>
      <c r="H111" s="37" t="str">
        <f t="shared" si="27"/>
        <v/>
      </c>
      <c r="I111" s="77" t="str">
        <f>IF(H111="","",IF($I$8="A",(RANK(H111,H$11:H$368,1)+COUNTIF(H$11:H111,H111)-1),(RANK(H111,H$11:H$368)+COUNTIF(H$11:H111,H111)-1)))</f>
        <v/>
      </c>
      <c r="J111" s="35"/>
      <c r="K111" s="28" t="str">
        <f t="shared" si="35"/>
        <v/>
      </c>
      <c r="L111" s="36" t="str">
        <f t="shared" si="28"/>
        <v/>
      </c>
      <c r="M111" s="102" t="str">
        <f t="shared" si="36"/>
        <v/>
      </c>
      <c r="N111" s="101" t="str">
        <f t="shared" si="37"/>
        <v/>
      </c>
      <c r="O111" s="94" t="str">
        <f t="shared" si="29"/>
        <v/>
      </c>
      <c r="P111" s="94" t="str">
        <f t="shared" si="45"/>
        <v/>
      </c>
      <c r="Q111" s="94" t="str">
        <f t="shared" si="46"/>
        <v/>
      </c>
      <c r="R111" s="90" t="str">
        <f t="shared" si="47"/>
        <v/>
      </c>
      <c r="S111" s="37" t="str">
        <f t="shared" si="38"/>
        <v/>
      </c>
      <c r="T111" s="176" t="str">
        <f>IF(L111="","",VLOOKUP(L111,classifications!C:K,9,FALSE))</f>
        <v/>
      </c>
      <c r="U111" s="183" t="str">
        <f t="shared" si="30"/>
        <v/>
      </c>
      <c r="V111" s="184" t="str">
        <f>IF(U111="","",IF($I$8="A",(RANK(U111,U$11:U$368)+COUNTIF(U$11:U111,U111)-1),(RANK(U111,U$11:U$368,1)+COUNTIF(U$11:U111,U111)-1)))</f>
        <v/>
      </c>
      <c r="W111" s="185"/>
      <c r="X111" s="38" t="str">
        <f>IF(L111="","",VLOOKUP($L111,classifications!$C:$J,6,FALSE))</f>
        <v/>
      </c>
      <c r="Y111" s="26" t="b">
        <f t="shared" si="31"/>
        <v>0</v>
      </c>
      <c r="Z111" s="34" t="e">
        <f>IF(Y111="","",IF(I$8="A",(RANK(Y111,Y$11:Y$368,1)+COUNTIF(Y$11:Y111,Y111)-1),(RANK(Y111,Y$11:Y$368)+COUNTIF(Y$11:Y111,Y111)-1)))</f>
        <v>#N/A</v>
      </c>
      <c r="AA111" s="188" t="str">
        <f>IF(L111="","",VLOOKUP($L111,classifications!C:I,7,FALSE))</f>
        <v/>
      </c>
      <c r="AB111" s="184" t="str">
        <f t="shared" si="39"/>
        <v/>
      </c>
      <c r="AC111" s="184" t="str">
        <f>IF(AB111="","",IF($I$8="A",(RANK(AB111,AB$11:AB$368)+COUNTIF(AB$11:AB111,AB111)-1),(RANK(AB111,AB$11:AB$368,1)+COUNTIF(AB$11:AB111,AB111)-1)))</f>
        <v/>
      </c>
      <c r="AD111" s="184"/>
      <c r="AE111" s="28" t="str">
        <f t="shared" si="49"/>
        <v/>
      </c>
      <c r="AG111" s="96"/>
      <c r="AH111" s="29"/>
      <c r="AI111" s="38" t="str">
        <f>IF(L111="","",VLOOKUP($L111,classifications!$C:$J,8,FALSE))</f>
        <v/>
      </c>
      <c r="AJ111" s="39" t="str">
        <f t="shared" si="32"/>
        <v/>
      </c>
      <c r="AK111" s="34" t="str">
        <f>IF(AJ111="","",IF(I$8="A",(RANK(AJ111,AJ$11:AJ$368,1)+COUNTIF(AJ$11:AJ111,AJ111)-1),(RANK(AJ111,AJ$11:AJ$368)+COUNTIF(AJ$11:AJ111,AJ111)-1)))</f>
        <v/>
      </c>
      <c r="AL111" s="29" t="str">
        <f t="shared" si="40"/>
        <v/>
      </c>
      <c r="AM111" s="8" t="str">
        <f t="shared" si="33"/>
        <v/>
      </c>
      <c r="AN111" s="8" t="str">
        <f t="shared" si="41"/>
        <v/>
      </c>
      <c r="AP111" s="38" t="str">
        <f>IF(L111="","",VLOOKUP($L111,classifications!$C:$E,3,FALSE))</f>
        <v/>
      </c>
      <c r="AQ111" s="39" t="str">
        <f t="shared" si="42"/>
        <v/>
      </c>
      <c r="AR111" s="34" t="str">
        <f>IF(AQ111="","",IF(I$8="A",(RANK(AQ111,AQ$11:AQ$368,1)+COUNTIF(AQ$11:AQ111,AQ111)-1),(RANK(AQ111,AQ$11:AQ$368)+COUNTIF(AQ$11:AQ111,AQ111)-1)))</f>
        <v/>
      </c>
      <c r="AS111" s="29" t="str">
        <f t="shared" si="43"/>
        <v/>
      </c>
      <c r="AT111" s="34" t="str">
        <f t="shared" si="34"/>
        <v/>
      </c>
      <c r="AU111" s="39" t="str">
        <f t="shared" si="48"/>
        <v/>
      </c>
      <c r="AX111" s="21">
        <f>HLOOKUP($AX$9&amp;$AX$10,Data!$A$1:$ZZ$2000,(MATCH($C111,Data!$A$1:$A$2000,0)),FALSE)</f>
        <v>13.255046238646528</v>
      </c>
      <c r="AY111" s="103"/>
      <c r="AZ111" s="21"/>
    </row>
    <row r="112" spans="1:52">
      <c r="A112" s="56" t="str">
        <f>$D$1&amp;102</f>
        <v>SC102</v>
      </c>
      <c r="B112" s="57">
        <f>IF(ISERROR(VLOOKUP(A112,classifications!A:C,3,FALSE)),0,VLOOKUP(A112,classifications!A:C,3,FALSE))</f>
        <v>0</v>
      </c>
      <c r="C112" s="8" t="s">
        <v>61</v>
      </c>
      <c r="D112" s="26" t="str">
        <f>VLOOKUP($C112,classifications!$C:$J,4,FALSE)</f>
        <v>SD</v>
      </c>
      <c r="E112" s="26">
        <f>VLOOKUP(C112,classifications!C:K,9,FALSE)</f>
        <v>0</v>
      </c>
      <c r="F112" s="36">
        <f t="shared" si="26"/>
        <v>21.19133335053575</v>
      </c>
      <c r="G112" s="71"/>
      <c r="H112" s="37" t="str">
        <f t="shared" si="27"/>
        <v/>
      </c>
      <c r="I112" s="77" t="str">
        <f>IF(H112="","",IF($I$8="A",(RANK(H112,H$11:H$368,1)+COUNTIF(H$11:H112,H112)-1),(RANK(H112,H$11:H$368)+COUNTIF(H$11:H112,H112)-1)))</f>
        <v/>
      </c>
      <c r="J112" s="35"/>
      <c r="K112" s="28" t="str">
        <f t="shared" si="35"/>
        <v/>
      </c>
      <c r="L112" s="36" t="str">
        <f t="shared" si="28"/>
        <v/>
      </c>
      <c r="M112" s="102" t="str">
        <f t="shared" si="36"/>
        <v/>
      </c>
      <c r="N112" s="101" t="str">
        <f t="shared" si="37"/>
        <v/>
      </c>
      <c r="O112" s="94" t="str">
        <f t="shared" si="29"/>
        <v/>
      </c>
      <c r="P112" s="94" t="str">
        <f t="shared" si="45"/>
        <v/>
      </c>
      <c r="Q112" s="94" t="str">
        <f t="shared" si="46"/>
        <v/>
      </c>
      <c r="R112" s="90" t="str">
        <f t="shared" si="47"/>
        <v/>
      </c>
      <c r="S112" s="37" t="str">
        <f t="shared" si="38"/>
        <v/>
      </c>
      <c r="T112" s="176" t="str">
        <f>IF(L112="","",VLOOKUP(L112,classifications!C:K,9,FALSE))</f>
        <v/>
      </c>
      <c r="U112" s="183" t="str">
        <f t="shared" si="30"/>
        <v/>
      </c>
      <c r="V112" s="184" t="str">
        <f>IF(U112="","",IF($I$8="A",(RANK(U112,U$11:U$368)+COUNTIF(U$11:U112,U112)-1),(RANK(U112,U$11:U$368,1)+COUNTIF(U$11:U112,U112)-1)))</f>
        <v/>
      </c>
      <c r="W112" s="185"/>
      <c r="X112" s="38" t="str">
        <f>IF(L112="","",VLOOKUP($L112,classifications!$C:$J,6,FALSE))</f>
        <v/>
      </c>
      <c r="Y112" s="26" t="b">
        <f t="shared" si="31"/>
        <v>0</v>
      </c>
      <c r="Z112" s="34" t="e">
        <f>IF(Y112="","",IF(I$8="A",(RANK(Y112,Y$11:Y$368,1)+COUNTIF(Y$11:Y112,Y112)-1),(RANK(Y112,Y$11:Y$368)+COUNTIF(Y$11:Y112,Y112)-1)))</f>
        <v>#N/A</v>
      </c>
      <c r="AA112" s="188" t="str">
        <f>IF(L112="","",VLOOKUP($L112,classifications!C:I,7,FALSE))</f>
        <v/>
      </c>
      <c r="AB112" s="184" t="str">
        <f t="shared" si="39"/>
        <v/>
      </c>
      <c r="AC112" s="184" t="str">
        <f>IF(AB112="","",IF($I$8="A",(RANK(AB112,AB$11:AB$368)+COUNTIF(AB$11:AB112,AB112)-1),(RANK(AB112,AB$11:AB$368,1)+COUNTIF(AB$11:AB112,AB112)-1)))</f>
        <v/>
      </c>
      <c r="AD112" s="184"/>
      <c r="AE112" s="28" t="str">
        <f t="shared" si="49"/>
        <v/>
      </c>
      <c r="AG112" s="96"/>
      <c r="AH112" s="29"/>
      <c r="AI112" s="38" t="str">
        <f>IF(L112="","",VLOOKUP($L112,classifications!$C:$J,8,FALSE))</f>
        <v/>
      </c>
      <c r="AJ112" s="39" t="str">
        <f t="shared" si="32"/>
        <v/>
      </c>
      <c r="AK112" s="34" t="str">
        <f>IF(AJ112="","",IF(I$8="A",(RANK(AJ112,AJ$11:AJ$368,1)+COUNTIF(AJ$11:AJ112,AJ112)-1),(RANK(AJ112,AJ$11:AJ$368)+COUNTIF(AJ$11:AJ112,AJ112)-1)))</f>
        <v/>
      </c>
      <c r="AL112" s="29" t="str">
        <f t="shared" si="40"/>
        <v/>
      </c>
      <c r="AM112" s="8" t="str">
        <f t="shared" si="33"/>
        <v/>
      </c>
      <c r="AN112" s="8" t="str">
        <f t="shared" si="41"/>
        <v/>
      </c>
      <c r="AP112" s="38" t="str">
        <f>IF(L112="","",VLOOKUP($L112,classifications!$C:$E,3,FALSE))</f>
        <v/>
      </c>
      <c r="AQ112" s="39" t="str">
        <f t="shared" si="42"/>
        <v/>
      </c>
      <c r="AR112" s="34" t="str">
        <f>IF(AQ112="","",IF(I$8="A",(RANK(AQ112,AQ$11:AQ$368,1)+COUNTIF(AQ$11:AQ112,AQ112)-1),(RANK(AQ112,AQ$11:AQ$368)+COUNTIF(AQ$11:AQ112,AQ112)-1)))</f>
        <v/>
      </c>
      <c r="AS112" s="29" t="str">
        <f t="shared" si="43"/>
        <v/>
      </c>
      <c r="AT112" s="34" t="str">
        <f t="shared" si="34"/>
        <v/>
      </c>
      <c r="AU112" s="39" t="str">
        <f t="shared" si="48"/>
        <v/>
      </c>
      <c r="AX112" s="21">
        <f>HLOOKUP($AX$9&amp;$AX$10,Data!$A$1:$ZZ$2000,(MATCH($C112,Data!$A$1:$A$2000,0)),FALSE)</f>
        <v>21.19133335053575</v>
      </c>
      <c r="AY112" s="103"/>
      <c r="AZ112" s="21"/>
    </row>
    <row r="113" spans="1:52">
      <c r="A113" s="56" t="str">
        <f>$D$1&amp;103</f>
        <v>SC103</v>
      </c>
      <c r="B113" s="57">
        <f>IF(ISERROR(VLOOKUP(A113,classifications!A:C,3,FALSE)),0,VLOOKUP(A113,classifications!A:C,3,FALSE))</f>
        <v>0</v>
      </c>
      <c r="C113" s="8" t="s">
        <v>62</v>
      </c>
      <c r="D113" s="26" t="str">
        <f>VLOOKUP($C113,classifications!$C:$J,4,FALSE)</f>
        <v>SD</v>
      </c>
      <c r="E113" s="26" t="str">
        <f>VLOOKUP(C113,classifications!C:K,9,FALSE)</f>
        <v>Sparse</v>
      </c>
      <c r="F113" s="36">
        <f t="shared" si="26"/>
        <v>17.368471444255732</v>
      </c>
      <c r="G113" s="71"/>
      <c r="H113" s="37" t="str">
        <f t="shared" si="27"/>
        <v/>
      </c>
      <c r="I113" s="77" t="str">
        <f>IF(H113="","",IF($I$8="A",(RANK(H113,H$11:H$368,1)+COUNTIF(H$11:H113,H113)-1),(RANK(H113,H$11:H$368)+COUNTIF(H$11:H113,H113)-1)))</f>
        <v/>
      </c>
      <c r="J113" s="35"/>
      <c r="K113" s="28" t="str">
        <f t="shared" si="35"/>
        <v/>
      </c>
      <c r="L113" s="36" t="str">
        <f t="shared" si="28"/>
        <v/>
      </c>
      <c r="M113" s="102" t="str">
        <f t="shared" si="36"/>
        <v/>
      </c>
      <c r="N113" s="101" t="str">
        <f t="shared" si="37"/>
        <v/>
      </c>
      <c r="O113" s="94" t="str">
        <f t="shared" si="29"/>
        <v/>
      </c>
      <c r="P113" s="94" t="str">
        <f t="shared" si="45"/>
        <v/>
      </c>
      <c r="Q113" s="94" t="str">
        <f t="shared" si="46"/>
        <v/>
      </c>
      <c r="R113" s="90" t="str">
        <f t="shared" si="47"/>
        <v/>
      </c>
      <c r="S113" s="37" t="str">
        <f t="shared" si="38"/>
        <v/>
      </c>
      <c r="T113" s="176" t="str">
        <f>IF(L113="","",VLOOKUP(L113,classifications!C:K,9,FALSE))</f>
        <v/>
      </c>
      <c r="U113" s="183" t="str">
        <f t="shared" si="30"/>
        <v/>
      </c>
      <c r="V113" s="184" t="str">
        <f>IF(U113="","",IF($I$8="A",(RANK(U113,U$11:U$368)+COUNTIF(U$11:U113,U113)-1),(RANK(U113,U$11:U$368,1)+COUNTIF(U$11:U113,U113)-1)))</f>
        <v/>
      </c>
      <c r="W113" s="185"/>
      <c r="X113" s="38" t="str">
        <f>IF(L113="","",VLOOKUP($L113,classifications!$C:$J,6,FALSE))</f>
        <v/>
      </c>
      <c r="Y113" s="26" t="b">
        <f t="shared" si="31"/>
        <v>0</v>
      </c>
      <c r="Z113" s="34" t="e">
        <f>IF(Y113="","",IF(I$8="A",(RANK(Y113,Y$11:Y$368,1)+COUNTIF(Y$11:Y113,Y113)-1),(RANK(Y113,Y$11:Y$368)+COUNTIF(Y$11:Y113,Y113)-1)))</f>
        <v>#N/A</v>
      </c>
      <c r="AA113" s="188" t="str">
        <f>IF(L113="","",VLOOKUP($L113,classifications!C:I,7,FALSE))</f>
        <v/>
      </c>
      <c r="AB113" s="184" t="str">
        <f t="shared" si="39"/>
        <v/>
      </c>
      <c r="AC113" s="184" t="str">
        <f>IF(AB113="","",IF($I$8="A",(RANK(AB113,AB$11:AB$368)+COUNTIF(AB$11:AB113,AB113)-1),(RANK(AB113,AB$11:AB$368,1)+COUNTIF(AB$11:AB113,AB113)-1)))</f>
        <v/>
      </c>
      <c r="AD113" s="184"/>
      <c r="AE113" s="28" t="str">
        <f t="shared" si="49"/>
        <v/>
      </c>
      <c r="AG113" s="96"/>
      <c r="AH113" s="29"/>
      <c r="AI113" s="38" t="str">
        <f>IF(L113="","",VLOOKUP($L113,classifications!$C:$J,8,FALSE))</f>
        <v/>
      </c>
      <c r="AJ113" s="39" t="str">
        <f t="shared" si="32"/>
        <v/>
      </c>
      <c r="AK113" s="34" t="str">
        <f>IF(AJ113="","",IF(I$8="A",(RANK(AJ113,AJ$11:AJ$368,1)+COUNTIF(AJ$11:AJ113,AJ113)-1),(RANK(AJ113,AJ$11:AJ$368)+COUNTIF(AJ$11:AJ113,AJ113)-1)))</f>
        <v/>
      </c>
      <c r="AL113" s="29" t="str">
        <f t="shared" si="40"/>
        <v/>
      </c>
      <c r="AM113" s="8" t="str">
        <f t="shared" si="33"/>
        <v/>
      </c>
      <c r="AN113" s="8" t="str">
        <f t="shared" si="41"/>
        <v/>
      </c>
      <c r="AP113" s="38" t="str">
        <f>IF(L113="","",VLOOKUP($L113,classifications!$C:$E,3,FALSE))</f>
        <v/>
      </c>
      <c r="AQ113" s="39" t="str">
        <f t="shared" si="42"/>
        <v/>
      </c>
      <c r="AR113" s="34" t="str">
        <f>IF(AQ113="","",IF(I$8="A",(RANK(AQ113,AQ$11:AQ$368,1)+COUNTIF(AQ$11:AQ113,AQ113)-1),(RANK(AQ113,AQ$11:AQ$368)+COUNTIF(AQ$11:AQ113,AQ113)-1)))</f>
        <v/>
      </c>
      <c r="AS113" s="29" t="str">
        <f t="shared" si="43"/>
        <v/>
      </c>
      <c r="AT113" s="34" t="str">
        <f t="shared" si="34"/>
        <v/>
      </c>
      <c r="AU113" s="39" t="str">
        <f t="shared" si="48"/>
        <v/>
      </c>
      <c r="AX113" s="21">
        <f>HLOOKUP($AX$9&amp;$AX$10,Data!$A$1:$ZZ$2000,(MATCH($C113,Data!$A$1:$A$2000,0)),FALSE)</f>
        <v>17.368471444255732</v>
      </c>
      <c r="AY113" s="103"/>
      <c r="AZ113" s="21"/>
    </row>
    <row r="114" spans="1:52">
      <c r="A114" s="56" t="str">
        <f>$D$1&amp;104</f>
        <v>SC104</v>
      </c>
      <c r="B114" s="57">
        <f>IF(ISERROR(VLOOKUP(A114,classifications!A:C,3,FALSE)),0,VLOOKUP(A114,classifications!A:C,3,FALSE))</f>
        <v>0</v>
      </c>
      <c r="C114" s="8" t="s">
        <v>63</v>
      </c>
      <c r="D114" s="26" t="str">
        <f>VLOOKUP($C114,classifications!$C:$J,4,FALSE)</f>
        <v>SD</v>
      </c>
      <c r="E114" s="26">
        <f>VLOOKUP(C114,classifications!C:K,9,FALSE)</f>
        <v>0</v>
      </c>
      <c r="F114" s="36">
        <f t="shared" si="26"/>
        <v>23.984668805215019</v>
      </c>
      <c r="G114" s="71"/>
      <c r="H114" s="37" t="str">
        <f t="shared" si="27"/>
        <v/>
      </c>
      <c r="I114" s="77" t="str">
        <f>IF(H114="","",IF($I$8="A",(RANK(H114,H$11:H$368,1)+COUNTIF(H$11:H114,H114)-1),(RANK(H114,H$11:H$368)+COUNTIF(H$11:H114,H114)-1)))</f>
        <v/>
      </c>
      <c r="J114" s="35"/>
      <c r="K114" s="28" t="str">
        <f t="shared" si="35"/>
        <v/>
      </c>
      <c r="L114" s="36" t="str">
        <f t="shared" si="28"/>
        <v/>
      </c>
      <c r="M114" s="102" t="str">
        <f t="shared" si="36"/>
        <v/>
      </c>
      <c r="N114" s="101" t="str">
        <f t="shared" si="37"/>
        <v/>
      </c>
      <c r="O114" s="94" t="str">
        <f t="shared" si="29"/>
        <v/>
      </c>
      <c r="P114" s="94" t="str">
        <f t="shared" si="45"/>
        <v/>
      </c>
      <c r="Q114" s="94" t="str">
        <f t="shared" si="46"/>
        <v/>
      </c>
      <c r="R114" s="90" t="str">
        <f t="shared" si="47"/>
        <v/>
      </c>
      <c r="S114" s="37" t="str">
        <f t="shared" si="38"/>
        <v/>
      </c>
      <c r="T114" s="176" t="str">
        <f>IF(L114="","",VLOOKUP(L114,classifications!C:K,9,FALSE))</f>
        <v/>
      </c>
      <c r="U114" s="183" t="str">
        <f t="shared" si="30"/>
        <v/>
      </c>
      <c r="V114" s="184" t="str">
        <f>IF(U114="","",IF($I$8="A",(RANK(U114,U$11:U$368)+COUNTIF(U$11:U114,U114)-1),(RANK(U114,U$11:U$368,1)+COUNTIF(U$11:U114,U114)-1)))</f>
        <v/>
      </c>
      <c r="W114" s="185"/>
      <c r="X114" s="38" t="str">
        <f>IF(L114="","",VLOOKUP($L114,classifications!$C:$J,6,FALSE))</f>
        <v/>
      </c>
      <c r="Y114" s="26" t="b">
        <f t="shared" si="31"/>
        <v>0</v>
      </c>
      <c r="Z114" s="34" t="e">
        <f>IF(Y114="","",IF(I$8="A",(RANK(Y114,Y$11:Y$368,1)+COUNTIF(Y$11:Y114,Y114)-1),(RANK(Y114,Y$11:Y$368)+COUNTIF(Y$11:Y114,Y114)-1)))</f>
        <v>#N/A</v>
      </c>
      <c r="AA114" s="188" t="str">
        <f>IF(L114="","",VLOOKUP($L114,classifications!C:I,7,FALSE))</f>
        <v/>
      </c>
      <c r="AB114" s="184" t="str">
        <f t="shared" si="39"/>
        <v/>
      </c>
      <c r="AC114" s="184" t="str">
        <f>IF(AB114="","",IF($I$8="A",(RANK(AB114,AB$11:AB$368)+COUNTIF(AB$11:AB114,AB114)-1),(RANK(AB114,AB$11:AB$368,1)+COUNTIF(AB$11:AB114,AB114)-1)))</f>
        <v/>
      </c>
      <c r="AD114" s="184"/>
      <c r="AE114" s="28" t="str">
        <f t="shared" si="49"/>
        <v/>
      </c>
      <c r="AG114" s="96"/>
      <c r="AH114" s="29"/>
      <c r="AI114" s="38" t="str">
        <f>IF(L114="","",VLOOKUP($L114,classifications!$C:$J,8,FALSE))</f>
        <v/>
      </c>
      <c r="AJ114" s="39" t="str">
        <f t="shared" si="32"/>
        <v/>
      </c>
      <c r="AK114" s="34" t="str">
        <f>IF(AJ114="","",IF(I$8="A",(RANK(AJ114,AJ$11:AJ$368,1)+COUNTIF(AJ$11:AJ114,AJ114)-1),(RANK(AJ114,AJ$11:AJ$368)+COUNTIF(AJ$11:AJ114,AJ114)-1)))</f>
        <v/>
      </c>
      <c r="AL114" s="29" t="str">
        <f t="shared" si="40"/>
        <v/>
      </c>
      <c r="AM114" s="8" t="str">
        <f t="shared" si="33"/>
        <v/>
      </c>
      <c r="AN114" s="8" t="str">
        <f t="shared" si="41"/>
        <v/>
      </c>
      <c r="AP114" s="38" t="str">
        <f>IF(L114="","",VLOOKUP($L114,classifications!$C:$E,3,FALSE))</f>
        <v/>
      </c>
      <c r="AQ114" s="39" t="str">
        <f t="shared" si="42"/>
        <v/>
      </c>
      <c r="AR114" s="34" t="str">
        <f>IF(AQ114="","",IF(I$8="A",(RANK(AQ114,AQ$11:AQ$368,1)+COUNTIF(AQ$11:AQ114,AQ114)-1),(RANK(AQ114,AQ$11:AQ$368)+COUNTIF(AQ$11:AQ114,AQ114)-1)))</f>
        <v/>
      </c>
      <c r="AS114" s="29" t="str">
        <f t="shared" si="43"/>
        <v/>
      </c>
      <c r="AT114" s="34" t="str">
        <f t="shared" si="34"/>
        <v/>
      </c>
      <c r="AU114" s="39" t="str">
        <f t="shared" si="48"/>
        <v/>
      </c>
      <c r="AX114" s="21">
        <f>HLOOKUP($AX$9&amp;$AX$10,Data!$A$1:$ZZ$2000,(MATCH($C114,Data!$A$1:$A$2000,0)),FALSE)</f>
        <v>23.984668805215019</v>
      </c>
      <c r="AY114" s="103"/>
      <c r="AZ114" s="21"/>
    </row>
    <row r="115" spans="1:52">
      <c r="A115" s="56" t="str">
        <f>$D$1&amp;105</f>
        <v>SC105</v>
      </c>
      <c r="B115" s="57">
        <f>IF(ISERROR(VLOOKUP(A115,classifications!A:C,3,FALSE)),0,VLOOKUP(A115,classifications!A:C,3,FALSE))</f>
        <v>0</v>
      </c>
      <c r="C115" s="8" t="s">
        <v>203</v>
      </c>
      <c r="D115" s="26" t="str">
        <f>VLOOKUP($C115,classifications!$C:$J,4,FALSE)</f>
        <v>L</v>
      </c>
      <c r="E115" s="26">
        <f>VLOOKUP(C115,classifications!C:K,9,FALSE)</f>
        <v>0</v>
      </c>
      <c r="F115" s="36">
        <f t="shared" si="26"/>
        <v>10.267195950180803</v>
      </c>
      <c r="G115" s="71"/>
      <c r="H115" s="37" t="str">
        <f t="shared" si="27"/>
        <v/>
      </c>
      <c r="I115" s="77" t="str">
        <f>IF(H115="","",IF($I$8="A",(RANK(H115,H$11:H$368,1)+COUNTIF(H$11:H115,H115)-1),(RANK(H115,H$11:H$368)+COUNTIF(H$11:H115,H115)-1)))</f>
        <v/>
      </c>
      <c r="J115" s="35"/>
      <c r="K115" s="28" t="str">
        <f t="shared" si="35"/>
        <v/>
      </c>
      <c r="L115" s="36" t="str">
        <f t="shared" si="28"/>
        <v/>
      </c>
      <c r="M115" s="102" t="str">
        <f t="shared" si="36"/>
        <v/>
      </c>
      <c r="N115" s="101" t="str">
        <f t="shared" si="37"/>
        <v/>
      </c>
      <c r="O115" s="94" t="str">
        <f t="shared" si="29"/>
        <v/>
      </c>
      <c r="P115" s="94" t="str">
        <f t="shared" si="45"/>
        <v/>
      </c>
      <c r="Q115" s="94" t="str">
        <f t="shared" si="46"/>
        <v/>
      </c>
      <c r="R115" s="90" t="str">
        <f t="shared" si="47"/>
        <v/>
      </c>
      <c r="S115" s="37" t="str">
        <f t="shared" si="38"/>
        <v/>
      </c>
      <c r="T115" s="176" t="str">
        <f>IF(L115="","",VLOOKUP(L115,classifications!C:K,9,FALSE))</f>
        <v/>
      </c>
      <c r="U115" s="183" t="str">
        <f t="shared" si="30"/>
        <v/>
      </c>
      <c r="V115" s="184" t="str">
        <f>IF(U115="","",IF($I$8="A",(RANK(U115,U$11:U$368)+COUNTIF(U$11:U115,U115)-1),(RANK(U115,U$11:U$368,1)+COUNTIF(U$11:U115,U115)-1)))</f>
        <v/>
      </c>
      <c r="W115" s="185"/>
      <c r="X115" s="38" t="str">
        <f>IF(L115="","",VLOOKUP($L115,classifications!$C:$J,6,FALSE))</f>
        <v/>
      </c>
      <c r="Y115" s="26" t="b">
        <f t="shared" si="31"/>
        <v>0</v>
      </c>
      <c r="Z115" s="34" t="e">
        <f>IF(Y115="","",IF(I$8="A",(RANK(Y115,Y$11:Y$368,1)+COUNTIF(Y$11:Y115,Y115)-1),(RANK(Y115,Y$11:Y$368)+COUNTIF(Y$11:Y115,Y115)-1)))</f>
        <v>#N/A</v>
      </c>
      <c r="AA115" s="188" t="str">
        <f>IF(L115="","",VLOOKUP($L115,classifications!C:I,7,FALSE))</f>
        <v/>
      </c>
      <c r="AB115" s="184" t="str">
        <f t="shared" si="39"/>
        <v/>
      </c>
      <c r="AC115" s="184" t="str">
        <f>IF(AB115="","",IF($I$8="A",(RANK(AB115,AB$11:AB$368)+COUNTIF(AB$11:AB115,AB115)-1),(RANK(AB115,AB$11:AB$368,1)+COUNTIF(AB$11:AB115,AB115)-1)))</f>
        <v/>
      </c>
      <c r="AD115" s="184"/>
      <c r="AE115" s="28" t="str">
        <f t="shared" si="49"/>
        <v/>
      </c>
      <c r="AG115" s="96"/>
      <c r="AH115" s="29"/>
      <c r="AI115" s="38" t="str">
        <f>IF(L115="","",VLOOKUP($L115,classifications!$C:$J,8,FALSE))</f>
        <v/>
      </c>
      <c r="AJ115" s="39" t="str">
        <f t="shared" si="32"/>
        <v/>
      </c>
      <c r="AK115" s="34" t="str">
        <f>IF(AJ115="","",IF(I$8="A",(RANK(AJ115,AJ$11:AJ$368,1)+COUNTIF(AJ$11:AJ115,AJ115)-1),(RANK(AJ115,AJ$11:AJ$368)+COUNTIF(AJ$11:AJ115,AJ115)-1)))</f>
        <v/>
      </c>
      <c r="AL115" s="29" t="str">
        <f t="shared" si="40"/>
        <v/>
      </c>
      <c r="AM115" s="8" t="str">
        <f t="shared" si="33"/>
        <v/>
      </c>
      <c r="AN115" s="8" t="str">
        <f t="shared" si="41"/>
        <v/>
      </c>
      <c r="AP115" s="38" t="str">
        <f>IF(L115="","",VLOOKUP($L115,classifications!$C:$E,3,FALSE))</f>
        <v/>
      </c>
      <c r="AQ115" s="39" t="str">
        <f t="shared" si="42"/>
        <v/>
      </c>
      <c r="AR115" s="34" t="str">
        <f>IF(AQ115="","",IF(I$8="A",(RANK(AQ115,AQ$11:AQ$368,1)+COUNTIF(AQ$11:AQ115,AQ115)-1),(RANK(AQ115,AQ$11:AQ$368)+COUNTIF(AQ$11:AQ115,AQ115)-1)))</f>
        <v/>
      </c>
      <c r="AS115" s="29" t="str">
        <f t="shared" si="43"/>
        <v/>
      </c>
      <c r="AT115" s="34" t="str">
        <f t="shared" si="34"/>
        <v/>
      </c>
      <c r="AU115" s="39" t="str">
        <f t="shared" si="48"/>
        <v/>
      </c>
      <c r="AX115" s="21">
        <f>HLOOKUP($AX$9&amp;$AX$10,Data!$A$1:$ZZ$2000,(MATCH($C115,Data!$A$1:$A$2000,0)),FALSE)</f>
        <v>10.267195950180803</v>
      </c>
      <c r="AY115" s="103"/>
      <c r="AZ115" s="21"/>
    </row>
    <row r="116" spans="1:52">
      <c r="A116" s="56" t="str">
        <f>$D$1&amp;106</f>
        <v>SC106</v>
      </c>
      <c r="B116" s="57">
        <f>IF(ISERROR(VLOOKUP(A116,classifications!A:C,3,FALSE)),0,VLOOKUP(A116,classifications!A:C,3,FALSE))</f>
        <v>0</v>
      </c>
      <c r="C116" s="8" t="s">
        <v>64</v>
      </c>
      <c r="D116" s="26" t="str">
        <f>VLOOKUP($C116,classifications!$C:$J,4,FALSE)</f>
        <v>SD</v>
      </c>
      <c r="E116" s="26">
        <f>VLOOKUP(C116,classifications!C:K,9,FALSE)</f>
        <v>0</v>
      </c>
      <c r="F116" s="36">
        <f t="shared" si="26"/>
        <v>12.771000407132895</v>
      </c>
      <c r="G116" s="71"/>
      <c r="H116" s="37" t="str">
        <f t="shared" si="27"/>
        <v/>
      </c>
      <c r="I116" s="77" t="str">
        <f>IF(H116="","",IF($I$8="A",(RANK(H116,H$11:H$368,1)+COUNTIF(H$11:H116,H116)-1),(RANK(H116,H$11:H$368)+COUNTIF(H$11:H116,H116)-1)))</f>
        <v/>
      </c>
      <c r="J116" s="35"/>
      <c r="K116" s="28" t="str">
        <f t="shared" si="35"/>
        <v/>
      </c>
      <c r="L116" s="36" t="str">
        <f t="shared" si="28"/>
        <v/>
      </c>
      <c r="M116" s="102" t="str">
        <f t="shared" si="36"/>
        <v/>
      </c>
      <c r="N116" s="101" t="str">
        <f t="shared" si="37"/>
        <v/>
      </c>
      <c r="O116" s="94" t="str">
        <f t="shared" si="29"/>
        <v/>
      </c>
      <c r="P116" s="94" t="str">
        <f t="shared" si="45"/>
        <v/>
      </c>
      <c r="Q116" s="94" t="str">
        <f t="shared" si="46"/>
        <v/>
      </c>
      <c r="R116" s="90" t="str">
        <f t="shared" si="47"/>
        <v/>
      </c>
      <c r="S116" s="37" t="str">
        <f t="shared" si="38"/>
        <v/>
      </c>
      <c r="T116" s="176" t="str">
        <f>IF(L116="","",VLOOKUP(L116,classifications!C:K,9,FALSE))</f>
        <v/>
      </c>
      <c r="U116" s="183" t="str">
        <f t="shared" si="30"/>
        <v/>
      </c>
      <c r="V116" s="184" t="str">
        <f>IF(U116="","",IF($I$8="A",(RANK(U116,U$11:U$368)+COUNTIF(U$11:U116,U116)-1),(RANK(U116,U$11:U$368,1)+COUNTIF(U$11:U116,U116)-1)))</f>
        <v/>
      </c>
      <c r="W116" s="185"/>
      <c r="X116" s="38" t="str">
        <f>IF(L116="","",VLOOKUP($L116,classifications!$C:$J,6,FALSE))</f>
        <v/>
      </c>
      <c r="Y116" s="26" t="b">
        <f t="shared" si="31"/>
        <v>0</v>
      </c>
      <c r="Z116" s="34" t="e">
        <f>IF(Y116="","",IF(I$8="A",(RANK(Y116,Y$11:Y$368,1)+COUNTIF(Y$11:Y116,Y116)-1),(RANK(Y116,Y$11:Y$368)+COUNTIF(Y$11:Y116,Y116)-1)))</f>
        <v>#N/A</v>
      </c>
      <c r="AA116" s="188" t="str">
        <f>IF(L116="","",VLOOKUP($L116,classifications!C:I,7,FALSE))</f>
        <v/>
      </c>
      <c r="AB116" s="184" t="str">
        <f t="shared" si="39"/>
        <v/>
      </c>
      <c r="AC116" s="184" t="str">
        <f>IF(AB116="","",IF($I$8="A",(RANK(AB116,AB$11:AB$368)+COUNTIF(AB$11:AB116,AB116)-1),(RANK(AB116,AB$11:AB$368,1)+COUNTIF(AB$11:AB116,AB116)-1)))</f>
        <v/>
      </c>
      <c r="AD116" s="184"/>
      <c r="AE116" s="28" t="str">
        <f t="shared" si="49"/>
        <v/>
      </c>
      <c r="AG116" s="96"/>
      <c r="AH116" s="29"/>
      <c r="AI116" s="38" t="str">
        <f>IF(L116="","",VLOOKUP($L116,classifications!$C:$J,8,FALSE))</f>
        <v/>
      </c>
      <c r="AJ116" s="39" t="str">
        <f t="shared" si="32"/>
        <v/>
      </c>
      <c r="AK116" s="34" t="str">
        <f>IF(AJ116="","",IF(I$8="A",(RANK(AJ116,AJ$11:AJ$368,1)+COUNTIF(AJ$11:AJ116,AJ116)-1),(RANK(AJ116,AJ$11:AJ$368)+COUNTIF(AJ$11:AJ116,AJ116)-1)))</f>
        <v/>
      </c>
      <c r="AL116" s="29" t="str">
        <f t="shared" si="40"/>
        <v/>
      </c>
      <c r="AM116" s="8" t="str">
        <f t="shared" si="33"/>
        <v/>
      </c>
      <c r="AN116" s="8" t="str">
        <f t="shared" si="41"/>
        <v/>
      </c>
      <c r="AP116" s="38" t="str">
        <f>IF(L116="","",VLOOKUP($L116,classifications!$C:$E,3,FALSE))</f>
        <v/>
      </c>
      <c r="AQ116" s="39" t="str">
        <f t="shared" si="42"/>
        <v/>
      </c>
      <c r="AR116" s="34" t="str">
        <f>IF(AQ116="","",IF(I$8="A",(RANK(AQ116,AQ$11:AQ$368,1)+COUNTIF(AQ$11:AQ116,AQ116)-1),(RANK(AQ116,AQ$11:AQ$368)+COUNTIF(AQ$11:AQ116,AQ116)-1)))</f>
        <v/>
      </c>
      <c r="AS116" s="29" t="str">
        <f t="shared" si="43"/>
        <v/>
      </c>
      <c r="AT116" s="34" t="str">
        <f t="shared" si="34"/>
        <v/>
      </c>
      <c r="AU116" s="39" t="str">
        <f t="shared" si="48"/>
        <v/>
      </c>
      <c r="AX116" s="21">
        <f>HLOOKUP($AX$9&amp;$AX$10,Data!$A$1:$ZZ$2000,(MATCH($C116,Data!$A$1:$A$2000,0)),FALSE)</f>
        <v>12.771000407132895</v>
      </c>
      <c r="AY116" s="103"/>
      <c r="AZ116" s="21"/>
    </row>
    <row r="117" spans="1:52">
      <c r="A117" s="56" t="str">
        <f>$D$1&amp;107</f>
        <v>SC107</v>
      </c>
      <c r="B117" s="57">
        <f>IF(ISERROR(VLOOKUP(A117,classifications!A:C,3,FALSE)),0,VLOOKUP(A117,classifications!A:C,3,FALSE))</f>
        <v>0</v>
      </c>
      <c r="C117" s="8" t="s">
        <v>344</v>
      </c>
      <c r="D117" s="26" t="str">
        <f>VLOOKUP($C117,classifications!$C:$J,4,FALSE)</f>
        <v>SD</v>
      </c>
      <c r="E117" s="26">
        <f>VLOOKUP(C117,classifications!C:K,9,FALSE)</f>
        <v>0</v>
      </c>
      <c r="F117" s="36">
        <f t="shared" si="26"/>
        <v>19.66408572878446</v>
      </c>
      <c r="G117" s="71"/>
      <c r="H117" s="37" t="str">
        <f t="shared" si="27"/>
        <v/>
      </c>
      <c r="I117" s="77" t="str">
        <f>IF(H117="","",IF($I$8="A",(RANK(H117,H$11:H$368,1)+COUNTIF(H$11:H117,H117)-1),(RANK(H117,H$11:H$368)+COUNTIF(H$11:H117,H117)-1)))</f>
        <v/>
      </c>
      <c r="J117" s="35"/>
      <c r="K117" s="28" t="str">
        <f t="shared" si="35"/>
        <v/>
      </c>
      <c r="L117" s="36" t="str">
        <f t="shared" si="28"/>
        <v/>
      </c>
      <c r="M117" s="102" t="str">
        <f t="shared" si="36"/>
        <v/>
      </c>
      <c r="N117" s="101" t="str">
        <f t="shared" si="37"/>
        <v/>
      </c>
      <c r="O117" s="94" t="str">
        <f t="shared" si="29"/>
        <v/>
      </c>
      <c r="P117" s="94" t="str">
        <f t="shared" si="45"/>
        <v/>
      </c>
      <c r="Q117" s="94" t="str">
        <f t="shared" si="46"/>
        <v/>
      </c>
      <c r="R117" s="90" t="str">
        <f t="shared" si="47"/>
        <v/>
      </c>
      <c r="S117" s="37" t="str">
        <f t="shared" si="38"/>
        <v/>
      </c>
      <c r="T117" s="176" t="str">
        <f>IF(L117="","",VLOOKUP(L117,classifications!C:K,9,FALSE))</f>
        <v/>
      </c>
      <c r="U117" s="183" t="str">
        <f t="shared" si="30"/>
        <v/>
      </c>
      <c r="V117" s="184" t="str">
        <f>IF(U117="","",IF($I$8="A",(RANK(U117,U$11:U$368)+COUNTIF(U$11:U117,U117)-1),(RANK(U117,U$11:U$368,1)+COUNTIF(U$11:U117,U117)-1)))</f>
        <v/>
      </c>
      <c r="W117" s="185"/>
      <c r="X117" s="38" t="str">
        <f>IF(L117="","",VLOOKUP($L117,classifications!$C:$J,6,FALSE))</f>
        <v/>
      </c>
      <c r="Y117" s="26" t="b">
        <f t="shared" si="31"/>
        <v>0</v>
      </c>
      <c r="Z117" s="34" t="e">
        <f>IF(Y117="","",IF(I$8="A",(RANK(Y117,Y$11:Y$368,1)+COUNTIF(Y$11:Y117,Y117)-1),(RANK(Y117,Y$11:Y$368)+COUNTIF(Y$11:Y117,Y117)-1)))</f>
        <v>#N/A</v>
      </c>
      <c r="AA117" s="188" t="str">
        <f>IF(L117="","",VLOOKUP($L117,classifications!C:I,7,FALSE))</f>
        <v/>
      </c>
      <c r="AB117" s="184" t="str">
        <f t="shared" si="39"/>
        <v/>
      </c>
      <c r="AC117" s="184" t="str">
        <f>IF(AB117="","",IF($I$8="A",(RANK(AB117,AB$11:AB$368)+COUNTIF(AB$11:AB117,AB117)-1),(RANK(AB117,AB$11:AB$368,1)+COUNTIF(AB$11:AB117,AB117)-1)))</f>
        <v/>
      </c>
      <c r="AD117" s="184"/>
      <c r="AE117" s="28" t="str">
        <f t="shared" si="49"/>
        <v/>
      </c>
      <c r="AG117" s="96"/>
      <c r="AH117" s="29"/>
      <c r="AI117" s="38" t="str">
        <f>IF(L117="","",VLOOKUP($L117,classifications!$C:$J,8,FALSE))</f>
        <v/>
      </c>
      <c r="AJ117" s="39" t="str">
        <f t="shared" si="32"/>
        <v/>
      </c>
      <c r="AK117" s="34" t="str">
        <f>IF(AJ117="","",IF(I$8="A",(RANK(AJ117,AJ$11:AJ$368,1)+COUNTIF(AJ$11:AJ117,AJ117)-1),(RANK(AJ117,AJ$11:AJ$368)+COUNTIF(AJ$11:AJ117,AJ117)-1)))</f>
        <v/>
      </c>
      <c r="AL117" s="29" t="str">
        <f t="shared" si="40"/>
        <v/>
      </c>
      <c r="AM117" s="8" t="str">
        <f t="shared" si="33"/>
        <v/>
      </c>
      <c r="AN117" s="8" t="str">
        <f t="shared" si="41"/>
        <v/>
      </c>
      <c r="AP117" s="38" t="str">
        <f>IF(L117="","",VLOOKUP($L117,classifications!$C:$E,3,FALSE))</f>
        <v/>
      </c>
      <c r="AQ117" s="39" t="str">
        <f t="shared" si="42"/>
        <v/>
      </c>
      <c r="AR117" s="34" t="str">
        <f>IF(AQ117="","",IF(I$8="A",(RANK(AQ117,AQ$11:AQ$368,1)+COUNTIF(AQ$11:AQ117,AQ117)-1),(RANK(AQ117,AQ$11:AQ$368)+COUNTIF(AQ$11:AQ117,AQ117)-1)))</f>
        <v/>
      </c>
      <c r="AS117" s="29" t="str">
        <f t="shared" si="43"/>
        <v/>
      </c>
      <c r="AT117" s="34" t="str">
        <f t="shared" si="34"/>
        <v/>
      </c>
      <c r="AU117" s="39" t="str">
        <f t="shared" si="48"/>
        <v/>
      </c>
      <c r="AX117" s="21">
        <f>HLOOKUP($AX$9&amp;$AX$10,Data!$A$1:$ZZ$2000,(MATCH($C117,Data!$A$1:$A$2000,0)),FALSE)</f>
        <v>19.66408572878446</v>
      </c>
      <c r="AY117" s="103"/>
      <c r="AZ117" s="21"/>
    </row>
    <row r="118" spans="1:52">
      <c r="A118" s="56" t="str">
        <f>$D$1&amp;108</f>
        <v>SC108</v>
      </c>
      <c r="B118" s="57">
        <f>IF(ISERROR(VLOOKUP(A118,classifications!A:C,3,FALSE)),0,VLOOKUP(A118,classifications!A:C,3,FALSE))</f>
        <v>0</v>
      </c>
      <c r="C118" s="8" t="s">
        <v>65</v>
      </c>
      <c r="D118" s="26" t="str">
        <f>VLOOKUP($C118,classifications!$C:$J,4,FALSE)</f>
        <v>SD</v>
      </c>
      <c r="E118" s="26">
        <f>VLOOKUP(C118,classifications!C:K,9,FALSE)</f>
        <v>0</v>
      </c>
      <c r="F118" s="36">
        <f t="shared" si="26"/>
        <v>17.316148345551994</v>
      </c>
      <c r="G118" s="71"/>
      <c r="H118" s="37" t="str">
        <f t="shared" si="27"/>
        <v/>
      </c>
      <c r="I118" s="77" t="str">
        <f>IF(H118="","",IF($I$8="A",(RANK(H118,H$11:H$368,1)+COUNTIF(H$11:H118,H118)-1),(RANK(H118,H$11:H$368)+COUNTIF(H$11:H118,H118)-1)))</f>
        <v/>
      </c>
      <c r="J118" s="35"/>
      <c r="K118" s="28" t="str">
        <f t="shared" si="35"/>
        <v/>
      </c>
      <c r="L118" s="36" t="str">
        <f t="shared" si="28"/>
        <v/>
      </c>
      <c r="M118" s="102" t="str">
        <f t="shared" si="36"/>
        <v/>
      </c>
      <c r="N118" s="101" t="str">
        <f t="shared" si="37"/>
        <v/>
      </c>
      <c r="O118" s="94" t="str">
        <f t="shared" si="29"/>
        <v/>
      </c>
      <c r="P118" s="94" t="str">
        <f t="shared" si="45"/>
        <v/>
      </c>
      <c r="Q118" s="94" t="str">
        <f t="shared" si="46"/>
        <v/>
      </c>
      <c r="R118" s="90" t="str">
        <f t="shared" si="47"/>
        <v/>
      </c>
      <c r="S118" s="37" t="str">
        <f t="shared" si="38"/>
        <v/>
      </c>
      <c r="T118" s="176" t="str">
        <f>IF(L118="","",VLOOKUP(L118,classifications!C:K,9,FALSE))</f>
        <v/>
      </c>
      <c r="U118" s="183" t="str">
        <f t="shared" si="30"/>
        <v/>
      </c>
      <c r="V118" s="184" t="str">
        <f>IF(U118="","",IF($I$8="A",(RANK(U118,U$11:U$368)+COUNTIF(U$11:U118,U118)-1),(RANK(U118,U$11:U$368,1)+COUNTIF(U$11:U118,U118)-1)))</f>
        <v/>
      </c>
      <c r="W118" s="185"/>
      <c r="X118" s="38" t="str">
        <f>IF(L118="","",VLOOKUP($L118,classifications!$C:$J,6,FALSE))</f>
        <v/>
      </c>
      <c r="Y118" s="26" t="b">
        <f t="shared" si="31"/>
        <v>0</v>
      </c>
      <c r="Z118" s="34" t="e">
        <f>IF(Y118="","",IF(I$8="A",(RANK(Y118,Y$11:Y$368,1)+COUNTIF(Y$11:Y118,Y118)-1),(RANK(Y118,Y$11:Y$368)+COUNTIF(Y$11:Y118,Y118)-1)))</f>
        <v>#N/A</v>
      </c>
      <c r="AA118" s="188" t="str">
        <f>IF(L118="","",VLOOKUP($L118,classifications!C:I,7,FALSE))</f>
        <v/>
      </c>
      <c r="AB118" s="184" t="str">
        <f t="shared" si="39"/>
        <v/>
      </c>
      <c r="AC118" s="184" t="str">
        <f>IF(AB118="","",IF($I$8="A",(RANK(AB118,AB$11:AB$368)+COUNTIF(AB$11:AB118,AB118)-1),(RANK(AB118,AB$11:AB$368,1)+COUNTIF(AB$11:AB118,AB118)-1)))</f>
        <v/>
      </c>
      <c r="AD118" s="184"/>
      <c r="AE118" s="28" t="str">
        <f t="shared" si="49"/>
        <v/>
      </c>
      <c r="AG118" s="96"/>
      <c r="AH118" s="29"/>
      <c r="AI118" s="38" t="str">
        <f>IF(L118="","",VLOOKUP($L118,classifications!$C:$J,8,FALSE))</f>
        <v/>
      </c>
      <c r="AJ118" s="39" t="str">
        <f t="shared" si="32"/>
        <v/>
      </c>
      <c r="AK118" s="34" t="str">
        <f>IF(AJ118="","",IF(I$8="A",(RANK(AJ118,AJ$11:AJ$368,1)+COUNTIF(AJ$11:AJ118,AJ118)-1),(RANK(AJ118,AJ$11:AJ$368)+COUNTIF(AJ$11:AJ118,AJ118)-1)))</f>
        <v/>
      </c>
      <c r="AL118" s="29" t="str">
        <f t="shared" si="40"/>
        <v/>
      </c>
      <c r="AM118" s="8" t="str">
        <f t="shared" si="33"/>
        <v/>
      </c>
      <c r="AN118" s="8" t="str">
        <f t="shared" si="41"/>
        <v/>
      </c>
      <c r="AP118" s="38" t="str">
        <f>IF(L118="","",VLOOKUP($L118,classifications!$C:$E,3,FALSE))</f>
        <v/>
      </c>
      <c r="AQ118" s="39" t="str">
        <f t="shared" si="42"/>
        <v/>
      </c>
      <c r="AR118" s="34" t="str">
        <f>IF(AQ118="","",IF(I$8="A",(RANK(AQ118,AQ$11:AQ$368,1)+COUNTIF(AQ$11:AQ118,AQ118)-1),(RANK(AQ118,AQ$11:AQ$368)+COUNTIF(AQ$11:AQ118,AQ118)-1)))</f>
        <v/>
      </c>
      <c r="AS118" s="29" t="str">
        <f t="shared" si="43"/>
        <v/>
      </c>
      <c r="AT118" s="34" t="str">
        <f t="shared" si="34"/>
        <v/>
      </c>
      <c r="AU118" s="39" t="str">
        <f t="shared" si="48"/>
        <v/>
      </c>
      <c r="AX118" s="21">
        <f>HLOOKUP($AX$9&amp;$AX$10,Data!$A$1:$ZZ$2000,(MATCH($C118,Data!$A$1:$A$2000,0)),FALSE)</f>
        <v>17.316148345551994</v>
      </c>
      <c r="AY118" s="103"/>
      <c r="AZ118" s="21"/>
    </row>
    <row r="119" spans="1:52">
      <c r="A119" s="56" t="str">
        <f>$D$1&amp;109</f>
        <v>SC109</v>
      </c>
      <c r="B119" s="57">
        <f>IF(ISERROR(VLOOKUP(A119,classifications!A:C,3,FALSE)),0,VLOOKUP(A119,classifications!A:C,3,FALSE))</f>
        <v>0</v>
      </c>
      <c r="C119" s="8" t="s">
        <v>311</v>
      </c>
      <c r="D119" s="26" t="str">
        <f>VLOOKUP($C119,classifications!$C:$J,4,FALSE)</f>
        <v>SC</v>
      </c>
      <c r="E119" s="26" t="str">
        <f>VLOOKUP(C119,classifications!C:K,9,FALSE)</f>
        <v>Sparse</v>
      </c>
      <c r="F119" s="36">
        <f t="shared" si="26"/>
        <v>14.894377995293434</v>
      </c>
      <c r="G119" s="71"/>
      <c r="H119" s="37">
        <f t="shared" si="27"/>
        <v>14.894377995293434</v>
      </c>
      <c r="I119" s="77">
        <f>IF(H119="","",IF($I$8="A",(RANK(H119,H$11:H$368,1)+COUNTIF(H$11:H119,H119)-1),(RANK(H119,H$11:H$368)+COUNTIF(H$11:H119,H119)-1)))</f>
        <v>20</v>
      </c>
      <c r="J119" s="35"/>
      <c r="K119" s="28" t="str">
        <f t="shared" si="35"/>
        <v/>
      </c>
      <c r="L119" s="36" t="str">
        <f t="shared" si="28"/>
        <v/>
      </c>
      <c r="M119" s="102" t="str">
        <f t="shared" si="36"/>
        <v/>
      </c>
      <c r="N119" s="101" t="str">
        <f t="shared" si="37"/>
        <v/>
      </c>
      <c r="O119" s="94" t="str">
        <f t="shared" si="29"/>
        <v/>
      </c>
      <c r="P119" s="94" t="str">
        <f t="shared" si="45"/>
        <v/>
      </c>
      <c r="Q119" s="94" t="str">
        <f t="shared" si="46"/>
        <v/>
      </c>
      <c r="R119" s="90" t="str">
        <f t="shared" si="47"/>
        <v/>
      </c>
      <c r="S119" s="37" t="str">
        <f t="shared" si="38"/>
        <v/>
      </c>
      <c r="T119" s="176" t="str">
        <f>IF(L119="","",VLOOKUP(L119,classifications!C:K,9,FALSE))</f>
        <v/>
      </c>
      <c r="U119" s="183" t="str">
        <f t="shared" si="30"/>
        <v/>
      </c>
      <c r="V119" s="184" t="str">
        <f>IF(U119="","",IF($I$8="A",(RANK(U119,U$11:U$368)+COUNTIF(U$11:U119,U119)-1),(RANK(U119,U$11:U$368,1)+COUNTIF(U$11:U119,U119)-1)))</f>
        <v/>
      </c>
      <c r="W119" s="185"/>
      <c r="X119" s="38" t="str">
        <f>IF(L119="","",VLOOKUP($L119,classifications!$C:$J,6,FALSE))</f>
        <v/>
      </c>
      <c r="Y119" s="26" t="b">
        <f t="shared" si="31"/>
        <v>0</v>
      </c>
      <c r="Z119" s="34" t="e">
        <f>IF(Y119="","",IF(I$8="A",(RANK(Y119,Y$11:Y$368,1)+COUNTIF(Y$11:Y119,Y119)-1),(RANK(Y119,Y$11:Y$368)+COUNTIF(Y$11:Y119,Y119)-1)))</f>
        <v>#N/A</v>
      </c>
      <c r="AA119" s="188" t="str">
        <f>IF(L119="","",VLOOKUP($L119,classifications!C:I,7,FALSE))</f>
        <v/>
      </c>
      <c r="AB119" s="184" t="str">
        <f t="shared" si="39"/>
        <v/>
      </c>
      <c r="AC119" s="184" t="str">
        <f>IF(AB119="","",IF($I$8="A",(RANK(AB119,AB$11:AB$368)+COUNTIF(AB$11:AB119,AB119)-1),(RANK(AB119,AB$11:AB$368,1)+COUNTIF(AB$11:AB119,AB119)-1)))</f>
        <v/>
      </c>
      <c r="AD119" s="184"/>
      <c r="AE119" s="28" t="str">
        <f t="shared" si="49"/>
        <v/>
      </c>
      <c r="AG119" s="96"/>
      <c r="AH119" s="29"/>
      <c r="AI119" s="38" t="str">
        <f>IF(L119="","",VLOOKUP($L119,classifications!$C:$J,8,FALSE))</f>
        <v/>
      </c>
      <c r="AJ119" s="39" t="str">
        <f t="shared" si="32"/>
        <v/>
      </c>
      <c r="AK119" s="34" t="str">
        <f>IF(AJ119="","",IF(I$8="A",(RANK(AJ119,AJ$11:AJ$368,1)+COUNTIF(AJ$11:AJ119,AJ119)-1),(RANK(AJ119,AJ$11:AJ$368)+COUNTIF(AJ$11:AJ119,AJ119)-1)))</f>
        <v/>
      </c>
      <c r="AL119" s="29" t="str">
        <f t="shared" si="40"/>
        <v/>
      </c>
      <c r="AM119" s="8" t="str">
        <f t="shared" si="33"/>
        <v/>
      </c>
      <c r="AN119" s="8" t="str">
        <f t="shared" si="41"/>
        <v/>
      </c>
      <c r="AP119" s="38" t="str">
        <f>IF(L119="","",VLOOKUP($L119,classifications!$C:$E,3,FALSE))</f>
        <v/>
      </c>
      <c r="AQ119" s="39" t="str">
        <f t="shared" si="42"/>
        <v/>
      </c>
      <c r="AR119" s="34" t="str">
        <f>IF(AQ119="","",IF(I$8="A",(RANK(AQ119,AQ$11:AQ$368,1)+COUNTIF(AQ$11:AQ119,AQ119)-1),(RANK(AQ119,AQ$11:AQ$368)+COUNTIF(AQ$11:AQ119,AQ119)-1)))</f>
        <v/>
      </c>
      <c r="AS119" s="29" t="str">
        <f t="shared" si="43"/>
        <v/>
      </c>
      <c r="AT119" s="34" t="str">
        <f t="shared" si="34"/>
        <v/>
      </c>
      <c r="AU119" s="39" t="str">
        <f t="shared" si="48"/>
        <v/>
      </c>
      <c r="AX119" s="21">
        <f>HLOOKUP($AX$9&amp;$AX$10,Data!$A$1:$ZZ$2000,(MATCH($C119,Data!$A$1:$A$2000,0)),FALSE)</f>
        <v>14.894377995293434</v>
      </c>
      <c r="AY119" s="103"/>
      <c r="AZ119" s="21"/>
    </row>
    <row r="120" spans="1:52">
      <c r="A120" s="56" t="str">
        <f>$D$1&amp;110</f>
        <v>SC110</v>
      </c>
      <c r="B120" s="57">
        <f>IF(ISERROR(VLOOKUP(A120,classifications!A:C,3,FALSE)),0,VLOOKUP(A120,classifications!A:C,3,FALSE))</f>
        <v>0</v>
      </c>
      <c r="C120" s="8" t="s">
        <v>66</v>
      </c>
      <c r="D120" s="26" t="str">
        <f>VLOOKUP($C120,classifications!$C:$J,4,FALSE)</f>
        <v>SD</v>
      </c>
      <c r="E120" s="26">
        <f>VLOOKUP(C120,classifications!C:K,9,FALSE)</f>
        <v>0</v>
      </c>
      <c r="F120" s="36">
        <f t="shared" si="26"/>
        <v>32.224554012680088</v>
      </c>
      <c r="G120" s="71"/>
      <c r="H120" s="37" t="str">
        <f t="shared" si="27"/>
        <v/>
      </c>
      <c r="I120" s="77" t="str">
        <f>IF(H120="","",IF($I$8="A",(RANK(H120,H$11:H$368,1)+COUNTIF(H$11:H120,H120)-1),(RANK(H120,H$11:H$368)+COUNTIF(H$11:H120,H120)-1)))</f>
        <v/>
      </c>
      <c r="J120" s="35"/>
      <c r="K120" s="28" t="str">
        <f t="shared" si="35"/>
        <v/>
      </c>
      <c r="L120" s="36" t="str">
        <f t="shared" si="28"/>
        <v/>
      </c>
      <c r="M120" s="102" t="str">
        <f t="shared" si="36"/>
        <v/>
      </c>
      <c r="N120" s="101" t="str">
        <f t="shared" si="37"/>
        <v/>
      </c>
      <c r="O120" s="94" t="str">
        <f t="shared" si="29"/>
        <v/>
      </c>
      <c r="P120" s="94" t="str">
        <f t="shared" si="45"/>
        <v/>
      </c>
      <c r="Q120" s="94" t="str">
        <f t="shared" si="46"/>
        <v/>
      </c>
      <c r="R120" s="90" t="str">
        <f t="shared" si="47"/>
        <v/>
      </c>
      <c r="S120" s="37" t="str">
        <f t="shared" si="38"/>
        <v/>
      </c>
      <c r="T120" s="176" t="str">
        <f>IF(L120="","",VLOOKUP(L120,classifications!C:K,9,FALSE))</f>
        <v/>
      </c>
      <c r="U120" s="183" t="str">
        <f t="shared" si="30"/>
        <v/>
      </c>
      <c r="V120" s="184" t="str">
        <f>IF(U120="","",IF($I$8="A",(RANK(U120,U$11:U$368)+COUNTIF(U$11:U120,U120)-1),(RANK(U120,U$11:U$368,1)+COUNTIF(U$11:U120,U120)-1)))</f>
        <v/>
      </c>
      <c r="W120" s="185"/>
      <c r="X120" s="38" t="str">
        <f>IF(L120="","",VLOOKUP($L120,classifications!$C:$J,6,FALSE))</f>
        <v/>
      </c>
      <c r="Y120" s="26" t="b">
        <f t="shared" si="31"/>
        <v>0</v>
      </c>
      <c r="Z120" s="34" t="e">
        <f>IF(Y120="","",IF(I$8="A",(RANK(Y120,Y$11:Y$368,1)+COUNTIF(Y$11:Y120,Y120)-1),(RANK(Y120,Y$11:Y$368)+COUNTIF(Y$11:Y120,Y120)-1)))</f>
        <v>#N/A</v>
      </c>
      <c r="AA120" s="188" t="str">
        <f>IF(L120="","",VLOOKUP($L120,classifications!C:I,7,FALSE))</f>
        <v/>
      </c>
      <c r="AB120" s="184" t="str">
        <f t="shared" si="39"/>
        <v/>
      </c>
      <c r="AC120" s="184" t="str">
        <f>IF(AB120="","",IF($I$8="A",(RANK(AB120,AB$11:AB$368)+COUNTIF(AB$11:AB120,AB120)-1),(RANK(AB120,AB$11:AB$368,1)+COUNTIF(AB$11:AB120,AB120)-1)))</f>
        <v/>
      </c>
      <c r="AD120" s="184"/>
      <c r="AE120" s="28" t="str">
        <f t="shared" si="49"/>
        <v/>
      </c>
      <c r="AG120" s="96"/>
      <c r="AH120" s="29"/>
      <c r="AI120" s="38" t="str">
        <f>IF(L120="","",VLOOKUP($L120,classifications!$C:$J,8,FALSE))</f>
        <v/>
      </c>
      <c r="AJ120" s="39" t="str">
        <f t="shared" si="32"/>
        <v/>
      </c>
      <c r="AK120" s="34" t="str">
        <f>IF(AJ120="","",IF(I$8="A",(RANK(AJ120,AJ$11:AJ$368,1)+COUNTIF(AJ$11:AJ120,AJ120)-1),(RANK(AJ120,AJ$11:AJ$368)+COUNTIF(AJ$11:AJ120,AJ120)-1)))</f>
        <v/>
      </c>
      <c r="AL120" s="29" t="str">
        <f t="shared" si="40"/>
        <v/>
      </c>
      <c r="AM120" s="8" t="str">
        <f t="shared" si="33"/>
        <v/>
      </c>
      <c r="AN120" s="8" t="str">
        <f t="shared" si="41"/>
        <v/>
      </c>
      <c r="AP120" s="38" t="str">
        <f>IF(L120="","",VLOOKUP($L120,classifications!$C:$E,3,FALSE))</f>
        <v/>
      </c>
      <c r="AQ120" s="39" t="str">
        <f t="shared" si="42"/>
        <v/>
      </c>
      <c r="AR120" s="34" t="str">
        <f>IF(AQ120="","",IF(I$8="A",(RANK(AQ120,AQ$11:AQ$368,1)+COUNTIF(AQ$11:AQ120,AQ120)-1),(RANK(AQ120,AQ$11:AQ$368)+COUNTIF(AQ$11:AQ120,AQ120)-1)))</f>
        <v/>
      </c>
      <c r="AS120" s="29" t="str">
        <f t="shared" si="43"/>
        <v/>
      </c>
      <c r="AT120" s="34" t="str">
        <f t="shared" si="34"/>
        <v/>
      </c>
      <c r="AU120" s="39" t="str">
        <f t="shared" si="48"/>
        <v/>
      </c>
      <c r="AX120" s="21">
        <f>HLOOKUP($AX$9&amp;$AX$10,Data!$A$1:$ZZ$2000,(MATCH($C120,Data!$A$1:$A$2000,0)),FALSE)</f>
        <v>32.224554012680088</v>
      </c>
      <c r="AY120" s="103"/>
      <c r="AZ120" s="21"/>
    </row>
    <row r="121" spans="1:52">
      <c r="A121" s="56" t="str">
        <f>$D$1&amp;111</f>
        <v>SC111</v>
      </c>
      <c r="B121" s="57">
        <f>IF(ISERROR(VLOOKUP(A121,classifications!A:C,3,FALSE)),0,VLOOKUP(A121,classifications!A:C,3,FALSE))</f>
        <v>0</v>
      </c>
      <c r="C121" s="8" t="s">
        <v>67</v>
      </c>
      <c r="D121" s="26" t="str">
        <f>VLOOKUP($C121,classifications!$C:$J,4,FALSE)</f>
        <v>SD</v>
      </c>
      <c r="E121" s="26">
        <f>VLOOKUP(C121,classifications!C:K,9,FALSE)</f>
        <v>0</v>
      </c>
      <c r="F121" s="36">
        <f t="shared" si="26"/>
        <v>19.598717612081344</v>
      </c>
      <c r="G121" s="71"/>
      <c r="H121" s="37" t="str">
        <f t="shared" si="27"/>
        <v/>
      </c>
      <c r="I121" s="77" t="str">
        <f>IF(H121="","",IF($I$8="A",(RANK(H121,H$11:H$368,1)+COUNTIF(H$11:H121,H121)-1),(RANK(H121,H$11:H$368)+COUNTIF(H$11:H121,H121)-1)))</f>
        <v/>
      </c>
      <c r="J121" s="35"/>
      <c r="K121" s="28" t="str">
        <f t="shared" si="35"/>
        <v/>
      </c>
      <c r="L121" s="36" t="str">
        <f t="shared" si="28"/>
        <v/>
      </c>
      <c r="M121" s="102" t="str">
        <f t="shared" si="36"/>
        <v/>
      </c>
      <c r="N121" s="101" t="str">
        <f t="shared" si="37"/>
        <v/>
      </c>
      <c r="O121" s="94" t="str">
        <f t="shared" si="29"/>
        <v/>
      </c>
      <c r="P121" s="94" t="str">
        <f t="shared" si="45"/>
        <v/>
      </c>
      <c r="Q121" s="94" t="str">
        <f t="shared" si="46"/>
        <v/>
      </c>
      <c r="R121" s="90" t="str">
        <f t="shared" si="47"/>
        <v/>
      </c>
      <c r="S121" s="37" t="str">
        <f t="shared" si="38"/>
        <v/>
      </c>
      <c r="T121" s="176" t="str">
        <f>IF(L121="","",VLOOKUP(L121,classifications!C:K,9,FALSE))</f>
        <v/>
      </c>
      <c r="U121" s="183" t="str">
        <f t="shared" si="30"/>
        <v/>
      </c>
      <c r="V121" s="184" t="str">
        <f>IF(U121="","",IF($I$8="A",(RANK(U121,U$11:U$368)+COUNTIF(U$11:U121,U121)-1),(RANK(U121,U$11:U$368,1)+COUNTIF(U$11:U121,U121)-1)))</f>
        <v/>
      </c>
      <c r="W121" s="185"/>
      <c r="X121" s="38" t="str">
        <f>IF(L121="","",VLOOKUP($L121,classifications!$C:$J,6,FALSE))</f>
        <v/>
      </c>
      <c r="Y121" s="26" t="b">
        <f t="shared" si="31"/>
        <v>0</v>
      </c>
      <c r="Z121" s="34" t="e">
        <f>IF(Y121="","",IF(I$8="A",(RANK(Y121,Y$11:Y$368,1)+COUNTIF(Y$11:Y121,Y121)-1),(RANK(Y121,Y$11:Y$368)+COUNTIF(Y$11:Y121,Y121)-1)))</f>
        <v>#N/A</v>
      </c>
      <c r="AA121" s="188" t="str">
        <f>IF(L121="","",VLOOKUP($L121,classifications!C:I,7,FALSE))</f>
        <v/>
      </c>
      <c r="AB121" s="184" t="str">
        <f t="shared" si="39"/>
        <v/>
      </c>
      <c r="AC121" s="184" t="str">
        <f>IF(AB121="","",IF($I$8="A",(RANK(AB121,AB$11:AB$368)+COUNTIF(AB$11:AB121,AB121)-1),(RANK(AB121,AB$11:AB$368,1)+COUNTIF(AB$11:AB121,AB121)-1)))</f>
        <v/>
      </c>
      <c r="AD121" s="184"/>
      <c r="AE121" s="28" t="str">
        <f t="shared" si="49"/>
        <v/>
      </c>
      <c r="AG121" s="96"/>
      <c r="AH121" s="29"/>
      <c r="AI121" s="38" t="str">
        <f>IF(L121="","",VLOOKUP($L121,classifications!$C:$J,8,FALSE))</f>
        <v/>
      </c>
      <c r="AJ121" s="39" t="str">
        <f t="shared" si="32"/>
        <v/>
      </c>
      <c r="AK121" s="34" t="str">
        <f>IF(AJ121="","",IF(I$8="A",(RANK(AJ121,AJ$11:AJ$368,1)+COUNTIF(AJ$11:AJ121,AJ121)-1),(RANK(AJ121,AJ$11:AJ$368)+COUNTIF(AJ$11:AJ121,AJ121)-1)))</f>
        <v/>
      </c>
      <c r="AL121" s="29" t="str">
        <f t="shared" si="40"/>
        <v/>
      </c>
      <c r="AM121" s="8" t="str">
        <f t="shared" si="33"/>
        <v/>
      </c>
      <c r="AN121" s="8" t="str">
        <f t="shared" si="41"/>
        <v/>
      </c>
      <c r="AP121" s="38" t="str">
        <f>IF(L121="","",VLOOKUP($L121,classifications!$C:$E,3,FALSE))</f>
        <v/>
      </c>
      <c r="AQ121" s="39" t="str">
        <f t="shared" si="42"/>
        <v/>
      </c>
      <c r="AR121" s="34" t="str">
        <f>IF(AQ121="","",IF(I$8="A",(RANK(AQ121,AQ$11:AQ$368,1)+COUNTIF(AQ$11:AQ121,AQ121)-1),(RANK(AQ121,AQ$11:AQ$368)+COUNTIF(AQ$11:AQ121,AQ121)-1)))</f>
        <v/>
      </c>
      <c r="AS121" s="29" t="str">
        <f t="shared" si="43"/>
        <v/>
      </c>
      <c r="AT121" s="34" t="str">
        <f t="shared" si="34"/>
        <v/>
      </c>
      <c r="AU121" s="39" t="str">
        <f t="shared" si="48"/>
        <v/>
      </c>
      <c r="AX121" s="21">
        <f>HLOOKUP($AX$9&amp;$AX$10,Data!$A$1:$ZZ$2000,(MATCH($C121,Data!$A$1:$A$2000,0)),FALSE)</f>
        <v>19.598717612081344</v>
      </c>
      <c r="AY121" s="103"/>
      <c r="AZ121" s="21"/>
    </row>
    <row r="122" spans="1:52">
      <c r="A122" s="56" t="str">
        <f>$D$1&amp;112</f>
        <v>SC112</v>
      </c>
      <c r="B122" s="57">
        <f>IF(ISERROR(VLOOKUP(A122,classifications!A:C,3,FALSE)),0,VLOOKUP(A122,classifications!A:C,3,FALSE))</f>
        <v>0</v>
      </c>
      <c r="C122" s="8" t="s">
        <v>68</v>
      </c>
      <c r="D122" s="26" t="str">
        <f>VLOOKUP($C122,classifications!$C:$J,4,FALSE)</f>
        <v>SD</v>
      </c>
      <c r="E122" s="26">
        <f>VLOOKUP(C122,classifications!C:K,9,FALSE)</f>
        <v>0</v>
      </c>
      <c r="F122" s="36">
        <f t="shared" si="26"/>
        <v>19.821297621924014</v>
      </c>
      <c r="G122" s="71"/>
      <c r="H122" s="37" t="str">
        <f t="shared" si="27"/>
        <v/>
      </c>
      <c r="I122" s="77" t="str">
        <f>IF(H122="","",IF($I$8="A",(RANK(H122,H$11:H$368,1)+COUNTIF(H$11:H122,H122)-1),(RANK(H122,H$11:H$368)+COUNTIF(H$11:H122,H122)-1)))</f>
        <v/>
      </c>
      <c r="J122" s="35"/>
      <c r="K122" s="28" t="str">
        <f t="shared" si="35"/>
        <v/>
      </c>
      <c r="L122" s="36" t="str">
        <f t="shared" si="28"/>
        <v/>
      </c>
      <c r="M122" s="102" t="str">
        <f t="shared" si="36"/>
        <v/>
      </c>
      <c r="N122" s="101" t="str">
        <f t="shared" si="37"/>
        <v/>
      </c>
      <c r="O122" s="94" t="str">
        <f t="shared" si="29"/>
        <v/>
      </c>
      <c r="P122" s="94" t="str">
        <f t="shared" si="45"/>
        <v/>
      </c>
      <c r="Q122" s="94" t="str">
        <f t="shared" si="46"/>
        <v/>
      </c>
      <c r="R122" s="90" t="str">
        <f t="shared" si="47"/>
        <v/>
      </c>
      <c r="S122" s="37" t="str">
        <f t="shared" si="38"/>
        <v/>
      </c>
      <c r="T122" s="176" t="str">
        <f>IF(L122="","",VLOOKUP(L122,classifications!C:K,9,FALSE))</f>
        <v/>
      </c>
      <c r="U122" s="183" t="str">
        <f t="shared" si="30"/>
        <v/>
      </c>
      <c r="V122" s="184" t="str">
        <f>IF(U122="","",IF($I$8="A",(RANK(U122,U$11:U$368)+COUNTIF(U$11:U122,U122)-1),(RANK(U122,U$11:U$368,1)+COUNTIF(U$11:U122,U122)-1)))</f>
        <v/>
      </c>
      <c r="W122" s="185"/>
      <c r="X122" s="38" t="str">
        <f>IF(L122="","",VLOOKUP($L122,classifications!$C:$J,6,FALSE))</f>
        <v/>
      </c>
      <c r="Y122" s="26" t="b">
        <f t="shared" si="31"/>
        <v>0</v>
      </c>
      <c r="Z122" s="34" t="e">
        <f>IF(Y122="","",IF(I$8="A",(RANK(Y122,Y$11:Y$368,1)+COUNTIF(Y$11:Y122,Y122)-1),(RANK(Y122,Y$11:Y$368)+COUNTIF(Y$11:Y122,Y122)-1)))</f>
        <v>#N/A</v>
      </c>
      <c r="AA122" s="188" t="str">
        <f>IF(L122="","",VLOOKUP($L122,classifications!C:I,7,FALSE))</f>
        <v/>
      </c>
      <c r="AB122" s="184" t="str">
        <f t="shared" si="39"/>
        <v/>
      </c>
      <c r="AC122" s="184" t="str">
        <f>IF(AB122="","",IF($I$8="A",(RANK(AB122,AB$11:AB$368)+COUNTIF(AB$11:AB122,AB122)-1),(RANK(AB122,AB$11:AB$368,1)+COUNTIF(AB$11:AB122,AB122)-1)))</f>
        <v/>
      </c>
      <c r="AD122" s="184"/>
      <c r="AE122" s="28" t="str">
        <f t="shared" si="49"/>
        <v/>
      </c>
      <c r="AG122" s="96"/>
      <c r="AH122" s="29"/>
      <c r="AI122" s="38" t="str">
        <f>IF(L122="","",VLOOKUP($L122,classifications!$C:$J,8,FALSE))</f>
        <v/>
      </c>
      <c r="AJ122" s="39" t="str">
        <f t="shared" si="32"/>
        <v/>
      </c>
      <c r="AK122" s="34" t="str">
        <f>IF(AJ122="","",IF(I$8="A",(RANK(AJ122,AJ$11:AJ$368,1)+COUNTIF(AJ$11:AJ122,AJ122)-1),(RANK(AJ122,AJ$11:AJ$368)+COUNTIF(AJ$11:AJ122,AJ122)-1)))</f>
        <v/>
      </c>
      <c r="AL122" s="29" t="str">
        <f t="shared" si="40"/>
        <v/>
      </c>
      <c r="AM122" s="8" t="str">
        <f t="shared" si="33"/>
        <v/>
      </c>
      <c r="AN122" s="8" t="str">
        <f t="shared" si="41"/>
        <v/>
      </c>
      <c r="AP122" s="38" t="str">
        <f>IF(L122="","",VLOOKUP($L122,classifications!$C:$E,3,FALSE))</f>
        <v/>
      </c>
      <c r="AQ122" s="39" t="str">
        <f t="shared" si="42"/>
        <v/>
      </c>
      <c r="AR122" s="34" t="str">
        <f>IF(AQ122="","",IF(I$8="A",(RANK(AQ122,AQ$11:AQ$368,1)+COUNTIF(AQ$11:AQ122,AQ122)-1),(RANK(AQ122,AQ$11:AQ$368)+COUNTIF(AQ$11:AQ122,AQ122)-1)))</f>
        <v/>
      </c>
      <c r="AS122" s="29" t="str">
        <f t="shared" si="43"/>
        <v/>
      </c>
      <c r="AT122" s="34" t="str">
        <f t="shared" si="34"/>
        <v/>
      </c>
      <c r="AU122" s="39" t="str">
        <f t="shared" si="48"/>
        <v/>
      </c>
      <c r="AX122" s="21">
        <f>HLOOKUP($AX$9&amp;$AX$10,Data!$A$1:$ZZ$2000,(MATCH($C122,Data!$A$1:$A$2000,0)),FALSE)</f>
        <v>19.821297621924014</v>
      </c>
      <c r="AY122" s="103"/>
      <c r="AZ122" s="21"/>
    </row>
    <row r="123" spans="1:52">
      <c r="A123" s="56" t="str">
        <f>$D$1&amp;113</f>
        <v>SC113</v>
      </c>
      <c r="B123" s="57">
        <f>IF(ISERROR(VLOOKUP(A123,classifications!A:C,3,FALSE)),0,VLOOKUP(A123,classifications!A:C,3,FALSE))</f>
        <v>0</v>
      </c>
      <c r="C123" s="8" t="s">
        <v>69</v>
      </c>
      <c r="D123" s="26" t="str">
        <f>VLOOKUP($C123,classifications!$C:$J,4,FALSE)</f>
        <v>SD</v>
      </c>
      <c r="E123" s="26" t="str">
        <f>VLOOKUP(C123,classifications!C:K,9,FALSE)</f>
        <v>Sparse</v>
      </c>
      <c r="F123" s="36">
        <f t="shared" si="26"/>
        <v>0</v>
      </c>
      <c r="G123" s="71"/>
      <c r="H123" s="37" t="str">
        <f t="shared" si="27"/>
        <v/>
      </c>
      <c r="I123" s="77" t="str">
        <f>IF(H123="","",IF($I$8="A",(RANK(H123,H$11:H$368,1)+COUNTIF(H$11:H123,H123)-1),(RANK(H123,H$11:H$368)+COUNTIF(H$11:H123,H123)-1)))</f>
        <v/>
      </c>
      <c r="J123" s="35"/>
      <c r="K123" s="28" t="str">
        <f t="shared" si="35"/>
        <v/>
      </c>
      <c r="L123" s="36" t="str">
        <f t="shared" si="28"/>
        <v/>
      </c>
      <c r="M123" s="102" t="str">
        <f t="shared" si="36"/>
        <v/>
      </c>
      <c r="N123" s="101" t="str">
        <f t="shared" si="37"/>
        <v/>
      </c>
      <c r="O123" s="94" t="str">
        <f t="shared" si="29"/>
        <v/>
      </c>
      <c r="P123" s="94" t="str">
        <f t="shared" si="45"/>
        <v/>
      </c>
      <c r="Q123" s="94" t="str">
        <f t="shared" si="46"/>
        <v/>
      </c>
      <c r="R123" s="90" t="str">
        <f t="shared" si="47"/>
        <v/>
      </c>
      <c r="S123" s="37" t="str">
        <f t="shared" si="38"/>
        <v/>
      </c>
      <c r="T123" s="176" t="str">
        <f>IF(L123="","",VLOOKUP(L123,classifications!C:K,9,FALSE))</f>
        <v/>
      </c>
      <c r="U123" s="183" t="str">
        <f t="shared" si="30"/>
        <v/>
      </c>
      <c r="V123" s="184" t="str">
        <f>IF(U123="","",IF($I$8="A",(RANK(U123,U$11:U$368)+COUNTIF(U$11:U123,U123)-1),(RANK(U123,U$11:U$368,1)+COUNTIF(U$11:U123,U123)-1)))</f>
        <v/>
      </c>
      <c r="W123" s="185"/>
      <c r="X123" s="38" t="str">
        <f>IF(L123="","",VLOOKUP($L123,classifications!$C:$J,6,FALSE))</f>
        <v/>
      </c>
      <c r="Y123" s="26" t="b">
        <f t="shared" si="31"/>
        <v>0</v>
      </c>
      <c r="Z123" s="34" t="e">
        <f>IF(Y123="","",IF(I$8="A",(RANK(Y123,Y$11:Y$368,1)+COUNTIF(Y$11:Y123,Y123)-1),(RANK(Y123,Y$11:Y$368)+COUNTIF(Y$11:Y123,Y123)-1)))</f>
        <v>#N/A</v>
      </c>
      <c r="AA123" s="188" t="str">
        <f>IF(L123="","",VLOOKUP($L123,classifications!C:I,7,FALSE))</f>
        <v/>
      </c>
      <c r="AB123" s="184" t="str">
        <f t="shared" si="39"/>
        <v/>
      </c>
      <c r="AC123" s="184" t="str">
        <f>IF(AB123="","",IF($I$8="A",(RANK(AB123,AB$11:AB$368)+COUNTIF(AB$11:AB123,AB123)-1),(RANK(AB123,AB$11:AB$368,1)+COUNTIF(AB$11:AB123,AB123)-1)))</f>
        <v/>
      </c>
      <c r="AD123" s="184"/>
      <c r="AE123" s="28" t="str">
        <f t="shared" si="49"/>
        <v/>
      </c>
      <c r="AG123" s="96"/>
      <c r="AH123" s="29"/>
      <c r="AI123" s="38" t="str">
        <f>IF(L123="","",VLOOKUP($L123,classifications!$C:$J,8,FALSE))</f>
        <v/>
      </c>
      <c r="AJ123" s="39" t="str">
        <f t="shared" si="32"/>
        <v/>
      </c>
      <c r="AK123" s="34" t="str">
        <f>IF(AJ123="","",IF(I$8="A",(RANK(AJ123,AJ$11:AJ$368,1)+COUNTIF(AJ$11:AJ123,AJ123)-1),(RANK(AJ123,AJ$11:AJ$368)+COUNTIF(AJ$11:AJ123,AJ123)-1)))</f>
        <v/>
      </c>
      <c r="AL123" s="29" t="str">
        <f t="shared" si="40"/>
        <v/>
      </c>
      <c r="AM123" s="8" t="str">
        <f t="shared" si="33"/>
        <v/>
      </c>
      <c r="AN123" s="8" t="str">
        <f t="shared" si="41"/>
        <v/>
      </c>
      <c r="AP123" s="38" t="str">
        <f>IF(L123="","",VLOOKUP($L123,classifications!$C:$E,3,FALSE))</f>
        <v/>
      </c>
      <c r="AQ123" s="39" t="str">
        <f t="shared" si="42"/>
        <v/>
      </c>
      <c r="AR123" s="34" t="str">
        <f>IF(AQ123="","",IF(I$8="A",(RANK(AQ123,AQ$11:AQ$368,1)+COUNTIF(AQ$11:AQ123,AQ123)-1),(RANK(AQ123,AQ$11:AQ$368)+COUNTIF(AQ$11:AQ123,AQ123)-1)))</f>
        <v/>
      </c>
      <c r="AS123" s="29" t="str">
        <f t="shared" si="43"/>
        <v/>
      </c>
      <c r="AT123" s="34" t="str">
        <f t="shared" si="34"/>
        <v/>
      </c>
      <c r="AU123" s="39" t="str">
        <f t="shared" si="48"/>
        <v/>
      </c>
      <c r="AX123" s="21">
        <f>HLOOKUP($AX$9&amp;$AX$10,Data!$A$1:$ZZ$2000,(MATCH($C123,Data!$A$1:$A$2000,0)),FALSE)</f>
        <v>0</v>
      </c>
      <c r="AY123" s="103"/>
      <c r="AZ123" s="21"/>
    </row>
    <row r="124" spans="1:52">
      <c r="A124" s="56" t="str">
        <f>$D$1&amp;114</f>
        <v>SC114</v>
      </c>
      <c r="B124" s="57">
        <f>IF(ISERROR(VLOOKUP(A124,classifications!A:C,3,FALSE)),0,VLOOKUP(A124,classifications!A:C,3,FALSE))</f>
        <v>0</v>
      </c>
      <c r="C124" s="8" t="s">
        <v>70</v>
      </c>
      <c r="D124" s="26" t="str">
        <f>VLOOKUP($C124,classifications!$C:$J,4,FALSE)</f>
        <v>SD</v>
      </c>
      <c r="E124" s="26" t="str">
        <f>VLOOKUP(C124,classifications!C:K,9,FALSE)</f>
        <v>Sparse</v>
      </c>
      <c r="F124" s="36">
        <f t="shared" si="26"/>
        <v>13.704251454292013</v>
      </c>
      <c r="G124" s="71"/>
      <c r="H124" s="37" t="str">
        <f t="shared" si="27"/>
        <v/>
      </c>
      <c r="I124" s="77" t="str">
        <f>IF(H124="","",IF($I$8="A",(RANK(H124,H$11:H$368,1)+COUNTIF(H$11:H124,H124)-1),(RANK(H124,H$11:H$368)+COUNTIF(H$11:H124,H124)-1)))</f>
        <v/>
      </c>
      <c r="J124" s="35"/>
      <c r="K124" s="28" t="str">
        <f t="shared" si="35"/>
        <v/>
      </c>
      <c r="L124" s="36" t="str">
        <f t="shared" si="28"/>
        <v/>
      </c>
      <c r="M124" s="102" t="str">
        <f t="shared" si="36"/>
        <v/>
      </c>
      <c r="N124" s="101" t="str">
        <f t="shared" si="37"/>
        <v/>
      </c>
      <c r="O124" s="94" t="str">
        <f t="shared" si="29"/>
        <v/>
      </c>
      <c r="P124" s="94" t="str">
        <f t="shared" si="45"/>
        <v/>
      </c>
      <c r="Q124" s="94" t="str">
        <f t="shared" si="46"/>
        <v/>
      </c>
      <c r="R124" s="90" t="str">
        <f t="shared" si="47"/>
        <v/>
      </c>
      <c r="S124" s="37" t="str">
        <f t="shared" si="38"/>
        <v/>
      </c>
      <c r="T124" s="176" t="str">
        <f>IF(L124="","",VLOOKUP(L124,classifications!C:K,9,FALSE))</f>
        <v/>
      </c>
      <c r="U124" s="183" t="str">
        <f t="shared" si="30"/>
        <v/>
      </c>
      <c r="V124" s="184" t="str">
        <f>IF(U124="","",IF($I$8="A",(RANK(U124,U$11:U$368)+COUNTIF(U$11:U124,U124)-1),(RANK(U124,U$11:U$368,1)+COUNTIF(U$11:U124,U124)-1)))</f>
        <v/>
      </c>
      <c r="W124" s="185"/>
      <c r="X124" s="38" t="str">
        <f>IF(L124="","",VLOOKUP($L124,classifications!$C:$J,6,FALSE))</f>
        <v/>
      </c>
      <c r="Y124" s="26" t="b">
        <f t="shared" si="31"/>
        <v>0</v>
      </c>
      <c r="Z124" s="34" t="e">
        <f>IF(Y124="","",IF(I$8="A",(RANK(Y124,Y$11:Y$368,1)+COUNTIF(Y$11:Y124,Y124)-1),(RANK(Y124,Y$11:Y$368)+COUNTIF(Y$11:Y124,Y124)-1)))</f>
        <v>#N/A</v>
      </c>
      <c r="AA124" s="188" t="str">
        <f>IF(L124="","",VLOOKUP($L124,classifications!C:I,7,FALSE))</f>
        <v/>
      </c>
      <c r="AB124" s="184" t="str">
        <f t="shared" si="39"/>
        <v/>
      </c>
      <c r="AC124" s="184" t="str">
        <f>IF(AB124="","",IF($I$8="A",(RANK(AB124,AB$11:AB$368)+COUNTIF(AB$11:AB124,AB124)-1),(RANK(AB124,AB$11:AB$368,1)+COUNTIF(AB$11:AB124,AB124)-1)))</f>
        <v/>
      </c>
      <c r="AD124" s="184"/>
      <c r="AE124" s="28" t="str">
        <f t="shared" si="49"/>
        <v/>
      </c>
      <c r="AG124" s="96"/>
      <c r="AH124" s="29"/>
      <c r="AI124" s="38" t="str">
        <f>IF(L124="","",VLOOKUP($L124,classifications!$C:$J,8,FALSE))</f>
        <v/>
      </c>
      <c r="AJ124" s="39" t="str">
        <f t="shared" si="32"/>
        <v/>
      </c>
      <c r="AK124" s="34" t="str">
        <f>IF(AJ124="","",IF(I$8="A",(RANK(AJ124,AJ$11:AJ$368,1)+COUNTIF(AJ$11:AJ124,AJ124)-1),(RANK(AJ124,AJ$11:AJ$368)+COUNTIF(AJ$11:AJ124,AJ124)-1)))</f>
        <v/>
      </c>
      <c r="AL124" s="29" t="str">
        <f t="shared" si="40"/>
        <v/>
      </c>
      <c r="AM124" s="8" t="str">
        <f t="shared" si="33"/>
        <v/>
      </c>
      <c r="AN124" s="8" t="str">
        <f t="shared" si="41"/>
        <v/>
      </c>
      <c r="AP124" s="38" t="str">
        <f>IF(L124="","",VLOOKUP($L124,classifications!$C:$E,3,FALSE))</f>
        <v/>
      </c>
      <c r="AQ124" s="39" t="str">
        <f t="shared" si="42"/>
        <v/>
      </c>
      <c r="AR124" s="34" t="str">
        <f>IF(AQ124="","",IF(I$8="A",(RANK(AQ124,AQ$11:AQ$368,1)+COUNTIF(AQ$11:AQ124,AQ124)-1),(RANK(AQ124,AQ$11:AQ$368)+COUNTIF(AQ$11:AQ124,AQ124)-1)))</f>
        <v/>
      </c>
      <c r="AS124" s="29" t="str">
        <f t="shared" si="43"/>
        <v/>
      </c>
      <c r="AT124" s="34" t="str">
        <f t="shared" si="34"/>
        <v/>
      </c>
      <c r="AU124" s="39" t="str">
        <f t="shared" si="48"/>
        <v/>
      </c>
      <c r="AX124" s="21">
        <f>HLOOKUP($AX$9&amp;$AX$10,Data!$A$1:$ZZ$2000,(MATCH($C124,Data!$A$1:$A$2000,0)),FALSE)</f>
        <v>13.704251454292013</v>
      </c>
      <c r="AY124" s="103"/>
      <c r="AZ124" s="21"/>
    </row>
    <row r="125" spans="1:52">
      <c r="A125" s="56" t="str">
        <f>$D$1&amp;115</f>
        <v>SC115</v>
      </c>
      <c r="B125" s="57">
        <f>IF(ISERROR(VLOOKUP(A125,classifications!A:C,3,FALSE)),0,VLOOKUP(A125,classifications!A:C,3,FALSE))</f>
        <v>0</v>
      </c>
      <c r="C125" s="8" t="s">
        <v>71</v>
      </c>
      <c r="D125" s="26" t="str">
        <f>VLOOKUP($C125,classifications!$C:$J,4,FALSE)</f>
        <v>SD</v>
      </c>
      <c r="E125" s="26">
        <f>VLOOKUP(C125,classifications!C:K,9,FALSE)</f>
        <v>0</v>
      </c>
      <c r="F125" s="36">
        <f t="shared" si="26"/>
        <v>16.4446895856758</v>
      </c>
      <c r="G125" s="71"/>
      <c r="H125" s="37" t="str">
        <f t="shared" si="27"/>
        <v/>
      </c>
      <c r="I125" s="77" t="str">
        <f>IF(H125="","",IF($I$8="A",(RANK(H125,H$11:H$368,1)+COUNTIF(H$11:H125,H125)-1),(RANK(H125,H$11:H$368)+COUNTIF(H$11:H125,H125)-1)))</f>
        <v/>
      </c>
      <c r="J125" s="35"/>
      <c r="K125" s="28" t="str">
        <f t="shared" si="35"/>
        <v/>
      </c>
      <c r="L125" s="36" t="str">
        <f t="shared" si="28"/>
        <v/>
      </c>
      <c r="M125" s="102" t="str">
        <f t="shared" si="36"/>
        <v/>
      </c>
      <c r="N125" s="101" t="str">
        <f t="shared" si="37"/>
        <v/>
      </c>
      <c r="O125" s="94" t="str">
        <f t="shared" si="29"/>
        <v/>
      </c>
      <c r="P125" s="94" t="str">
        <f t="shared" si="45"/>
        <v/>
      </c>
      <c r="Q125" s="94" t="str">
        <f t="shared" si="46"/>
        <v/>
      </c>
      <c r="R125" s="90" t="str">
        <f t="shared" si="47"/>
        <v/>
      </c>
      <c r="S125" s="37" t="str">
        <f t="shared" si="38"/>
        <v/>
      </c>
      <c r="T125" s="176" t="str">
        <f>IF(L125="","",VLOOKUP(L125,classifications!C:K,9,FALSE))</f>
        <v/>
      </c>
      <c r="U125" s="183" t="str">
        <f t="shared" si="30"/>
        <v/>
      </c>
      <c r="V125" s="184" t="str">
        <f>IF(U125="","",IF($I$8="A",(RANK(U125,U$11:U$368)+COUNTIF(U$11:U125,U125)-1),(RANK(U125,U$11:U$368,1)+COUNTIF(U$11:U125,U125)-1)))</f>
        <v/>
      </c>
      <c r="W125" s="185"/>
      <c r="X125" s="38" t="str">
        <f>IF(L125="","",VLOOKUP($L125,classifications!$C:$J,6,FALSE))</f>
        <v/>
      </c>
      <c r="Y125" s="26" t="b">
        <f t="shared" si="31"/>
        <v>0</v>
      </c>
      <c r="Z125" s="34" t="e">
        <f>IF(Y125="","",IF(I$8="A",(RANK(Y125,Y$11:Y$368,1)+COUNTIF(Y$11:Y125,Y125)-1),(RANK(Y125,Y$11:Y$368)+COUNTIF(Y$11:Y125,Y125)-1)))</f>
        <v>#N/A</v>
      </c>
      <c r="AA125" s="188" t="str">
        <f>IF(L125="","",VLOOKUP($L125,classifications!C:I,7,FALSE))</f>
        <v/>
      </c>
      <c r="AB125" s="184" t="str">
        <f t="shared" si="39"/>
        <v/>
      </c>
      <c r="AC125" s="184" t="str">
        <f>IF(AB125="","",IF($I$8="A",(RANK(AB125,AB$11:AB$368)+COUNTIF(AB$11:AB125,AB125)-1),(RANK(AB125,AB$11:AB$368,1)+COUNTIF(AB$11:AB125,AB125)-1)))</f>
        <v/>
      </c>
      <c r="AD125" s="184"/>
      <c r="AE125" s="28" t="str">
        <f t="shared" si="49"/>
        <v/>
      </c>
      <c r="AG125" s="96"/>
      <c r="AH125" s="29"/>
      <c r="AI125" s="38" t="str">
        <f>IF(L125="","",VLOOKUP($L125,classifications!$C:$J,8,FALSE))</f>
        <v/>
      </c>
      <c r="AJ125" s="39" t="str">
        <f t="shared" si="32"/>
        <v/>
      </c>
      <c r="AK125" s="34" t="str">
        <f>IF(AJ125="","",IF(I$8="A",(RANK(AJ125,AJ$11:AJ$368,1)+COUNTIF(AJ$11:AJ125,AJ125)-1),(RANK(AJ125,AJ$11:AJ$368)+COUNTIF(AJ$11:AJ125,AJ125)-1)))</f>
        <v/>
      </c>
      <c r="AL125" s="29" t="str">
        <f t="shared" si="40"/>
        <v/>
      </c>
      <c r="AM125" s="8" t="str">
        <f t="shared" si="33"/>
        <v/>
      </c>
      <c r="AN125" s="8" t="str">
        <f t="shared" si="41"/>
        <v/>
      </c>
      <c r="AP125" s="38" t="str">
        <f>IF(L125="","",VLOOKUP($L125,classifications!$C:$E,3,FALSE))</f>
        <v/>
      </c>
      <c r="AQ125" s="39" t="str">
        <f t="shared" si="42"/>
        <v/>
      </c>
      <c r="AR125" s="34" t="str">
        <f>IF(AQ125="","",IF(I$8="A",(RANK(AQ125,AQ$11:AQ$368,1)+COUNTIF(AQ$11:AQ125,AQ125)-1),(RANK(AQ125,AQ$11:AQ$368)+COUNTIF(AQ$11:AQ125,AQ125)-1)))</f>
        <v/>
      </c>
      <c r="AS125" s="29" t="str">
        <f t="shared" si="43"/>
        <v/>
      </c>
      <c r="AT125" s="34" t="str">
        <f t="shared" si="34"/>
        <v/>
      </c>
      <c r="AU125" s="39" t="str">
        <f t="shared" si="48"/>
        <v/>
      </c>
      <c r="AX125" s="21">
        <f>HLOOKUP($AX$9&amp;$AX$10,Data!$A$1:$ZZ$2000,(MATCH($C125,Data!$A$1:$A$2000,0)),FALSE)</f>
        <v>16.4446895856758</v>
      </c>
      <c r="AY125" s="103"/>
      <c r="AZ125" s="21"/>
    </row>
    <row r="126" spans="1:52">
      <c r="A126" s="56" t="str">
        <f>$D$1&amp;116</f>
        <v>SC116</v>
      </c>
      <c r="B126" s="57">
        <f>IF(ISERROR(VLOOKUP(A126,classifications!A:C,3,FALSE)),0,VLOOKUP(A126,classifications!A:C,3,FALSE))</f>
        <v>0</v>
      </c>
      <c r="C126" s="8" t="s">
        <v>231</v>
      </c>
      <c r="D126" s="26" t="str">
        <f>VLOOKUP($C126,classifications!$C:$J,4,FALSE)</f>
        <v>MD</v>
      </c>
      <c r="E126" s="26">
        <f>VLOOKUP(C126,classifications!C:K,9,FALSE)</f>
        <v>0</v>
      </c>
      <c r="F126" s="36">
        <f t="shared" si="26"/>
        <v>8.9452271263902716</v>
      </c>
      <c r="G126" s="71"/>
      <c r="H126" s="37" t="str">
        <f t="shared" si="27"/>
        <v/>
      </c>
      <c r="I126" s="77" t="str">
        <f>IF(H126="","",IF($I$8="A",(RANK(H126,H$11:H$368,1)+COUNTIF(H$11:H126,H126)-1),(RANK(H126,H$11:H$368)+COUNTIF(H$11:H126,H126)-1)))</f>
        <v/>
      </c>
      <c r="J126" s="35"/>
      <c r="K126" s="28" t="str">
        <f t="shared" si="35"/>
        <v/>
      </c>
      <c r="L126" s="36" t="str">
        <f t="shared" si="28"/>
        <v/>
      </c>
      <c r="M126" s="102" t="str">
        <f t="shared" si="36"/>
        <v/>
      </c>
      <c r="N126" s="101" t="str">
        <f t="shared" si="37"/>
        <v/>
      </c>
      <c r="O126" s="94" t="str">
        <f t="shared" si="29"/>
        <v/>
      </c>
      <c r="P126" s="94" t="str">
        <f t="shared" si="45"/>
        <v/>
      </c>
      <c r="Q126" s="94" t="str">
        <f t="shared" si="46"/>
        <v/>
      </c>
      <c r="R126" s="90" t="str">
        <f t="shared" si="47"/>
        <v/>
      </c>
      <c r="S126" s="37" t="str">
        <f t="shared" si="38"/>
        <v/>
      </c>
      <c r="T126" s="176" t="str">
        <f>IF(L126="","",VLOOKUP(L126,classifications!C:K,9,FALSE))</f>
        <v/>
      </c>
      <c r="U126" s="183" t="str">
        <f t="shared" si="30"/>
        <v/>
      </c>
      <c r="V126" s="184" t="str">
        <f>IF(U126="","",IF($I$8="A",(RANK(U126,U$11:U$368)+COUNTIF(U$11:U126,U126)-1),(RANK(U126,U$11:U$368,1)+COUNTIF(U$11:U126,U126)-1)))</f>
        <v/>
      </c>
      <c r="W126" s="185"/>
      <c r="X126" s="38" t="str">
        <f>IF(L126="","",VLOOKUP($L126,classifications!$C:$J,6,FALSE))</f>
        <v/>
      </c>
      <c r="Y126" s="26" t="b">
        <f t="shared" si="31"/>
        <v>0</v>
      </c>
      <c r="Z126" s="34" t="e">
        <f>IF(Y126="","",IF(I$8="A",(RANK(Y126,Y$11:Y$368,1)+COUNTIF(Y$11:Y126,Y126)-1),(RANK(Y126,Y$11:Y$368)+COUNTIF(Y$11:Y126,Y126)-1)))</f>
        <v>#N/A</v>
      </c>
      <c r="AA126" s="188" t="str">
        <f>IF(L126="","",VLOOKUP($L126,classifications!C:I,7,FALSE))</f>
        <v/>
      </c>
      <c r="AB126" s="184" t="str">
        <f>IF(AA126=$J$3,M126,"")</f>
        <v/>
      </c>
      <c r="AC126" s="184" t="str">
        <f>IF(AB126="","",IF($I$8="A",(RANK(AB126,AB$11:AB$368)+COUNTIF(AB$11:AB126,AB126)-1),(RANK(AB126,AB$11:AB$368,1)+COUNTIF(AB$11:AB126,AB126)-1)))</f>
        <v/>
      </c>
      <c r="AD126" s="184"/>
      <c r="AE126" s="28" t="str">
        <f t="shared" si="49"/>
        <v/>
      </c>
      <c r="AG126" s="96"/>
      <c r="AH126" s="29"/>
      <c r="AI126" s="38" t="str">
        <f>IF(L126="","",VLOOKUP($L126,classifications!$C:$J,8,FALSE))</f>
        <v/>
      </c>
      <c r="AJ126" s="39" t="str">
        <f t="shared" si="32"/>
        <v/>
      </c>
      <c r="AK126" s="34" t="str">
        <f>IF(AJ126="","",IF(I$8="A",(RANK(AJ126,AJ$11:AJ$368,1)+COUNTIF(AJ$11:AJ126,AJ126)-1),(RANK(AJ126,AJ$11:AJ$368)+COUNTIF(AJ$11:AJ126,AJ126)-1)))</f>
        <v/>
      </c>
      <c r="AL126" s="29" t="str">
        <f t="shared" si="40"/>
        <v/>
      </c>
      <c r="AM126" s="8" t="str">
        <f t="shared" si="33"/>
        <v/>
      </c>
      <c r="AN126" s="8" t="str">
        <f t="shared" si="41"/>
        <v/>
      </c>
      <c r="AP126" s="38" t="str">
        <f>IF(L126="","",VLOOKUP($L126,classifications!$C:$E,3,FALSE))</f>
        <v/>
      </c>
      <c r="AQ126" s="39" t="str">
        <f t="shared" si="42"/>
        <v/>
      </c>
      <c r="AR126" s="34" t="str">
        <f>IF(AQ126="","",IF(I$8="A",(RANK(AQ126,AQ$11:AQ$368,1)+COUNTIF(AQ$11:AQ126,AQ126)-1),(RANK(AQ126,AQ$11:AQ$368)+COUNTIF(AQ$11:AQ126,AQ126)-1)))</f>
        <v/>
      </c>
      <c r="AS126" s="29" t="str">
        <f t="shared" si="43"/>
        <v/>
      </c>
      <c r="AT126" s="34" t="str">
        <f t="shared" si="34"/>
        <v/>
      </c>
      <c r="AU126" s="39" t="str">
        <f t="shared" si="48"/>
        <v/>
      </c>
      <c r="AX126" s="21">
        <f>HLOOKUP($AX$9&amp;$AX$10,Data!$A$1:$ZZ$2000,(MATCH($C126,Data!$A$1:$A$2000,0)),FALSE)</f>
        <v>8.9452271263902716</v>
      </c>
      <c r="AY126" s="103"/>
      <c r="AZ126" s="21"/>
    </row>
    <row r="127" spans="1:52">
      <c r="A127" s="56" t="str">
        <f>$D$1&amp;117</f>
        <v>SC117</v>
      </c>
      <c r="B127" s="57">
        <f>IF(ISERROR(VLOOKUP(A127,classifications!A:C,3,FALSE)),0,VLOOKUP(A127,classifications!A:C,3,FALSE))</f>
        <v>0</v>
      </c>
      <c r="C127" s="8" t="s">
        <v>72</v>
      </c>
      <c r="D127" s="26" t="str">
        <f>VLOOKUP($C127,classifications!$C:$J,4,FALSE)</f>
        <v>SD</v>
      </c>
      <c r="E127" s="26">
        <f>VLOOKUP(C127,classifications!C:K,9,FALSE)</f>
        <v>0</v>
      </c>
      <c r="F127" s="36">
        <f t="shared" si="26"/>
        <v>10.398923260996039</v>
      </c>
      <c r="G127" s="71"/>
      <c r="H127" s="37" t="str">
        <f t="shared" si="27"/>
        <v/>
      </c>
      <c r="I127" s="77" t="str">
        <f>IF(H127="","",IF($I$8="A",(RANK(H127,H$11:H$368,1)+COUNTIF(H$11:H127,H127)-1),(RANK(H127,H$11:H$368)+COUNTIF(H$11:H127,H127)-1)))</f>
        <v/>
      </c>
      <c r="J127" s="35"/>
      <c r="K127" s="28" t="str">
        <f t="shared" si="35"/>
        <v/>
      </c>
      <c r="L127" s="36" t="str">
        <f t="shared" si="28"/>
        <v/>
      </c>
      <c r="M127" s="102" t="str">
        <f t="shared" si="36"/>
        <v/>
      </c>
      <c r="N127" s="101" t="str">
        <f t="shared" si="37"/>
        <v/>
      </c>
      <c r="O127" s="94" t="str">
        <f t="shared" si="29"/>
        <v/>
      </c>
      <c r="P127" s="94" t="str">
        <f t="shared" si="45"/>
        <v/>
      </c>
      <c r="Q127" s="94" t="str">
        <f t="shared" si="46"/>
        <v/>
      </c>
      <c r="R127" s="90" t="str">
        <f t="shared" si="47"/>
        <v/>
      </c>
      <c r="S127" s="37" t="str">
        <f t="shared" si="38"/>
        <v/>
      </c>
      <c r="T127" s="176" t="str">
        <f>IF(L127="","",VLOOKUP(L127,classifications!C:K,9,FALSE))</f>
        <v/>
      </c>
      <c r="U127" s="183" t="str">
        <f t="shared" si="30"/>
        <v/>
      </c>
      <c r="V127" s="184" t="str">
        <f>IF(U127="","",IF($I$8="A",(RANK(U127,U$11:U$368)+COUNTIF(U$11:U127,U127)-1),(RANK(U127,U$11:U$368,1)+COUNTIF(U$11:U127,U127)-1)))</f>
        <v/>
      </c>
      <c r="W127" s="185"/>
      <c r="X127" s="38" t="str">
        <f>IF(L127="","",VLOOKUP($L127,classifications!$C:$J,6,FALSE))</f>
        <v/>
      </c>
      <c r="Y127" s="26" t="b">
        <f t="shared" si="31"/>
        <v>0</v>
      </c>
      <c r="Z127" s="34" t="e">
        <f>IF(Y127="","",IF(I$8="A",(RANK(Y127,Y$11:Y$368,1)+COUNTIF(Y$11:Y127,Y127)-1),(RANK(Y127,Y$11:Y$368)+COUNTIF(Y$11:Y127,Y127)-1)))</f>
        <v>#N/A</v>
      </c>
      <c r="AA127" s="188" t="str">
        <f>IF(L127="","",VLOOKUP($L127,classifications!C:I,7,FALSE))</f>
        <v/>
      </c>
      <c r="AB127" s="184" t="str">
        <f t="shared" si="39"/>
        <v/>
      </c>
      <c r="AC127" s="184" t="str">
        <f>IF(AB127="","",IF($I$8="A",(RANK(AB127,AB$11:AB$368)+COUNTIF(AB$11:AB127,AB127)-1),(RANK(AB127,AB$11:AB$368,1)+COUNTIF(AB$11:AB127,AB127)-1)))</f>
        <v/>
      </c>
      <c r="AD127" s="184"/>
      <c r="AE127" s="28" t="str">
        <f t="shared" si="49"/>
        <v/>
      </c>
      <c r="AG127" s="96"/>
      <c r="AH127" s="29"/>
      <c r="AI127" s="38" t="str">
        <f>IF(L127="","",VLOOKUP($L127,classifications!$C:$J,8,FALSE))</f>
        <v/>
      </c>
      <c r="AJ127" s="39" t="str">
        <f t="shared" si="32"/>
        <v/>
      </c>
      <c r="AK127" s="34" t="str">
        <f>IF(AJ127="","",IF(I$8="A",(RANK(AJ127,AJ$11:AJ$368,1)+COUNTIF(AJ$11:AJ127,AJ127)-1),(RANK(AJ127,AJ$11:AJ$368)+COUNTIF(AJ$11:AJ127,AJ127)-1)))</f>
        <v/>
      </c>
      <c r="AL127" s="29" t="str">
        <f t="shared" si="40"/>
        <v/>
      </c>
      <c r="AM127" s="8" t="str">
        <f t="shared" si="33"/>
        <v/>
      </c>
      <c r="AN127" s="8" t="str">
        <f t="shared" si="41"/>
        <v/>
      </c>
      <c r="AP127" s="38" t="str">
        <f>IF(L127="","",VLOOKUP($L127,classifications!$C:$E,3,FALSE))</f>
        <v/>
      </c>
      <c r="AQ127" s="39" t="str">
        <f t="shared" si="42"/>
        <v/>
      </c>
      <c r="AR127" s="34" t="str">
        <f>IF(AQ127="","",IF(I$8="A",(RANK(AQ127,AQ$11:AQ$368,1)+COUNTIF(AQ$11:AQ127,AQ127)-1),(RANK(AQ127,AQ$11:AQ$368)+COUNTIF(AQ$11:AQ127,AQ127)-1)))</f>
        <v/>
      </c>
      <c r="AS127" s="29" t="str">
        <f t="shared" si="43"/>
        <v/>
      </c>
      <c r="AT127" s="34" t="str">
        <f t="shared" si="34"/>
        <v/>
      </c>
      <c r="AU127" s="39" t="str">
        <f t="shared" si="48"/>
        <v/>
      </c>
      <c r="AX127" s="21">
        <f>HLOOKUP($AX$9&amp;$AX$10,Data!$A$1:$ZZ$2000,(MATCH($C127,Data!$A$1:$A$2000,0)),FALSE)</f>
        <v>10.398923260996039</v>
      </c>
      <c r="AY127" s="103"/>
      <c r="AZ127" s="21"/>
    </row>
    <row r="128" spans="1:52">
      <c r="A128" s="56" t="str">
        <f>$D$1&amp;118</f>
        <v>SC118</v>
      </c>
      <c r="B128" s="57">
        <f>IF(ISERROR(VLOOKUP(A128,classifications!A:C,3,FALSE)),0,VLOOKUP(A128,classifications!A:C,3,FALSE))</f>
        <v>0</v>
      </c>
      <c r="C128" s="8" t="s">
        <v>73</v>
      </c>
      <c r="D128" s="26" t="str">
        <f>VLOOKUP($C128,classifications!$C:$J,4,FALSE)</f>
        <v>SD</v>
      </c>
      <c r="E128" s="26">
        <f>VLOOKUP(C128,classifications!C:K,9,FALSE)</f>
        <v>0</v>
      </c>
      <c r="F128" s="36">
        <f t="shared" si="26"/>
        <v>18.124004910345036</v>
      </c>
      <c r="G128" s="71"/>
      <c r="H128" s="37" t="str">
        <f t="shared" si="27"/>
        <v/>
      </c>
      <c r="I128" s="77" t="str">
        <f>IF(H128="","",IF($I$8="A",(RANK(H128,H$11:H$368,1)+COUNTIF(H$11:H128,H128)-1),(RANK(H128,H$11:H$368)+COUNTIF(H$11:H128,H128)-1)))</f>
        <v/>
      </c>
      <c r="J128" s="35"/>
      <c r="K128" s="28" t="str">
        <f t="shared" si="35"/>
        <v/>
      </c>
      <c r="L128" s="36" t="str">
        <f t="shared" si="28"/>
        <v/>
      </c>
      <c r="M128" s="102" t="str">
        <f t="shared" si="36"/>
        <v/>
      </c>
      <c r="N128" s="101" t="str">
        <f t="shared" si="37"/>
        <v/>
      </c>
      <c r="O128" s="94" t="str">
        <f t="shared" si="29"/>
        <v/>
      </c>
      <c r="P128" s="94" t="str">
        <f t="shared" si="45"/>
        <v/>
      </c>
      <c r="Q128" s="94" t="str">
        <f t="shared" si="46"/>
        <v/>
      </c>
      <c r="R128" s="90" t="str">
        <f t="shared" si="47"/>
        <v/>
      </c>
      <c r="S128" s="37" t="str">
        <f t="shared" si="38"/>
        <v/>
      </c>
      <c r="T128" s="176" t="str">
        <f>IF(L128="","",VLOOKUP(L128,classifications!C:K,9,FALSE))</f>
        <v/>
      </c>
      <c r="U128" s="183" t="str">
        <f t="shared" si="30"/>
        <v/>
      </c>
      <c r="V128" s="184" t="str">
        <f>IF(U128="","",IF($I$8="A",(RANK(U128,U$11:U$368)+COUNTIF(U$11:U128,U128)-1),(RANK(U128,U$11:U$368,1)+COUNTIF(U$11:U128,U128)-1)))</f>
        <v/>
      </c>
      <c r="W128" s="185"/>
      <c r="X128" s="38" t="str">
        <f>IF(L128="","",VLOOKUP($L128,classifications!$C:$J,6,FALSE))</f>
        <v/>
      </c>
      <c r="Y128" s="26" t="b">
        <f t="shared" si="31"/>
        <v>0</v>
      </c>
      <c r="Z128" s="34" t="e">
        <f>IF(Y128="","",IF(I$8="A",(RANK(Y128,Y$11:Y$368,1)+COUNTIF(Y$11:Y128,Y128)-1),(RANK(Y128,Y$11:Y$368)+COUNTIF(Y$11:Y128,Y128)-1)))</f>
        <v>#N/A</v>
      </c>
      <c r="AA128" s="188" t="str">
        <f>IF(L128="","",VLOOKUP($L128,classifications!C:I,7,FALSE))</f>
        <v/>
      </c>
      <c r="AB128" s="184" t="str">
        <f t="shared" si="39"/>
        <v/>
      </c>
      <c r="AC128" s="184" t="str">
        <f>IF(AB128="","",IF($I$8="A",(RANK(AB128,AB$11:AB$368)+COUNTIF(AB$11:AB128,AB128)-1),(RANK(AB128,AB$11:AB$368,1)+COUNTIF(AB$11:AB128,AB128)-1)))</f>
        <v/>
      </c>
      <c r="AD128" s="184"/>
      <c r="AE128" s="28" t="str">
        <f t="shared" si="49"/>
        <v/>
      </c>
      <c r="AG128" s="96"/>
      <c r="AH128" s="29"/>
      <c r="AI128" s="38" t="str">
        <f>IF(L128="","",VLOOKUP($L128,classifications!$C:$J,8,FALSE))</f>
        <v/>
      </c>
      <c r="AJ128" s="39" t="str">
        <f t="shared" si="32"/>
        <v/>
      </c>
      <c r="AK128" s="34" t="str">
        <f>IF(AJ128="","",IF(I$8="A",(RANK(AJ128,AJ$11:AJ$368,1)+COUNTIF(AJ$11:AJ128,AJ128)-1),(RANK(AJ128,AJ$11:AJ$368)+COUNTIF(AJ$11:AJ128,AJ128)-1)))</f>
        <v/>
      </c>
      <c r="AL128" s="29" t="str">
        <f t="shared" si="40"/>
        <v/>
      </c>
      <c r="AM128" s="8" t="str">
        <f t="shared" si="33"/>
        <v/>
      </c>
      <c r="AN128" s="8" t="str">
        <f t="shared" si="41"/>
        <v/>
      </c>
      <c r="AP128" s="38" t="str">
        <f>IF(L128="","",VLOOKUP($L128,classifications!$C:$E,3,FALSE))</f>
        <v/>
      </c>
      <c r="AQ128" s="39" t="str">
        <f t="shared" si="42"/>
        <v/>
      </c>
      <c r="AR128" s="34" t="str">
        <f>IF(AQ128="","",IF(I$8="A",(RANK(AQ128,AQ$11:AQ$368,1)+COUNTIF(AQ$11:AQ128,AQ128)-1),(RANK(AQ128,AQ$11:AQ$368)+COUNTIF(AQ$11:AQ128,AQ128)-1)))</f>
        <v/>
      </c>
      <c r="AS128" s="29" t="str">
        <f t="shared" si="43"/>
        <v/>
      </c>
      <c r="AT128" s="34" t="str">
        <f t="shared" si="34"/>
        <v/>
      </c>
      <c r="AU128" s="39" t="str">
        <f t="shared" si="48"/>
        <v/>
      </c>
      <c r="AX128" s="21">
        <f>HLOOKUP($AX$9&amp;$AX$10,Data!$A$1:$ZZ$2000,(MATCH($C128,Data!$A$1:$A$2000,0)),FALSE)</f>
        <v>18.124004910345036</v>
      </c>
      <c r="AY128" s="103"/>
      <c r="AZ128" s="21"/>
    </row>
    <row r="129" spans="1:52">
      <c r="A129" s="56" t="str">
        <f>$D$1&amp;119</f>
        <v>SC119</v>
      </c>
      <c r="B129" s="57">
        <f>IF(ISERROR(VLOOKUP(A129,classifications!A:C,3,FALSE)),0,VLOOKUP(A129,classifications!A:C,3,FALSE))</f>
        <v>0</v>
      </c>
      <c r="C129" s="8" t="s">
        <v>312</v>
      </c>
      <c r="D129" s="26" t="str">
        <f>VLOOKUP($C129,classifications!$C:$J,4,FALSE)</f>
        <v>SC</v>
      </c>
      <c r="E129" s="26">
        <f>VLOOKUP(C129,classifications!C:K,9,FALSE)</f>
        <v>0</v>
      </c>
      <c r="F129" s="36">
        <f t="shared" si="26"/>
        <v>17.475104043290408</v>
      </c>
      <c r="G129" s="71"/>
      <c r="H129" s="37">
        <f t="shared" si="27"/>
        <v>17.475104043290408</v>
      </c>
      <c r="I129" s="77">
        <f>IF(H129="","",IF($I$8="A",(RANK(H129,H$11:H$368,1)+COUNTIF(H$11:H129,H129)-1),(RANK(H129,H$11:H$368)+COUNTIF(H$11:H129,H129)-1)))</f>
        <v>12</v>
      </c>
      <c r="J129" s="35"/>
      <c r="K129" s="28" t="str">
        <f t="shared" si="35"/>
        <v/>
      </c>
      <c r="L129" s="36" t="str">
        <f t="shared" si="28"/>
        <v/>
      </c>
      <c r="M129" s="102" t="str">
        <f t="shared" si="36"/>
        <v/>
      </c>
      <c r="N129" s="101" t="str">
        <f t="shared" si="37"/>
        <v/>
      </c>
      <c r="O129" s="94" t="str">
        <f t="shared" si="29"/>
        <v/>
      </c>
      <c r="P129" s="94" t="str">
        <f t="shared" si="45"/>
        <v/>
      </c>
      <c r="Q129" s="94" t="str">
        <f t="shared" si="46"/>
        <v/>
      </c>
      <c r="R129" s="90" t="str">
        <f t="shared" si="47"/>
        <v/>
      </c>
      <c r="S129" s="37" t="str">
        <f t="shared" si="38"/>
        <v/>
      </c>
      <c r="T129" s="176" t="str">
        <f>IF(L129="","",VLOOKUP(L129,classifications!C:K,9,FALSE))</f>
        <v/>
      </c>
      <c r="U129" s="183" t="str">
        <f t="shared" si="30"/>
        <v/>
      </c>
      <c r="V129" s="184" t="str">
        <f>IF(U129="","",IF($I$8="A",(RANK(U129,U$11:U$368)+COUNTIF(U$11:U129,U129)-1),(RANK(U129,U$11:U$368,1)+COUNTIF(U$11:U129,U129)-1)))</f>
        <v/>
      </c>
      <c r="W129" s="185"/>
      <c r="X129" s="38" t="str">
        <f>IF(L129="","",VLOOKUP($L129,classifications!$C:$J,6,FALSE))</f>
        <v/>
      </c>
      <c r="Y129" s="26" t="b">
        <f t="shared" si="31"/>
        <v>0</v>
      </c>
      <c r="Z129" s="34" t="e">
        <f>IF(Y129="","",IF(I$8="A",(RANK(Y129,Y$11:Y$368,1)+COUNTIF(Y$11:Y129,Y129)-1),(RANK(Y129,Y$11:Y$368)+COUNTIF(Y$11:Y129,Y129)-1)))</f>
        <v>#N/A</v>
      </c>
      <c r="AA129" s="188" t="str">
        <f>IF(L129="","",VLOOKUP($L129,classifications!C:I,7,FALSE))</f>
        <v/>
      </c>
      <c r="AB129" s="184" t="str">
        <f t="shared" si="39"/>
        <v/>
      </c>
      <c r="AC129" s="184" t="str">
        <f>IF(AB129="","",IF($I$8="A",(RANK(AB129,AB$11:AB$368)+COUNTIF(AB$11:AB129,AB129)-1),(RANK(AB129,AB$11:AB$368,1)+COUNTIF(AB$11:AB129,AB129)-1)))</f>
        <v/>
      </c>
      <c r="AD129" s="184"/>
      <c r="AE129" s="28" t="str">
        <f t="shared" si="49"/>
        <v/>
      </c>
      <c r="AG129" s="96"/>
      <c r="AH129" s="29"/>
      <c r="AI129" s="38" t="str">
        <f>IF(L129="","",VLOOKUP($L129,classifications!$C:$J,8,FALSE))</f>
        <v/>
      </c>
      <c r="AJ129" s="39" t="str">
        <f t="shared" si="32"/>
        <v/>
      </c>
      <c r="AK129" s="34" t="str">
        <f>IF(AJ129="","",IF(I$8="A",(RANK(AJ129,AJ$11:AJ$368,1)+COUNTIF(AJ$11:AJ129,AJ129)-1),(RANK(AJ129,AJ$11:AJ$368)+COUNTIF(AJ$11:AJ129,AJ129)-1)))</f>
        <v/>
      </c>
      <c r="AL129" s="29" t="str">
        <f t="shared" si="40"/>
        <v/>
      </c>
      <c r="AM129" s="8" t="str">
        <f t="shared" si="33"/>
        <v/>
      </c>
      <c r="AN129" s="8" t="str">
        <f t="shared" si="41"/>
        <v/>
      </c>
      <c r="AP129" s="38" t="str">
        <f>IF(L129="","",VLOOKUP($L129,classifications!$C:$E,3,FALSE))</f>
        <v/>
      </c>
      <c r="AQ129" s="39" t="str">
        <f t="shared" si="42"/>
        <v/>
      </c>
      <c r="AR129" s="34" t="str">
        <f>IF(AQ129="","",IF(I$8="A",(RANK(AQ129,AQ$11:AQ$368,1)+COUNTIF(AQ$11:AQ129,AQ129)-1),(RANK(AQ129,AQ$11:AQ$368)+COUNTIF(AQ$11:AQ129,AQ129)-1)))</f>
        <v/>
      </c>
      <c r="AS129" s="29" t="str">
        <f t="shared" si="43"/>
        <v/>
      </c>
      <c r="AT129" s="34" t="str">
        <f t="shared" si="34"/>
        <v/>
      </c>
      <c r="AU129" s="39" t="str">
        <f t="shared" si="48"/>
        <v/>
      </c>
      <c r="AX129" s="21">
        <f>HLOOKUP($AX$9&amp;$AX$10,Data!$A$1:$ZZ$2000,(MATCH($C129,Data!$A$1:$A$2000,0)),FALSE)</f>
        <v>17.475104043290408</v>
      </c>
      <c r="AY129" s="103"/>
      <c r="AZ129" s="21"/>
    </row>
    <row r="130" spans="1:52">
      <c r="A130" s="56" t="str">
        <f>$D$1&amp;120</f>
        <v>SC120</v>
      </c>
      <c r="B130" s="57">
        <f>IF(ISERROR(VLOOKUP(A130,classifications!A:C,3,FALSE)),0,VLOOKUP(A130,classifications!A:C,3,FALSE))</f>
        <v>0</v>
      </c>
      <c r="C130" s="8" t="s">
        <v>74</v>
      </c>
      <c r="D130" s="26" t="str">
        <f>VLOOKUP($C130,classifications!$C:$J,4,FALSE)</f>
        <v>SD</v>
      </c>
      <c r="E130" s="26">
        <f>VLOOKUP(C130,classifications!C:K,9,FALSE)</f>
        <v>0</v>
      </c>
      <c r="F130" s="36">
        <f t="shared" si="26"/>
        <v>22.531739024673385</v>
      </c>
      <c r="G130" s="71"/>
      <c r="H130" s="37" t="str">
        <f t="shared" si="27"/>
        <v/>
      </c>
      <c r="I130" s="77" t="str">
        <f>IF(H130="","",IF($I$8="A",(RANK(H130,H$11:H$368,1)+COUNTIF(H$11:H130,H130)-1),(RANK(H130,H$11:H$368)+COUNTIF(H$11:H130,H130)-1)))</f>
        <v/>
      </c>
      <c r="J130" s="35"/>
      <c r="K130" s="28" t="str">
        <f t="shared" si="35"/>
        <v/>
      </c>
      <c r="L130" s="36" t="str">
        <f t="shared" si="28"/>
        <v/>
      </c>
      <c r="M130" s="102" t="str">
        <f t="shared" si="36"/>
        <v/>
      </c>
      <c r="N130" s="101" t="str">
        <f t="shared" si="37"/>
        <v/>
      </c>
      <c r="O130" s="94" t="str">
        <f t="shared" si="29"/>
        <v/>
      </c>
      <c r="P130" s="94" t="str">
        <f t="shared" si="45"/>
        <v/>
      </c>
      <c r="Q130" s="94" t="str">
        <f t="shared" si="46"/>
        <v/>
      </c>
      <c r="R130" s="90" t="str">
        <f t="shared" si="47"/>
        <v/>
      </c>
      <c r="S130" s="37" t="str">
        <f t="shared" si="38"/>
        <v/>
      </c>
      <c r="T130" s="176" t="str">
        <f>IF(L130="","",VLOOKUP(L130,classifications!C:K,9,FALSE))</f>
        <v/>
      </c>
      <c r="U130" s="183" t="str">
        <f t="shared" si="30"/>
        <v/>
      </c>
      <c r="V130" s="184" t="str">
        <f>IF(U130="","",IF($I$8="A",(RANK(U130,U$11:U$368)+COUNTIF(U$11:U130,U130)-1),(RANK(U130,U$11:U$368,1)+COUNTIF(U$11:U130,U130)-1)))</f>
        <v/>
      </c>
      <c r="W130" s="185"/>
      <c r="X130" s="38" t="str">
        <f>IF(L130="","",VLOOKUP($L130,classifications!$C:$J,6,FALSE))</f>
        <v/>
      </c>
      <c r="Y130" s="26" t="b">
        <f t="shared" si="31"/>
        <v>0</v>
      </c>
      <c r="Z130" s="34" t="e">
        <f>IF(Y130="","",IF(I$8="A",(RANK(Y130,Y$11:Y$368,1)+COUNTIF(Y$11:Y130,Y130)-1),(RANK(Y130,Y$11:Y$368)+COUNTIF(Y$11:Y130,Y130)-1)))</f>
        <v>#N/A</v>
      </c>
      <c r="AA130" s="188" t="str">
        <f>IF(L130="","",VLOOKUP($L130,classifications!C:I,7,FALSE))</f>
        <v/>
      </c>
      <c r="AB130" s="184" t="str">
        <f t="shared" si="39"/>
        <v/>
      </c>
      <c r="AC130" s="184" t="str">
        <f>IF(AB130="","",IF($I$8="A",(RANK(AB130,AB$11:AB$368)+COUNTIF(AB$11:AB130,AB130)-1),(RANK(AB130,AB$11:AB$368,1)+COUNTIF(AB$11:AB130,AB130)-1)))</f>
        <v/>
      </c>
      <c r="AD130" s="184"/>
      <c r="AE130" s="28" t="str">
        <f t="shared" si="49"/>
        <v/>
      </c>
      <c r="AG130" s="96"/>
      <c r="AH130" s="29"/>
      <c r="AI130" s="38" t="str">
        <f>IF(L130="","",VLOOKUP($L130,classifications!$C:$J,8,FALSE))</f>
        <v/>
      </c>
      <c r="AJ130" s="39" t="str">
        <f t="shared" si="32"/>
        <v/>
      </c>
      <c r="AK130" s="34" t="str">
        <f>IF(AJ130="","",IF(I$8="A",(RANK(AJ130,AJ$11:AJ$368,1)+COUNTIF(AJ$11:AJ130,AJ130)-1),(RANK(AJ130,AJ$11:AJ$368)+COUNTIF(AJ$11:AJ130,AJ130)-1)))</f>
        <v/>
      </c>
      <c r="AL130" s="29" t="str">
        <f t="shared" si="40"/>
        <v/>
      </c>
      <c r="AM130" s="8" t="str">
        <f t="shared" si="33"/>
        <v/>
      </c>
      <c r="AN130" s="8" t="str">
        <f t="shared" si="41"/>
        <v/>
      </c>
      <c r="AP130" s="38" t="str">
        <f>IF(L130="","",VLOOKUP($L130,classifications!$C:$E,3,FALSE))</f>
        <v/>
      </c>
      <c r="AQ130" s="39" t="str">
        <f t="shared" si="42"/>
        <v/>
      </c>
      <c r="AR130" s="34" t="str">
        <f>IF(AQ130="","",IF(I$8="A",(RANK(AQ130,AQ$11:AQ$368,1)+COUNTIF(AQ$11:AQ130,AQ130)-1),(RANK(AQ130,AQ$11:AQ$368)+COUNTIF(AQ$11:AQ130,AQ130)-1)))</f>
        <v/>
      </c>
      <c r="AS130" s="29" t="str">
        <f t="shared" si="43"/>
        <v/>
      </c>
      <c r="AT130" s="34" t="str">
        <f t="shared" si="34"/>
        <v/>
      </c>
      <c r="AU130" s="39" t="str">
        <f t="shared" si="48"/>
        <v/>
      </c>
      <c r="AX130" s="21">
        <f>HLOOKUP($AX$9&amp;$AX$10,Data!$A$1:$ZZ$2000,(MATCH($C130,Data!$A$1:$A$2000,0)),FALSE)</f>
        <v>22.531739024673385</v>
      </c>
      <c r="AY130" s="103"/>
      <c r="AZ130" s="21"/>
    </row>
    <row r="131" spans="1:52">
      <c r="A131" s="56" t="str">
        <f>$D$1&amp;121</f>
        <v>SC121</v>
      </c>
      <c r="B131" s="57">
        <f>IF(ISERROR(VLOOKUP(A131,classifications!A:C,3,FALSE)),0,VLOOKUP(A131,classifications!A:C,3,FALSE))</f>
        <v>0</v>
      </c>
      <c r="C131" s="8" t="s">
        <v>75</v>
      </c>
      <c r="D131" s="26" t="str">
        <f>VLOOKUP($C131,classifications!$C:$J,4,FALSE)</f>
        <v>SD</v>
      </c>
      <c r="E131" s="26">
        <f>VLOOKUP(C131,classifications!C:K,9,FALSE)</f>
        <v>0</v>
      </c>
      <c r="F131" s="36">
        <f t="shared" si="26"/>
        <v>11.557937706419104</v>
      </c>
      <c r="G131" s="71"/>
      <c r="H131" s="37" t="str">
        <f t="shared" si="27"/>
        <v/>
      </c>
      <c r="I131" s="77" t="str">
        <f>IF(H131="","",IF($I$8="A",(RANK(H131,H$11:H$368,1)+COUNTIF(H$11:H131,H131)-1),(RANK(H131,H$11:H$368)+COUNTIF(H$11:H131,H131)-1)))</f>
        <v/>
      </c>
      <c r="J131" s="35"/>
      <c r="K131" s="28" t="str">
        <f t="shared" si="35"/>
        <v/>
      </c>
      <c r="L131" s="36" t="str">
        <f t="shared" si="28"/>
        <v/>
      </c>
      <c r="M131" s="102" t="str">
        <f t="shared" si="36"/>
        <v/>
      </c>
      <c r="N131" s="101" t="str">
        <f t="shared" si="37"/>
        <v/>
      </c>
      <c r="O131" s="94" t="str">
        <f t="shared" si="29"/>
        <v/>
      </c>
      <c r="P131" s="94" t="str">
        <f t="shared" si="45"/>
        <v/>
      </c>
      <c r="Q131" s="94" t="str">
        <f t="shared" si="46"/>
        <v/>
      </c>
      <c r="R131" s="90" t="str">
        <f t="shared" si="47"/>
        <v/>
      </c>
      <c r="S131" s="37" t="str">
        <f t="shared" si="38"/>
        <v/>
      </c>
      <c r="T131" s="176" t="str">
        <f>IF(L131="","",VLOOKUP(L131,classifications!C:K,9,FALSE))</f>
        <v/>
      </c>
      <c r="U131" s="183" t="str">
        <f t="shared" si="30"/>
        <v/>
      </c>
      <c r="V131" s="184" t="str">
        <f>IF(U131="","",IF($I$8="A",(RANK(U131,U$11:U$368)+COUNTIF(U$11:U131,U131)-1),(RANK(U131,U$11:U$368,1)+COUNTIF(U$11:U131,U131)-1)))</f>
        <v/>
      </c>
      <c r="W131" s="185"/>
      <c r="X131" s="38" t="str">
        <f>IF(L131="","",VLOOKUP($L131,classifications!$C:$J,6,FALSE))</f>
        <v/>
      </c>
      <c r="Y131" s="26" t="b">
        <f t="shared" si="31"/>
        <v>0</v>
      </c>
      <c r="Z131" s="34" t="e">
        <f>IF(Y131="","",IF(I$8="A",(RANK(Y131,Y$11:Y$368,1)+COUNTIF(Y$11:Y131,Y131)-1),(RANK(Y131,Y$11:Y$368)+COUNTIF(Y$11:Y131,Y131)-1)))</f>
        <v>#N/A</v>
      </c>
      <c r="AA131" s="188" t="str">
        <f>IF(L131="","",VLOOKUP($L131,classifications!C:I,7,FALSE))</f>
        <v/>
      </c>
      <c r="AB131" s="184" t="str">
        <f t="shared" si="39"/>
        <v/>
      </c>
      <c r="AC131" s="184" t="str">
        <f>IF(AB131="","",IF($I$8="A",(RANK(AB131,AB$11:AB$368)+COUNTIF(AB$11:AB131,AB131)-1),(RANK(AB131,AB$11:AB$368,1)+COUNTIF(AB$11:AB131,AB131)-1)))</f>
        <v/>
      </c>
      <c r="AD131" s="184"/>
      <c r="AE131" s="28" t="str">
        <f t="shared" si="49"/>
        <v/>
      </c>
      <c r="AG131" s="96"/>
      <c r="AH131" s="29"/>
      <c r="AI131" s="38" t="str">
        <f>IF(L131="","",VLOOKUP($L131,classifications!$C:$J,8,FALSE))</f>
        <v/>
      </c>
      <c r="AJ131" s="39" t="str">
        <f t="shared" si="32"/>
        <v/>
      </c>
      <c r="AK131" s="34" t="str">
        <f>IF(AJ131="","",IF(I$8="A",(RANK(AJ131,AJ$11:AJ$368,1)+COUNTIF(AJ$11:AJ131,AJ131)-1),(RANK(AJ131,AJ$11:AJ$368)+COUNTIF(AJ$11:AJ131,AJ131)-1)))</f>
        <v/>
      </c>
      <c r="AL131" s="29" t="str">
        <f t="shared" si="40"/>
        <v/>
      </c>
      <c r="AM131" s="8" t="str">
        <f t="shared" si="33"/>
        <v/>
      </c>
      <c r="AN131" s="8" t="str">
        <f t="shared" si="41"/>
        <v/>
      </c>
      <c r="AP131" s="38" t="str">
        <f>IF(L131="","",VLOOKUP($L131,classifications!$C:$E,3,FALSE))</f>
        <v/>
      </c>
      <c r="AQ131" s="39" t="str">
        <f t="shared" si="42"/>
        <v/>
      </c>
      <c r="AR131" s="34" t="str">
        <f>IF(AQ131="","",IF(I$8="A",(RANK(AQ131,AQ$11:AQ$368,1)+COUNTIF(AQ$11:AQ131,AQ131)-1),(RANK(AQ131,AQ$11:AQ$368)+COUNTIF(AQ$11:AQ131,AQ131)-1)))</f>
        <v/>
      </c>
      <c r="AS131" s="29" t="str">
        <f t="shared" si="43"/>
        <v/>
      </c>
      <c r="AT131" s="34" t="str">
        <f t="shared" si="34"/>
        <v/>
      </c>
      <c r="AU131" s="39" t="str">
        <f t="shared" si="48"/>
        <v/>
      </c>
      <c r="AX131" s="21">
        <f>HLOOKUP($AX$9&amp;$AX$10,Data!$A$1:$ZZ$2000,(MATCH($C131,Data!$A$1:$A$2000,0)),FALSE)</f>
        <v>11.557937706419104</v>
      </c>
      <c r="AY131" s="103"/>
      <c r="AZ131" s="21"/>
    </row>
    <row r="132" spans="1:52">
      <c r="A132" s="56" t="str">
        <f>$D$1&amp;122</f>
        <v>SC122</v>
      </c>
      <c r="B132" s="57">
        <f>IF(ISERROR(VLOOKUP(A132,classifications!A:C,3,FALSE)),0,VLOOKUP(A132,classifications!A:C,3,FALSE))</f>
        <v>0</v>
      </c>
      <c r="C132" s="8" t="s">
        <v>76</v>
      </c>
      <c r="D132" s="26" t="str">
        <f>VLOOKUP($C132,classifications!$C:$J,4,FALSE)</f>
        <v>SD</v>
      </c>
      <c r="E132" s="26">
        <f>VLOOKUP(C132,classifications!C:K,9,FALSE)</f>
        <v>0</v>
      </c>
      <c r="F132" s="36">
        <f t="shared" si="26"/>
        <v>18.391647914025448</v>
      </c>
      <c r="G132" s="71"/>
      <c r="H132" s="37" t="str">
        <f t="shared" si="27"/>
        <v/>
      </c>
      <c r="I132" s="77" t="str">
        <f>IF(H132="","",IF($I$8="A",(RANK(H132,H$11:H$368,1)+COUNTIF(H$11:H132,H132)-1),(RANK(H132,H$11:H$368)+COUNTIF(H$11:H132,H132)-1)))</f>
        <v/>
      </c>
      <c r="J132" s="35"/>
      <c r="K132" s="28" t="str">
        <f t="shared" si="35"/>
        <v/>
      </c>
      <c r="L132" s="36" t="str">
        <f t="shared" si="28"/>
        <v/>
      </c>
      <c r="M132" s="102" t="str">
        <f t="shared" si="36"/>
        <v/>
      </c>
      <c r="N132" s="101" t="str">
        <f t="shared" si="37"/>
        <v/>
      </c>
      <c r="O132" s="94" t="str">
        <f t="shared" si="29"/>
        <v/>
      </c>
      <c r="P132" s="94" t="str">
        <f t="shared" si="45"/>
        <v/>
      </c>
      <c r="Q132" s="94" t="str">
        <f t="shared" si="46"/>
        <v/>
      </c>
      <c r="R132" s="90" t="str">
        <f t="shared" si="47"/>
        <v/>
      </c>
      <c r="S132" s="37" t="str">
        <f t="shared" si="38"/>
        <v/>
      </c>
      <c r="T132" s="176" t="str">
        <f>IF(L132="","",VLOOKUP(L132,classifications!C:K,9,FALSE))</f>
        <v/>
      </c>
      <c r="U132" s="183" t="str">
        <f t="shared" si="30"/>
        <v/>
      </c>
      <c r="V132" s="184" t="str">
        <f>IF(U132="","",IF($I$8="A",(RANK(U132,U$11:U$368)+COUNTIF(U$11:U132,U132)-1),(RANK(U132,U$11:U$368,1)+COUNTIF(U$11:U132,U132)-1)))</f>
        <v/>
      </c>
      <c r="W132" s="185"/>
      <c r="X132" s="38" t="str">
        <f>IF(L132="","",VLOOKUP($L132,classifications!$C:$J,6,FALSE))</f>
        <v/>
      </c>
      <c r="Y132" s="26" t="b">
        <f t="shared" si="31"/>
        <v>0</v>
      </c>
      <c r="Z132" s="34" t="e">
        <f>IF(Y132="","",IF(I$8="A",(RANK(Y132,Y$11:Y$368,1)+COUNTIF(Y$11:Y132,Y132)-1),(RANK(Y132,Y$11:Y$368)+COUNTIF(Y$11:Y132,Y132)-1)))</f>
        <v>#N/A</v>
      </c>
      <c r="AA132" s="188" t="str">
        <f>IF(L132="","",VLOOKUP($L132,classifications!C:I,7,FALSE))</f>
        <v/>
      </c>
      <c r="AB132" s="184" t="str">
        <f t="shared" si="39"/>
        <v/>
      </c>
      <c r="AC132" s="184" t="str">
        <f>IF(AB132="","",IF($I$8="A",(RANK(AB132,AB$11:AB$368)+COUNTIF(AB$11:AB132,AB132)-1),(RANK(AB132,AB$11:AB$368,1)+COUNTIF(AB$11:AB132,AB132)-1)))</f>
        <v/>
      </c>
      <c r="AD132" s="184"/>
      <c r="AE132" s="28" t="str">
        <f t="shared" si="49"/>
        <v/>
      </c>
      <c r="AG132" s="96"/>
      <c r="AH132" s="29"/>
      <c r="AI132" s="38" t="str">
        <f>IF(L132="","",VLOOKUP($L132,classifications!$C:$J,8,FALSE))</f>
        <v/>
      </c>
      <c r="AJ132" s="39" t="str">
        <f t="shared" si="32"/>
        <v/>
      </c>
      <c r="AK132" s="34" t="str">
        <f>IF(AJ132="","",IF(I$8="A",(RANK(AJ132,AJ$11:AJ$368,1)+COUNTIF(AJ$11:AJ132,AJ132)-1),(RANK(AJ132,AJ$11:AJ$368)+COUNTIF(AJ$11:AJ132,AJ132)-1)))</f>
        <v/>
      </c>
      <c r="AL132" s="29" t="str">
        <f t="shared" si="40"/>
        <v/>
      </c>
      <c r="AM132" s="8" t="str">
        <f t="shared" si="33"/>
        <v/>
      </c>
      <c r="AN132" s="8" t="str">
        <f t="shared" si="41"/>
        <v/>
      </c>
      <c r="AP132" s="38" t="str">
        <f>IF(L132="","",VLOOKUP($L132,classifications!$C:$E,3,FALSE))</f>
        <v/>
      </c>
      <c r="AQ132" s="39" t="str">
        <f t="shared" si="42"/>
        <v/>
      </c>
      <c r="AR132" s="34" t="str">
        <f>IF(AQ132="","",IF(I$8="A",(RANK(AQ132,AQ$11:AQ$368,1)+COUNTIF(AQ$11:AQ132,AQ132)-1),(RANK(AQ132,AQ$11:AQ$368)+COUNTIF(AQ$11:AQ132,AQ132)-1)))</f>
        <v/>
      </c>
      <c r="AS132" s="29" t="str">
        <f t="shared" si="43"/>
        <v/>
      </c>
      <c r="AT132" s="34" t="str">
        <f t="shared" si="34"/>
        <v/>
      </c>
      <c r="AU132" s="39" t="str">
        <f t="shared" si="48"/>
        <v/>
      </c>
      <c r="AX132" s="21">
        <f>HLOOKUP($AX$9&amp;$AX$10,Data!$A$1:$ZZ$2000,(MATCH($C132,Data!$A$1:$A$2000,0)),FALSE)</f>
        <v>18.391647914025448</v>
      </c>
      <c r="AY132" s="103"/>
      <c r="AZ132" s="21"/>
    </row>
    <row r="133" spans="1:52">
      <c r="A133" s="56" t="str">
        <f>$D$1&amp;123</f>
        <v>SC123</v>
      </c>
      <c r="B133" s="57">
        <f>IF(ISERROR(VLOOKUP(A133,classifications!A:C,3,FALSE)),0,VLOOKUP(A133,classifications!A:C,3,FALSE))</f>
        <v>0</v>
      </c>
      <c r="C133" s="8" t="s">
        <v>204</v>
      </c>
      <c r="D133" s="26" t="str">
        <f>VLOOKUP($C133,classifications!$C:$J,4,FALSE)</f>
        <v>L</v>
      </c>
      <c r="E133" s="26">
        <f>VLOOKUP(C133,classifications!C:K,9,FALSE)</f>
        <v>0</v>
      </c>
      <c r="F133" s="36">
        <f t="shared" si="26"/>
        <v>16.626382544027773</v>
      </c>
      <c r="G133" s="71"/>
      <c r="H133" s="37" t="str">
        <f t="shared" si="27"/>
        <v/>
      </c>
      <c r="I133" s="77" t="str">
        <f>IF(H133="","",IF($I$8="A",(RANK(H133,H$11:H$368,1)+COUNTIF(H$11:H133,H133)-1),(RANK(H133,H$11:H$368)+COUNTIF(H$11:H133,H133)-1)))</f>
        <v/>
      </c>
      <c r="J133" s="35"/>
      <c r="K133" s="28" t="str">
        <f t="shared" si="35"/>
        <v/>
      </c>
      <c r="L133" s="36" t="str">
        <f t="shared" si="28"/>
        <v/>
      </c>
      <c r="M133" s="102" t="str">
        <f t="shared" si="36"/>
        <v/>
      </c>
      <c r="N133" s="101" t="str">
        <f t="shared" si="37"/>
        <v/>
      </c>
      <c r="O133" s="94" t="str">
        <f t="shared" si="29"/>
        <v/>
      </c>
      <c r="P133" s="94" t="str">
        <f t="shared" si="45"/>
        <v/>
      </c>
      <c r="Q133" s="94" t="str">
        <f t="shared" si="46"/>
        <v/>
      </c>
      <c r="R133" s="90" t="str">
        <f t="shared" si="47"/>
        <v/>
      </c>
      <c r="S133" s="37" t="str">
        <f t="shared" si="38"/>
        <v/>
      </c>
      <c r="T133" s="176" t="str">
        <f>IF(L133="","",VLOOKUP(L133,classifications!C:K,9,FALSE))</f>
        <v/>
      </c>
      <c r="U133" s="183" t="str">
        <f t="shared" si="30"/>
        <v/>
      </c>
      <c r="V133" s="184" t="str">
        <f>IF(U133="","",IF($I$8="A",(RANK(U133,U$11:U$368)+COUNTIF(U$11:U133,U133)-1),(RANK(U133,U$11:U$368,1)+COUNTIF(U$11:U133,U133)-1)))</f>
        <v/>
      </c>
      <c r="W133" s="185"/>
      <c r="X133" s="38" t="str">
        <f>IF(L133="","",VLOOKUP($L133,classifications!$C:$J,6,FALSE))</f>
        <v/>
      </c>
      <c r="Y133" s="26" t="b">
        <f t="shared" si="31"/>
        <v>0</v>
      </c>
      <c r="Z133" s="34" t="e">
        <f>IF(Y133="","",IF(I$8="A",(RANK(Y133,Y$11:Y$368,1)+COUNTIF(Y$11:Y133,Y133)-1),(RANK(Y133,Y$11:Y$368)+COUNTIF(Y$11:Y133,Y133)-1)))</f>
        <v>#N/A</v>
      </c>
      <c r="AA133" s="188" t="str">
        <f>IF(L133="","",VLOOKUP($L133,classifications!C:I,7,FALSE))</f>
        <v/>
      </c>
      <c r="AB133" s="184" t="str">
        <f t="shared" si="39"/>
        <v/>
      </c>
      <c r="AC133" s="184" t="str">
        <f>IF(AB133="","",IF($I$8="A",(RANK(AB133,AB$11:AB$368)+COUNTIF(AB$11:AB133,AB133)-1),(RANK(AB133,AB$11:AB$368,1)+COUNTIF(AB$11:AB133,AB133)-1)))</f>
        <v/>
      </c>
      <c r="AD133" s="184"/>
      <c r="AE133" s="28" t="str">
        <f t="shared" si="49"/>
        <v/>
      </c>
      <c r="AG133" s="96"/>
      <c r="AH133" s="29"/>
      <c r="AI133" s="38" t="str">
        <f>IF(L133="","",VLOOKUP($L133,classifications!$C:$J,8,FALSE))</f>
        <v/>
      </c>
      <c r="AJ133" s="39" t="str">
        <f t="shared" si="32"/>
        <v/>
      </c>
      <c r="AK133" s="34" t="str">
        <f>IF(AJ133="","",IF(I$8="A",(RANK(AJ133,AJ$11:AJ$368,1)+COUNTIF(AJ$11:AJ133,AJ133)-1),(RANK(AJ133,AJ$11:AJ$368)+COUNTIF(AJ$11:AJ133,AJ133)-1)))</f>
        <v/>
      </c>
      <c r="AL133" s="29" t="str">
        <f t="shared" si="40"/>
        <v/>
      </c>
      <c r="AM133" s="8" t="str">
        <f t="shared" si="33"/>
        <v/>
      </c>
      <c r="AN133" s="8" t="str">
        <f t="shared" si="41"/>
        <v/>
      </c>
      <c r="AP133" s="38" t="str">
        <f>IF(L133="","",VLOOKUP($L133,classifications!$C:$E,3,FALSE))</f>
        <v/>
      </c>
      <c r="AQ133" s="39" t="str">
        <f t="shared" si="42"/>
        <v/>
      </c>
      <c r="AR133" s="34" t="str">
        <f>IF(AQ133="","",IF(I$8="A",(RANK(AQ133,AQ$11:AQ$368,1)+COUNTIF(AQ$11:AQ133,AQ133)-1),(RANK(AQ133,AQ$11:AQ$368)+COUNTIF(AQ$11:AQ133,AQ133)-1)))</f>
        <v/>
      </c>
      <c r="AS133" s="29" t="str">
        <f t="shared" si="43"/>
        <v/>
      </c>
      <c r="AT133" s="34" t="str">
        <f t="shared" si="34"/>
        <v/>
      </c>
      <c r="AU133" s="39" t="str">
        <f t="shared" si="48"/>
        <v/>
      </c>
      <c r="AX133" s="21">
        <f>HLOOKUP($AX$9&amp;$AX$10,Data!$A$1:$ZZ$2000,(MATCH($C133,Data!$A$1:$A$2000,0)),FALSE)</f>
        <v>16.626382544027773</v>
      </c>
      <c r="AY133" s="103"/>
      <c r="AZ133" s="21"/>
    </row>
    <row r="134" spans="1:52">
      <c r="A134" s="56" t="str">
        <f>$D$1&amp;124</f>
        <v>SC124</v>
      </c>
      <c r="B134" s="57">
        <f>IF(ISERROR(VLOOKUP(A134,classifications!A:C,3,FALSE)),0,VLOOKUP(A134,classifications!A:C,3,FALSE))</f>
        <v>0</v>
      </c>
      <c r="C134" s="8" t="s">
        <v>77</v>
      </c>
      <c r="D134" s="26" t="str">
        <f>VLOOKUP($C134,classifications!$C:$J,4,FALSE)</f>
        <v>SD</v>
      </c>
      <c r="E134" s="26">
        <f>VLOOKUP(C134,classifications!C:K,9,FALSE)</f>
        <v>0</v>
      </c>
      <c r="F134" s="36">
        <f t="shared" si="26"/>
        <v>27.795212606268326</v>
      </c>
      <c r="G134" s="71"/>
      <c r="H134" s="37" t="str">
        <f t="shared" si="27"/>
        <v/>
      </c>
      <c r="I134" s="77" t="str">
        <f>IF(H134="","",IF($I$8="A",(RANK(H134,H$11:H$368,1)+COUNTIF(H$11:H134,H134)-1),(RANK(H134,H$11:H$368)+COUNTIF(H$11:H134,H134)-1)))</f>
        <v/>
      </c>
      <c r="J134" s="35"/>
      <c r="K134" s="28" t="str">
        <f t="shared" si="35"/>
        <v/>
      </c>
      <c r="L134" s="36" t="str">
        <f t="shared" si="28"/>
        <v/>
      </c>
      <c r="M134" s="102" t="str">
        <f t="shared" si="36"/>
        <v/>
      </c>
      <c r="N134" s="101" t="str">
        <f t="shared" si="37"/>
        <v/>
      </c>
      <c r="O134" s="94" t="str">
        <f t="shared" si="29"/>
        <v/>
      </c>
      <c r="P134" s="94" t="str">
        <f t="shared" si="45"/>
        <v/>
      </c>
      <c r="Q134" s="94" t="str">
        <f t="shared" si="46"/>
        <v/>
      </c>
      <c r="R134" s="90" t="str">
        <f t="shared" si="47"/>
        <v/>
      </c>
      <c r="S134" s="37" t="str">
        <f t="shared" si="38"/>
        <v/>
      </c>
      <c r="T134" s="176" t="str">
        <f>IF(L134="","",VLOOKUP(L134,classifications!C:K,9,FALSE))</f>
        <v/>
      </c>
      <c r="U134" s="183" t="str">
        <f t="shared" si="30"/>
        <v/>
      </c>
      <c r="V134" s="184" t="str">
        <f>IF(U134="","",IF($I$8="A",(RANK(U134,U$11:U$368)+COUNTIF(U$11:U134,U134)-1),(RANK(U134,U$11:U$368,1)+COUNTIF(U$11:U134,U134)-1)))</f>
        <v/>
      </c>
      <c r="W134" s="185"/>
      <c r="X134" s="38" t="str">
        <f>IF(L134="","",VLOOKUP($L134,classifications!$C:$J,6,FALSE))</f>
        <v/>
      </c>
      <c r="Y134" s="26" t="b">
        <f t="shared" si="31"/>
        <v>0</v>
      </c>
      <c r="Z134" s="34" t="e">
        <f>IF(Y134="","",IF(I$8="A",(RANK(Y134,Y$11:Y$368,1)+COUNTIF(Y$11:Y134,Y134)-1),(RANK(Y134,Y$11:Y$368)+COUNTIF(Y$11:Y134,Y134)-1)))</f>
        <v>#N/A</v>
      </c>
      <c r="AA134" s="188" t="str">
        <f>IF(L134="","",VLOOKUP($L134,classifications!C:I,7,FALSE))</f>
        <v/>
      </c>
      <c r="AB134" s="184" t="str">
        <f t="shared" si="39"/>
        <v/>
      </c>
      <c r="AC134" s="184" t="str">
        <f>IF(AB134="","",IF($I$8="A",(RANK(AB134,AB$11:AB$368)+COUNTIF(AB$11:AB134,AB134)-1),(RANK(AB134,AB$11:AB$368,1)+COUNTIF(AB$11:AB134,AB134)-1)))</f>
        <v/>
      </c>
      <c r="AD134" s="184"/>
      <c r="AE134" s="28" t="str">
        <f t="shared" si="49"/>
        <v/>
      </c>
      <c r="AG134" s="96"/>
      <c r="AH134" s="29"/>
      <c r="AI134" s="38" t="str">
        <f>IF(L134="","",VLOOKUP($L134,classifications!$C:$J,8,FALSE))</f>
        <v/>
      </c>
      <c r="AJ134" s="39" t="str">
        <f t="shared" si="32"/>
        <v/>
      </c>
      <c r="AK134" s="34" t="str">
        <f>IF(AJ134="","",IF(I$8="A",(RANK(AJ134,AJ$11:AJ$368,1)+COUNTIF(AJ$11:AJ134,AJ134)-1),(RANK(AJ134,AJ$11:AJ$368)+COUNTIF(AJ$11:AJ134,AJ134)-1)))</f>
        <v/>
      </c>
      <c r="AL134" s="29" t="str">
        <f t="shared" si="40"/>
        <v/>
      </c>
      <c r="AM134" s="8" t="str">
        <f t="shared" si="33"/>
        <v/>
      </c>
      <c r="AN134" s="8" t="str">
        <f t="shared" si="41"/>
        <v/>
      </c>
      <c r="AP134" s="38" t="str">
        <f>IF(L134="","",VLOOKUP($L134,classifications!$C:$E,3,FALSE))</f>
        <v/>
      </c>
      <c r="AQ134" s="39" t="str">
        <f t="shared" si="42"/>
        <v/>
      </c>
      <c r="AR134" s="34" t="str">
        <f>IF(AQ134="","",IF(I$8="A",(RANK(AQ134,AQ$11:AQ$368,1)+COUNTIF(AQ$11:AQ134,AQ134)-1),(RANK(AQ134,AQ$11:AQ$368)+COUNTIF(AQ$11:AQ134,AQ134)-1)))</f>
        <v/>
      </c>
      <c r="AS134" s="29" t="str">
        <f t="shared" si="43"/>
        <v/>
      </c>
      <c r="AT134" s="34" t="str">
        <f t="shared" si="34"/>
        <v/>
      </c>
      <c r="AU134" s="39" t="str">
        <f t="shared" si="48"/>
        <v/>
      </c>
      <c r="AX134" s="21">
        <f>HLOOKUP($AX$9&amp;$AX$10,Data!$A$1:$ZZ$2000,(MATCH($C134,Data!$A$1:$A$2000,0)),FALSE)</f>
        <v>27.795212606268326</v>
      </c>
      <c r="AY134" s="103"/>
      <c r="AZ134" s="21"/>
    </row>
    <row r="135" spans="1:52">
      <c r="A135" s="56" t="str">
        <f>$D$1&amp;125</f>
        <v>SC125</v>
      </c>
      <c r="B135" s="57">
        <f>IF(ISERROR(VLOOKUP(A135,classifications!A:C,3,FALSE)),0,VLOOKUP(A135,classifications!A:C,3,FALSE))</f>
        <v>0</v>
      </c>
      <c r="C135" s="8" t="s">
        <v>205</v>
      </c>
      <c r="D135" s="26" t="str">
        <f>VLOOKUP($C135,classifications!$C:$J,4,FALSE)</f>
        <v>L</v>
      </c>
      <c r="E135" s="26">
        <f>VLOOKUP(C135,classifications!C:K,9,FALSE)</f>
        <v>0</v>
      </c>
      <c r="F135" s="36">
        <f t="shared" si="26"/>
        <v>30.801146880430242</v>
      </c>
      <c r="G135" s="71"/>
      <c r="H135" s="37" t="str">
        <f t="shared" si="27"/>
        <v/>
      </c>
      <c r="I135" s="77" t="str">
        <f>IF(H135="","",IF($I$8="A",(RANK(H135,H$11:H$368,1)+COUNTIF(H$11:H135,H135)-1),(RANK(H135,H$11:H$368)+COUNTIF(H$11:H135,H135)-1)))</f>
        <v/>
      </c>
      <c r="J135" s="35"/>
      <c r="K135" s="28" t="str">
        <f t="shared" si="35"/>
        <v/>
      </c>
      <c r="L135" s="36" t="str">
        <f t="shared" si="28"/>
        <v/>
      </c>
      <c r="M135" s="102" t="str">
        <f t="shared" si="36"/>
        <v/>
      </c>
      <c r="N135" s="101" t="str">
        <f t="shared" si="37"/>
        <v/>
      </c>
      <c r="O135" s="94" t="str">
        <f t="shared" si="29"/>
        <v/>
      </c>
      <c r="P135" s="94" t="str">
        <f t="shared" si="45"/>
        <v/>
      </c>
      <c r="Q135" s="94" t="str">
        <f t="shared" si="46"/>
        <v/>
      </c>
      <c r="R135" s="90" t="str">
        <f t="shared" si="47"/>
        <v/>
      </c>
      <c r="S135" s="37" t="str">
        <f t="shared" si="38"/>
        <v/>
      </c>
      <c r="T135" s="176" t="str">
        <f>IF(L135="","",VLOOKUP(L135,classifications!C:K,9,FALSE))</f>
        <v/>
      </c>
      <c r="U135" s="183" t="str">
        <f t="shared" si="30"/>
        <v/>
      </c>
      <c r="V135" s="184" t="str">
        <f>IF(U135="","",IF($I$8="A",(RANK(U135,U$11:U$368)+COUNTIF(U$11:U135,U135)-1),(RANK(U135,U$11:U$368,1)+COUNTIF(U$11:U135,U135)-1)))</f>
        <v/>
      </c>
      <c r="W135" s="185"/>
      <c r="X135" s="38" t="str">
        <f>IF(L135="","",VLOOKUP($L135,classifications!$C:$J,6,FALSE))</f>
        <v/>
      </c>
      <c r="Y135" s="26" t="b">
        <f t="shared" si="31"/>
        <v>0</v>
      </c>
      <c r="Z135" s="34" t="e">
        <f>IF(Y135="","",IF(I$8="A",(RANK(Y135,Y$11:Y$368,1)+COUNTIF(Y$11:Y135,Y135)-1),(RANK(Y135,Y$11:Y$368)+COUNTIF(Y$11:Y135,Y135)-1)))</f>
        <v>#N/A</v>
      </c>
      <c r="AA135" s="188" t="str">
        <f>IF(L135="","",VLOOKUP($L135,classifications!C:I,7,FALSE))</f>
        <v/>
      </c>
      <c r="AB135" s="184" t="str">
        <f t="shared" si="39"/>
        <v/>
      </c>
      <c r="AC135" s="184" t="str">
        <f>IF(AB135="","",IF($I$8="A",(RANK(AB135,AB$11:AB$368)+COUNTIF(AB$11:AB135,AB135)-1),(RANK(AB135,AB$11:AB$368,1)+COUNTIF(AB$11:AB135,AB135)-1)))</f>
        <v/>
      </c>
      <c r="AD135" s="184"/>
      <c r="AE135" s="28" t="str">
        <f t="shared" si="49"/>
        <v/>
      </c>
      <c r="AG135" s="96"/>
      <c r="AH135" s="29"/>
      <c r="AI135" s="38" t="str">
        <f>IF(L135="","",VLOOKUP($L135,classifications!$C:$J,8,FALSE))</f>
        <v/>
      </c>
      <c r="AJ135" s="39" t="str">
        <f t="shared" si="32"/>
        <v/>
      </c>
      <c r="AK135" s="34" t="str">
        <f>IF(AJ135="","",IF(I$8="A",(RANK(AJ135,AJ$11:AJ$368,1)+COUNTIF(AJ$11:AJ135,AJ135)-1),(RANK(AJ135,AJ$11:AJ$368)+COUNTIF(AJ$11:AJ135,AJ135)-1)))</f>
        <v/>
      </c>
      <c r="AL135" s="29" t="str">
        <f t="shared" si="40"/>
        <v/>
      </c>
      <c r="AM135" s="8" t="str">
        <f t="shared" si="33"/>
        <v/>
      </c>
      <c r="AN135" s="8" t="str">
        <f t="shared" si="41"/>
        <v/>
      </c>
      <c r="AP135" s="38" t="str">
        <f>IF(L135="","",VLOOKUP($L135,classifications!$C:$E,3,FALSE))</f>
        <v/>
      </c>
      <c r="AQ135" s="39" t="str">
        <f t="shared" si="42"/>
        <v/>
      </c>
      <c r="AR135" s="34" t="str">
        <f>IF(AQ135="","",IF(I$8="A",(RANK(AQ135,AQ$11:AQ$368,1)+COUNTIF(AQ$11:AQ135,AQ135)-1),(RANK(AQ135,AQ$11:AQ$368)+COUNTIF(AQ$11:AQ135,AQ135)-1)))</f>
        <v/>
      </c>
      <c r="AS135" s="29" t="str">
        <f t="shared" si="43"/>
        <v/>
      </c>
      <c r="AT135" s="34" t="str">
        <f t="shared" si="34"/>
        <v/>
      </c>
      <c r="AU135" s="39" t="str">
        <f t="shared" si="48"/>
        <v/>
      </c>
      <c r="AX135" s="21">
        <f>HLOOKUP($AX$9&amp;$AX$10,Data!$A$1:$ZZ$2000,(MATCH($C135,Data!$A$1:$A$2000,0)),FALSE)</f>
        <v>30.801146880430242</v>
      </c>
      <c r="AY135" s="103"/>
      <c r="AZ135" s="21"/>
    </row>
    <row r="136" spans="1:52">
      <c r="A136" s="56" t="str">
        <f>$D$1&amp;126</f>
        <v>SC126</v>
      </c>
      <c r="B136" s="57">
        <f>IF(ISERROR(VLOOKUP(A136,classifications!A:C,3,FALSE)),0,VLOOKUP(A136,classifications!A:C,3,FALSE))</f>
        <v>0</v>
      </c>
      <c r="C136" s="8" t="s">
        <v>268</v>
      </c>
      <c r="D136" s="26" t="str">
        <f>VLOOKUP($C136,classifications!$C:$J,4,FALSE)</f>
        <v>UA</v>
      </c>
      <c r="E136" s="26">
        <f>VLOOKUP(C136,classifications!C:K,9,FALSE)</f>
        <v>0</v>
      </c>
      <c r="F136" s="36">
        <f t="shared" si="26"/>
        <v>12.149406744405891</v>
      </c>
      <c r="G136" s="71"/>
      <c r="H136" s="37" t="str">
        <f t="shared" si="27"/>
        <v/>
      </c>
      <c r="I136" s="77" t="str">
        <f>IF(H136="","",IF($I$8="A",(RANK(H136,H$11:H$368,1)+COUNTIF(H$11:H136,H136)-1),(RANK(H136,H$11:H$368)+COUNTIF(H$11:H136,H136)-1)))</f>
        <v/>
      </c>
      <c r="J136" s="35"/>
      <c r="K136" s="28" t="str">
        <f t="shared" si="35"/>
        <v/>
      </c>
      <c r="L136" s="36" t="str">
        <f t="shared" si="28"/>
        <v/>
      </c>
      <c r="M136" s="102" t="str">
        <f t="shared" si="36"/>
        <v/>
      </c>
      <c r="N136" s="101" t="str">
        <f t="shared" si="37"/>
        <v/>
      </c>
      <c r="O136" s="94" t="str">
        <f t="shared" si="29"/>
        <v/>
      </c>
      <c r="P136" s="94" t="str">
        <f t="shared" si="45"/>
        <v/>
      </c>
      <c r="Q136" s="94" t="str">
        <f t="shared" si="46"/>
        <v/>
      </c>
      <c r="R136" s="90" t="str">
        <f t="shared" si="47"/>
        <v/>
      </c>
      <c r="S136" s="37" t="str">
        <f t="shared" si="38"/>
        <v/>
      </c>
      <c r="T136" s="176" t="str">
        <f>IF(L136="","",VLOOKUP(L136,classifications!C:K,9,FALSE))</f>
        <v/>
      </c>
      <c r="U136" s="183" t="str">
        <f t="shared" si="30"/>
        <v/>
      </c>
      <c r="V136" s="184" t="str">
        <f>IF(U136="","",IF($I$8="A",(RANK(U136,U$11:U$368)+COUNTIF(U$11:U136,U136)-1),(RANK(U136,U$11:U$368,1)+COUNTIF(U$11:U136,U136)-1)))</f>
        <v/>
      </c>
      <c r="W136" s="185"/>
      <c r="X136" s="38" t="str">
        <f>IF(L136="","",VLOOKUP($L136,classifications!$C:$J,6,FALSE))</f>
        <v/>
      </c>
      <c r="Y136" s="26" t="b">
        <f t="shared" si="31"/>
        <v>0</v>
      </c>
      <c r="Z136" s="34" t="e">
        <f>IF(Y136="","",IF(I$8="A",(RANK(Y136,Y$11:Y$368,1)+COUNTIF(Y$11:Y136,Y136)-1),(RANK(Y136,Y$11:Y$368)+COUNTIF(Y$11:Y136,Y136)-1)))</f>
        <v>#N/A</v>
      </c>
      <c r="AA136" s="188" t="str">
        <f>IF(L136="","",VLOOKUP($L136,classifications!C:I,7,FALSE))</f>
        <v/>
      </c>
      <c r="AB136" s="184" t="str">
        <f t="shared" si="39"/>
        <v/>
      </c>
      <c r="AC136" s="184" t="str">
        <f>IF(AB136="","",IF($I$8="A",(RANK(AB136,AB$11:AB$368)+COUNTIF(AB$11:AB136,AB136)-1),(RANK(AB136,AB$11:AB$368,1)+COUNTIF(AB$11:AB136,AB136)-1)))</f>
        <v/>
      </c>
      <c r="AD136" s="184"/>
      <c r="AE136" s="28" t="str">
        <f t="shared" si="49"/>
        <v/>
      </c>
      <c r="AG136" s="96"/>
      <c r="AH136" s="29"/>
      <c r="AI136" s="38" t="str">
        <f>IF(L136="","",VLOOKUP($L136,classifications!$C:$J,8,FALSE))</f>
        <v/>
      </c>
      <c r="AJ136" s="39" t="str">
        <f t="shared" si="32"/>
        <v/>
      </c>
      <c r="AK136" s="34" t="str">
        <f>IF(AJ136="","",IF(I$8="A",(RANK(AJ136,AJ$11:AJ$368,1)+COUNTIF(AJ$11:AJ136,AJ136)-1),(RANK(AJ136,AJ$11:AJ$368)+COUNTIF(AJ$11:AJ136,AJ136)-1)))</f>
        <v/>
      </c>
      <c r="AL136" s="29" t="str">
        <f t="shared" si="40"/>
        <v/>
      </c>
      <c r="AM136" s="8" t="str">
        <f t="shared" si="33"/>
        <v/>
      </c>
      <c r="AN136" s="8" t="str">
        <f t="shared" si="41"/>
        <v/>
      </c>
      <c r="AP136" s="38" t="str">
        <f>IF(L136="","",VLOOKUP($L136,classifications!$C:$E,3,FALSE))</f>
        <v/>
      </c>
      <c r="AQ136" s="39" t="str">
        <f t="shared" si="42"/>
        <v/>
      </c>
      <c r="AR136" s="34" t="str">
        <f>IF(AQ136="","",IF(I$8="A",(RANK(AQ136,AQ$11:AQ$368,1)+COUNTIF(AQ$11:AQ136,AQ136)-1),(RANK(AQ136,AQ$11:AQ$368)+COUNTIF(AQ$11:AQ136,AQ136)-1)))</f>
        <v/>
      </c>
      <c r="AS136" s="29" t="str">
        <f t="shared" si="43"/>
        <v/>
      </c>
      <c r="AT136" s="34" t="str">
        <f t="shared" si="34"/>
        <v/>
      </c>
      <c r="AU136" s="39" t="str">
        <f t="shared" si="48"/>
        <v/>
      </c>
      <c r="AX136" s="21">
        <f>HLOOKUP($AX$9&amp;$AX$10,Data!$A$1:$ZZ$2000,(MATCH($C136,Data!$A$1:$A$2000,0)),FALSE)</f>
        <v>12.149406744405891</v>
      </c>
      <c r="AY136" s="103"/>
      <c r="AZ136" s="21"/>
    </row>
    <row r="137" spans="1:52">
      <c r="A137" s="56" t="str">
        <f>$D$1&amp;127</f>
        <v>SC127</v>
      </c>
      <c r="B137" s="57">
        <f>IF(ISERROR(VLOOKUP(A137,classifications!A:C,3,FALSE)),0,VLOOKUP(A137,classifications!A:C,3,FALSE))</f>
        <v>0</v>
      </c>
      <c r="C137" s="8" t="s">
        <v>78</v>
      </c>
      <c r="D137" s="26" t="str">
        <f>VLOOKUP($C137,classifications!$C:$J,4,FALSE)</f>
        <v>SD</v>
      </c>
      <c r="E137" s="26" t="str">
        <f>VLOOKUP(C137,classifications!C:K,9,FALSE)</f>
        <v>Sparse</v>
      </c>
      <c r="F137" s="36">
        <f t="shared" si="26"/>
        <v>17.455699515012597</v>
      </c>
      <c r="G137" s="71"/>
      <c r="H137" s="37" t="str">
        <f t="shared" si="27"/>
        <v/>
      </c>
      <c r="I137" s="77" t="str">
        <f>IF(H137="","",IF($I$8="A",(RANK(H137,H$11:H$368,1)+COUNTIF(H$11:H137,H137)-1),(RANK(H137,H$11:H$368)+COUNTIF(H$11:H137,H137)-1)))</f>
        <v/>
      </c>
      <c r="J137" s="35"/>
      <c r="K137" s="28" t="str">
        <f t="shared" si="35"/>
        <v/>
      </c>
      <c r="L137" s="36" t="str">
        <f t="shared" si="28"/>
        <v/>
      </c>
      <c r="M137" s="102" t="str">
        <f t="shared" si="36"/>
        <v/>
      </c>
      <c r="N137" s="101" t="str">
        <f t="shared" si="37"/>
        <v/>
      </c>
      <c r="O137" s="94" t="str">
        <f t="shared" si="29"/>
        <v/>
      </c>
      <c r="P137" s="94" t="str">
        <f t="shared" si="45"/>
        <v/>
      </c>
      <c r="Q137" s="94" t="str">
        <f t="shared" si="46"/>
        <v/>
      </c>
      <c r="R137" s="90" t="str">
        <f t="shared" si="47"/>
        <v/>
      </c>
      <c r="S137" s="37" t="str">
        <f t="shared" si="38"/>
        <v/>
      </c>
      <c r="T137" s="176" t="str">
        <f>IF(L137="","",VLOOKUP(L137,classifications!C:K,9,FALSE))</f>
        <v/>
      </c>
      <c r="U137" s="183" t="str">
        <f t="shared" si="30"/>
        <v/>
      </c>
      <c r="V137" s="184" t="str">
        <f>IF(U137="","",IF($I$8="A",(RANK(U137,U$11:U$368)+COUNTIF(U$11:U137,U137)-1),(RANK(U137,U$11:U$368,1)+COUNTIF(U$11:U137,U137)-1)))</f>
        <v/>
      </c>
      <c r="W137" s="185"/>
      <c r="X137" s="38" t="str">
        <f>IF(L137="","",VLOOKUP($L137,classifications!$C:$J,6,FALSE))</f>
        <v/>
      </c>
      <c r="Y137" s="26" t="b">
        <f t="shared" si="31"/>
        <v>0</v>
      </c>
      <c r="Z137" s="34" t="e">
        <f>IF(Y137="","",IF(I$8="A",(RANK(Y137,Y$11:Y$368,1)+COUNTIF(Y$11:Y137,Y137)-1),(RANK(Y137,Y$11:Y$368)+COUNTIF(Y$11:Y137,Y137)-1)))</f>
        <v>#N/A</v>
      </c>
      <c r="AA137" s="188" t="str">
        <f>IF(L137="","",VLOOKUP($L137,classifications!C:I,7,FALSE))</f>
        <v/>
      </c>
      <c r="AB137" s="184" t="str">
        <f t="shared" si="39"/>
        <v/>
      </c>
      <c r="AC137" s="184" t="str">
        <f>IF(AB137="","",IF($I$8="A",(RANK(AB137,AB$11:AB$368)+COUNTIF(AB$11:AB137,AB137)-1),(RANK(AB137,AB$11:AB$368,1)+COUNTIF(AB$11:AB137,AB137)-1)))</f>
        <v/>
      </c>
      <c r="AD137" s="184"/>
      <c r="AE137" s="28" t="str">
        <f t="shared" si="49"/>
        <v/>
      </c>
      <c r="AG137" s="96"/>
      <c r="AH137" s="29"/>
      <c r="AI137" s="38" t="str">
        <f>IF(L137="","",VLOOKUP($L137,classifications!$C:$J,8,FALSE))</f>
        <v/>
      </c>
      <c r="AJ137" s="39" t="str">
        <f t="shared" si="32"/>
        <v/>
      </c>
      <c r="AK137" s="34" t="str">
        <f>IF(AJ137="","",IF(I$8="A",(RANK(AJ137,AJ$11:AJ$368,1)+COUNTIF(AJ$11:AJ137,AJ137)-1),(RANK(AJ137,AJ$11:AJ$368)+COUNTIF(AJ$11:AJ137,AJ137)-1)))</f>
        <v/>
      </c>
      <c r="AL137" s="29" t="str">
        <f t="shared" si="40"/>
        <v/>
      </c>
      <c r="AM137" s="8" t="str">
        <f t="shared" si="33"/>
        <v/>
      </c>
      <c r="AN137" s="8" t="str">
        <f t="shared" si="41"/>
        <v/>
      </c>
      <c r="AP137" s="38" t="str">
        <f>IF(L137="","",VLOOKUP($L137,classifications!$C:$E,3,FALSE))</f>
        <v/>
      </c>
      <c r="AQ137" s="39" t="str">
        <f t="shared" si="42"/>
        <v/>
      </c>
      <c r="AR137" s="34" t="str">
        <f>IF(AQ137="","",IF(I$8="A",(RANK(AQ137,AQ$11:AQ$368,1)+COUNTIF(AQ$11:AQ137,AQ137)-1),(RANK(AQ137,AQ$11:AQ$368)+COUNTIF(AQ$11:AQ137,AQ137)-1)))</f>
        <v/>
      </c>
      <c r="AS137" s="29" t="str">
        <f t="shared" si="43"/>
        <v/>
      </c>
      <c r="AT137" s="34" t="str">
        <f t="shared" si="34"/>
        <v/>
      </c>
      <c r="AU137" s="39" t="str">
        <f t="shared" si="48"/>
        <v/>
      </c>
      <c r="AX137" s="21">
        <f>HLOOKUP($AX$9&amp;$AX$10,Data!$A$1:$ZZ$2000,(MATCH($C137,Data!$A$1:$A$2000,0)),FALSE)</f>
        <v>17.455699515012597</v>
      </c>
      <c r="AY137" s="103"/>
      <c r="AZ137" s="21"/>
    </row>
    <row r="138" spans="1:52">
      <c r="A138" s="56" t="str">
        <f>$D$1&amp;128</f>
        <v>SC128</v>
      </c>
      <c r="B138" s="57">
        <f>IF(ISERROR(VLOOKUP(A138,classifications!A:C,3,FALSE)),0,VLOOKUP(A138,classifications!A:C,3,FALSE))</f>
        <v>0</v>
      </c>
      <c r="C138" s="8" t="s">
        <v>336</v>
      </c>
      <c r="D138" s="26" t="str">
        <f>VLOOKUP($C138,classifications!$C:$J,4,FALSE)</f>
        <v>L</v>
      </c>
      <c r="E138" s="26">
        <f>VLOOKUP(C138,classifications!C:K,9,FALSE)</f>
        <v>0</v>
      </c>
      <c r="F138" s="36">
        <f t="shared" si="26"/>
        <v>30.862481626002907</v>
      </c>
      <c r="G138" s="71"/>
      <c r="H138" s="37" t="str">
        <f t="shared" si="27"/>
        <v/>
      </c>
      <c r="I138" s="77" t="str">
        <f>IF(H138="","",IF($I$8="A",(RANK(H138,H$11:H$368,1)+COUNTIF(H$11:H138,H138)-1),(RANK(H138,H$11:H$368)+COUNTIF(H$11:H138,H138)-1)))</f>
        <v/>
      </c>
      <c r="J138" s="35"/>
      <c r="K138" s="28" t="str">
        <f t="shared" si="35"/>
        <v/>
      </c>
      <c r="L138" s="36" t="str">
        <f t="shared" si="28"/>
        <v/>
      </c>
      <c r="M138" s="102" t="str">
        <f t="shared" si="36"/>
        <v/>
      </c>
      <c r="N138" s="101" t="str">
        <f t="shared" si="37"/>
        <v/>
      </c>
      <c r="O138" s="94" t="str">
        <f t="shared" si="29"/>
        <v/>
      </c>
      <c r="P138" s="94" t="str">
        <f t="shared" si="45"/>
        <v/>
      </c>
      <c r="Q138" s="94" t="str">
        <f t="shared" si="46"/>
        <v/>
      </c>
      <c r="R138" s="90" t="str">
        <f t="shared" si="47"/>
        <v/>
      </c>
      <c r="S138" s="37" t="str">
        <f t="shared" si="38"/>
        <v/>
      </c>
      <c r="T138" s="176" t="str">
        <f>IF(L138="","",VLOOKUP(L138,classifications!C:K,9,FALSE))</f>
        <v/>
      </c>
      <c r="U138" s="183" t="str">
        <f t="shared" si="30"/>
        <v/>
      </c>
      <c r="V138" s="184" t="str">
        <f>IF(U138="","",IF($I$8="A",(RANK(U138,U$11:U$368)+COUNTIF(U$11:U138,U138)-1),(RANK(U138,U$11:U$368,1)+COUNTIF(U$11:U138,U138)-1)))</f>
        <v/>
      </c>
      <c r="W138" s="185"/>
      <c r="X138" s="38" t="str">
        <f>IF(L138="","",VLOOKUP($L138,classifications!$C:$J,6,FALSE))</f>
        <v/>
      </c>
      <c r="Y138" s="26" t="b">
        <f t="shared" si="31"/>
        <v>0</v>
      </c>
      <c r="Z138" s="34" t="e">
        <f>IF(Y138="","",IF(I$8="A",(RANK(Y138,Y$11:Y$368,1)+COUNTIF(Y$11:Y138,Y138)-1),(RANK(Y138,Y$11:Y$368)+COUNTIF(Y$11:Y138,Y138)-1)))</f>
        <v>#N/A</v>
      </c>
      <c r="AA138" s="188" t="str">
        <f>IF(L138="","",VLOOKUP($L138,classifications!C:I,7,FALSE))</f>
        <v/>
      </c>
      <c r="AB138" s="184" t="str">
        <f t="shared" si="39"/>
        <v/>
      </c>
      <c r="AC138" s="184" t="str">
        <f>IF(AB138="","",IF($I$8="A",(RANK(AB138,AB$11:AB$368)+COUNTIF(AB$11:AB138,AB138)-1),(RANK(AB138,AB$11:AB$368,1)+COUNTIF(AB$11:AB138,AB138)-1)))</f>
        <v/>
      </c>
      <c r="AD138" s="184"/>
      <c r="AE138" s="28" t="str">
        <f t="shared" si="49"/>
        <v/>
      </c>
      <c r="AG138" s="96"/>
      <c r="AH138" s="29"/>
      <c r="AI138" s="38" t="str">
        <f>IF(L138="","",VLOOKUP($L138,classifications!$C:$J,8,FALSE))</f>
        <v/>
      </c>
      <c r="AJ138" s="39" t="str">
        <f t="shared" si="32"/>
        <v/>
      </c>
      <c r="AK138" s="34" t="str">
        <f>IF(AJ138="","",IF(I$8="A",(RANK(AJ138,AJ$11:AJ$368,1)+COUNTIF(AJ$11:AJ138,AJ138)-1),(RANK(AJ138,AJ$11:AJ$368)+COUNTIF(AJ$11:AJ138,AJ138)-1)))</f>
        <v/>
      </c>
      <c r="AL138" s="29" t="str">
        <f t="shared" si="40"/>
        <v/>
      </c>
      <c r="AM138" s="8" t="str">
        <f t="shared" si="33"/>
        <v/>
      </c>
      <c r="AN138" s="8" t="str">
        <f t="shared" si="41"/>
        <v/>
      </c>
      <c r="AP138" s="38" t="str">
        <f>IF(L138="","",VLOOKUP($L138,classifications!$C:$E,3,FALSE))</f>
        <v/>
      </c>
      <c r="AQ138" s="39" t="str">
        <f t="shared" si="42"/>
        <v/>
      </c>
      <c r="AR138" s="34" t="str">
        <f>IF(AQ138="","",IF(I$8="A",(RANK(AQ138,AQ$11:AQ$368,1)+COUNTIF(AQ$11:AQ138,AQ138)-1),(RANK(AQ138,AQ$11:AQ$368)+COUNTIF(AQ$11:AQ138,AQ138)-1)))</f>
        <v/>
      </c>
      <c r="AS138" s="29" t="str">
        <f t="shared" si="43"/>
        <v/>
      </c>
      <c r="AT138" s="34" t="str">
        <f t="shared" si="34"/>
        <v/>
      </c>
      <c r="AU138" s="39" t="str">
        <f t="shared" si="48"/>
        <v/>
      </c>
      <c r="AX138" s="21">
        <f>HLOOKUP($AX$9&amp;$AX$10,Data!$A$1:$ZZ$2000,(MATCH($C138,Data!$A$1:$A$2000,0)),FALSE)</f>
        <v>30.862481626002907</v>
      </c>
      <c r="AY138" s="103"/>
      <c r="AZ138" s="21"/>
    </row>
    <row r="139" spans="1:52">
      <c r="A139" s="56" t="str">
        <f>$D$1&amp;129</f>
        <v>SC129</v>
      </c>
      <c r="B139" s="57">
        <f>IF(ISERROR(VLOOKUP(A139,classifications!A:C,3,FALSE)),0,VLOOKUP(A139,classifications!A:C,3,FALSE))</f>
        <v>0</v>
      </c>
      <c r="C139" s="8" t="s">
        <v>313</v>
      </c>
      <c r="D139" s="26" t="str">
        <f>VLOOKUP($C139,classifications!$C:$J,4,FALSE)</f>
        <v>SC</v>
      </c>
      <c r="E139" s="26" t="str">
        <f>VLOOKUP(C139,classifications!C:K,9,FALSE)</f>
        <v>Sparse</v>
      </c>
      <c r="F139" s="36">
        <f t="shared" ref="F139:F202" si="50">HLOOKUP($D$6,AX$10:ZX$368,ROW()-9,FALSE)</f>
        <v>18.924173536281611</v>
      </c>
      <c r="G139" s="71"/>
      <c r="H139" s="37">
        <f t="shared" ref="H139:H202" si="51">IF(D139=$D$1,HLOOKUP($D$6,$AX$10:$ZZ$368,ROW()-9,FALSE),"")</f>
        <v>18.924173536281611</v>
      </c>
      <c r="I139" s="77">
        <f>IF(H139="","",IF($I$8="A",(RANK(H139,H$11:H$368,1)+COUNTIF(H$11:H139,H139)-1),(RANK(H139,H$11:H$368)+COUNTIF(H$11:H139,H139)-1)))</f>
        <v>7</v>
      </c>
      <c r="J139" s="35"/>
      <c r="K139" s="28" t="str">
        <f t="shared" si="35"/>
        <v/>
      </c>
      <c r="L139" s="36" t="str">
        <f t="shared" ref="L139:L202" si="52">IF(K139="","",INDEX(C$11:C$368,MATCH(K139,I$11:I$368,0)))</f>
        <v/>
      </c>
      <c r="M139" s="102" t="str">
        <f t="shared" si="36"/>
        <v/>
      </c>
      <c r="N139" s="101" t="str">
        <f t="shared" si="37"/>
        <v/>
      </c>
      <c r="O139" s="94" t="str">
        <f t="shared" ref="O139:O202" si="53">IF(I$8="A",IF(N139&gt;=$P$7,IF(N139&lt;=$O$10,N139,""),""),IF(N139&lt;=$P$7,IF(N139&gt;=$O$10,N139,""),""))</f>
        <v/>
      </c>
      <c r="P139" s="94" t="str">
        <f t="shared" si="45"/>
        <v/>
      </c>
      <c r="Q139" s="94" t="str">
        <f t="shared" si="46"/>
        <v/>
      </c>
      <c r="R139" s="90" t="str">
        <f t="shared" si="47"/>
        <v/>
      </c>
      <c r="S139" s="37" t="str">
        <f t="shared" si="38"/>
        <v/>
      </c>
      <c r="T139" s="176" t="str">
        <f>IF(L139="","",VLOOKUP(L139,classifications!C:K,9,FALSE))</f>
        <v/>
      </c>
      <c r="U139" s="183" t="str">
        <f t="shared" ref="U139:U202" si="54">IF(T139="Sparse",M139,"")</f>
        <v/>
      </c>
      <c r="V139" s="184" t="str">
        <f>IF(U139="","",IF($I$8="A",(RANK(U139,U$11:U$368)+COUNTIF(U$11:U139,U139)-1),(RANK(U139,U$11:U$368,1)+COUNTIF(U$11:U139,U139)-1)))</f>
        <v/>
      </c>
      <c r="W139" s="185"/>
      <c r="X139" s="38" t="str">
        <f>IF(L139="","",VLOOKUP($L139,classifications!$C:$J,6,FALSE))</f>
        <v/>
      </c>
      <c r="Y139" s="26" t="b">
        <f t="shared" ref="Y139:Y202" si="55">IF($D$1="UA",IF(X139="Largely Rural (rural including hub towns 50-79%) ",M139,IF(X139="Mainly Rural (rural including hub towns &gt;=80%) ",M139,IF(X139="Urban with Significant Rural (rural including hub towns 26-49%)",M139,""))),IF($D$1="SD",IF(X139=$H$3,M139,"")))</f>
        <v>0</v>
      </c>
      <c r="Z139" s="34" t="e">
        <f>IF(Y139="","",IF(I$8="A",(RANK(Y139,Y$11:Y$368,1)+COUNTIF(Y$11:Y139,Y139)-1),(RANK(Y139,Y$11:Y$368)+COUNTIF(Y$11:Y139,Y139)-1)))</f>
        <v>#N/A</v>
      </c>
      <c r="AA139" s="188" t="str">
        <f>IF(L139="","",VLOOKUP($L139,classifications!C:I,7,FALSE))</f>
        <v/>
      </c>
      <c r="AB139" s="184" t="str">
        <f t="shared" si="39"/>
        <v/>
      </c>
      <c r="AC139" s="184" t="str">
        <f>IF(AB139="","",IF($I$8="A",(RANK(AB139,AB$11:AB$368)+COUNTIF(AB$11:AB139,AB139)-1),(RANK(AB139,AB$11:AB$368,1)+COUNTIF(AB$11:AB139,AB139)-1)))</f>
        <v/>
      </c>
      <c r="AD139" s="184"/>
      <c r="AE139" s="28" t="str">
        <f t="shared" si="49"/>
        <v/>
      </c>
      <c r="AG139" s="96"/>
      <c r="AH139" s="29"/>
      <c r="AI139" s="38" t="str">
        <f>IF(L139="","",VLOOKUP($L139,classifications!$C:$J,8,FALSE))</f>
        <v/>
      </c>
      <c r="AJ139" s="39" t="str">
        <f t="shared" ref="AJ139:AJ202" si="56">IF(AI139=$I$3,M139,"")</f>
        <v/>
      </c>
      <c r="AK139" s="34" t="str">
        <f>IF(AJ139="","",IF(I$8="A",(RANK(AJ139,AJ$11:AJ$368,1)+COUNTIF(AJ$11:AJ139,AJ139)-1),(RANK(AJ139,AJ$11:AJ$368)+COUNTIF(AJ$11:AJ139,AJ139)-1)))</f>
        <v/>
      </c>
      <c r="AL139" s="29" t="str">
        <f t="shared" si="40"/>
        <v/>
      </c>
      <c r="AM139" s="8" t="str">
        <f t="shared" ref="AM139:AM202" si="57">IF(ISNA(IF(AL139="","",INDEX(L$11:L$368,MATCH(AL139,AK$11:AK$368,0)))),"",(IF(AL139="","",INDEX(L$11:L$368,MATCH(AL139,AK$11:AK$368,0)))))</f>
        <v/>
      </c>
      <c r="AN139" s="8" t="str">
        <f t="shared" si="41"/>
        <v/>
      </c>
      <c r="AP139" s="38" t="str">
        <f>IF(L139="","",VLOOKUP($L139,classifications!$C:$E,3,FALSE))</f>
        <v/>
      </c>
      <c r="AQ139" s="39" t="str">
        <f t="shared" si="42"/>
        <v/>
      </c>
      <c r="AR139" s="34" t="str">
        <f>IF(AQ139="","",IF(I$8="A",(RANK(AQ139,AQ$11:AQ$368,1)+COUNTIF(AQ$11:AQ139,AQ139)-1),(RANK(AQ139,AQ$11:AQ$368)+COUNTIF(AQ$11:AQ139,AQ139)-1)))</f>
        <v/>
      </c>
      <c r="AS139" s="29" t="str">
        <f t="shared" si="43"/>
        <v/>
      </c>
      <c r="AT139" s="34" t="str">
        <f t="shared" ref="AT139:AT202" si="58">IF(AS139="","",INDEX(L$11:L$368,MATCH(AS139,AR$11:AR$368,0)))</f>
        <v/>
      </c>
      <c r="AU139" s="39" t="str">
        <f t="shared" si="48"/>
        <v/>
      </c>
      <c r="AX139" s="21">
        <f>HLOOKUP($AX$9&amp;$AX$10,Data!$A$1:$ZZ$2000,(MATCH($C139,Data!$A$1:$A$2000,0)),FALSE)</f>
        <v>18.924173536281611</v>
      </c>
      <c r="AY139" s="103"/>
      <c r="AZ139" s="21"/>
    </row>
    <row r="140" spans="1:52">
      <c r="A140" s="56" t="str">
        <f>$D$1&amp;130</f>
        <v>SC130</v>
      </c>
      <c r="B140" s="57">
        <f>IF(ISERROR(VLOOKUP(A140,classifications!A:C,3,FALSE)),0,VLOOKUP(A140,classifications!A:C,3,FALSE))</f>
        <v>0</v>
      </c>
      <c r="C140" s="8" t="s">
        <v>79</v>
      </c>
      <c r="D140" s="26" t="str">
        <f>VLOOKUP($C140,classifications!$C:$J,4,FALSE)</f>
        <v>SD</v>
      </c>
      <c r="E140" s="26" t="str">
        <f>VLOOKUP(C140,classifications!C:K,9,FALSE)</f>
        <v>Sparse</v>
      </c>
      <c r="F140" s="36">
        <f t="shared" si="50"/>
        <v>16.172171629605756</v>
      </c>
      <c r="G140" s="71"/>
      <c r="H140" s="37" t="str">
        <f t="shared" si="51"/>
        <v/>
      </c>
      <c r="I140" s="77" t="str">
        <f>IF(H140="","",IF($I$8="A",(RANK(H140,H$11:H$368,1)+COUNTIF(H$11:H140,H140)-1),(RANK(H140,H$11:H$368)+COUNTIF(H$11:H140,H140)-1)))</f>
        <v/>
      </c>
      <c r="J140" s="35"/>
      <c r="K140" s="28" t="str">
        <f t="shared" ref="K140:K203" si="59">IF(K139="","",IF(K139+1&gt;(COUNT(H$11:H$368)),"",K139+1))</f>
        <v/>
      </c>
      <c r="L140" s="36" t="str">
        <f t="shared" si="52"/>
        <v/>
      </c>
      <c r="M140" s="102" t="str">
        <f t="shared" ref="M140:M203" si="60">IF(L140="","",IF(VLOOKUP(L140,C:D,2,FALSE)=$F$3,VLOOKUP(L140,C:H,6,FALSE),""))</f>
        <v/>
      </c>
      <c r="N140" s="101" t="str">
        <f t="shared" ref="N140:N203" si="61">IF(L140="","",IF($H$8="%%",M140*100,M140))</f>
        <v/>
      </c>
      <c r="O140" s="94" t="str">
        <f t="shared" si="53"/>
        <v/>
      </c>
      <c r="P140" s="94" t="str">
        <f t="shared" si="45"/>
        <v/>
      </c>
      <c r="Q140" s="94" t="str">
        <f t="shared" si="46"/>
        <v/>
      </c>
      <c r="R140" s="90" t="str">
        <f t="shared" si="47"/>
        <v/>
      </c>
      <c r="S140" s="37" t="str">
        <f t="shared" ref="S140:S203" si="62">IF(L140=D$3,"u","")</f>
        <v/>
      </c>
      <c r="T140" s="176" t="str">
        <f>IF(L140="","",VLOOKUP(L140,classifications!C:K,9,FALSE))</f>
        <v/>
      </c>
      <c r="U140" s="183" t="str">
        <f t="shared" si="54"/>
        <v/>
      </c>
      <c r="V140" s="184" t="str">
        <f>IF(U140="","",IF($I$8="A",(RANK(U140,U$11:U$368)+COUNTIF(U$11:U140,U140)-1),(RANK(U140,U$11:U$368,1)+COUNTIF(U$11:U140,U140)-1)))</f>
        <v/>
      </c>
      <c r="W140" s="185"/>
      <c r="X140" s="38" t="str">
        <f>IF(L140="","",VLOOKUP($L140,classifications!$C:$J,6,FALSE))</f>
        <v/>
      </c>
      <c r="Y140" s="26" t="b">
        <f t="shared" si="55"/>
        <v>0</v>
      </c>
      <c r="Z140" s="34" t="e">
        <f>IF(Y140="","",IF(I$8="A",(RANK(Y140,Y$11:Y$368,1)+COUNTIF(Y$11:Y140,Y140)-1),(RANK(Y140,Y$11:Y$368)+COUNTIF(Y$11:Y140,Y140)-1)))</f>
        <v>#N/A</v>
      </c>
      <c r="AA140" s="188" t="str">
        <f>IF(L140="","",VLOOKUP($L140,classifications!C:I,7,FALSE))</f>
        <v/>
      </c>
      <c r="AB140" s="184" t="str">
        <f t="shared" ref="AB140:AB203" si="63">IF(AA140=$J$3,M140,"")</f>
        <v/>
      </c>
      <c r="AC140" s="184" t="str">
        <f>IF(AB140="","",IF($I$8="A",(RANK(AB140,AB$11:AB$368)+COUNTIF(AB$11:AB140,AB140)-1),(RANK(AB140,AB$11:AB$368,1)+COUNTIF(AB$11:AB140,AB140)-1)))</f>
        <v/>
      </c>
      <c r="AD140" s="184"/>
      <c r="AE140" s="28" t="str">
        <f t="shared" si="49"/>
        <v/>
      </c>
      <c r="AG140" s="96"/>
      <c r="AH140" s="29"/>
      <c r="AI140" s="38" t="str">
        <f>IF(L140="","",VLOOKUP($L140,classifications!$C:$J,8,FALSE))</f>
        <v/>
      </c>
      <c r="AJ140" s="39" t="str">
        <f t="shared" si="56"/>
        <v/>
      </c>
      <c r="AK140" s="34" t="str">
        <f>IF(AJ140="","",IF(I$8="A",(RANK(AJ140,AJ$11:AJ$368,1)+COUNTIF(AJ$11:AJ140,AJ140)-1),(RANK(AJ140,AJ$11:AJ$368)+COUNTIF(AJ$11:AJ140,AJ140)-1)))</f>
        <v/>
      </c>
      <c r="AL140" s="29" t="str">
        <f t="shared" ref="AL140:AL203" si="64">IF(AL139="","",IF(AL139+1&gt;(COUNT(AJ$11:AJ$368)),"",AL139+1))</f>
        <v/>
      </c>
      <c r="AM140" s="8" t="str">
        <f t="shared" si="57"/>
        <v/>
      </c>
      <c r="AN140" s="8" t="str">
        <f t="shared" ref="AN140:AN203" si="65">(VLOOKUP(AM140,L:M,2,FALSE))</f>
        <v/>
      </c>
      <c r="AP140" s="38" t="str">
        <f>IF(L140="","",VLOOKUP($L140,classifications!$C:$E,3,FALSE))</f>
        <v/>
      </c>
      <c r="AQ140" s="39" t="str">
        <f t="shared" ref="AQ140:AQ203" si="66">IF(AP140=$G$3,$M140,"")</f>
        <v/>
      </c>
      <c r="AR140" s="34" t="str">
        <f>IF(AQ140="","",IF(I$8="A",(RANK(AQ140,AQ$11:AQ$368,1)+COUNTIF(AQ$11:AQ140,AQ140)-1),(RANK(AQ140,AQ$11:AQ$368)+COUNTIF(AQ$11:AQ140,AQ140)-1)))</f>
        <v/>
      </c>
      <c r="AS140" s="29" t="str">
        <f t="shared" ref="AS140:AS203" si="67">IF(AS139="","",IF(AS139+1&gt;(COUNT(AQ$11:AQ$368)),"",AS139+1))</f>
        <v/>
      </c>
      <c r="AT140" s="34" t="str">
        <f t="shared" si="58"/>
        <v/>
      </c>
      <c r="AU140" s="39" t="str">
        <f t="shared" si="48"/>
        <v/>
      </c>
      <c r="AX140" s="21">
        <f>HLOOKUP($AX$9&amp;$AX$10,Data!$A$1:$ZZ$2000,(MATCH($C140,Data!$A$1:$A$2000,0)),FALSE)</f>
        <v>16.172171629605756</v>
      </c>
      <c r="AY140" s="103"/>
      <c r="AZ140" s="21"/>
    </row>
    <row r="141" spans="1:52">
      <c r="A141" s="56" t="str">
        <f>$D$1&amp;131</f>
        <v>SC131</v>
      </c>
      <c r="B141" s="57">
        <f>IF(ISERROR(VLOOKUP(A141,classifications!A:C,3,FALSE)),0,VLOOKUP(A141,classifications!A:C,3,FALSE))</f>
        <v>0</v>
      </c>
      <c r="C141" s="8" t="s">
        <v>206</v>
      </c>
      <c r="D141" s="26" t="str">
        <f>VLOOKUP($C141,classifications!$C:$J,4,FALSE)</f>
        <v>L</v>
      </c>
      <c r="E141" s="26">
        <f>VLOOKUP(C141,classifications!C:K,9,FALSE)</f>
        <v>0</v>
      </c>
      <c r="F141" s="36">
        <f t="shared" si="50"/>
        <v>19.576538098379835</v>
      </c>
      <c r="G141" s="71"/>
      <c r="H141" s="37" t="str">
        <f t="shared" si="51"/>
        <v/>
      </c>
      <c r="I141" s="77" t="str">
        <f>IF(H141="","",IF($I$8="A",(RANK(H141,H$11:H$368,1)+COUNTIF(H$11:H141,H141)-1),(RANK(H141,H$11:H$368)+COUNTIF(H$11:H141,H141)-1)))</f>
        <v/>
      </c>
      <c r="J141" s="35"/>
      <c r="K141" s="28" t="str">
        <f t="shared" si="59"/>
        <v/>
      </c>
      <c r="L141" s="36" t="str">
        <f t="shared" si="52"/>
        <v/>
      </c>
      <c r="M141" s="102" t="str">
        <f t="shared" si="60"/>
        <v/>
      </c>
      <c r="N141" s="101" t="str">
        <f t="shared" si="61"/>
        <v/>
      </c>
      <c r="O141" s="94" t="str">
        <f t="shared" si="53"/>
        <v/>
      </c>
      <c r="P141" s="94" t="str">
        <f t="shared" ref="P141:P204" si="68">IF(I$8="A",IF(N141&gt;$O$10,IF(N141&lt;=$P$10,N141,""),""),IF(N141&lt;$O$10,IF(N141&gt;=$P$10,N141,""),""))</f>
        <v/>
      </c>
      <c r="Q141" s="94" t="str">
        <f t="shared" ref="Q141:Q204" si="69">IF(I$8="A",IF(N141&gt;$P$10,IF(N141&lt;=$Q$10,N141,""),""),IF(N141&lt;$P$10,IF(N141&gt;=$Q$10,N141,""),""))</f>
        <v/>
      </c>
      <c r="R141" s="90" t="str">
        <f t="shared" ref="R141:R204" si="70">IF(I$8="A",IF(N141&gt;$Q$10,N141,""),IF(N141&lt;$Q$10,N141,""))</f>
        <v/>
      </c>
      <c r="S141" s="37" t="str">
        <f t="shared" si="62"/>
        <v/>
      </c>
      <c r="T141" s="176" t="str">
        <f>IF(L141="","",VLOOKUP(L141,classifications!C:K,9,FALSE))</f>
        <v/>
      </c>
      <c r="U141" s="183" t="str">
        <f t="shared" si="54"/>
        <v/>
      </c>
      <c r="V141" s="184" t="str">
        <f>IF(U141="","",IF($I$8="A",(RANK(U141,U$11:U$368)+COUNTIF(U$11:U141,U141)-1),(RANK(U141,U$11:U$368,1)+COUNTIF(U$11:U141,U141)-1)))</f>
        <v/>
      </c>
      <c r="W141" s="185"/>
      <c r="X141" s="38" t="str">
        <f>IF(L141="","",VLOOKUP($L141,classifications!$C:$J,6,FALSE))</f>
        <v/>
      </c>
      <c r="Y141" s="26" t="b">
        <f t="shared" si="55"/>
        <v>0</v>
      </c>
      <c r="Z141" s="34" t="e">
        <f>IF(Y141="","",IF(I$8="A",(RANK(Y141,Y$11:Y$368,1)+COUNTIF(Y$11:Y141,Y141)-1),(RANK(Y141,Y$11:Y$368)+COUNTIF(Y$11:Y141,Y141)-1)))</f>
        <v>#N/A</v>
      </c>
      <c r="AA141" s="188" t="str">
        <f>IF(L141="","",VLOOKUP($L141,classifications!C:I,7,FALSE))</f>
        <v/>
      </c>
      <c r="AB141" s="184" t="str">
        <f t="shared" si="63"/>
        <v/>
      </c>
      <c r="AC141" s="184" t="str">
        <f>IF(AB141="","",IF($I$8="A",(RANK(AB141,AB$11:AB$368)+COUNTIF(AB$11:AB141,AB141)-1),(RANK(AB141,AB$11:AB$368,1)+COUNTIF(AB$11:AB141,AB141)-1)))</f>
        <v/>
      </c>
      <c r="AD141" s="184"/>
      <c r="AE141" s="28" t="str">
        <f t="shared" si="49"/>
        <v/>
      </c>
      <c r="AG141" s="96"/>
      <c r="AH141" s="29"/>
      <c r="AI141" s="38" t="str">
        <f>IF(L141="","",VLOOKUP($L141,classifications!$C:$J,8,FALSE))</f>
        <v/>
      </c>
      <c r="AJ141" s="39" t="str">
        <f t="shared" si="56"/>
        <v/>
      </c>
      <c r="AK141" s="34" t="str">
        <f>IF(AJ141="","",IF(I$8="A",(RANK(AJ141,AJ$11:AJ$368,1)+COUNTIF(AJ$11:AJ141,AJ141)-1),(RANK(AJ141,AJ$11:AJ$368)+COUNTIF(AJ$11:AJ141,AJ141)-1)))</f>
        <v/>
      </c>
      <c r="AL141" s="29" t="str">
        <f t="shared" si="64"/>
        <v/>
      </c>
      <c r="AM141" s="8" t="str">
        <f t="shared" si="57"/>
        <v/>
      </c>
      <c r="AN141" s="8" t="str">
        <f t="shared" si="65"/>
        <v/>
      </c>
      <c r="AP141" s="38" t="str">
        <f>IF(L141="","",VLOOKUP($L141,classifications!$C:$E,3,FALSE))</f>
        <v/>
      </c>
      <c r="AQ141" s="39" t="str">
        <f t="shared" si="66"/>
        <v/>
      </c>
      <c r="AR141" s="34" t="str">
        <f>IF(AQ141="","",IF(I$8="A",(RANK(AQ141,AQ$11:AQ$368,1)+COUNTIF(AQ$11:AQ141,AQ141)-1),(RANK(AQ141,AQ$11:AQ$368)+COUNTIF(AQ$11:AQ141,AQ141)-1)))</f>
        <v/>
      </c>
      <c r="AS141" s="29" t="str">
        <f t="shared" si="67"/>
        <v/>
      </c>
      <c r="AT141" s="34" t="str">
        <f t="shared" si="58"/>
        <v/>
      </c>
      <c r="AU141" s="39" t="str">
        <f t="shared" si="48"/>
        <v/>
      </c>
      <c r="AX141" s="21">
        <f>HLOOKUP($AX$9&amp;$AX$10,Data!$A$1:$ZZ$2000,(MATCH($C141,Data!$A$1:$A$2000,0)),FALSE)</f>
        <v>19.576538098379835</v>
      </c>
      <c r="AY141" s="103"/>
      <c r="AZ141" s="21"/>
    </row>
    <row r="142" spans="1:52">
      <c r="A142" s="56" t="str">
        <f>$D$1&amp;132</f>
        <v>SC132</v>
      </c>
      <c r="B142" s="57">
        <f>IF(ISERROR(VLOOKUP(A142,classifications!A:C,3,FALSE)),0,VLOOKUP(A142,classifications!A:C,3,FALSE))</f>
        <v>0</v>
      </c>
      <c r="C142" s="8" t="s">
        <v>80</v>
      </c>
      <c r="D142" s="26" t="str">
        <f>VLOOKUP($C142,classifications!$C:$J,4,FALSE)</f>
        <v>SD</v>
      </c>
      <c r="E142" s="26">
        <f>VLOOKUP(C142,classifications!C:K,9,FALSE)</f>
        <v>0</v>
      </c>
      <c r="F142" s="36">
        <f t="shared" si="50"/>
        <v>15.959781951483409</v>
      </c>
      <c r="G142" s="71"/>
      <c r="H142" s="37" t="str">
        <f t="shared" si="51"/>
        <v/>
      </c>
      <c r="I142" s="77" t="str">
        <f>IF(H142="","",IF($I$8="A",(RANK(H142,H$11:H$368,1)+COUNTIF(H$11:H142,H142)-1),(RANK(H142,H$11:H$368)+COUNTIF(H$11:H142,H142)-1)))</f>
        <v/>
      </c>
      <c r="J142" s="35"/>
      <c r="K142" s="28" t="str">
        <f t="shared" si="59"/>
        <v/>
      </c>
      <c r="L142" s="36" t="str">
        <f t="shared" si="52"/>
        <v/>
      </c>
      <c r="M142" s="102" t="str">
        <f t="shared" si="60"/>
        <v/>
      </c>
      <c r="N142" s="101" t="str">
        <f t="shared" si="61"/>
        <v/>
      </c>
      <c r="O142" s="94" t="str">
        <f t="shared" si="53"/>
        <v/>
      </c>
      <c r="P142" s="94" t="str">
        <f t="shared" si="68"/>
        <v/>
      </c>
      <c r="Q142" s="94" t="str">
        <f t="shared" si="69"/>
        <v/>
      </c>
      <c r="R142" s="90" t="str">
        <f t="shared" si="70"/>
        <v/>
      </c>
      <c r="S142" s="37" t="str">
        <f t="shared" si="62"/>
        <v/>
      </c>
      <c r="T142" s="176" t="str">
        <f>IF(L142="","",VLOOKUP(L142,classifications!C:K,9,FALSE))</f>
        <v/>
      </c>
      <c r="U142" s="183" t="str">
        <f t="shared" si="54"/>
        <v/>
      </c>
      <c r="V142" s="184" t="str">
        <f>IF(U142="","",IF($I$8="A",(RANK(U142,U$11:U$368)+COUNTIF(U$11:U142,U142)-1),(RANK(U142,U$11:U$368,1)+COUNTIF(U$11:U142,U142)-1)))</f>
        <v/>
      </c>
      <c r="W142" s="185"/>
      <c r="X142" s="38" t="str">
        <f>IF(L142="","",VLOOKUP($L142,classifications!$C:$J,6,FALSE))</f>
        <v/>
      </c>
      <c r="Y142" s="26" t="b">
        <f t="shared" si="55"/>
        <v>0</v>
      </c>
      <c r="Z142" s="34" t="e">
        <f>IF(Y142="","",IF(I$8="A",(RANK(Y142,Y$11:Y$368,1)+COUNTIF(Y$11:Y142,Y142)-1),(RANK(Y142,Y$11:Y$368)+COUNTIF(Y$11:Y142,Y142)-1)))</f>
        <v>#N/A</v>
      </c>
      <c r="AA142" s="188" t="str">
        <f>IF(L142="","",VLOOKUP($L142,classifications!C:I,7,FALSE))</f>
        <v/>
      </c>
      <c r="AB142" s="184" t="str">
        <f t="shared" si="63"/>
        <v/>
      </c>
      <c r="AC142" s="184" t="str">
        <f>IF(AB142="","",IF($I$8="A",(RANK(AB142,AB$11:AB$368)+COUNTIF(AB$11:AB142,AB142)-1),(RANK(AB142,AB$11:AB$368,1)+COUNTIF(AB$11:AB142,AB142)-1)))</f>
        <v/>
      </c>
      <c r="AD142" s="184"/>
      <c r="AE142" s="28" t="str">
        <f t="shared" si="49"/>
        <v/>
      </c>
      <c r="AG142" s="96"/>
      <c r="AH142" s="29"/>
      <c r="AI142" s="38" t="str">
        <f>IF(L142="","",VLOOKUP($L142,classifications!$C:$J,8,FALSE))</f>
        <v/>
      </c>
      <c r="AJ142" s="39" t="str">
        <f t="shared" si="56"/>
        <v/>
      </c>
      <c r="AK142" s="34" t="str">
        <f>IF(AJ142="","",IF(I$8="A",(RANK(AJ142,AJ$11:AJ$368,1)+COUNTIF(AJ$11:AJ142,AJ142)-1),(RANK(AJ142,AJ$11:AJ$368)+COUNTIF(AJ$11:AJ142,AJ142)-1)))</f>
        <v/>
      </c>
      <c r="AL142" s="29" t="str">
        <f t="shared" si="64"/>
        <v/>
      </c>
      <c r="AM142" s="8" t="str">
        <f t="shared" si="57"/>
        <v/>
      </c>
      <c r="AN142" s="8" t="str">
        <f t="shared" si="65"/>
        <v/>
      </c>
      <c r="AP142" s="38" t="str">
        <f>IF(L142="","",VLOOKUP($L142,classifications!$C:$E,3,FALSE))</f>
        <v/>
      </c>
      <c r="AQ142" s="39" t="str">
        <f t="shared" si="66"/>
        <v/>
      </c>
      <c r="AR142" s="34" t="str">
        <f>IF(AQ142="","",IF(I$8="A",(RANK(AQ142,AQ$11:AQ$368,1)+COUNTIF(AQ$11:AQ142,AQ142)-1),(RANK(AQ142,AQ$11:AQ$368)+COUNTIF(AQ$11:AQ142,AQ142)-1)))</f>
        <v/>
      </c>
      <c r="AS142" s="29" t="str">
        <f t="shared" si="67"/>
        <v/>
      </c>
      <c r="AT142" s="34" t="str">
        <f t="shared" si="58"/>
        <v/>
      </c>
      <c r="AU142" s="39" t="str">
        <f t="shared" si="48"/>
        <v/>
      </c>
      <c r="AX142" s="21">
        <f>HLOOKUP($AX$9&amp;$AX$10,Data!$A$1:$ZZ$2000,(MATCH($C142,Data!$A$1:$A$2000,0)),FALSE)</f>
        <v>15.959781951483409</v>
      </c>
      <c r="AY142" s="103"/>
      <c r="AZ142" s="21"/>
    </row>
    <row r="143" spans="1:52">
      <c r="A143" s="56" t="str">
        <f>$D$1&amp;133</f>
        <v>SC133</v>
      </c>
      <c r="B143" s="57">
        <f>IF(ISERROR(VLOOKUP(A143,classifications!A:C,3,FALSE)),0,VLOOKUP(A143,classifications!A:C,3,FALSE))</f>
        <v>0</v>
      </c>
      <c r="C143" s="8" t="s">
        <v>81</v>
      </c>
      <c r="D143" s="26" t="str">
        <f>VLOOKUP($C143,classifications!$C:$J,4,FALSE)</f>
        <v>SD</v>
      </c>
      <c r="E143" s="26" t="str">
        <f>VLOOKUP(C143,classifications!C:K,9,FALSE)</f>
        <v>Sparse</v>
      </c>
      <c r="F143" s="36">
        <f t="shared" si="50"/>
        <v>18.204209344717864</v>
      </c>
      <c r="G143" s="71"/>
      <c r="H143" s="37" t="str">
        <f t="shared" si="51"/>
        <v/>
      </c>
      <c r="I143" s="77" t="str">
        <f>IF(H143="","",IF($I$8="A",(RANK(H143,H$11:H$368,1)+COUNTIF(H$11:H143,H143)-1),(RANK(H143,H$11:H$368)+COUNTIF(H$11:H143,H143)-1)))</f>
        <v/>
      </c>
      <c r="J143" s="35"/>
      <c r="K143" s="28" t="str">
        <f t="shared" si="59"/>
        <v/>
      </c>
      <c r="L143" s="36" t="str">
        <f t="shared" si="52"/>
        <v/>
      </c>
      <c r="M143" s="102" t="str">
        <f t="shared" si="60"/>
        <v/>
      </c>
      <c r="N143" s="101" t="str">
        <f t="shared" si="61"/>
        <v/>
      </c>
      <c r="O143" s="94" t="str">
        <f t="shared" si="53"/>
        <v/>
      </c>
      <c r="P143" s="94" t="str">
        <f t="shared" si="68"/>
        <v/>
      </c>
      <c r="Q143" s="94" t="str">
        <f t="shared" si="69"/>
        <v/>
      </c>
      <c r="R143" s="90" t="str">
        <f t="shared" si="70"/>
        <v/>
      </c>
      <c r="S143" s="37" t="str">
        <f t="shared" si="62"/>
        <v/>
      </c>
      <c r="T143" s="176" t="str">
        <f>IF(L143="","",VLOOKUP(L143,classifications!C:K,9,FALSE))</f>
        <v/>
      </c>
      <c r="U143" s="183" t="str">
        <f t="shared" si="54"/>
        <v/>
      </c>
      <c r="V143" s="184" t="str">
        <f>IF(U143="","",IF($I$8="A",(RANK(U143,U$11:U$368)+COUNTIF(U$11:U143,U143)-1),(RANK(U143,U$11:U$368,1)+COUNTIF(U$11:U143,U143)-1)))</f>
        <v/>
      </c>
      <c r="W143" s="185"/>
      <c r="X143" s="38" t="str">
        <f>IF(L143="","",VLOOKUP($L143,classifications!$C:$J,6,FALSE))</f>
        <v/>
      </c>
      <c r="Y143" s="26" t="b">
        <f t="shared" si="55"/>
        <v>0</v>
      </c>
      <c r="Z143" s="34" t="e">
        <f>IF(Y143="","",IF(I$8="A",(RANK(Y143,Y$11:Y$368,1)+COUNTIF(Y$11:Y143,Y143)-1),(RANK(Y143,Y$11:Y$368)+COUNTIF(Y$11:Y143,Y143)-1)))</f>
        <v>#N/A</v>
      </c>
      <c r="AA143" s="188" t="str">
        <f>IF(L143="","",VLOOKUP($L143,classifications!C:I,7,FALSE))</f>
        <v/>
      </c>
      <c r="AB143" s="184" t="str">
        <f t="shared" si="63"/>
        <v/>
      </c>
      <c r="AC143" s="184" t="str">
        <f>IF(AB143="","",IF($I$8="A",(RANK(AB143,AB$11:AB$368)+COUNTIF(AB$11:AB143,AB143)-1),(RANK(AB143,AB$11:AB$368,1)+COUNTIF(AB$11:AB143,AB143)-1)))</f>
        <v/>
      </c>
      <c r="AD143" s="184"/>
      <c r="AE143" s="28" t="str">
        <f t="shared" si="49"/>
        <v/>
      </c>
      <c r="AG143" s="96"/>
      <c r="AH143" s="29"/>
      <c r="AI143" s="38" t="str">
        <f>IF(L143="","",VLOOKUP($L143,classifications!$C:$J,8,FALSE))</f>
        <v/>
      </c>
      <c r="AJ143" s="39" t="str">
        <f t="shared" si="56"/>
        <v/>
      </c>
      <c r="AK143" s="34" t="str">
        <f>IF(AJ143="","",IF(I$8="A",(RANK(AJ143,AJ$11:AJ$368,1)+COUNTIF(AJ$11:AJ143,AJ143)-1),(RANK(AJ143,AJ$11:AJ$368)+COUNTIF(AJ$11:AJ143,AJ143)-1)))</f>
        <v/>
      </c>
      <c r="AL143" s="29" t="str">
        <f t="shared" si="64"/>
        <v/>
      </c>
      <c r="AM143" s="8" t="str">
        <f t="shared" si="57"/>
        <v/>
      </c>
      <c r="AN143" s="8" t="str">
        <f t="shared" si="65"/>
        <v/>
      </c>
      <c r="AP143" s="38" t="str">
        <f>IF(L143="","",VLOOKUP($L143,classifications!$C:$E,3,FALSE))</f>
        <v/>
      </c>
      <c r="AQ143" s="39" t="str">
        <f t="shared" si="66"/>
        <v/>
      </c>
      <c r="AR143" s="34" t="str">
        <f>IF(AQ143="","",IF(I$8="A",(RANK(AQ143,AQ$11:AQ$368,1)+COUNTIF(AQ$11:AQ143,AQ143)-1),(RANK(AQ143,AQ$11:AQ$368)+COUNTIF(AQ$11:AQ143,AQ143)-1)))</f>
        <v/>
      </c>
      <c r="AS143" s="29" t="str">
        <f t="shared" si="67"/>
        <v/>
      </c>
      <c r="AT143" s="34" t="str">
        <f t="shared" si="58"/>
        <v/>
      </c>
      <c r="AU143" s="39" t="str">
        <f t="shared" si="48"/>
        <v/>
      </c>
      <c r="AX143" s="21">
        <f>HLOOKUP($AX$9&amp;$AX$10,Data!$A$1:$ZZ$2000,(MATCH($C143,Data!$A$1:$A$2000,0)),FALSE)</f>
        <v>18.204209344717864</v>
      </c>
      <c r="AY143" s="103"/>
      <c r="AZ143" s="21"/>
    </row>
    <row r="144" spans="1:52">
      <c r="A144" s="56" t="str">
        <f>$D$1&amp;134</f>
        <v>SC134</v>
      </c>
      <c r="B144" s="57">
        <f>IF(ISERROR(VLOOKUP(A144,classifications!A:C,3,FALSE)),0,VLOOKUP(A144,classifications!A:C,3,FALSE))</f>
        <v>0</v>
      </c>
      <c r="C144" s="8" t="s">
        <v>207</v>
      </c>
      <c r="D144" s="26" t="str">
        <f>VLOOKUP($C144,classifications!$C:$J,4,FALSE)</f>
        <v>L</v>
      </c>
      <c r="E144" s="26">
        <f>VLOOKUP(C144,classifications!C:K,9,FALSE)</f>
        <v>0</v>
      </c>
      <c r="F144" s="36">
        <f t="shared" si="50"/>
        <v>11.553801172996307</v>
      </c>
      <c r="G144" s="71"/>
      <c r="H144" s="37" t="str">
        <f t="shared" si="51"/>
        <v/>
      </c>
      <c r="I144" s="77" t="str">
        <f>IF(H144="","",IF($I$8="A",(RANK(H144,H$11:H$368,1)+COUNTIF(H$11:H144,H144)-1),(RANK(H144,H$11:H$368)+COUNTIF(H$11:H144,H144)-1)))</f>
        <v/>
      </c>
      <c r="J144" s="35"/>
      <c r="K144" s="28" t="str">
        <f t="shared" si="59"/>
        <v/>
      </c>
      <c r="L144" s="36" t="str">
        <f t="shared" si="52"/>
        <v/>
      </c>
      <c r="M144" s="102" t="str">
        <f t="shared" si="60"/>
        <v/>
      </c>
      <c r="N144" s="101" t="str">
        <f t="shared" si="61"/>
        <v/>
      </c>
      <c r="O144" s="94" t="str">
        <f t="shared" si="53"/>
        <v/>
      </c>
      <c r="P144" s="94" t="str">
        <f t="shared" si="68"/>
        <v/>
      </c>
      <c r="Q144" s="94" t="str">
        <f t="shared" si="69"/>
        <v/>
      </c>
      <c r="R144" s="90" t="str">
        <f t="shared" si="70"/>
        <v/>
      </c>
      <c r="S144" s="37" t="str">
        <f t="shared" si="62"/>
        <v/>
      </c>
      <c r="T144" s="176" t="str">
        <f>IF(L144="","",VLOOKUP(L144,classifications!C:K,9,FALSE))</f>
        <v/>
      </c>
      <c r="U144" s="183" t="str">
        <f t="shared" si="54"/>
        <v/>
      </c>
      <c r="V144" s="184" t="str">
        <f>IF(U144="","",IF($I$8="A",(RANK(U144,U$11:U$368)+COUNTIF(U$11:U144,U144)-1),(RANK(U144,U$11:U$368,1)+COUNTIF(U$11:U144,U144)-1)))</f>
        <v/>
      </c>
      <c r="W144" s="185"/>
      <c r="X144" s="38" t="str">
        <f>IF(L144="","",VLOOKUP($L144,classifications!$C:$J,6,FALSE))</f>
        <v/>
      </c>
      <c r="Y144" s="26" t="b">
        <f t="shared" si="55"/>
        <v>0</v>
      </c>
      <c r="Z144" s="34" t="e">
        <f>IF(Y144="","",IF(I$8="A",(RANK(Y144,Y$11:Y$368,1)+COUNTIF(Y$11:Y144,Y144)-1),(RANK(Y144,Y$11:Y$368)+COUNTIF(Y$11:Y144,Y144)-1)))</f>
        <v>#N/A</v>
      </c>
      <c r="AA144" s="188" t="str">
        <f>IF(L144="","",VLOOKUP($L144,classifications!C:I,7,FALSE))</f>
        <v/>
      </c>
      <c r="AB144" s="184" t="str">
        <f t="shared" si="63"/>
        <v/>
      </c>
      <c r="AC144" s="184" t="str">
        <f>IF(AB144="","",IF($I$8="A",(RANK(AB144,AB$11:AB$368)+COUNTIF(AB$11:AB144,AB144)-1),(RANK(AB144,AB$11:AB$368,1)+COUNTIF(AB$11:AB144,AB144)-1)))</f>
        <v/>
      </c>
      <c r="AD144" s="184"/>
      <c r="AE144" s="28" t="str">
        <f t="shared" si="49"/>
        <v/>
      </c>
      <c r="AG144" s="96"/>
      <c r="AH144" s="29"/>
      <c r="AI144" s="38" t="str">
        <f>IF(L144="","",VLOOKUP($L144,classifications!$C:$J,8,FALSE))</f>
        <v/>
      </c>
      <c r="AJ144" s="39" t="str">
        <f t="shared" si="56"/>
        <v/>
      </c>
      <c r="AK144" s="34" t="str">
        <f>IF(AJ144="","",IF(I$8="A",(RANK(AJ144,AJ$11:AJ$368,1)+COUNTIF(AJ$11:AJ144,AJ144)-1),(RANK(AJ144,AJ$11:AJ$368)+COUNTIF(AJ$11:AJ144,AJ144)-1)))</f>
        <v/>
      </c>
      <c r="AL144" s="29" t="str">
        <f t="shared" si="64"/>
        <v/>
      </c>
      <c r="AM144" s="8" t="str">
        <f t="shared" si="57"/>
        <v/>
      </c>
      <c r="AN144" s="8" t="str">
        <f t="shared" si="65"/>
        <v/>
      </c>
      <c r="AP144" s="38" t="str">
        <f>IF(L144="","",VLOOKUP($L144,classifications!$C:$E,3,FALSE))</f>
        <v/>
      </c>
      <c r="AQ144" s="39" t="str">
        <f t="shared" si="66"/>
        <v/>
      </c>
      <c r="AR144" s="34" t="str">
        <f>IF(AQ144="","",IF(I$8="A",(RANK(AQ144,AQ$11:AQ$368,1)+COUNTIF(AQ$11:AQ144,AQ144)-1),(RANK(AQ144,AQ$11:AQ$368)+COUNTIF(AQ$11:AQ144,AQ144)-1)))</f>
        <v/>
      </c>
      <c r="AS144" s="29" t="str">
        <f t="shared" si="67"/>
        <v/>
      </c>
      <c r="AT144" s="34" t="str">
        <f t="shared" si="58"/>
        <v/>
      </c>
      <c r="AU144" s="39" t="str">
        <f t="shared" si="48"/>
        <v/>
      </c>
      <c r="AX144" s="21">
        <f>HLOOKUP($AX$9&amp;$AX$10,Data!$A$1:$ZZ$2000,(MATCH($C144,Data!$A$1:$A$2000,0)),FALSE)</f>
        <v>11.553801172996307</v>
      </c>
      <c r="AY144" s="103"/>
      <c r="AZ144" s="21"/>
    </row>
    <row r="145" spans="1:52">
      <c r="A145" s="56" t="str">
        <f>$D$1&amp;135</f>
        <v>SC135</v>
      </c>
      <c r="B145" s="57">
        <f>IF(ISERROR(VLOOKUP(A145,classifications!A:C,3,FALSE)),0,VLOOKUP(A145,classifications!A:C,3,FALSE))</f>
        <v>0</v>
      </c>
      <c r="C145" s="8" t="s">
        <v>82</v>
      </c>
      <c r="D145" s="26" t="str">
        <f>VLOOKUP($C145,classifications!$C:$J,4,FALSE)</f>
        <v>SD</v>
      </c>
      <c r="E145" s="26">
        <f>VLOOKUP(C145,classifications!C:K,9,FALSE)</f>
        <v>0</v>
      </c>
      <c r="F145" s="36">
        <f t="shared" si="50"/>
        <v>19.381243592683777</v>
      </c>
      <c r="G145" s="71"/>
      <c r="H145" s="37" t="str">
        <f t="shared" si="51"/>
        <v/>
      </c>
      <c r="I145" s="77" t="str">
        <f>IF(H145="","",IF($I$8="A",(RANK(H145,H$11:H$368,1)+COUNTIF(H$11:H145,H145)-1),(RANK(H145,H$11:H$368)+COUNTIF(H$11:H145,H145)-1)))</f>
        <v/>
      </c>
      <c r="J145" s="35"/>
      <c r="K145" s="28" t="str">
        <f t="shared" si="59"/>
        <v/>
      </c>
      <c r="L145" s="36" t="str">
        <f t="shared" si="52"/>
        <v/>
      </c>
      <c r="M145" s="102" t="str">
        <f t="shared" si="60"/>
        <v/>
      </c>
      <c r="N145" s="101" t="str">
        <f t="shared" si="61"/>
        <v/>
      </c>
      <c r="O145" s="94" t="str">
        <f t="shared" si="53"/>
        <v/>
      </c>
      <c r="P145" s="94" t="str">
        <f t="shared" si="68"/>
        <v/>
      </c>
      <c r="Q145" s="94" t="str">
        <f t="shared" si="69"/>
        <v/>
      </c>
      <c r="R145" s="90" t="str">
        <f t="shared" si="70"/>
        <v/>
      </c>
      <c r="S145" s="37" t="str">
        <f t="shared" si="62"/>
        <v/>
      </c>
      <c r="T145" s="176" t="str">
        <f>IF(L145="","",VLOOKUP(L145,classifications!C:K,9,FALSE))</f>
        <v/>
      </c>
      <c r="U145" s="183" t="str">
        <f t="shared" si="54"/>
        <v/>
      </c>
      <c r="V145" s="184" t="str">
        <f>IF(U145="","",IF($I$8="A",(RANK(U145,U$11:U$368)+COUNTIF(U$11:U145,U145)-1),(RANK(U145,U$11:U$368,1)+COUNTIF(U$11:U145,U145)-1)))</f>
        <v/>
      </c>
      <c r="W145" s="185"/>
      <c r="X145" s="38" t="str">
        <f>IF(L145="","",VLOOKUP($L145,classifications!$C:$J,6,FALSE))</f>
        <v/>
      </c>
      <c r="Y145" s="26" t="b">
        <f t="shared" si="55"/>
        <v>0</v>
      </c>
      <c r="Z145" s="34" t="e">
        <f>IF(Y145="","",IF(I$8="A",(RANK(Y145,Y$11:Y$368,1)+COUNTIF(Y$11:Y145,Y145)-1),(RANK(Y145,Y$11:Y$368)+COUNTIF(Y$11:Y145,Y145)-1)))</f>
        <v>#N/A</v>
      </c>
      <c r="AA145" s="188" t="str">
        <f>IF(L145="","",VLOOKUP($L145,classifications!C:I,7,FALSE))</f>
        <v/>
      </c>
      <c r="AB145" s="184" t="str">
        <f t="shared" si="63"/>
        <v/>
      </c>
      <c r="AC145" s="184" t="str">
        <f>IF(AB145="","",IF($I$8="A",(RANK(AB145,AB$11:AB$368)+COUNTIF(AB$11:AB145,AB145)-1),(RANK(AB145,AB$11:AB$368,1)+COUNTIF(AB$11:AB145,AB145)-1)))</f>
        <v/>
      </c>
      <c r="AD145" s="184"/>
      <c r="AE145" s="28" t="str">
        <f t="shared" si="49"/>
        <v/>
      </c>
      <c r="AG145" s="96"/>
      <c r="AH145" s="29"/>
      <c r="AI145" s="38" t="str">
        <f>IF(L145="","",VLOOKUP($L145,classifications!$C:$J,8,FALSE))</f>
        <v/>
      </c>
      <c r="AJ145" s="39" t="str">
        <f t="shared" si="56"/>
        <v/>
      </c>
      <c r="AK145" s="34" t="str">
        <f>IF(AJ145="","",IF(I$8="A",(RANK(AJ145,AJ$11:AJ$368,1)+COUNTIF(AJ$11:AJ145,AJ145)-1),(RANK(AJ145,AJ$11:AJ$368)+COUNTIF(AJ$11:AJ145,AJ145)-1)))</f>
        <v/>
      </c>
      <c r="AL145" s="29" t="str">
        <f t="shared" si="64"/>
        <v/>
      </c>
      <c r="AM145" s="8" t="str">
        <f t="shared" si="57"/>
        <v/>
      </c>
      <c r="AN145" s="8" t="str">
        <f t="shared" si="65"/>
        <v/>
      </c>
      <c r="AP145" s="38" t="str">
        <f>IF(L145="","",VLOOKUP($L145,classifications!$C:$E,3,FALSE))</f>
        <v/>
      </c>
      <c r="AQ145" s="39" t="str">
        <f t="shared" si="66"/>
        <v/>
      </c>
      <c r="AR145" s="34" t="str">
        <f>IF(AQ145="","",IF(I$8="A",(RANK(AQ145,AQ$11:AQ$368,1)+COUNTIF(AQ$11:AQ145,AQ145)-1),(RANK(AQ145,AQ$11:AQ$368)+COUNTIF(AQ$11:AQ145,AQ145)-1)))</f>
        <v/>
      </c>
      <c r="AS145" s="29" t="str">
        <f t="shared" si="67"/>
        <v/>
      </c>
      <c r="AT145" s="34" t="str">
        <f t="shared" si="58"/>
        <v/>
      </c>
      <c r="AU145" s="39" t="str">
        <f t="shared" si="48"/>
        <v/>
      </c>
      <c r="AX145" s="21">
        <f>HLOOKUP($AX$9&amp;$AX$10,Data!$A$1:$ZZ$2000,(MATCH($C145,Data!$A$1:$A$2000,0)),FALSE)</f>
        <v>19.381243592683777</v>
      </c>
      <c r="AY145" s="103"/>
      <c r="AZ145" s="21"/>
    </row>
    <row r="146" spans="1:52">
      <c r="A146" s="56" t="str">
        <f>$D$1&amp;136</f>
        <v>SC136</v>
      </c>
      <c r="B146" s="57">
        <f>IF(ISERROR(VLOOKUP(A146,classifications!A:C,3,FALSE)),0,VLOOKUP(A146,classifications!A:C,3,FALSE))</f>
        <v>0</v>
      </c>
      <c r="C146" s="8" t="s">
        <v>269</v>
      </c>
      <c r="D146" s="26" t="str">
        <f>VLOOKUP($C146,classifications!$C:$J,4,FALSE)</f>
        <v>UA</v>
      </c>
      <c r="E146" s="26">
        <f>VLOOKUP(C146,classifications!C:K,9,FALSE)</f>
        <v>0</v>
      </c>
      <c r="F146" s="36">
        <f t="shared" si="50"/>
        <v>8.7389461306377818</v>
      </c>
      <c r="G146" s="71"/>
      <c r="H146" s="37" t="str">
        <f t="shared" si="51"/>
        <v/>
      </c>
      <c r="I146" s="77" t="str">
        <f>IF(H146="","",IF($I$8="A",(RANK(H146,H$11:H$368,1)+COUNTIF(H$11:H146,H146)-1),(RANK(H146,H$11:H$368)+COUNTIF(H$11:H146,H146)-1)))</f>
        <v/>
      </c>
      <c r="J146" s="35"/>
      <c r="K146" s="28" t="str">
        <f t="shared" si="59"/>
        <v/>
      </c>
      <c r="L146" s="36" t="str">
        <f t="shared" si="52"/>
        <v/>
      </c>
      <c r="M146" s="102" t="str">
        <f t="shared" si="60"/>
        <v/>
      </c>
      <c r="N146" s="101" t="str">
        <f t="shared" si="61"/>
        <v/>
      </c>
      <c r="O146" s="94" t="str">
        <f t="shared" si="53"/>
        <v/>
      </c>
      <c r="P146" s="94" t="str">
        <f t="shared" si="68"/>
        <v/>
      </c>
      <c r="Q146" s="94" t="str">
        <f t="shared" si="69"/>
        <v/>
      </c>
      <c r="R146" s="90" t="str">
        <f t="shared" si="70"/>
        <v/>
      </c>
      <c r="S146" s="37" t="str">
        <f t="shared" si="62"/>
        <v/>
      </c>
      <c r="T146" s="176" t="str">
        <f>IF(L146="","",VLOOKUP(L146,classifications!C:K,9,FALSE))</f>
        <v/>
      </c>
      <c r="U146" s="183" t="str">
        <f t="shared" si="54"/>
        <v/>
      </c>
      <c r="V146" s="184" t="str">
        <f>IF(U146="","",IF($I$8="A",(RANK(U146,U$11:U$368)+COUNTIF(U$11:U146,U146)-1),(RANK(U146,U$11:U$368,1)+COUNTIF(U$11:U146,U146)-1)))</f>
        <v/>
      </c>
      <c r="W146" s="185"/>
      <c r="X146" s="38" t="str">
        <f>IF(L146="","",VLOOKUP($L146,classifications!$C:$J,6,FALSE))</f>
        <v/>
      </c>
      <c r="Y146" s="26" t="b">
        <f t="shared" si="55"/>
        <v>0</v>
      </c>
      <c r="Z146" s="34" t="e">
        <f>IF(Y146="","",IF(I$8="A",(RANK(Y146,Y$11:Y$368,1)+COUNTIF(Y$11:Y146,Y146)-1),(RANK(Y146,Y$11:Y$368)+COUNTIF(Y$11:Y146,Y146)-1)))</f>
        <v>#N/A</v>
      </c>
      <c r="AA146" s="188" t="str">
        <f>IF(L146="","",VLOOKUP($L146,classifications!C:I,7,FALSE))</f>
        <v/>
      </c>
      <c r="AB146" s="184" t="str">
        <f t="shared" si="63"/>
        <v/>
      </c>
      <c r="AC146" s="184" t="str">
        <f>IF(AB146="","",IF($I$8="A",(RANK(AB146,AB$11:AB$368)+COUNTIF(AB$11:AB146,AB146)-1),(RANK(AB146,AB$11:AB$368,1)+COUNTIF(AB$11:AB146,AB146)-1)))</f>
        <v/>
      </c>
      <c r="AD146" s="184"/>
      <c r="AE146" s="28" t="str">
        <f t="shared" si="49"/>
        <v/>
      </c>
      <c r="AG146" s="96"/>
      <c r="AH146" s="29"/>
      <c r="AI146" s="38" t="str">
        <f>IF(L146="","",VLOOKUP($L146,classifications!$C:$J,8,FALSE))</f>
        <v/>
      </c>
      <c r="AJ146" s="39" t="str">
        <f t="shared" si="56"/>
        <v/>
      </c>
      <c r="AK146" s="34" t="str">
        <f>IF(AJ146="","",IF(I$8="A",(RANK(AJ146,AJ$11:AJ$368,1)+COUNTIF(AJ$11:AJ146,AJ146)-1),(RANK(AJ146,AJ$11:AJ$368)+COUNTIF(AJ$11:AJ146,AJ146)-1)))</f>
        <v/>
      </c>
      <c r="AL146" s="29" t="str">
        <f t="shared" si="64"/>
        <v/>
      </c>
      <c r="AM146" s="8" t="str">
        <f t="shared" si="57"/>
        <v/>
      </c>
      <c r="AN146" s="8" t="str">
        <f t="shared" si="65"/>
        <v/>
      </c>
      <c r="AP146" s="38" t="str">
        <f>IF(L146="","",VLOOKUP($L146,classifications!$C:$E,3,FALSE))</f>
        <v/>
      </c>
      <c r="AQ146" s="39" t="str">
        <f t="shared" si="66"/>
        <v/>
      </c>
      <c r="AR146" s="34" t="str">
        <f>IF(AQ146="","",IF(I$8="A",(RANK(AQ146,AQ$11:AQ$368,1)+COUNTIF(AQ$11:AQ146,AQ146)-1),(RANK(AQ146,AQ$11:AQ$368)+COUNTIF(AQ$11:AQ146,AQ146)-1)))</f>
        <v/>
      </c>
      <c r="AS146" s="29" t="str">
        <f t="shared" si="67"/>
        <v/>
      </c>
      <c r="AT146" s="34" t="str">
        <f t="shared" si="58"/>
        <v/>
      </c>
      <c r="AU146" s="39" t="str">
        <f t="shared" ref="AU146:AU209" si="71">IF(AT146="","",VLOOKUP(AT146,L:M,2,FALSE))</f>
        <v/>
      </c>
      <c r="AX146" s="21">
        <f>HLOOKUP($AX$9&amp;$AX$10,Data!$A$1:$ZZ$2000,(MATCH($C146,Data!$A$1:$A$2000,0)),FALSE)</f>
        <v>8.7389461306377818</v>
      </c>
      <c r="AY146" s="103"/>
      <c r="AZ146" s="21"/>
    </row>
    <row r="147" spans="1:52">
      <c r="A147" s="56" t="str">
        <f>$D$1&amp;137</f>
        <v>SC137</v>
      </c>
      <c r="B147" s="57">
        <f>IF(ISERROR(VLOOKUP(A147,classifications!A:C,3,FALSE)),0,VLOOKUP(A147,classifications!A:C,3,FALSE))</f>
        <v>0</v>
      </c>
      <c r="C147" s="8" t="s">
        <v>83</v>
      </c>
      <c r="D147" s="26" t="str">
        <f>VLOOKUP($C147,classifications!$C:$J,4,FALSE)</f>
        <v>SD</v>
      </c>
      <c r="E147" s="26">
        <f>VLOOKUP(C147,classifications!C:K,9,FALSE)</f>
        <v>0</v>
      </c>
      <c r="F147" s="36">
        <f t="shared" si="50"/>
        <v>13.522682142818402</v>
      </c>
      <c r="G147" s="71"/>
      <c r="H147" s="37" t="str">
        <f t="shared" si="51"/>
        <v/>
      </c>
      <c r="I147" s="77" t="str">
        <f>IF(H147="","",IF($I$8="A",(RANK(H147,H$11:H$368,1)+COUNTIF(H$11:H147,H147)-1),(RANK(H147,H$11:H$368)+COUNTIF(H$11:H147,H147)-1)))</f>
        <v/>
      </c>
      <c r="J147" s="35"/>
      <c r="K147" s="28" t="str">
        <f t="shared" si="59"/>
        <v/>
      </c>
      <c r="L147" s="36" t="str">
        <f t="shared" si="52"/>
        <v/>
      </c>
      <c r="M147" s="102" t="str">
        <f t="shared" si="60"/>
        <v/>
      </c>
      <c r="N147" s="101" t="str">
        <f t="shared" si="61"/>
        <v/>
      </c>
      <c r="O147" s="94" t="str">
        <f t="shared" si="53"/>
        <v/>
      </c>
      <c r="P147" s="94" t="str">
        <f t="shared" si="68"/>
        <v/>
      </c>
      <c r="Q147" s="94" t="str">
        <f t="shared" si="69"/>
        <v/>
      </c>
      <c r="R147" s="90" t="str">
        <f t="shared" si="70"/>
        <v/>
      </c>
      <c r="S147" s="37" t="str">
        <f t="shared" si="62"/>
        <v/>
      </c>
      <c r="T147" s="176" t="str">
        <f>IF(L147="","",VLOOKUP(L147,classifications!C:K,9,FALSE))</f>
        <v/>
      </c>
      <c r="U147" s="183" t="str">
        <f t="shared" si="54"/>
        <v/>
      </c>
      <c r="V147" s="184" t="str">
        <f>IF(U147="","",IF($I$8="A",(RANK(U147,U$11:U$368)+COUNTIF(U$11:U147,U147)-1),(RANK(U147,U$11:U$368,1)+COUNTIF(U$11:U147,U147)-1)))</f>
        <v/>
      </c>
      <c r="W147" s="185"/>
      <c r="X147" s="38" t="str">
        <f>IF(L147="","",VLOOKUP($L147,classifications!$C:$J,6,FALSE))</f>
        <v/>
      </c>
      <c r="Y147" s="26" t="b">
        <f t="shared" si="55"/>
        <v>0</v>
      </c>
      <c r="Z147" s="34" t="e">
        <f>IF(Y147="","",IF(I$8="A",(RANK(Y147,Y$11:Y$368,1)+COUNTIF(Y$11:Y147,Y147)-1),(RANK(Y147,Y$11:Y$368)+COUNTIF(Y$11:Y147,Y147)-1)))</f>
        <v>#N/A</v>
      </c>
      <c r="AA147" s="188" t="str">
        <f>IF(L147="","",VLOOKUP($L147,classifications!C:I,7,FALSE))</f>
        <v/>
      </c>
      <c r="AB147" s="184" t="str">
        <f t="shared" si="63"/>
        <v/>
      </c>
      <c r="AC147" s="184" t="str">
        <f>IF(AB147="","",IF($I$8="A",(RANK(AB147,AB$11:AB$368)+COUNTIF(AB$11:AB147,AB147)-1),(RANK(AB147,AB$11:AB$368,1)+COUNTIF(AB$11:AB147,AB147)-1)))</f>
        <v/>
      </c>
      <c r="AD147" s="184"/>
      <c r="AE147" s="28" t="str">
        <f t="shared" si="49"/>
        <v/>
      </c>
      <c r="AG147" s="96"/>
      <c r="AH147" s="29"/>
      <c r="AI147" s="38" t="str">
        <f>IF(L147="","",VLOOKUP($L147,classifications!$C:$J,8,FALSE))</f>
        <v/>
      </c>
      <c r="AJ147" s="39" t="str">
        <f t="shared" si="56"/>
        <v/>
      </c>
      <c r="AK147" s="34" t="str">
        <f>IF(AJ147="","",IF(I$8="A",(RANK(AJ147,AJ$11:AJ$368,1)+COUNTIF(AJ$11:AJ147,AJ147)-1),(RANK(AJ147,AJ$11:AJ$368)+COUNTIF(AJ$11:AJ147,AJ147)-1)))</f>
        <v/>
      </c>
      <c r="AL147" s="29" t="str">
        <f t="shared" si="64"/>
        <v/>
      </c>
      <c r="AM147" s="8" t="str">
        <f t="shared" si="57"/>
        <v/>
      </c>
      <c r="AN147" s="8" t="str">
        <f t="shared" si="65"/>
        <v/>
      </c>
      <c r="AP147" s="38" t="str">
        <f>IF(L147="","",VLOOKUP($L147,classifications!$C:$E,3,FALSE))</f>
        <v/>
      </c>
      <c r="AQ147" s="39" t="str">
        <f t="shared" si="66"/>
        <v/>
      </c>
      <c r="AR147" s="34" t="str">
        <f>IF(AQ147="","",IF(I$8="A",(RANK(AQ147,AQ$11:AQ$368,1)+COUNTIF(AQ$11:AQ147,AQ147)-1),(RANK(AQ147,AQ$11:AQ$368)+COUNTIF(AQ$11:AQ147,AQ147)-1)))</f>
        <v/>
      </c>
      <c r="AS147" s="29" t="str">
        <f t="shared" si="67"/>
        <v/>
      </c>
      <c r="AT147" s="34" t="str">
        <f t="shared" si="58"/>
        <v/>
      </c>
      <c r="AU147" s="39" t="str">
        <f t="shared" si="71"/>
        <v/>
      </c>
      <c r="AX147" s="21">
        <f>HLOOKUP($AX$9&amp;$AX$10,Data!$A$1:$ZZ$2000,(MATCH($C147,Data!$A$1:$A$2000,0)),FALSE)</f>
        <v>13.522682142818402</v>
      </c>
      <c r="AY147" s="103"/>
      <c r="AZ147" s="21"/>
    </row>
    <row r="148" spans="1:52">
      <c r="A148" s="56" t="str">
        <f>$D$1&amp;138</f>
        <v>SC138</v>
      </c>
      <c r="B148" s="57">
        <f>IF(ISERROR(VLOOKUP(A148,classifications!A:C,3,FALSE)),0,VLOOKUP(A148,classifications!A:C,3,FALSE))</f>
        <v>0</v>
      </c>
      <c r="C148" s="8" t="s">
        <v>84</v>
      </c>
      <c r="D148" s="26" t="str">
        <f>VLOOKUP($C148,classifications!$C:$J,4,FALSE)</f>
        <v>SD</v>
      </c>
      <c r="E148" s="26">
        <f>VLOOKUP(C148,classifications!C:K,9,FALSE)</f>
        <v>0</v>
      </c>
      <c r="F148" s="36">
        <f t="shared" si="50"/>
        <v>19.731490905167405</v>
      </c>
      <c r="G148" s="71"/>
      <c r="H148" s="37" t="str">
        <f t="shared" si="51"/>
        <v/>
      </c>
      <c r="I148" s="77" t="str">
        <f>IF(H148="","",IF($I$8="A",(RANK(H148,H$11:H$368,1)+COUNTIF(H$11:H148,H148)-1),(RANK(H148,H$11:H$368)+COUNTIF(H$11:H148,H148)-1)))</f>
        <v/>
      </c>
      <c r="J148" s="35"/>
      <c r="K148" s="28" t="str">
        <f t="shared" si="59"/>
        <v/>
      </c>
      <c r="L148" s="36" t="str">
        <f t="shared" si="52"/>
        <v/>
      </c>
      <c r="M148" s="102" t="str">
        <f t="shared" si="60"/>
        <v/>
      </c>
      <c r="N148" s="101" t="str">
        <f t="shared" si="61"/>
        <v/>
      </c>
      <c r="O148" s="94" t="str">
        <f t="shared" si="53"/>
        <v/>
      </c>
      <c r="P148" s="94" t="str">
        <f t="shared" si="68"/>
        <v/>
      </c>
      <c r="Q148" s="94" t="str">
        <f t="shared" si="69"/>
        <v/>
      </c>
      <c r="R148" s="90" t="str">
        <f t="shared" si="70"/>
        <v/>
      </c>
      <c r="S148" s="37" t="str">
        <f t="shared" si="62"/>
        <v/>
      </c>
      <c r="T148" s="176" t="str">
        <f>IF(L148="","",VLOOKUP(L148,classifications!C:K,9,FALSE))</f>
        <v/>
      </c>
      <c r="U148" s="183" t="str">
        <f t="shared" si="54"/>
        <v/>
      </c>
      <c r="V148" s="184" t="str">
        <f>IF(U148="","",IF($I$8="A",(RANK(U148,U$11:U$368)+COUNTIF(U$11:U148,U148)-1),(RANK(U148,U$11:U$368,1)+COUNTIF(U$11:U148,U148)-1)))</f>
        <v/>
      </c>
      <c r="W148" s="185"/>
      <c r="X148" s="38" t="str">
        <f>IF(L148="","",VLOOKUP($L148,classifications!$C:$J,6,FALSE))</f>
        <v/>
      </c>
      <c r="Y148" s="26" t="b">
        <f t="shared" si="55"/>
        <v>0</v>
      </c>
      <c r="Z148" s="34" t="e">
        <f>IF(Y148="","",IF(I$8="A",(RANK(Y148,Y$11:Y$368,1)+COUNTIF(Y$11:Y148,Y148)-1),(RANK(Y148,Y$11:Y$368)+COUNTIF(Y$11:Y148,Y148)-1)))</f>
        <v>#N/A</v>
      </c>
      <c r="AA148" s="188" t="str">
        <f>IF(L148="","",VLOOKUP($L148,classifications!C:I,7,FALSE))</f>
        <v/>
      </c>
      <c r="AB148" s="184" t="str">
        <f t="shared" si="63"/>
        <v/>
      </c>
      <c r="AC148" s="184" t="str">
        <f>IF(AB148="","",IF($I$8="A",(RANK(AB148,AB$11:AB$368)+COUNTIF(AB$11:AB148,AB148)-1),(RANK(AB148,AB$11:AB$368,1)+COUNTIF(AB$11:AB148,AB148)-1)))</f>
        <v/>
      </c>
      <c r="AD148" s="184"/>
      <c r="AE148" s="28" t="str">
        <f t="shared" si="49"/>
        <v/>
      </c>
      <c r="AG148" s="96"/>
      <c r="AH148" s="29"/>
      <c r="AI148" s="38" t="str">
        <f>IF(L148="","",VLOOKUP($L148,classifications!$C:$J,8,FALSE))</f>
        <v/>
      </c>
      <c r="AJ148" s="39" t="str">
        <f t="shared" si="56"/>
        <v/>
      </c>
      <c r="AK148" s="34" t="str">
        <f>IF(AJ148="","",IF(I$8="A",(RANK(AJ148,AJ$11:AJ$368,1)+COUNTIF(AJ$11:AJ148,AJ148)-1),(RANK(AJ148,AJ$11:AJ$368)+COUNTIF(AJ$11:AJ148,AJ148)-1)))</f>
        <v/>
      </c>
      <c r="AL148" s="29" t="str">
        <f t="shared" si="64"/>
        <v/>
      </c>
      <c r="AM148" s="8" t="str">
        <f t="shared" si="57"/>
        <v/>
      </c>
      <c r="AN148" s="8" t="str">
        <f t="shared" si="65"/>
        <v/>
      </c>
      <c r="AP148" s="38" t="str">
        <f>IF(L148="","",VLOOKUP($L148,classifications!$C:$E,3,FALSE))</f>
        <v/>
      </c>
      <c r="AQ148" s="39" t="str">
        <f t="shared" si="66"/>
        <v/>
      </c>
      <c r="AR148" s="34" t="str">
        <f>IF(AQ148="","",IF(I$8="A",(RANK(AQ148,AQ$11:AQ$368,1)+COUNTIF(AQ$11:AQ148,AQ148)-1),(RANK(AQ148,AQ$11:AQ$368)+COUNTIF(AQ$11:AQ148,AQ148)-1)))</f>
        <v/>
      </c>
      <c r="AS148" s="29" t="str">
        <f t="shared" si="67"/>
        <v/>
      </c>
      <c r="AT148" s="34" t="str">
        <f t="shared" si="58"/>
        <v/>
      </c>
      <c r="AU148" s="39" t="str">
        <f t="shared" si="71"/>
        <v/>
      </c>
      <c r="AX148" s="21">
        <f>HLOOKUP($AX$9&amp;$AX$10,Data!$A$1:$ZZ$2000,(MATCH($C148,Data!$A$1:$A$2000,0)),FALSE)</f>
        <v>19.731490905167405</v>
      </c>
      <c r="AY148" s="103"/>
      <c r="AZ148" s="21"/>
    </row>
    <row r="149" spans="1:52">
      <c r="A149" s="56" t="str">
        <f>$D$1&amp;139</f>
        <v>SC139</v>
      </c>
      <c r="B149" s="57">
        <f>IF(ISERROR(VLOOKUP(A149,classifications!A:C,3,FALSE)),0,VLOOKUP(A149,classifications!A:C,3,FALSE))</f>
        <v>0</v>
      </c>
      <c r="C149" s="8" t="s">
        <v>208</v>
      </c>
      <c r="D149" s="26" t="str">
        <f>VLOOKUP($C149,classifications!$C:$J,4,FALSE)</f>
        <v>L</v>
      </c>
      <c r="E149" s="26">
        <f>VLOOKUP(C149,classifications!C:K,9,FALSE)</f>
        <v>0</v>
      </c>
      <c r="F149" s="36">
        <f t="shared" si="50"/>
        <v>7.4535814553064403</v>
      </c>
      <c r="G149" s="71"/>
      <c r="H149" s="37" t="str">
        <f t="shared" si="51"/>
        <v/>
      </c>
      <c r="I149" s="77" t="str">
        <f>IF(H149="","",IF($I$8="A",(RANK(H149,H$11:H$368,1)+COUNTIF(H$11:H149,H149)-1),(RANK(H149,H$11:H$368)+COUNTIF(H$11:H149,H149)-1)))</f>
        <v/>
      </c>
      <c r="J149" s="35"/>
      <c r="K149" s="28" t="str">
        <f t="shared" si="59"/>
        <v/>
      </c>
      <c r="L149" s="36" t="str">
        <f t="shared" si="52"/>
        <v/>
      </c>
      <c r="M149" s="102" t="str">
        <f t="shared" si="60"/>
        <v/>
      </c>
      <c r="N149" s="101" t="str">
        <f t="shared" si="61"/>
        <v/>
      </c>
      <c r="O149" s="94" t="str">
        <f t="shared" si="53"/>
        <v/>
      </c>
      <c r="P149" s="94" t="str">
        <f t="shared" si="68"/>
        <v/>
      </c>
      <c r="Q149" s="94" t="str">
        <f t="shared" si="69"/>
        <v/>
      </c>
      <c r="R149" s="90" t="str">
        <f t="shared" si="70"/>
        <v/>
      </c>
      <c r="S149" s="37" t="str">
        <f t="shared" si="62"/>
        <v/>
      </c>
      <c r="T149" s="176" t="str">
        <f>IF(L149="","",VLOOKUP(L149,classifications!C:K,9,FALSE))</f>
        <v/>
      </c>
      <c r="U149" s="183" t="str">
        <f t="shared" si="54"/>
        <v/>
      </c>
      <c r="V149" s="184" t="str">
        <f>IF(U149="","",IF($I$8="A",(RANK(U149,U$11:U$368)+COUNTIF(U$11:U149,U149)-1),(RANK(U149,U$11:U$368,1)+COUNTIF(U$11:U149,U149)-1)))</f>
        <v/>
      </c>
      <c r="W149" s="185"/>
      <c r="X149" s="38" t="str">
        <f>IF(L149="","",VLOOKUP($L149,classifications!$C:$J,6,FALSE))</f>
        <v/>
      </c>
      <c r="Y149" s="26" t="b">
        <f t="shared" si="55"/>
        <v>0</v>
      </c>
      <c r="Z149" s="34" t="e">
        <f>IF(Y149="","",IF(I$8="A",(RANK(Y149,Y$11:Y$368,1)+COUNTIF(Y$11:Y149,Y149)-1),(RANK(Y149,Y$11:Y$368)+COUNTIF(Y$11:Y149,Y149)-1)))</f>
        <v>#N/A</v>
      </c>
      <c r="AA149" s="188" t="str">
        <f>IF(L149="","",VLOOKUP($L149,classifications!C:I,7,FALSE))</f>
        <v/>
      </c>
      <c r="AB149" s="184" t="str">
        <f t="shared" si="63"/>
        <v/>
      </c>
      <c r="AC149" s="184" t="str">
        <f>IF(AB149="","",IF($I$8="A",(RANK(AB149,AB$11:AB$368)+COUNTIF(AB$11:AB149,AB149)-1),(RANK(AB149,AB$11:AB$368,1)+COUNTIF(AB$11:AB149,AB149)-1)))</f>
        <v/>
      </c>
      <c r="AD149" s="184"/>
      <c r="AE149" s="28" t="str">
        <f t="shared" si="49"/>
        <v/>
      </c>
      <c r="AG149" s="96"/>
      <c r="AH149" s="29"/>
      <c r="AI149" s="38" t="str">
        <f>IF(L149="","",VLOOKUP($L149,classifications!$C:$J,8,FALSE))</f>
        <v/>
      </c>
      <c r="AJ149" s="39" t="str">
        <f t="shared" si="56"/>
        <v/>
      </c>
      <c r="AK149" s="34" t="str">
        <f>IF(AJ149="","",IF(I$8="A",(RANK(AJ149,AJ$11:AJ$368,1)+COUNTIF(AJ$11:AJ149,AJ149)-1),(RANK(AJ149,AJ$11:AJ$368)+COUNTIF(AJ$11:AJ149,AJ149)-1)))</f>
        <v/>
      </c>
      <c r="AL149" s="29" t="str">
        <f t="shared" si="64"/>
        <v/>
      </c>
      <c r="AM149" s="8" t="str">
        <f t="shared" si="57"/>
        <v/>
      </c>
      <c r="AN149" s="8" t="str">
        <f t="shared" si="65"/>
        <v/>
      </c>
      <c r="AP149" s="38" t="str">
        <f>IF(L149="","",VLOOKUP($L149,classifications!$C:$E,3,FALSE))</f>
        <v/>
      </c>
      <c r="AQ149" s="39" t="str">
        <f t="shared" si="66"/>
        <v/>
      </c>
      <c r="AR149" s="34" t="str">
        <f>IF(AQ149="","",IF(I$8="A",(RANK(AQ149,AQ$11:AQ$368,1)+COUNTIF(AQ$11:AQ149,AQ149)-1),(RANK(AQ149,AQ$11:AQ$368)+COUNTIF(AQ$11:AQ149,AQ149)-1)))</f>
        <v/>
      </c>
      <c r="AS149" s="29" t="str">
        <f t="shared" si="67"/>
        <v/>
      </c>
      <c r="AT149" s="34" t="str">
        <f t="shared" si="58"/>
        <v/>
      </c>
      <c r="AU149" s="39" t="str">
        <f t="shared" si="71"/>
        <v/>
      </c>
      <c r="AX149" s="21">
        <f>HLOOKUP($AX$9&amp;$AX$10,Data!$A$1:$ZZ$2000,(MATCH($C149,Data!$A$1:$A$2000,0)),FALSE)</f>
        <v>7.4535814553064403</v>
      </c>
      <c r="AY149" s="103"/>
      <c r="AZ149" s="21"/>
    </row>
    <row r="150" spans="1:52">
      <c r="A150" s="56" t="str">
        <f>$D$1&amp;140</f>
        <v>SC140</v>
      </c>
      <c r="B150" s="57">
        <f>IF(ISERROR(VLOOKUP(A150,classifications!A:C,3,FALSE)),0,VLOOKUP(A150,classifications!A:C,3,FALSE))</f>
        <v>0</v>
      </c>
      <c r="C150" s="8" t="s">
        <v>816</v>
      </c>
      <c r="D150" s="26" t="str">
        <f>VLOOKUP($C150,classifications!$C:$J,4,FALSE)</f>
        <v>UA</v>
      </c>
      <c r="E150" s="26" t="str">
        <f>VLOOKUP(C150,classifications!C:K,9,FALSE)</f>
        <v>Sparse</v>
      </c>
      <c r="F150" s="36">
        <f t="shared" si="50"/>
        <v>17.404307650728324</v>
      </c>
      <c r="G150" s="71"/>
      <c r="H150" s="37" t="str">
        <f t="shared" si="51"/>
        <v/>
      </c>
      <c r="I150" s="77" t="str">
        <f>IF(H150="","",IF($I$8="A",(RANK(H150,H$11:H$368,1)+COUNTIF(H$11:H150,H150)-1),(RANK(H150,H$11:H$368)+COUNTIF(H$11:H150,H150)-1)))</f>
        <v/>
      </c>
      <c r="J150" s="35"/>
      <c r="K150" s="28" t="str">
        <f t="shared" si="59"/>
        <v/>
      </c>
      <c r="L150" s="36" t="str">
        <f t="shared" si="52"/>
        <v/>
      </c>
      <c r="M150" s="102" t="str">
        <f t="shared" si="60"/>
        <v/>
      </c>
      <c r="N150" s="101" t="str">
        <f t="shared" si="61"/>
        <v/>
      </c>
      <c r="O150" s="94" t="str">
        <f t="shared" si="53"/>
        <v/>
      </c>
      <c r="P150" s="94" t="str">
        <f t="shared" si="68"/>
        <v/>
      </c>
      <c r="Q150" s="94" t="str">
        <f t="shared" si="69"/>
        <v/>
      </c>
      <c r="R150" s="90" t="str">
        <f t="shared" si="70"/>
        <v/>
      </c>
      <c r="S150" s="37" t="str">
        <f t="shared" si="62"/>
        <v/>
      </c>
      <c r="T150" s="176" t="str">
        <f>IF(L150="","",VLOOKUP(L150,classifications!C:K,9,FALSE))</f>
        <v/>
      </c>
      <c r="U150" s="183" t="str">
        <f t="shared" si="54"/>
        <v/>
      </c>
      <c r="V150" s="184" t="str">
        <f>IF(U150="","",IF($I$8="A",(RANK(U150,U$11:U$368)+COUNTIF(U$11:U150,U150)-1),(RANK(U150,U$11:U$368,1)+COUNTIF(U$11:U150,U150)-1)))</f>
        <v/>
      </c>
      <c r="W150" s="185"/>
      <c r="X150" s="38" t="str">
        <f>IF(L150="","",VLOOKUP($L150,classifications!$C:$J,6,FALSE))</f>
        <v/>
      </c>
      <c r="Y150" s="26" t="b">
        <f t="shared" si="55"/>
        <v>0</v>
      </c>
      <c r="Z150" s="34" t="e">
        <f>IF(Y150="","",IF(I$8="A",(RANK(Y150,Y$11:Y$368,1)+COUNTIF(Y$11:Y150,Y150)-1),(RANK(Y150,Y$11:Y$368)+COUNTIF(Y$11:Y150,Y150)-1)))</f>
        <v>#N/A</v>
      </c>
      <c r="AA150" s="188" t="str">
        <f>IF(L150="","",VLOOKUP($L150,classifications!C:I,7,FALSE))</f>
        <v/>
      </c>
      <c r="AB150" s="184" t="str">
        <f t="shared" si="63"/>
        <v/>
      </c>
      <c r="AC150" s="184" t="str">
        <f>IF(AB150="","",IF($I$8="A",(RANK(AB150,AB$11:AB$368)+COUNTIF(AB$11:AB150,AB150)-1),(RANK(AB150,AB$11:AB$368,1)+COUNTIF(AB$11:AB150,AB150)-1)))</f>
        <v/>
      </c>
      <c r="AD150" s="184"/>
      <c r="AE150" s="28" t="str">
        <f t="shared" si="49"/>
        <v/>
      </c>
      <c r="AG150" s="96"/>
      <c r="AH150" s="29"/>
      <c r="AI150" s="38" t="str">
        <f>IF(L150="","",VLOOKUP($L150,classifications!$C:$J,8,FALSE))</f>
        <v/>
      </c>
      <c r="AJ150" s="39" t="str">
        <f t="shared" si="56"/>
        <v/>
      </c>
      <c r="AK150" s="34" t="str">
        <f>IF(AJ150="","",IF(I$8="A",(RANK(AJ150,AJ$11:AJ$368,1)+COUNTIF(AJ$11:AJ150,AJ150)-1),(RANK(AJ150,AJ$11:AJ$368)+COUNTIF(AJ$11:AJ150,AJ150)-1)))</f>
        <v/>
      </c>
      <c r="AL150" s="29" t="str">
        <f t="shared" si="64"/>
        <v/>
      </c>
      <c r="AM150" s="8" t="str">
        <f t="shared" si="57"/>
        <v/>
      </c>
      <c r="AN150" s="8" t="str">
        <f t="shared" si="65"/>
        <v/>
      </c>
      <c r="AP150" s="38" t="str">
        <f>IF(L150="","",VLOOKUP($L150,classifications!$C:$E,3,FALSE))</f>
        <v/>
      </c>
      <c r="AQ150" s="39" t="str">
        <f t="shared" si="66"/>
        <v/>
      </c>
      <c r="AR150" s="34" t="str">
        <f>IF(AQ150="","",IF(I$8="A",(RANK(AQ150,AQ$11:AQ$368,1)+COUNTIF(AQ$11:AQ150,AQ150)-1),(RANK(AQ150,AQ$11:AQ$368)+COUNTIF(AQ$11:AQ150,AQ150)-1)))</f>
        <v/>
      </c>
      <c r="AS150" s="29" t="str">
        <f t="shared" si="67"/>
        <v/>
      </c>
      <c r="AT150" s="34" t="str">
        <f t="shared" si="58"/>
        <v/>
      </c>
      <c r="AU150" s="39" t="str">
        <f t="shared" si="71"/>
        <v/>
      </c>
      <c r="AX150" s="21">
        <f>HLOOKUP($AX$9&amp;$AX$10,Data!$A$1:$ZZ$2000,(MATCH($C150,Data!$A$1:$A$2000,0)),FALSE)</f>
        <v>17.404307650728324</v>
      </c>
      <c r="AY150" s="103"/>
      <c r="AZ150" s="21"/>
    </row>
    <row r="151" spans="1:52">
      <c r="A151" s="56" t="str">
        <f>$D$1&amp;141</f>
        <v>SC141</v>
      </c>
      <c r="B151" s="57">
        <f>IF(ISERROR(VLOOKUP(A151,classifications!A:C,3,FALSE)),0,VLOOKUP(A151,classifications!A:C,3,FALSE))</f>
        <v>0</v>
      </c>
      <c r="C151" s="8" t="s">
        <v>314</v>
      </c>
      <c r="D151" s="26" t="str">
        <f>VLOOKUP($C151,classifications!$C:$J,4,FALSE)</f>
        <v>SC</v>
      </c>
      <c r="E151" s="26">
        <f>VLOOKUP(C151,classifications!C:K,9,FALSE)</f>
        <v>0</v>
      </c>
      <c r="F151" s="36">
        <f t="shared" si="50"/>
        <v>15.573799350980138</v>
      </c>
      <c r="G151" s="71"/>
      <c r="H151" s="37">
        <f t="shared" si="51"/>
        <v>15.573799350980138</v>
      </c>
      <c r="I151" s="77">
        <f>IF(H151="","",IF($I$8="A",(RANK(H151,H$11:H$368,1)+COUNTIF(H$11:H151,H151)-1),(RANK(H151,H$11:H$368)+COUNTIF(H$11:H151,H151)-1)))</f>
        <v>18</v>
      </c>
      <c r="J151" s="35"/>
      <c r="K151" s="28" t="str">
        <f t="shared" si="59"/>
        <v/>
      </c>
      <c r="L151" s="36" t="str">
        <f t="shared" si="52"/>
        <v/>
      </c>
      <c r="M151" s="102" t="str">
        <f t="shared" si="60"/>
        <v/>
      </c>
      <c r="N151" s="101" t="str">
        <f t="shared" si="61"/>
        <v/>
      </c>
      <c r="O151" s="94" t="str">
        <f t="shared" si="53"/>
        <v/>
      </c>
      <c r="P151" s="94" t="str">
        <f t="shared" si="68"/>
        <v/>
      </c>
      <c r="Q151" s="94" t="str">
        <f t="shared" si="69"/>
        <v/>
      </c>
      <c r="R151" s="90" t="str">
        <f t="shared" si="70"/>
        <v/>
      </c>
      <c r="S151" s="37" t="str">
        <f t="shared" si="62"/>
        <v/>
      </c>
      <c r="T151" s="176" t="str">
        <f>IF(L151="","",VLOOKUP(L151,classifications!C:K,9,FALSE))</f>
        <v/>
      </c>
      <c r="U151" s="183" t="str">
        <f t="shared" si="54"/>
        <v/>
      </c>
      <c r="V151" s="184" t="str">
        <f>IF(U151="","",IF($I$8="A",(RANK(U151,U$11:U$368)+COUNTIF(U$11:U151,U151)-1),(RANK(U151,U$11:U$368,1)+COUNTIF(U$11:U151,U151)-1)))</f>
        <v/>
      </c>
      <c r="W151" s="185"/>
      <c r="X151" s="38" t="str">
        <f>IF(L151="","",VLOOKUP($L151,classifications!$C:$J,6,FALSE))</f>
        <v/>
      </c>
      <c r="Y151" s="26" t="b">
        <f t="shared" si="55"/>
        <v>0</v>
      </c>
      <c r="Z151" s="34" t="e">
        <f>IF(Y151="","",IF(I$8="A",(RANK(Y151,Y$11:Y$368,1)+COUNTIF(Y$11:Y151,Y151)-1),(RANK(Y151,Y$11:Y$368)+COUNTIF(Y$11:Y151,Y151)-1)))</f>
        <v>#N/A</v>
      </c>
      <c r="AA151" s="188" t="str">
        <f>IF(L151="","",VLOOKUP($L151,classifications!C:I,7,FALSE))</f>
        <v/>
      </c>
      <c r="AB151" s="184" t="str">
        <f t="shared" si="63"/>
        <v/>
      </c>
      <c r="AC151" s="184" t="str">
        <f>IF(AB151="","",IF($I$8="A",(RANK(AB151,AB$11:AB$368)+COUNTIF(AB$11:AB151,AB151)-1),(RANK(AB151,AB$11:AB$368,1)+COUNTIF(AB$11:AB151,AB151)-1)))</f>
        <v/>
      </c>
      <c r="AD151" s="184"/>
      <c r="AE151" s="28" t="str">
        <f t="shared" si="49"/>
        <v/>
      </c>
      <c r="AG151" s="96"/>
      <c r="AH151" s="29"/>
      <c r="AI151" s="38" t="str">
        <f>IF(L151="","",VLOOKUP($L151,classifications!$C:$J,8,FALSE))</f>
        <v/>
      </c>
      <c r="AJ151" s="39" t="str">
        <f t="shared" si="56"/>
        <v/>
      </c>
      <c r="AK151" s="34" t="str">
        <f>IF(AJ151="","",IF(I$8="A",(RANK(AJ151,AJ$11:AJ$368,1)+COUNTIF(AJ$11:AJ151,AJ151)-1),(RANK(AJ151,AJ$11:AJ$368)+COUNTIF(AJ$11:AJ151,AJ151)-1)))</f>
        <v/>
      </c>
      <c r="AL151" s="29" t="str">
        <f t="shared" si="64"/>
        <v/>
      </c>
      <c r="AM151" s="8" t="str">
        <f t="shared" si="57"/>
        <v/>
      </c>
      <c r="AN151" s="8" t="str">
        <f t="shared" si="65"/>
        <v/>
      </c>
      <c r="AP151" s="38" t="str">
        <f>IF(L151="","",VLOOKUP($L151,classifications!$C:$E,3,FALSE))</f>
        <v/>
      </c>
      <c r="AQ151" s="39" t="str">
        <f t="shared" si="66"/>
        <v/>
      </c>
      <c r="AR151" s="34" t="str">
        <f>IF(AQ151="","",IF(I$8="A",(RANK(AQ151,AQ$11:AQ$368,1)+COUNTIF(AQ$11:AQ151,AQ151)-1),(RANK(AQ151,AQ$11:AQ$368)+COUNTIF(AQ$11:AQ151,AQ151)-1)))</f>
        <v/>
      </c>
      <c r="AS151" s="29" t="str">
        <f t="shared" si="67"/>
        <v/>
      </c>
      <c r="AT151" s="34" t="str">
        <f t="shared" si="58"/>
        <v/>
      </c>
      <c r="AU151" s="39" t="str">
        <f t="shared" si="71"/>
        <v/>
      </c>
      <c r="AX151" s="21">
        <f>HLOOKUP($AX$9&amp;$AX$10,Data!$A$1:$ZZ$2000,(MATCH($C151,Data!$A$1:$A$2000,0)),FALSE)</f>
        <v>15.573799350980138</v>
      </c>
      <c r="AY151" s="103"/>
      <c r="AZ151" s="21"/>
    </row>
    <row r="152" spans="1:52">
      <c r="A152" s="56" t="str">
        <f>$D$1&amp;142</f>
        <v>SC142</v>
      </c>
      <c r="B152" s="57">
        <f>IF(ISERROR(VLOOKUP(A152,classifications!A:C,3,FALSE)),0,VLOOKUP(A152,classifications!A:C,3,FALSE))</f>
        <v>0</v>
      </c>
      <c r="C152" s="8" t="s">
        <v>85</v>
      </c>
      <c r="D152" s="26" t="str">
        <f>VLOOKUP($C152,classifications!$C:$J,4,FALSE)</f>
        <v>SD</v>
      </c>
      <c r="E152" s="26">
        <f>VLOOKUP(C152,classifications!C:K,9,FALSE)</f>
        <v>0</v>
      </c>
      <c r="F152" s="36">
        <f t="shared" si="50"/>
        <v>11.804885118965744</v>
      </c>
      <c r="G152" s="71"/>
      <c r="H152" s="37" t="str">
        <f t="shared" si="51"/>
        <v/>
      </c>
      <c r="I152" s="77" t="str">
        <f>IF(H152="","",IF($I$8="A",(RANK(H152,H$11:H$368,1)+COUNTIF(H$11:H152,H152)-1),(RANK(H152,H$11:H$368)+COUNTIF(H$11:H152,H152)-1)))</f>
        <v/>
      </c>
      <c r="J152" s="35"/>
      <c r="K152" s="28" t="str">
        <f t="shared" si="59"/>
        <v/>
      </c>
      <c r="L152" s="36" t="str">
        <f t="shared" si="52"/>
        <v/>
      </c>
      <c r="M152" s="102" t="str">
        <f t="shared" si="60"/>
        <v/>
      </c>
      <c r="N152" s="101" t="str">
        <f t="shared" si="61"/>
        <v/>
      </c>
      <c r="O152" s="94" t="str">
        <f t="shared" si="53"/>
        <v/>
      </c>
      <c r="P152" s="94" t="str">
        <f t="shared" si="68"/>
        <v/>
      </c>
      <c r="Q152" s="94" t="str">
        <f t="shared" si="69"/>
        <v/>
      </c>
      <c r="R152" s="90" t="str">
        <f t="shared" si="70"/>
        <v/>
      </c>
      <c r="S152" s="37" t="str">
        <f t="shared" si="62"/>
        <v/>
      </c>
      <c r="T152" s="176" t="str">
        <f>IF(L152="","",VLOOKUP(L152,classifications!C:K,9,FALSE))</f>
        <v/>
      </c>
      <c r="U152" s="183" t="str">
        <f t="shared" si="54"/>
        <v/>
      </c>
      <c r="V152" s="184" t="str">
        <f>IF(U152="","",IF($I$8="A",(RANK(U152,U$11:U$368)+COUNTIF(U$11:U152,U152)-1),(RANK(U152,U$11:U$368,1)+COUNTIF(U$11:U152,U152)-1)))</f>
        <v/>
      </c>
      <c r="W152" s="185"/>
      <c r="X152" s="38" t="str">
        <f>IF(L152="","",VLOOKUP($L152,classifications!$C:$J,6,FALSE))</f>
        <v/>
      </c>
      <c r="Y152" s="26" t="b">
        <f t="shared" si="55"/>
        <v>0</v>
      </c>
      <c r="Z152" s="34" t="e">
        <f>IF(Y152="","",IF(I$8="A",(RANK(Y152,Y$11:Y$368,1)+COUNTIF(Y$11:Y152,Y152)-1),(RANK(Y152,Y$11:Y$368)+COUNTIF(Y$11:Y152,Y152)-1)))</f>
        <v>#N/A</v>
      </c>
      <c r="AA152" s="188" t="str">
        <f>IF(L152="","",VLOOKUP($L152,classifications!C:I,7,FALSE))</f>
        <v/>
      </c>
      <c r="AB152" s="184" t="str">
        <f t="shared" si="63"/>
        <v/>
      </c>
      <c r="AC152" s="184" t="str">
        <f>IF(AB152="","",IF($I$8="A",(RANK(AB152,AB$11:AB$368)+COUNTIF(AB$11:AB152,AB152)-1),(RANK(AB152,AB$11:AB$368,1)+COUNTIF(AB$11:AB152,AB152)-1)))</f>
        <v/>
      </c>
      <c r="AD152" s="184"/>
      <c r="AE152" s="28" t="str">
        <f t="shared" si="49"/>
        <v/>
      </c>
      <c r="AG152" s="96"/>
      <c r="AH152" s="29"/>
      <c r="AI152" s="38" t="str">
        <f>IF(L152="","",VLOOKUP($L152,classifications!$C:$J,8,FALSE))</f>
        <v/>
      </c>
      <c r="AJ152" s="39" t="str">
        <f t="shared" si="56"/>
        <v/>
      </c>
      <c r="AK152" s="34" t="str">
        <f>IF(AJ152="","",IF(I$8="A",(RANK(AJ152,AJ$11:AJ$368,1)+COUNTIF(AJ$11:AJ152,AJ152)-1),(RANK(AJ152,AJ$11:AJ$368)+COUNTIF(AJ$11:AJ152,AJ152)-1)))</f>
        <v/>
      </c>
      <c r="AL152" s="29" t="str">
        <f t="shared" si="64"/>
        <v/>
      </c>
      <c r="AM152" s="8" t="str">
        <f t="shared" si="57"/>
        <v/>
      </c>
      <c r="AN152" s="8" t="str">
        <f t="shared" si="65"/>
        <v/>
      </c>
      <c r="AP152" s="38" t="str">
        <f>IF(L152="","",VLOOKUP($L152,classifications!$C:$E,3,FALSE))</f>
        <v/>
      </c>
      <c r="AQ152" s="39" t="str">
        <f t="shared" si="66"/>
        <v/>
      </c>
      <c r="AR152" s="34" t="str">
        <f>IF(AQ152="","",IF(I$8="A",(RANK(AQ152,AQ$11:AQ$368,1)+COUNTIF(AQ$11:AQ152,AQ152)-1),(RANK(AQ152,AQ$11:AQ$368)+COUNTIF(AQ$11:AQ152,AQ152)-1)))</f>
        <v/>
      </c>
      <c r="AS152" s="29" t="str">
        <f t="shared" si="67"/>
        <v/>
      </c>
      <c r="AT152" s="34" t="str">
        <f t="shared" si="58"/>
        <v/>
      </c>
      <c r="AU152" s="39" t="str">
        <f t="shared" si="71"/>
        <v/>
      </c>
      <c r="AX152" s="21">
        <f>HLOOKUP($AX$9&amp;$AX$10,Data!$A$1:$ZZ$2000,(MATCH($C152,Data!$A$1:$A$2000,0)),FALSE)</f>
        <v>11.804885118965744</v>
      </c>
      <c r="AY152" s="103"/>
      <c r="AZ152" s="21"/>
    </row>
    <row r="153" spans="1:52">
      <c r="A153" s="56" t="str">
        <f>$D$1&amp;143</f>
        <v>SC143</v>
      </c>
      <c r="B153" s="57">
        <f>IF(ISERROR(VLOOKUP(A153,classifications!A:C,3,FALSE)),0,VLOOKUP(A153,classifications!A:C,3,FALSE))</f>
        <v>0</v>
      </c>
      <c r="C153" s="8" t="s">
        <v>86</v>
      </c>
      <c r="D153" s="26" t="str">
        <f>VLOOKUP($C153,classifications!$C:$J,4,FALSE)</f>
        <v>SD</v>
      </c>
      <c r="E153" s="26">
        <f>VLOOKUP(C153,classifications!C:K,9,FALSE)</f>
        <v>0</v>
      </c>
      <c r="F153" s="36">
        <f t="shared" si="50"/>
        <v>13.731396221149742</v>
      </c>
      <c r="G153" s="71"/>
      <c r="H153" s="37" t="str">
        <f t="shared" si="51"/>
        <v/>
      </c>
      <c r="I153" s="77" t="str">
        <f>IF(H153="","",IF($I$8="A",(RANK(H153,H$11:H$368,1)+COUNTIF(H$11:H153,H153)-1),(RANK(H153,H$11:H$368)+COUNTIF(H$11:H153,H153)-1)))</f>
        <v/>
      </c>
      <c r="J153" s="35"/>
      <c r="K153" s="28" t="str">
        <f t="shared" si="59"/>
        <v/>
      </c>
      <c r="L153" s="36" t="str">
        <f t="shared" si="52"/>
        <v/>
      </c>
      <c r="M153" s="102" t="str">
        <f t="shared" si="60"/>
        <v/>
      </c>
      <c r="N153" s="101" t="str">
        <f t="shared" si="61"/>
        <v/>
      </c>
      <c r="O153" s="94" t="str">
        <f t="shared" si="53"/>
        <v/>
      </c>
      <c r="P153" s="94" t="str">
        <f t="shared" si="68"/>
        <v/>
      </c>
      <c r="Q153" s="94" t="str">
        <f t="shared" si="69"/>
        <v/>
      </c>
      <c r="R153" s="90" t="str">
        <f t="shared" si="70"/>
        <v/>
      </c>
      <c r="S153" s="37" t="str">
        <f t="shared" si="62"/>
        <v/>
      </c>
      <c r="T153" s="176" t="str">
        <f>IF(L153="","",VLOOKUP(L153,classifications!C:K,9,FALSE))</f>
        <v/>
      </c>
      <c r="U153" s="183" t="str">
        <f t="shared" si="54"/>
        <v/>
      </c>
      <c r="V153" s="184" t="str">
        <f>IF(U153="","",IF($I$8="A",(RANK(U153,U$11:U$368)+COUNTIF(U$11:U153,U153)-1),(RANK(U153,U$11:U$368,1)+COUNTIF(U$11:U153,U153)-1)))</f>
        <v/>
      </c>
      <c r="W153" s="185"/>
      <c r="X153" s="38" t="str">
        <f>IF(L153="","",VLOOKUP($L153,classifications!$C:$J,6,FALSE))</f>
        <v/>
      </c>
      <c r="Y153" s="26" t="b">
        <f t="shared" si="55"/>
        <v>0</v>
      </c>
      <c r="Z153" s="34" t="e">
        <f>IF(Y153="","",IF(I$8="A",(RANK(Y153,Y$11:Y$368,1)+COUNTIF(Y$11:Y153,Y153)-1),(RANK(Y153,Y$11:Y$368)+COUNTIF(Y$11:Y153,Y153)-1)))</f>
        <v>#N/A</v>
      </c>
      <c r="AA153" s="188" t="str">
        <f>IF(L153="","",VLOOKUP($L153,classifications!C:I,7,FALSE))</f>
        <v/>
      </c>
      <c r="AB153" s="184" t="str">
        <f t="shared" si="63"/>
        <v/>
      </c>
      <c r="AC153" s="184" t="str">
        <f>IF(AB153="","",IF($I$8="A",(RANK(AB153,AB$11:AB$368)+COUNTIF(AB$11:AB153,AB153)-1),(RANK(AB153,AB$11:AB$368,1)+COUNTIF(AB$11:AB153,AB153)-1)))</f>
        <v/>
      </c>
      <c r="AD153" s="184"/>
      <c r="AE153" s="28" t="str">
        <f t="shared" si="49"/>
        <v/>
      </c>
      <c r="AG153" s="96"/>
      <c r="AH153" s="29"/>
      <c r="AI153" s="38" t="str">
        <f>IF(L153="","",VLOOKUP($L153,classifications!$C:$J,8,FALSE))</f>
        <v/>
      </c>
      <c r="AJ153" s="39" t="str">
        <f t="shared" si="56"/>
        <v/>
      </c>
      <c r="AK153" s="34" t="str">
        <f>IF(AJ153="","",IF(I$8="A",(RANK(AJ153,AJ$11:AJ$368,1)+COUNTIF(AJ$11:AJ153,AJ153)-1),(RANK(AJ153,AJ$11:AJ$368)+COUNTIF(AJ$11:AJ153,AJ153)-1)))</f>
        <v/>
      </c>
      <c r="AL153" s="29" t="str">
        <f t="shared" si="64"/>
        <v/>
      </c>
      <c r="AM153" s="8" t="str">
        <f t="shared" si="57"/>
        <v/>
      </c>
      <c r="AN153" s="8" t="str">
        <f t="shared" si="65"/>
        <v/>
      </c>
      <c r="AP153" s="38" t="str">
        <f>IF(L153="","",VLOOKUP($L153,classifications!$C:$E,3,FALSE))</f>
        <v/>
      </c>
      <c r="AQ153" s="39" t="str">
        <f t="shared" si="66"/>
        <v/>
      </c>
      <c r="AR153" s="34" t="str">
        <f>IF(AQ153="","",IF(I$8="A",(RANK(AQ153,AQ$11:AQ$368,1)+COUNTIF(AQ$11:AQ153,AQ153)-1),(RANK(AQ153,AQ$11:AQ$368)+COUNTIF(AQ$11:AQ153,AQ153)-1)))</f>
        <v/>
      </c>
      <c r="AS153" s="29" t="str">
        <f t="shared" si="67"/>
        <v/>
      </c>
      <c r="AT153" s="34" t="str">
        <f t="shared" si="58"/>
        <v/>
      </c>
      <c r="AU153" s="39" t="str">
        <f t="shared" si="71"/>
        <v/>
      </c>
      <c r="AX153" s="21">
        <f>HLOOKUP($AX$9&amp;$AX$10,Data!$A$1:$ZZ$2000,(MATCH($C153,Data!$A$1:$A$2000,0)),FALSE)</f>
        <v>13.731396221149742</v>
      </c>
      <c r="AY153" s="103"/>
      <c r="AZ153" s="21"/>
    </row>
    <row r="154" spans="1:52">
      <c r="A154" s="56" t="str">
        <f>$D$1&amp;144</f>
        <v>SC144</v>
      </c>
      <c r="B154" s="57">
        <f>IF(ISERROR(VLOOKUP(A154,classifications!A:C,3,FALSE)),0,VLOOKUP(A154,classifications!A:C,3,FALSE))</f>
        <v>0</v>
      </c>
      <c r="C154" s="8" t="s">
        <v>209</v>
      </c>
      <c r="D154" s="26" t="str">
        <f>VLOOKUP($C154,classifications!$C:$J,4,FALSE)</f>
        <v>L</v>
      </c>
      <c r="E154" s="26">
        <f>VLOOKUP(C154,classifications!C:K,9,FALSE)</f>
        <v>0</v>
      </c>
      <c r="F154" s="36">
        <f t="shared" si="50"/>
        <v>17.042856649603578</v>
      </c>
      <c r="G154" s="71"/>
      <c r="H154" s="37" t="str">
        <f t="shared" si="51"/>
        <v/>
      </c>
      <c r="I154" s="77" t="str">
        <f>IF(H154="","",IF($I$8="A",(RANK(H154,H$11:H$368,1)+COUNTIF(H$11:H154,H154)-1),(RANK(H154,H$11:H$368)+COUNTIF(H$11:H154,H154)-1)))</f>
        <v/>
      </c>
      <c r="J154" s="35"/>
      <c r="K154" s="28" t="str">
        <f t="shared" si="59"/>
        <v/>
      </c>
      <c r="L154" s="36" t="str">
        <f t="shared" si="52"/>
        <v/>
      </c>
      <c r="M154" s="102" t="str">
        <f t="shared" si="60"/>
        <v/>
      </c>
      <c r="N154" s="101" t="str">
        <f t="shared" si="61"/>
        <v/>
      </c>
      <c r="O154" s="94" t="str">
        <f t="shared" si="53"/>
        <v/>
      </c>
      <c r="P154" s="94" t="str">
        <f t="shared" si="68"/>
        <v/>
      </c>
      <c r="Q154" s="94" t="str">
        <f t="shared" si="69"/>
        <v/>
      </c>
      <c r="R154" s="90" t="str">
        <f t="shared" si="70"/>
        <v/>
      </c>
      <c r="S154" s="37" t="str">
        <f t="shared" si="62"/>
        <v/>
      </c>
      <c r="T154" s="176" t="str">
        <f>IF(L154="","",VLOOKUP(L154,classifications!C:K,9,FALSE))</f>
        <v/>
      </c>
      <c r="U154" s="183" t="str">
        <f t="shared" si="54"/>
        <v/>
      </c>
      <c r="V154" s="184" t="str">
        <f>IF(U154="","",IF($I$8="A",(RANK(U154,U$11:U$368)+COUNTIF(U$11:U154,U154)-1),(RANK(U154,U$11:U$368,1)+COUNTIF(U$11:U154,U154)-1)))</f>
        <v/>
      </c>
      <c r="W154" s="185"/>
      <c r="X154" s="38" t="str">
        <f>IF(L154="","",VLOOKUP($L154,classifications!$C:$J,6,FALSE))</f>
        <v/>
      </c>
      <c r="Y154" s="26" t="b">
        <f t="shared" si="55"/>
        <v>0</v>
      </c>
      <c r="Z154" s="34" t="e">
        <f>IF(Y154="","",IF(I$8="A",(RANK(Y154,Y$11:Y$368,1)+COUNTIF(Y$11:Y154,Y154)-1),(RANK(Y154,Y$11:Y$368)+COUNTIF(Y$11:Y154,Y154)-1)))</f>
        <v>#N/A</v>
      </c>
      <c r="AA154" s="188" t="str">
        <f>IF(L154="","",VLOOKUP($L154,classifications!C:I,7,FALSE))</f>
        <v/>
      </c>
      <c r="AB154" s="184" t="str">
        <f t="shared" si="63"/>
        <v/>
      </c>
      <c r="AC154" s="184" t="str">
        <f>IF(AB154="","",IF($I$8="A",(RANK(AB154,AB$11:AB$368)+COUNTIF(AB$11:AB154,AB154)-1),(RANK(AB154,AB$11:AB$368,1)+COUNTIF(AB$11:AB154,AB154)-1)))</f>
        <v/>
      </c>
      <c r="AD154" s="184"/>
      <c r="AE154" s="28" t="str">
        <f t="shared" si="49"/>
        <v/>
      </c>
      <c r="AG154" s="96"/>
      <c r="AH154" s="29"/>
      <c r="AI154" s="38" t="str">
        <f>IF(L154="","",VLOOKUP($L154,classifications!$C:$J,8,FALSE))</f>
        <v/>
      </c>
      <c r="AJ154" s="39" t="str">
        <f t="shared" si="56"/>
        <v/>
      </c>
      <c r="AK154" s="34" t="str">
        <f>IF(AJ154="","",IF(I$8="A",(RANK(AJ154,AJ$11:AJ$368,1)+COUNTIF(AJ$11:AJ154,AJ154)-1),(RANK(AJ154,AJ$11:AJ$368)+COUNTIF(AJ$11:AJ154,AJ154)-1)))</f>
        <v/>
      </c>
      <c r="AL154" s="29" t="str">
        <f t="shared" si="64"/>
        <v/>
      </c>
      <c r="AM154" s="8" t="str">
        <f t="shared" si="57"/>
        <v/>
      </c>
      <c r="AN154" s="8" t="str">
        <f t="shared" si="65"/>
        <v/>
      </c>
      <c r="AP154" s="38" t="str">
        <f>IF(L154="","",VLOOKUP($L154,classifications!$C:$E,3,FALSE))</f>
        <v/>
      </c>
      <c r="AQ154" s="39" t="str">
        <f t="shared" si="66"/>
        <v/>
      </c>
      <c r="AR154" s="34" t="str">
        <f>IF(AQ154="","",IF(I$8="A",(RANK(AQ154,AQ$11:AQ$368,1)+COUNTIF(AQ$11:AQ154,AQ154)-1),(RANK(AQ154,AQ$11:AQ$368)+COUNTIF(AQ$11:AQ154,AQ154)-1)))</f>
        <v/>
      </c>
      <c r="AS154" s="29" t="str">
        <f t="shared" si="67"/>
        <v/>
      </c>
      <c r="AT154" s="34" t="str">
        <f t="shared" si="58"/>
        <v/>
      </c>
      <c r="AU154" s="39" t="str">
        <f t="shared" si="71"/>
        <v/>
      </c>
      <c r="AX154" s="21">
        <f>HLOOKUP($AX$9&amp;$AX$10,Data!$A$1:$ZZ$2000,(MATCH($C154,Data!$A$1:$A$2000,0)),FALSE)</f>
        <v>17.042856649603578</v>
      </c>
      <c r="AY154" s="103"/>
      <c r="AZ154" s="21"/>
    </row>
    <row r="155" spans="1:52">
      <c r="A155" s="56" t="str">
        <f>$D$1&amp;145</f>
        <v>SC145</v>
      </c>
      <c r="B155" s="57">
        <f>IF(ISERROR(VLOOKUP(A155,classifications!A:C,3,FALSE)),0,VLOOKUP(A155,classifications!A:C,3,FALSE))</f>
        <v>0</v>
      </c>
      <c r="C155" s="8" t="s">
        <v>345</v>
      </c>
      <c r="D155" s="26" t="str">
        <f>VLOOKUP($C155,classifications!$C:$J,4,FALSE)</f>
        <v>SD</v>
      </c>
      <c r="E155" s="26">
        <f>VLOOKUP(C155,classifications!C:K,9,FALSE)</f>
        <v>0</v>
      </c>
      <c r="F155" s="36">
        <f t="shared" si="50"/>
        <v>12.144200315206726</v>
      </c>
      <c r="G155" s="71"/>
      <c r="H155" s="37" t="str">
        <f t="shared" si="51"/>
        <v/>
      </c>
      <c r="I155" s="77" t="str">
        <f>IF(H155="","",IF($I$8="A",(RANK(H155,H$11:H$368,1)+COUNTIF(H$11:H155,H155)-1),(RANK(H155,H$11:H$368)+COUNTIF(H$11:H155,H155)-1)))</f>
        <v/>
      </c>
      <c r="J155" s="35"/>
      <c r="K155" s="28" t="str">
        <f t="shared" si="59"/>
        <v/>
      </c>
      <c r="L155" s="36" t="str">
        <f t="shared" si="52"/>
        <v/>
      </c>
      <c r="M155" s="102" t="str">
        <f t="shared" si="60"/>
        <v/>
      </c>
      <c r="N155" s="101" t="str">
        <f t="shared" si="61"/>
        <v/>
      </c>
      <c r="O155" s="94" t="str">
        <f t="shared" si="53"/>
        <v/>
      </c>
      <c r="P155" s="94" t="str">
        <f t="shared" si="68"/>
        <v/>
      </c>
      <c r="Q155" s="94" t="str">
        <f t="shared" si="69"/>
        <v/>
      </c>
      <c r="R155" s="90" t="str">
        <f t="shared" si="70"/>
        <v/>
      </c>
      <c r="S155" s="37" t="str">
        <f t="shared" si="62"/>
        <v/>
      </c>
      <c r="T155" s="176" t="str">
        <f>IF(L155="","",VLOOKUP(L155,classifications!C:K,9,FALSE))</f>
        <v/>
      </c>
      <c r="U155" s="183" t="str">
        <f t="shared" si="54"/>
        <v/>
      </c>
      <c r="V155" s="184" t="str">
        <f>IF(U155="","",IF($I$8="A",(RANK(U155,U$11:U$368)+COUNTIF(U$11:U155,U155)-1),(RANK(U155,U$11:U$368,1)+COUNTIF(U$11:U155,U155)-1)))</f>
        <v/>
      </c>
      <c r="W155" s="185"/>
      <c r="X155" s="38" t="str">
        <f>IF(L155="","",VLOOKUP($L155,classifications!$C:$J,6,FALSE))</f>
        <v/>
      </c>
      <c r="Y155" s="26" t="b">
        <f t="shared" si="55"/>
        <v>0</v>
      </c>
      <c r="Z155" s="34" t="e">
        <f>IF(Y155="","",IF(I$8="A",(RANK(Y155,Y$11:Y$368,1)+COUNTIF(Y$11:Y155,Y155)-1),(RANK(Y155,Y$11:Y$368)+COUNTIF(Y$11:Y155,Y155)-1)))</f>
        <v>#N/A</v>
      </c>
      <c r="AA155" s="188" t="str">
        <f>IF(L155="","",VLOOKUP($L155,classifications!C:I,7,FALSE))</f>
        <v/>
      </c>
      <c r="AB155" s="184" t="str">
        <f t="shared" si="63"/>
        <v/>
      </c>
      <c r="AC155" s="184" t="str">
        <f>IF(AB155="","",IF($I$8="A",(RANK(AB155,AB$11:AB$368)+COUNTIF(AB$11:AB155,AB155)-1),(RANK(AB155,AB$11:AB$368,1)+COUNTIF(AB$11:AB155,AB155)-1)))</f>
        <v/>
      </c>
      <c r="AD155" s="184"/>
      <c r="AE155" s="28" t="str">
        <f t="shared" si="49"/>
        <v/>
      </c>
      <c r="AG155" s="96"/>
      <c r="AH155" s="29"/>
      <c r="AI155" s="38" t="str">
        <f>IF(L155="","",VLOOKUP($L155,classifications!$C:$J,8,FALSE))</f>
        <v/>
      </c>
      <c r="AJ155" s="39" t="str">
        <f t="shared" si="56"/>
        <v/>
      </c>
      <c r="AK155" s="34" t="str">
        <f>IF(AJ155="","",IF(I$8="A",(RANK(AJ155,AJ$11:AJ$368,1)+COUNTIF(AJ$11:AJ155,AJ155)-1),(RANK(AJ155,AJ$11:AJ$368)+COUNTIF(AJ$11:AJ155,AJ155)-1)))</f>
        <v/>
      </c>
      <c r="AL155" s="29" t="str">
        <f t="shared" si="64"/>
        <v/>
      </c>
      <c r="AM155" s="8" t="str">
        <f t="shared" si="57"/>
        <v/>
      </c>
      <c r="AN155" s="8" t="str">
        <f t="shared" si="65"/>
        <v/>
      </c>
      <c r="AP155" s="38" t="str">
        <f>IF(L155="","",VLOOKUP($L155,classifications!$C:$E,3,FALSE))</f>
        <v/>
      </c>
      <c r="AQ155" s="39" t="str">
        <f t="shared" si="66"/>
        <v/>
      </c>
      <c r="AR155" s="34" t="str">
        <f>IF(AQ155="","",IF(I$8="A",(RANK(AQ155,AQ$11:AQ$368,1)+COUNTIF(AQ$11:AQ155,AQ155)-1),(RANK(AQ155,AQ$11:AQ$368)+COUNTIF(AQ$11:AQ155,AQ155)-1)))</f>
        <v/>
      </c>
      <c r="AS155" s="29" t="str">
        <f t="shared" si="67"/>
        <v/>
      </c>
      <c r="AT155" s="34" t="str">
        <f t="shared" si="58"/>
        <v/>
      </c>
      <c r="AU155" s="39" t="str">
        <f t="shared" si="71"/>
        <v/>
      </c>
      <c r="AX155" s="21">
        <f>HLOOKUP($AX$9&amp;$AX$10,Data!$A$1:$ZZ$2000,(MATCH($C155,Data!$A$1:$A$2000,0)),FALSE)</f>
        <v>12.144200315206726</v>
      </c>
      <c r="AY155" s="103"/>
      <c r="AZ155" s="21"/>
    </row>
    <row r="156" spans="1:52">
      <c r="A156" s="56" t="str">
        <f>$D$1&amp;146</f>
        <v>SC146</v>
      </c>
      <c r="B156" s="57">
        <f>IF(ISERROR(VLOOKUP(A156,classifications!A:C,3,FALSE)),0,VLOOKUP(A156,classifications!A:C,3,FALSE))</f>
        <v>0</v>
      </c>
      <c r="C156" s="8" t="s">
        <v>87</v>
      </c>
      <c r="D156" s="26" t="str">
        <f>VLOOKUP($C156,classifications!$C:$J,4,FALSE)</f>
        <v>SD</v>
      </c>
      <c r="E156" s="26">
        <f>VLOOKUP(C156,classifications!C:K,9,FALSE)</f>
        <v>0</v>
      </c>
      <c r="F156" s="36">
        <f t="shared" si="50"/>
        <v>16.778973520619829</v>
      </c>
      <c r="G156" s="71"/>
      <c r="H156" s="37" t="str">
        <f t="shared" si="51"/>
        <v/>
      </c>
      <c r="I156" s="77" t="str">
        <f>IF(H156="","",IF($I$8="A",(RANK(H156,H$11:H$368,1)+COUNTIF(H$11:H156,H156)-1),(RANK(H156,H$11:H$368)+COUNTIF(H$11:H156,H156)-1)))</f>
        <v/>
      </c>
      <c r="J156" s="35"/>
      <c r="K156" s="28" t="str">
        <f t="shared" si="59"/>
        <v/>
      </c>
      <c r="L156" s="36" t="str">
        <f t="shared" si="52"/>
        <v/>
      </c>
      <c r="M156" s="102" t="str">
        <f t="shared" si="60"/>
        <v/>
      </c>
      <c r="N156" s="101" t="str">
        <f t="shared" si="61"/>
        <v/>
      </c>
      <c r="O156" s="94" t="str">
        <f t="shared" si="53"/>
        <v/>
      </c>
      <c r="P156" s="94" t="str">
        <f t="shared" si="68"/>
        <v/>
      </c>
      <c r="Q156" s="94" t="str">
        <f t="shared" si="69"/>
        <v/>
      </c>
      <c r="R156" s="90" t="str">
        <f t="shared" si="70"/>
        <v/>
      </c>
      <c r="S156" s="37" t="str">
        <f t="shared" si="62"/>
        <v/>
      </c>
      <c r="T156" s="176" t="str">
        <f>IF(L156="","",VLOOKUP(L156,classifications!C:K,9,FALSE))</f>
        <v/>
      </c>
      <c r="U156" s="183" t="str">
        <f t="shared" si="54"/>
        <v/>
      </c>
      <c r="V156" s="184" t="str">
        <f>IF(U156="","",IF($I$8="A",(RANK(U156,U$11:U$368)+COUNTIF(U$11:U156,U156)-1),(RANK(U156,U$11:U$368,1)+COUNTIF(U$11:U156,U156)-1)))</f>
        <v/>
      </c>
      <c r="W156" s="185"/>
      <c r="X156" s="38" t="str">
        <f>IF(L156="","",VLOOKUP($L156,classifications!$C:$J,6,FALSE))</f>
        <v/>
      </c>
      <c r="Y156" s="26" t="b">
        <f t="shared" si="55"/>
        <v>0</v>
      </c>
      <c r="Z156" s="34" t="e">
        <f>IF(Y156="","",IF(I$8="A",(RANK(Y156,Y$11:Y$368,1)+COUNTIF(Y$11:Y156,Y156)-1),(RANK(Y156,Y$11:Y$368)+COUNTIF(Y$11:Y156,Y156)-1)))</f>
        <v>#N/A</v>
      </c>
      <c r="AA156" s="188" t="str">
        <f>IF(L156="","",VLOOKUP($L156,classifications!C:I,7,FALSE))</f>
        <v/>
      </c>
      <c r="AB156" s="184" t="str">
        <f t="shared" si="63"/>
        <v/>
      </c>
      <c r="AC156" s="184" t="str">
        <f>IF(AB156="","",IF($I$8="A",(RANK(AB156,AB$11:AB$368)+COUNTIF(AB$11:AB156,AB156)-1),(RANK(AB156,AB$11:AB$368,1)+COUNTIF(AB$11:AB156,AB156)-1)))</f>
        <v/>
      </c>
      <c r="AD156" s="184"/>
      <c r="AE156" s="28" t="str">
        <f t="shared" si="49"/>
        <v/>
      </c>
      <c r="AG156" s="96"/>
      <c r="AH156" s="29"/>
      <c r="AI156" s="38" t="str">
        <f>IF(L156="","",VLOOKUP($L156,classifications!$C:$J,8,FALSE))</f>
        <v/>
      </c>
      <c r="AJ156" s="39" t="str">
        <f t="shared" si="56"/>
        <v/>
      </c>
      <c r="AK156" s="34" t="str">
        <f>IF(AJ156="","",IF(I$8="A",(RANK(AJ156,AJ$11:AJ$368,1)+COUNTIF(AJ$11:AJ156,AJ156)-1),(RANK(AJ156,AJ$11:AJ$368)+COUNTIF(AJ$11:AJ156,AJ156)-1)))</f>
        <v/>
      </c>
      <c r="AL156" s="29" t="str">
        <f t="shared" si="64"/>
        <v/>
      </c>
      <c r="AM156" s="8" t="str">
        <f t="shared" si="57"/>
        <v/>
      </c>
      <c r="AN156" s="8" t="str">
        <f t="shared" si="65"/>
        <v/>
      </c>
      <c r="AP156" s="38" t="str">
        <f>IF(L156="","",VLOOKUP($L156,classifications!$C:$E,3,FALSE))</f>
        <v/>
      </c>
      <c r="AQ156" s="39" t="str">
        <f t="shared" si="66"/>
        <v/>
      </c>
      <c r="AR156" s="34" t="str">
        <f>IF(AQ156="","",IF(I$8="A",(RANK(AQ156,AQ$11:AQ$368,1)+COUNTIF(AQ$11:AQ156,AQ156)-1),(RANK(AQ156,AQ$11:AQ$368)+COUNTIF(AQ$11:AQ156,AQ156)-1)))</f>
        <v/>
      </c>
      <c r="AS156" s="29" t="str">
        <f t="shared" si="67"/>
        <v/>
      </c>
      <c r="AT156" s="34" t="str">
        <f t="shared" si="58"/>
        <v/>
      </c>
      <c r="AU156" s="39" t="str">
        <f t="shared" si="71"/>
        <v/>
      </c>
      <c r="AX156" s="21">
        <f>HLOOKUP($AX$9&amp;$AX$10,Data!$A$1:$ZZ$2000,(MATCH($C156,Data!$A$1:$A$2000,0)),FALSE)</f>
        <v>16.778973520619829</v>
      </c>
      <c r="AY156" s="103"/>
      <c r="AZ156" s="21"/>
    </row>
    <row r="157" spans="1:52">
      <c r="A157" s="56" t="str">
        <f>$D$1&amp;147</f>
        <v>SC147</v>
      </c>
      <c r="B157" s="57">
        <f>IF(ISERROR(VLOOKUP(A157,classifications!A:C,3,FALSE)),0,VLOOKUP(A157,classifications!A:C,3,FALSE))</f>
        <v>0</v>
      </c>
      <c r="C157" s="8" t="s">
        <v>210</v>
      </c>
      <c r="D157" s="26" t="str">
        <f>VLOOKUP($C157,classifications!$C:$J,4,FALSE)</f>
        <v>L</v>
      </c>
      <c r="E157" s="26">
        <f>VLOOKUP(C157,classifications!C:K,9,FALSE)</f>
        <v>0</v>
      </c>
      <c r="F157" s="36">
        <f t="shared" si="50"/>
        <v>15.947905146206715</v>
      </c>
      <c r="G157" s="71"/>
      <c r="H157" s="37" t="str">
        <f t="shared" si="51"/>
        <v/>
      </c>
      <c r="I157" s="77" t="str">
        <f>IF(H157="","",IF($I$8="A",(RANK(H157,H$11:H$368,1)+COUNTIF(H$11:H157,H157)-1),(RANK(H157,H$11:H$368)+COUNTIF(H$11:H157,H157)-1)))</f>
        <v/>
      </c>
      <c r="J157" s="35"/>
      <c r="K157" s="28" t="str">
        <f t="shared" si="59"/>
        <v/>
      </c>
      <c r="L157" s="36" t="str">
        <f t="shared" si="52"/>
        <v/>
      </c>
      <c r="M157" s="102" t="str">
        <f t="shared" si="60"/>
        <v/>
      </c>
      <c r="N157" s="101" t="str">
        <f t="shared" si="61"/>
        <v/>
      </c>
      <c r="O157" s="94" t="str">
        <f t="shared" si="53"/>
        <v/>
      </c>
      <c r="P157" s="94" t="str">
        <f t="shared" si="68"/>
        <v/>
      </c>
      <c r="Q157" s="94" t="str">
        <f t="shared" si="69"/>
        <v/>
      </c>
      <c r="R157" s="90" t="str">
        <f t="shared" si="70"/>
        <v/>
      </c>
      <c r="S157" s="37" t="str">
        <f t="shared" si="62"/>
        <v/>
      </c>
      <c r="T157" s="176" t="str">
        <f>IF(L157="","",VLOOKUP(L157,classifications!C:K,9,FALSE))</f>
        <v/>
      </c>
      <c r="U157" s="183" t="str">
        <f t="shared" si="54"/>
        <v/>
      </c>
      <c r="V157" s="184" t="str">
        <f>IF(U157="","",IF($I$8="A",(RANK(U157,U$11:U$368)+COUNTIF(U$11:U157,U157)-1),(RANK(U157,U$11:U$368,1)+COUNTIF(U$11:U157,U157)-1)))</f>
        <v/>
      </c>
      <c r="W157" s="185"/>
      <c r="X157" s="38" t="str">
        <f>IF(L157="","",VLOOKUP($L157,classifications!$C:$J,6,FALSE))</f>
        <v/>
      </c>
      <c r="Y157" s="26" t="b">
        <f t="shared" si="55"/>
        <v>0</v>
      </c>
      <c r="Z157" s="34" t="e">
        <f>IF(Y157="","",IF(I$8="A",(RANK(Y157,Y$11:Y$368,1)+COUNTIF(Y$11:Y157,Y157)-1),(RANK(Y157,Y$11:Y$368)+COUNTIF(Y$11:Y157,Y157)-1)))</f>
        <v>#N/A</v>
      </c>
      <c r="AA157" s="188" t="str">
        <f>IF(L157="","",VLOOKUP($L157,classifications!C:I,7,FALSE))</f>
        <v/>
      </c>
      <c r="AB157" s="184" t="str">
        <f t="shared" si="63"/>
        <v/>
      </c>
      <c r="AC157" s="184" t="str">
        <f>IF(AB157="","",IF($I$8="A",(RANK(AB157,AB$11:AB$368)+COUNTIF(AB$11:AB157,AB157)-1),(RANK(AB157,AB$11:AB$368,1)+COUNTIF(AB$11:AB157,AB157)-1)))</f>
        <v/>
      </c>
      <c r="AD157" s="184"/>
      <c r="AE157" s="28" t="str">
        <f t="shared" si="49"/>
        <v/>
      </c>
      <c r="AG157" s="96"/>
      <c r="AH157" s="29"/>
      <c r="AI157" s="38" t="str">
        <f>IF(L157="","",VLOOKUP($L157,classifications!$C:$J,8,FALSE))</f>
        <v/>
      </c>
      <c r="AJ157" s="39" t="str">
        <f t="shared" si="56"/>
        <v/>
      </c>
      <c r="AK157" s="34" t="str">
        <f>IF(AJ157="","",IF(I$8="A",(RANK(AJ157,AJ$11:AJ$368,1)+COUNTIF(AJ$11:AJ157,AJ157)-1),(RANK(AJ157,AJ$11:AJ$368)+COUNTIF(AJ$11:AJ157,AJ157)-1)))</f>
        <v/>
      </c>
      <c r="AL157" s="29" t="str">
        <f t="shared" si="64"/>
        <v/>
      </c>
      <c r="AM157" s="8" t="str">
        <f t="shared" si="57"/>
        <v/>
      </c>
      <c r="AN157" s="8" t="str">
        <f t="shared" si="65"/>
        <v/>
      </c>
      <c r="AP157" s="38" t="str">
        <f>IF(L157="","",VLOOKUP($L157,classifications!$C:$E,3,FALSE))</f>
        <v/>
      </c>
      <c r="AQ157" s="39" t="str">
        <f t="shared" si="66"/>
        <v/>
      </c>
      <c r="AR157" s="34" t="str">
        <f>IF(AQ157="","",IF(I$8="A",(RANK(AQ157,AQ$11:AQ$368,1)+COUNTIF(AQ$11:AQ157,AQ157)-1),(RANK(AQ157,AQ$11:AQ$368)+COUNTIF(AQ$11:AQ157,AQ157)-1)))</f>
        <v/>
      </c>
      <c r="AS157" s="29" t="str">
        <f t="shared" si="67"/>
        <v/>
      </c>
      <c r="AT157" s="34" t="str">
        <f t="shared" si="58"/>
        <v/>
      </c>
      <c r="AU157" s="39" t="str">
        <f t="shared" si="71"/>
        <v/>
      </c>
      <c r="AX157" s="21">
        <f>HLOOKUP($AX$9&amp;$AX$10,Data!$A$1:$ZZ$2000,(MATCH($C157,Data!$A$1:$A$2000,0)),FALSE)</f>
        <v>15.947905146206715</v>
      </c>
      <c r="AY157" s="103"/>
      <c r="AZ157" s="21"/>
    </row>
    <row r="158" spans="1:52">
      <c r="A158" s="56" t="str">
        <f>$D$1&amp;148</f>
        <v>SC148</v>
      </c>
      <c r="B158" s="57">
        <f>IF(ISERROR(VLOOKUP(A158,classifications!A:C,3,FALSE)),0,VLOOKUP(A158,classifications!A:C,3,FALSE))</f>
        <v>0</v>
      </c>
      <c r="C158" s="8" t="s">
        <v>88</v>
      </c>
      <c r="D158" s="26" t="str">
        <f>VLOOKUP($C158,classifications!$C:$J,4,FALSE)</f>
        <v>SD</v>
      </c>
      <c r="E158" s="26" t="str">
        <f>VLOOKUP(C158,classifications!C:K,9,FALSE)</f>
        <v>Sparse</v>
      </c>
      <c r="F158" s="36">
        <f t="shared" si="50"/>
        <v>17.117697488870427</v>
      </c>
      <c r="G158" s="71"/>
      <c r="H158" s="37" t="str">
        <f t="shared" si="51"/>
        <v/>
      </c>
      <c r="I158" s="77" t="str">
        <f>IF(H158="","",IF($I$8="A",(RANK(H158,H$11:H$368,1)+COUNTIF(H$11:H158,H158)-1),(RANK(H158,H$11:H$368)+COUNTIF(H$11:H158,H158)-1)))</f>
        <v/>
      </c>
      <c r="J158" s="35"/>
      <c r="K158" s="28" t="str">
        <f t="shared" si="59"/>
        <v/>
      </c>
      <c r="L158" s="36" t="str">
        <f t="shared" si="52"/>
        <v/>
      </c>
      <c r="M158" s="102" t="str">
        <f t="shared" si="60"/>
        <v/>
      </c>
      <c r="N158" s="101" t="str">
        <f t="shared" si="61"/>
        <v/>
      </c>
      <c r="O158" s="94" t="str">
        <f t="shared" si="53"/>
        <v/>
      </c>
      <c r="P158" s="94" t="str">
        <f t="shared" si="68"/>
        <v/>
      </c>
      <c r="Q158" s="94" t="str">
        <f t="shared" si="69"/>
        <v/>
      </c>
      <c r="R158" s="90" t="str">
        <f t="shared" si="70"/>
        <v/>
      </c>
      <c r="S158" s="37" t="str">
        <f t="shared" si="62"/>
        <v/>
      </c>
      <c r="T158" s="176" t="str">
        <f>IF(L158="","",VLOOKUP(L158,classifications!C:K,9,FALSE))</f>
        <v/>
      </c>
      <c r="U158" s="183" t="str">
        <f t="shared" si="54"/>
        <v/>
      </c>
      <c r="V158" s="184" t="str">
        <f>IF(U158="","",IF($I$8="A",(RANK(U158,U$11:U$368)+COUNTIF(U$11:U158,U158)-1),(RANK(U158,U$11:U$368,1)+COUNTIF(U$11:U158,U158)-1)))</f>
        <v/>
      </c>
      <c r="W158" s="185"/>
      <c r="X158" s="38" t="str">
        <f>IF(L158="","",VLOOKUP($L158,classifications!$C:$J,6,FALSE))</f>
        <v/>
      </c>
      <c r="Y158" s="26" t="b">
        <f t="shared" si="55"/>
        <v>0</v>
      </c>
      <c r="Z158" s="34" t="e">
        <f>IF(Y158="","",IF(I$8="A",(RANK(Y158,Y$11:Y$368,1)+COUNTIF(Y$11:Y158,Y158)-1),(RANK(Y158,Y$11:Y$368)+COUNTIF(Y$11:Y158,Y158)-1)))</f>
        <v>#N/A</v>
      </c>
      <c r="AA158" s="188" t="str">
        <f>IF(L158="","",VLOOKUP($L158,classifications!C:I,7,FALSE))</f>
        <v/>
      </c>
      <c r="AB158" s="184" t="str">
        <f t="shared" si="63"/>
        <v/>
      </c>
      <c r="AC158" s="184" t="str">
        <f>IF(AB158="","",IF($I$8="A",(RANK(AB158,AB$11:AB$368)+COUNTIF(AB$11:AB158,AB158)-1),(RANK(AB158,AB$11:AB$368,1)+COUNTIF(AB$11:AB158,AB158)-1)))</f>
        <v/>
      </c>
      <c r="AD158" s="184"/>
      <c r="AE158" s="28" t="str">
        <f t="shared" si="49"/>
        <v/>
      </c>
      <c r="AG158" s="96"/>
      <c r="AH158" s="29"/>
      <c r="AI158" s="38" t="str">
        <f>IF(L158="","",VLOOKUP($L158,classifications!$C:$J,8,FALSE))</f>
        <v/>
      </c>
      <c r="AJ158" s="39" t="str">
        <f t="shared" si="56"/>
        <v/>
      </c>
      <c r="AK158" s="34" t="str">
        <f>IF(AJ158="","",IF(I$8="A",(RANK(AJ158,AJ$11:AJ$368,1)+COUNTIF(AJ$11:AJ158,AJ158)-1),(RANK(AJ158,AJ$11:AJ$368)+COUNTIF(AJ$11:AJ158,AJ158)-1)))</f>
        <v/>
      </c>
      <c r="AL158" s="29" t="str">
        <f t="shared" si="64"/>
        <v/>
      </c>
      <c r="AM158" s="8" t="str">
        <f t="shared" si="57"/>
        <v/>
      </c>
      <c r="AN158" s="8" t="str">
        <f t="shared" si="65"/>
        <v/>
      </c>
      <c r="AP158" s="38" t="str">
        <f>IF(L158="","",VLOOKUP($L158,classifications!$C:$E,3,FALSE))</f>
        <v/>
      </c>
      <c r="AQ158" s="39" t="str">
        <f t="shared" si="66"/>
        <v/>
      </c>
      <c r="AR158" s="34" t="str">
        <f>IF(AQ158="","",IF(I$8="A",(RANK(AQ158,AQ$11:AQ$368,1)+COUNTIF(AQ$11:AQ158,AQ158)-1),(RANK(AQ158,AQ$11:AQ$368)+COUNTIF(AQ$11:AQ158,AQ158)-1)))</f>
        <v/>
      </c>
      <c r="AS158" s="29" t="str">
        <f t="shared" si="67"/>
        <v/>
      </c>
      <c r="AT158" s="34" t="str">
        <f t="shared" si="58"/>
        <v/>
      </c>
      <c r="AU158" s="39" t="str">
        <f t="shared" si="71"/>
        <v/>
      </c>
      <c r="AX158" s="21">
        <f>HLOOKUP($AX$9&amp;$AX$10,Data!$A$1:$ZZ$2000,(MATCH($C158,Data!$A$1:$A$2000,0)),FALSE)</f>
        <v>17.117697488870427</v>
      </c>
      <c r="AY158" s="103"/>
      <c r="AZ158" s="21"/>
    </row>
    <row r="159" spans="1:52">
      <c r="A159" s="56" t="str">
        <f>$D$1&amp;149</f>
        <v>SC149</v>
      </c>
      <c r="B159" s="57">
        <f>IF(ISERROR(VLOOKUP(A159,classifications!A:C,3,FALSE)),0,VLOOKUP(A159,classifications!A:C,3,FALSE))</f>
        <v>0</v>
      </c>
      <c r="C159" s="8" t="s">
        <v>89</v>
      </c>
      <c r="D159" s="26" t="str">
        <f>VLOOKUP($C159,classifications!$C:$J,4,FALSE)</f>
        <v>SD</v>
      </c>
      <c r="E159" s="26">
        <f>VLOOKUP(C159,classifications!C:K,9,FALSE)</f>
        <v>0</v>
      </c>
      <c r="F159" s="36">
        <f t="shared" si="50"/>
        <v>8.0346026888385378</v>
      </c>
      <c r="G159" s="71"/>
      <c r="H159" s="37" t="str">
        <f t="shared" si="51"/>
        <v/>
      </c>
      <c r="I159" s="77" t="str">
        <f>IF(H159="","",IF($I$8="A",(RANK(H159,H$11:H$368,1)+COUNTIF(H$11:H159,H159)-1),(RANK(H159,H$11:H$368)+COUNTIF(H$11:H159,H159)-1)))</f>
        <v/>
      </c>
      <c r="J159" s="35"/>
      <c r="K159" s="28" t="str">
        <f t="shared" si="59"/>
        <v/>
      </c>
      <c r="L159" s="36" t="str">
        <f t="shared" si="52"/>
        <v/>
      </c>
      <c r="M159" s="102" t="str">
        <f t="shared" si="60"/>
        <v/>
      </c>
      <c r="N159" s="101" t="str">
        <f t="shared" si="61"/>
        <v/>
      </c>
      <c r="O159" s="94" t="str">
        <f t="shared" si="53"/>
        <v/>
      </c>
      <c r="P159" s="94" t="str">
        <f t="shared" si="68"/>
        <v/>
      </c>
      <c r="Q159" s="94" t="str">
        <f t="shared" si="69"/>
        <v/>
      </c>
      <c r="R159" s="90" t="str">
        <f t="shared" si="70"/>
        <v/>
      </c>
      <c r="S159" s="37" t="str">
        <f t="shared" si="62"/>
        <v/>
      </c>
      <c r="T159" s="176" t="str">
        <f>IF(L159="","",VLOOKUP(L159,classifications!C:K,9,FALSE))</f>
        <v/>
      </c>
      <c r="U159" s="183" t="str">
        <f t="shared" si="54"/>
        <v/>
      </c>
      <c r="V159" s="184" t="str">
        <f>IF(U159="","",IF($I$8="A",(RANK(U159,U$11:U$368)+COUNTIF(U$11:U159,U159)-1),(RANK(U159,U$11:U$368,1)+COUNTIF(U$11:U159,U159)-1)))</f>
        <v/>
      </c>
      <c r="W159" s="185"/>
      <c r="X159" s="38" t="str">
        <f>IF(L159="","",VLOOKUP($L159,classifications!$C:$J,6,FALSE))</f>
        <v/>
      </c>
      <c r="Y159" s="26" t="b">
        <f t="shared" si="55"/>
        <v>0</v>
      </c>
      <c r="Z159" s="34" t="e">
        <f>IF(Y159="","",IF(I$8="A",(RANK(Y159,Y$11:Y$368,1)+COUNTIF(Y$11:Y159,Y159)-1),(RANK(Y159,Y$11:Y$368)+COUNTIF(Y$11:Y159,Y159)-1)))</f>
        <v>#N/A</v>
      </c>
      <c r="AA159" s="188" t="str">
        <f>IF(L159="","",VLOOKUP($L159,classifications!C:I,7,FALSE))</f>
        <v/>
      </c>
      <c r="AB159" s="184" t="str">
        <f t="shared" si="63"/>
        <v/>
      </c>
      <c r="AC159" s="184" t="str">
        <f>IF(AB159="","",IF($I$8="A",(RANK(AB159,AB$11:AB$368)+COUNTIF(AB$11:AB159,AB159)-1),(RANK(AB159,AB$11:AB$368,1)+COUNTIF(AB$11:AB159,AB159)-1)))</f>
        <v/>
      </c>
      <c r="AD159" s="184"/>
      <c r="AE159" s="28" t="str">
        <f t="shared" si="49"/>
        <v/>
      </c>
      <c r="AG159" s="96"/>
      <c r="AH159" s="29"/>
      <c r="AI159" s="38" t="str">
        <f>IF(L159="","",VLOOKUP($L159,classifications!$C:$J,8,FALSE))</f>
        <v/>
      </c>
      <c r="AJ159" s="39" t="str">
        <f t="shared" si="56"/>
        <v/>
      </c>
      <c r="AK159" s="34" t="str">
        <f>IF(AJ159="","",IF(I$8="A",(RANK(AJ159,AJ$11:AJ$368,1)+COUNTIF(AJ$11:AJ159,AJ159)-1),(RANK(AJ159,AJ$11:AJ$368)+COUNTIF(AJ$11:AJ159,AJ159)-1)))</f>
        <v/>
      </c>
      <c r="AL159" s="29" t="str">
        <f t="shared" si="64"/>
        <v/>
      </c>
      <c r="AM159" s="8" t="str">
        <f t="shared" si="57"/>
        <v/>
      </c>
      <c r="AN159" s="8" t="str">
        <f t="shared" si="65"/>
        <v/>
      </c>
      <c r="AP159" s="38" t="str">
        <f>IF(L159="","",VLOOKUP($L159,classifications!$C:$E,3,FALSE))</f>
        <v/>
      </c>
      <c r="AQ159" s="39" t="str">
        <f t="shared" si="66"/>
        <v/>
      </c>
      <c r="AR159" s="34" t="str">
        <f>IF(AQ159="","",IF(I$8="A",(RANK(AQ159,AQ$11:AQ$368,1)+COUNTIF(AQ$11:AQ159,AQ159)-1),(RANK(AQ159,AQ$11:AQ$368)+COUNTIF(AQ$11:AQ159,AQ159)-1)))</f>
        <v/>
      </c>
      <c r="AS159" s="29" t="str">
        <f t="shared" si="67"/>
        <v/>
      </c>
      <c r="AT159" s="34" t="str">
        <f t="shared" si="58"/>
        <v/>
      </c>
      <c r="AU159" s="39" t="str">
        <f t="shared" si="71"/>
        <v/>
      </c>
      <c r="AX159" s="21">
        <f>HLOOKUP($AX$9&amp;$AX$10,Data!$A$1:$ZZ$2000,(MATCH($C159,Data!$A$1:$A$2000,0)),FALSE)</f>
        <v>8.0346026888385378</v>
      </c>
      <c r="AY159" s="103"/>
      <c r="AZ159" s="21"/>
    </row>
    <row r="160" spans="1:52">
      <c r="A160" s="56" t="str">
        <f>$D$1&amp;150</f>
        <v>SC150</v>
      </c>
      <c r="B160" s="57">
        <f>IF(ISERROR(VLOOKUP(A160,classifications!A:C,3,FALSE)),0,VLOOKUP(A160,classifications!A:C,3,FALSE))</f>
        <v>0</v>
      </c>
      <c r="C160" s="8" t="s">
        <v>90</v>
      </c>
      <c r="D160" s="26" t="str">
        <f>VLOOKUP($C160,classifications!$C:$J,4,FALSE)</f>
        <v>SD</v>
      </c>
      <c r="E160" s="26">
        <f>VLOOKUP(C160,classifications!C:K,9,FALSE)</f>
        <v>0</v>
      </c>
      <c r="F160" s="36">
        <f t="shared" si="50"/>
        <v>17.894318722837387</v>
      </c>
      <c r="G160" s="71"/>
      <c r="H160" s="37" t="str">
        <f t="shared" si="51"/>
        <v/>
      </c>
      <c r="I160" s="77" t="str">
        <f>IF(H160="","",IF($I$8="A",(RANK(H160,H$11:H$368,1)+COUNTIF(H$11:H160,H160)-1),(RANK(H160,H$11:H$368)+COUNTIF(H$11:H160,H160)-1)))</f>
        <v/>
      </c>
      <c r="J160" s="35"/>
      <c r="K160" s="28" t="str">
        <f t="shared" si="59"/>
        <v/>
      </c>
      <c r="L160" s="36" t="str">
        <f t="shared" si="52"/>
        <v/>
      </c>
      <c r="M160" s="102" t="str">
        <f t="shared" si="60"/>
        <v/>
      </c>
      <c r="N160" s="101" t="str">
        <f t="shared" si="61"/>
        <v/>
      </c>
      <c r="O160" s="94" t="str">
        <f t="shared" si="53"/>
        <v/>
      </c>
      <c r="P160" s="94" t="str">
        <f t="shared" si="68"/>
        <v/>
      </c>
      <c r="Q160" s="94" t="str">
        <f t="shared" si="69"/>
        <v/>
      </c>
      <c r="R160" s="90" t="str">
        <f t="shared" si="70"/>
        <v/>
      </c>
      <c r="S160" s="37" t="str">
        <f t="shared" si="62"/>
        <v/>
      </c>
      <c r="T160" s="176" t="str">
        <f>IF(L160="","",VLOOKUP(L160,classifications!C:K,9,FALSE))</f>
        <v/>
      </c>
      <c r="U160" s="183" t="str">
        <f t="shared" si="54"/>
        <v/>
      </c>
      <c r="V160" s="184" t="str">
        <f>IF(U160="","",IF($I$8="A",(RANK(U160,U$11:U$368)+COUNTIF(U$11:U160,U160)-1),(RANK(U160,U$11:U$368,1)+COUNTIF(U$11:U160,U160)-1)))</f>
        <v/>
      </c>
      <c r="W160" s="185"/>
      <c r="X160" s="38" t="str">
        <f>IF(L160="","",VLOOKUP($L160,classifications!$C:$J,6,FALSE))</f>
        <v/>
      </c>
      <c r="Y160" s="26" t="b">
        <f t="shared" si="55"/>
        <v>0</v>
      </c>
      <c r="Z160" s="34" t="e">
        <f>IF(Y160="","",IF(I$8="A",(RANK(Y160,Y$11:Y$368,1)+COUNTIF(Y$11:Y160,Y160)-1),(RANK(Y160,Y$11:Y$368)+COUNTIF(Y$11:Y160,Y160)-1)))</f>
        <v>#N/A</v>
      </c>
      <c r="AA160" s="188" t="str">
        <f>IF(L160="","",VLOOKUP($L160,classifications!C:I,7,FALSE))</f>
        <v/>
      </c>
      <c r="AB160" s="184" t="str">
        <f t="shared" si="63"/>
        <v/>
      </c>
      <c r="AC160" s="184" t="str">
        <f>IF(AB160="","",IF($I$8="A",(RANK(AB160,AB$11:AB$368)+COUNTIF(AB$11:AB160,AB160)-1),(RANK(AB160,AB$11:AB$368,1)+COUNTIF(AB$11:AB160,AB160)-1)))</f>
        <v/>
      </c>
      <c r="AD160" s="184"/>
      <c r="AE160" s="28" t="str">
        <f t="shared" si="49"/>
        <v/>
      </c>
      <c r="AG160" s="96"/>
      <c r="AH160" s="29"/>
      <c r="AI160" s="38" t="str">
        <f>IF(L160="","",VLOOKUP($L160,classifications!$C:$J,8,FALSE))</f>
        <v/>
      </c>
      <c r="AJ160" s="39" t="str">
        <f t="shared" si="56"/>
        <v/>
      </c>
      <c r="AK160" s="34" t="str">
        <f>IF(AJ160="","",IF(I$8="A",(RANK(AJ160,AJ$11:AJ$368,1)+COUNTIF(AJ$11:AJ160,AJ160)-1),(RANK(AJ160,AJ$11:AJ$368)+COUNTIF(AJ$11:AJ160,AJ160)-1)))</f>
        <v/>
      </c>
      <c r="AL160" s="29" t="str">
        <f t="shared" si="64"/>
        <v/>
      </c>
      <c r="AM160" s="8" t="str">
        <f t="shared" si="57"/>
        <v/>
      </c>
      <c r="AN160" s="8" t="str">
        <f t="shared" si="65"/>
        <v/>
      </c>
      <c r="AP160" s="38" t="str">
        <f>IF(L160="","",VLOOKUP($L160,classifications!$C:$E,3,FALSE))</f>
        <v/>
      </c>
      <c r="AQ160" s="39" t="str">
        <f t="shared" si="66"/>
        <v/>
      </c>
      <c r="AR160" s="34" t="str">
        <f>IF(AQ160="","",IF(I$8="A",(RANK(AQ160,AQ$11:AQ$368,1)+COUNTIF(AQ$11:AQ160,AQ160)-1),(RANK(AQ160,AQ$11:AQ$368)+COUNTIF(AQ$11:AQ160,AQ160)-1)))</f>
        <v/>
      </c>
      <c r="AS160" s="29" t="str">
        <f t="shared" si="67"/>
        <v/>
      </c>
      <c r="AT160" s="34" t="str">
        <f t="shared" si="58"/>
        <v/>
      </c>
      <c r="AU160" s="39" t="str">
        <f t="shared" si="71"/>
        <v/>
      </c>
      <c r="AX160" s="21">
        <f>HLOOKUP($AX$9&amp;$AX$10,Data!$A$1:$ZZ$2000,(MATCH($C160,Data!$A$1:$A$2000,0)),FALSE)</f>
        <v>17.894318722837387</v>
      </c>
      <c r="AY160" s="103"/>
      <c r="AZ160" s="21"/>
    </row>
    <row r="161" spans="1:52">
      <c r="A161" s="56" t="str">
        <f>$D$1&amp;151</f>
        <v>SC151</v>
      </c>
      <c r="B161" s="57">
        <f>IF(ISERROR(VLOOKUP(A161,classifications!A:C,3,FALSE)),0,VLOOKUP(A161,classifications!A:C,3,FALSE))</f>
        <v>0</v>
      </c>
      <c r="C161" s="8" t="s">
        <v>270</v>
      </c>
      <c r="D161" s="26" t="str">
        <f>VLOOKUP($C161,classifications!$C:$J,4,FALSE)</f>
        <v>UA</v>
      </c>
      <c r="E161" s="26" t="str">
        <f>VLOOKUP(C161,classifications!C:K,9,FALSE)</f>
        <v>Sparse</v>
      </c>
      <c r="F161" s="36">
        <f t="shared" si="50"/>
        <v>14.945418266973357</v>
      </c>
      <c r="G161" s="71"/>
      <c r="H161" s="37" t="str">
        <f t="shared" si="51"/>
        <v/>
      </c>
      <c r="I161" s="77" t="str">
        <f>IF(H161="","",IF($I$8="A",(RANK(H161,H$11:H$368,1)+COUNTIF(H$11:H161,H161)-1),(RANK(H161,H$11:H$368)+COUNTIF(H$11:H161,H161)-1)))</f>
        <v/>
      </c>
      <c r="J161" s="35"/>
      <c r="K161" s="28" t="str">
        <f t="shared" si="59"/>
        <v/>
      </c>
      <c r="L161" s="36" t="str">
        <f t="shared" si="52"/>
        <v/>
      </c>
      <c r="M161" s="102" t="str">
        <f t="shared" si="60"/>
        <v/>
      </c>
      <c r="N161" s="101" t="str">
        <f t="shared" si="61"/>
        <v/>
      </c>
      <c r="O161" s="94" t="str">
        <f t="shared" si="53"/>
        <v/>
      </c>
      <c r="P161" s="94" t="str">
        <f t="shared" si="68"/>
        <v/>
      </c>
      <c r="Q161" s="94" t="str">
        <f t="shared" si="69"/>
        <v/>
      </c>
      <c r="R161" s="90" t="str">
        <f t="shared" si="70"/>
        <v/>
      </c>
      <c r="S161" s="37" t="str">
        <f t="shared" si="62"/>
        <v/>
      </c>
      <c r="T161" s="176" t="str">
        <f>IF(L161="","",VLOOKUP(L161,classifications!C:K,9,FALSE))</f>
        <v/>
      </c>
      <c r="U161" s="183" t="str">
        <f t="shared" si="54"/>
        <v/>
      </c>
      <c r="V161" s="184" t="str">
        <f>IF(U161="","",IF($I$8="A",(RANK(U161,U$11:U$368)+COUNTIF(U$11:U161,U161)-1),(RANK(U161,U$11:U$368,1)+COUNTIF(U$11:U161,U161)-1)))</f>
        <v/>
      </c>
      <c r="W161" s="185"/>
      <c r="X161" s="38" t="str">
        <f>IF(L161="","",VLOOKUP($L161,classifications!$C:$J,6,FALSE))</f>
        <v/>
      </c>
      <c r="Y161" s="26" t="b">
        <f t="shared" si="55"/>
        <v>0</v>
      </c>
      <c r="Z161" s="34" t="e">
        <f>IF(Y161="","",IF(I$8="A",(RANK(Y161,Y$11:Y$368,1)+COUNTIF(Y$11:Y161,Y161)-1),(RANK(Y161,Y$11:Y$368)+COUNTIF(Y$11:Y161,Y161)-1)))</f>
        <v>#N/A</v>
      </c>
      <c r="AA161" s="188" t="str">
        <f>IF(L161="","",VLOOKUP($L161,classifications!C:I,7,FALSE))</f>
        <v/>
      </c>
      <c r="AB161" s="184" t="str">
        <f t="shared" si="63"/>
        <v/>
      </c>
      <c r="AC161" s="184" t="str">
        <f>IF(AB161="","",IF($I$8="A",(RANK(AB161,AB$11:AB$368)+COUNTIF(AB$11:AB161,AB161)-1),(RANK(AB161,AB$11:AB$368,1)+COUNTIF(AB$11:AB161,AB161)-1)))</f>
        <v/>
      </c>
      <c r="AD161" s="184"/>
      <c r="AE161" s="28" t="str">
        <f t="shared" si="49"/>
        <v/>
      </c>
      <c r="AG161" s="96"/>
      <c r="AH161" s="29"/>
      <c r="AI161" s="38" t="str">
        <f>IF(L161="","",VLOOKUP($L161,classifications!$C:$J,8,FALSE))</f>
        <v/>
      </c>
      <c r="AJ161" s="39" t="str">
        <f t="shared" si="56"/>
        <v/>
      </c>
      <c r="AK161" s="34" t="str">
        <f>IF(AJ161="","",IF(I$8="A",(RANK(AJ161,AJ$11:AJ$368,1)+COUNTIF(AJ$11:AJ161,AJ161)-1),(RANK(AJ161,AJ$11:AJ$368)+COUNTIF(AJ$11:AJ161,AJ161)-1)))</f>
        <v/>
      </c>
      <c r="AL161" s="29" t="str">
        <f t="shared" si="64"/>
        <v/>
      </c>
      <c r="AM161" s="8" t="str">
        <f t="shared" si="57"/>
        <v/>
      </c>
      <c r="AN161" s="8" t="str">
        <f t="shared" si="65"/>
        <v/>
      </c>
      <c r="AP161" s="38" t="str">
        <f>IF(L161="","",VLOOKUP($L161,classifications!$C:$E,3,FALSE))</f>
        <v/>
      </c>
      <c r="AQ161" s="39" t="str">
        <f t="shared" si="66"/>
        <v/>
      </c>
      <c r="AR161" s="34" t="str">
        <f>IF(AQ161="","",IF(I$8="A",(RANK(AQ161,AQ$11:AQ$368,1)+COUNTIF(AQ$11:AQ161,AQ161)-1),(RANK(AQ161,AQ$11:AQ$368)+COUNTIF(AQ$11:AQ161,AQ161)-1)))</f>
        <v/>
      </c>
      <c r="AS161" s="29" t="str">
        <f t="shared" si="67"/>
        <v/>
      </c>
      <c r="AT161" s="34" t="str">
        <f t="shared" si="58"/>
        <v/>
      </c>
      <c r="AU161" s="39" t="str">
        <f t="shared" si="71"/>
        <v/>
      </c>
      <c r="AX161" s="21">
        <f>HLOOKUP($AX$9&amp;$AX$10,Data!$A$1:$ZZ$2000,(MATCH($C161,Data!$A$1:$A$2000,0)),FALSE)</f>
        <v>14.945418266973357</v>
      </c>
      <c r="AY161" s="103"/>
      <c r="AZ161" s="21"/>
    </row>
    <row r="162" spans="1:52">
      <c r="A162" s="56" t="str">
        <f>$D$1&amp;152</f>
        <v>SC152</v>
      </c>
      <c r="B162" s="57">
        <f>IF(ISERROR(VLOOKUP(A162,classifications!A:C,3,FALSE)),0,VLOOKUP(A162,classifications!A:C,3,FALSE))</f>
        <v>0</v>
      </c>
      <c r="C162" s="8" t="s">
        <v>2</v>
      </c>
      <c r="D162" s="26">
        <f>VLOOKUP($C162,classifications!$C:$J,4,FALSE)</f>
        <v>0</v>
      </c>
      <c r="E162" s="26">
        <f>VLOOKUP(C162,classifications!C:K,9,FALSE)</f>
        <v>0</v>
      </c>
      <c r="F162" s="36">
        <f t="shared" si="50"/>
        <v>35.150923397790166</v>
      </c>
      <c r="G162" s="71"/>
      <c r="H162" s="37" t="str">
        <f t="shared" si="51"/>
        <v/>
      </c>
      <c r="I162" s="77" t="str">
        <f>IF(H162="","",IF($I$8="A",(RANK(H162,H$11:H$368,1)+COUNTIF(H$11:H162,H162)-1),(RANK(H162,H$11:H$368)+COUNTIF(H$11:H162,H162)-1)))</f>
        <v/>
      </c>
      <c r="J162" s="35"/>
      <c r="K162" s="28" t="str">
        <f t="shared" si="59"/>
        <v/>
      </c>
      <c r="L162" s="36" t="str">
        <f t="shared" si="52"/>
        <v/>
      </c>
      <c r="M162" s="102" t="str">
        <f t="shared" si="60"/>
        <v/>
      </c>
      <c r="N162" s="101" t="str">
        <f t="shared" si="61"/>
        <v/>
      </c>
      <c r="O162" s="94" t="str">
        <f t="shared" si="53"/>
        <v/>
      </c>
      <c r="P162" s="94" t="str">
        <f t="shared" si="68"/>
        <v/>
      </c>
      <c r="Q162" s="94" t="str">
        <f t="shared" si="69"/>
        <v/>
      </c>
      <c r="R162" s="90" t="str">
        <f t="shared" si="70"/>
        <v/>
      </c>
      <c r="S162" s="37" t="str">
        <f t="shared" si="62"/>
        <v/>
      </c>
      <c r="T162" s="176" t="str">
        <f>IF(L162="","",VLOOKUP(L162,classifications!C:K,9,FALSE))</f>
        <v/>
      </c>
      <c r="U162" s="183" t="str">
        <f t="shared" si="54"/>
        <v/>
      </c>
      <c r="V162" s="184" t="str">
        <f>IF(U162="","",IF($I$8="A",(RANK(U162,U$11:U$368)+COUNTIF(U$11:U162,U162)-1),(RANK(U162,U$11:U$368,1)+COUNTIF(U$11:U162,U162)-1)))</f>
        <v/>
      </c>
      <c r="W162" s="185"/>
      <c r="X162" s="38" t="str">
        <f>IF(L162="","",VLOOKUP($L162,classifications!$C:$J,6,FALSE))</f>
        <v/>
      </c>
      <c r="Y162" s="26" t="b">
        <f t="shared" si="55"/>
        <v>0</v>
      </c>
      <c r="Z162" s="34" t="e">
        <f>IF(Y162="","",IF(I$8="A",(RANK(Y162,Y$11:Y$368,1)+COUNTIF(Y$11:Y162,Y162)-1),(RANK(Y162,Y$11:Y$368)+COUNTIF(Y$11:Y162,Y162)-1)))</f>
        <v>#N/A</v>
      </c>
      <c r="AA162" s="188" t="str">
        <f>IF(L162="","",VLOOKUP($L162,classifications!C:I,7,FALSE))</f>
        <v/>
      </c>
      <c r="AB162" s="184" t="str">
        <f t="shared" si="63"/>
        <v/>
      </c>
      <c r="AC162" s="184" t="str">
        <f>IF(AB162="","",IF($I$8="A",(RANK(AB162,AB$11:AB$368)+COUNTIF(AB$11:AB162,AB162)-1),(RANK(AB162,AB$11:AB$368,1)+COUNTIF(AB$11:AB162,AB162)-1)))</f>
        <v/>
      </c>
      <c r="AD162" s="184"/>
      <c r="AE162" s="28" t="str">
        <f t="shared" si="49"/>
        <v/>
      </c>
      <c r="AG162" s="96"/>
      <c r="AH162" s="29"/>
      <c r="AI162" s="38" t="str">
        <f>IF(L162="","",VLOOKUP($L162,classifications!$C:$J,8,FALSE))</f>
        <v/>
      </c>
      <c r="AJ162" s="39" t="str">
        <f t="shared" si="56"/>
        <v/>
      </c>
      <c r="AK162" s="34" t="str">
        <f>IF(AJ162="","",IF(I$8="A",(RANK(AJ162,AJ$11:AJ$368,1)+COUNTIF(AJ$11:AJ162,AJ162)-1),(RANK(AJ162,AJ$11:AJ$368)+COUNTIF(AJ$11:AJ162,AJ162)-1)))</f>
        <v/>
      </c>
      <c r="AL162" s="29" t="str">
        <f t="shared" si="64"/>
        <v/>
      </c>
      <c r="AM162" s="8" t="str">
        <f t="shared" si="57"/>
        <v/>
      </c>
      <c r="AN162" s="8" t="str">
        <f t="shared" si="65"/>
        <v/>
      </c>
      <c r="AP162" s="38" t="str">
        <f>IF(L162="","",VLOOKUP($L162,classifications!$C:$E,3,FALSE))</f>
        <v/>
      </c>
      <c r="AQ162" s="39" t="str">
        <f t="shared" si="66"/>
        <v/>
      </c>
      <c r="AR162" s="34" t="str">
        <f>IF(AQ162="","",IF(I$8="A",(RANK(AQ162,AQ$11:AQ$368,1)+COUNTIF(AQ$11:AQ162,AQ162)-1),(RANK(AQ162,AQ$11:AQ$368)+COUNTIF(AQ$11:AQ162,AQ162)-1)))</f>
        <v/>
      </c>
      <c r="AS162" s="29" t="str">
        <f t="shared" si="67"/>
        <v/>
      </c>
      <c r="AT162" s="34" t="str">
        <f t="shared" si="58"/>
        <v/>
      </c>
      <c r="AU162" s="39" t="str">
        <f t="shared" si="71"/>
        <v/>
      </c>
      <c r="AX162" s="21">
        <f>HLOOKUP($AX$9&amp;$AX$10,Data!$A$1:$ZZ$2000,(MATCH($C162,Data!$A$1:$A$2000,0)),FALSE)</f>
        <v>35.150923397790166</v>
      </c>
      <c r="AY162" s="103"/>
      <c r="AZ162" s="21"/>
    </row>
    <row r="163" spans="1:52">
      <c r="A163" s="56" t="str">
        <f>$D$1&amp;153</f>
        <v>SC153</v>
      </c>
      <c r="B163" s="57">
        <f>IF(ISERROR(VLOOKUP(A163,classifications!A:C,3,FALSE)),0,VLOOKUP(A163,classifications!A:C,3,FALSE))</f>
        <v>0</v>
      </c>
      <c r="C163" s="8" t="s">
        <v>211</v>
      </c>
      <c r="D163" s="26" t="str">
        <f>VLOOKUP($C163,classifications!$C:$J,4,FALSE)</f>
        <v>L</v>
      </c>
      <c r="E163" s="26">
        <f>VLOOKUP(C163,classifications!C:K,9,FALSE)</f>
        <v>0</v>
      </c>
      <c r="F163" s="36">
        <f t="shared" si="50"/>
        <v>21.117252020241043</v>
      </c>
      <c r="G163" s="71"/>
      <c r="H163" s="37" t="str">
        <f t="shared" si="51"/>
        <v/>
      </c>
      <c r="I163" s="77" t="str">
        <f>IF(H163="","",IF($I$8="A",(RANK(H163,H$11:H$368,1)+COUNTIF(H$11:H163,H163)-1),(RANK(H163,H$11:H$368)+COUNTIF(H$11:H163,H163)-1)))</f>
        <v/>
      </c>
      <c r="J163" s="35"/>
      <c r="K163" s="28" t="str">
        <f t="shared" si="59"/>
        <v/>
      </c>
      <c r="L163" s="36" t="str">
        <f t="shared" si="52"/>
        <v/>
      </c>
      <c r="M163" s="102" t="str">
        <f t="shared" si="60"/>
        <v/>
      </c>
      <c r="N163" s="101" t="str">
        <f t="shared" si="61"/>
        <v/>
      </c>
      <c r="O163" s="94" t="str">
        <f t="shared" si="53"/>
        <v/>
      </c>
      <c r="P163" s="94" t="str">
        <f t="shared" si="68"/>
        <v/>
      </c>
      <c r="Q163" s="94" t="str">
        <f t="shared" si="69"/>
        <v/>
      </c>
      <c r="R163" s="90" t="str">
        <f t="shared" si="70"/>
        <v/>
      </c>
      <c r="S163" s="37" t="str">
        <f t="shared" si="62"/>
        <v/>
      </c>
      <c r="T163" s="176" t="str">
        <f>IF(L163="","",VLOOKUP(L163,classifications!C:K,9,FALSE))</f>
        <v/>
      </c>
      <c r="U163" s="183" t="str">
        <f t="shared" si="54"/>
        <v/>
      </c>
      <c r="V163" s="184" t="str">
        <f>IF(U163="","",IF($I$8="A",(RANK(U163,U$11:U$368)+COUNTIF(U$11:U163,U163)-1),(RANK(U163,U$11:U$368,1)+COUNTIF(U$11:U163,U163)-1)))</f>
        <v/>
      </c>
      <c r="W163" s="185"/>
      <c r="X163" s="38" t="str">
        <f>IF(L163="","",VLOOKUP($L163,classifications!$C:$J,6,FALSE))</f>
        <v/>
      </c>
      <c r="Y163" s="26" t="b">
        <f t="shared" si="55"/>
        <v>0</v>
      </c>
      <c r="Z163" s="34" t="e">
        <f>IF(Y163="","",IF(I$8="A",(RANK(Y163,Y$11:Y$368,1)+COUNTIF(Y$11:Y163,Y163)-1),(RANK(Y163,Y$11:Y$368)+COUNTIF(Y$11:Y163,Y163)-1)))</f>
        <v>#N/A</v>
      </c>
      <c r="AA163" s="188" t="str">
        <f>IF(L163="","",VLOOKUP($L163,classifications!C:I,7,FALSE))</f>
        <v/>
      </c>
      <c r="AB163" s="184" t="str">
        <f t="shared" si="63"/>
        <v/>
      </c>
      <c r="AC163" s="184" t="str">
        <f>IF(AB163="","",IF($I$8="A",(RANK(AB163,AB$11:AB$368)+COUNTIF(AB$11:AB163,AB163)-1),(RANK(AB163,AB$11:AB$368,1)+COUNTIF(AB$11:AB163,AB163)-1)))</f>
        <v/>
      </c>
      <c r="AD163" s="184"/>
      <c r="AE163" s="28" t="str">
        <f t="shared" ref="AE163:AE226" si="72">IF(AE162="","",IF(AE162+1&gt;(COUNT(AG:AG)),"",AE162+1))</f>
        <v/>
      </c>
      <c r="AG163" s="96"/>
      <c r="AH163" s="29"/>
      <c r="AI163" s="38" t="str">
        <f>IF(L163="","",VLOOKUP($L163,classifications!$C:$J,8,FALSE))</f>
        <v/>
      </c>
      <c r="AJ163" s="39" t="str">
        <f t="shared" si="56"/>
        <v/>
      </c>
      <c r="AK163" s="34" t="str">
        <f>IF(AJ163="","",IF(I$8="A",(RANK(AJ163,AJ$11:AJ$368,1)+COUNTIF(AJ$11:AJ163,AJ163)-1),(RANK(AJ163,AJ$11:AJ$368)+COUNTIF(AJ$11:AJ163,AJ163)-1)))</f>
        <v/>
      </c>
      <c r="AL163" s="29" t="str">
        <f t="shared" si="64"/>
        <v/>
      </c>
      <c r="AM163" s="8" t="str">
        <f t="shared" si="57"/>
        <v/>
      </c>
      <c r="AN163" s="8" t="str">
        <f t="shared" si="65"/>
        <v/>
      </c>
      <c r="AP163" s="38" t="str">
        <f>IF(L163="","",VLOOKUP($L163,classifications!$C:$E,3,FALSE))</f>
        <v/>
      </c>
      <c r="AQ163" s="39" t="str">
        <f t="shared" si="66"/>
        <v/>
      </c>
      <c r="AR163" s="34" t="str">
        <f>IF(AQ163="","",IF(I$8="A",(RANK(AQ163,AQ$11:AQ$368,1)+COUNTIF(AQ$11:AQ163,AQ163)-1),(RANK(AQ163,AQ$11:AQ$368)+COUNTIF(AQ$11:AQ163,AQ163)-1)))</f>
        <v/>
      </c>
      <c r="AS163" s="29" t="str">
        <f t="shared" si="67"/>
        <v/>
      </c>
      <c r="AT163" s="34" t="str">
        <f t="shared" si="58"/>
        <v/>
      </c>
      <c r="AU163" s="39" t="str">
        <f t="shared" si="71"/>
        <v/>
      </c>
      <c r="AX163" s="21">
        <f>HLOOKUP($AX$9&amp;$AX$10,Data!$A$1:$ZZ$2000,(MATCH($C163,Data!$A$1:$A$2000,0)),FALSE)</f>
        <v>21.117252020241043</v>
      </c>
      <c r="AY163" s="103"/>
      <c r="AZ163" s="21"/>
    </row>
    <row r="164" spans="1:52">
      <c r="A164" s="56" t="str">
        <f>$D$1&amp;154</f>
        <v>SC154</v>
      </c>
      <c r="B164" s="57">
        <f>IF(ISERROR(VLOOKUP(A164,classifications!A:C,3,FALSE)),0,VLOOKUP(A164,classifications!A:C,3,FALSE))</f>
        <v>0</v>
      </c>
      <c r="C164" s="8" t="s">
        <v>337</v>
      </c>
      <c r="D164" s="26" t="str">
        <f>VLOOKUP($C164,classifications!$C:$J,4,FALSE)</f>
        <v>L</v>
      </c>
      <c r="E164" s="26">
        <f>VLOOKUP(C164,classifications!C:K,9,FALSE)</f>
        <v>0</v>
      </c>
      <c r="F164" s="36">
        <f t="shared" si="50"/>
        <v>15.678181053079946</v>
      </c>
      <c r="G164" s="71"/>
      <c r="H164" s="37" t="str">
        <f t="shared" si="51"/>
        <v/>
      </c>
      <c r="I164" s="77" t="str">
        <f>IF(H164="","",IF($I$8="A",(RANK(H164,H$11:H$368,1)+COUNTIF(H$11:H164,H164)-1),(RANK(H164,H$11:H$368)+COUNTIF(H$11:H164,H164)-1)))</f>
        <v/>
      </c>
      <c r="J164" s="35"/>
      <c r="K164" s="28" t="str">
        <f t="shared" si="59"/>
        <v/>
      </c>
      <c r="L164" s="36" t="str">
        <f t="shared" si="52"/>
        <v/>
      </c>
      <c r="M164" s="102" t="str">
        <f t="shared" si="60"/>
        <v/>
      </c>
      <c r="N164" s="101" t="str">
        <f t="shared" si="61"/>
        <v/>
      </c>
      <c r="O164" s="94" t="str">
        <f t="shared" si="53"/>
        <v/>
      </c>
      <c r="P164" s="94" t="str">
        <f t="shared" si="68"/>
        <v/>
      </c>
      <c r="Q164" s="94" t="str">
        <f t="shared" si="69"/>
        <v/>
      </c>
      <c r="R164" s="90" t="str">
        <f t="shared" si="70"/>
        <v/>
      </c>
      <c r="S164" s="37" t="str">
        <f t="shared" si="62"/>
        <v/>
      </c>
      <c r="T164" s="176" t="str">
        <f>IF(L164="","",VLOOKUP(L164,classifications!C:K,9,FALSE))</f>
        <v/>
      </c>
      <c r="U164" s="183" t="str">
        <f t="shared" si="54"/>
        <v/>
      </c>
      <c r="V164" s="184" t="str">
        <f>IF(U164="","",IF($I$8="A",(RANK(U164,U$11:U$368)+COUNTIF(U$11:U164,U164)-1),(RANK(U164,U$11:U$368,1)+COUNTIF(U$11:U164,U164)-1)))</f>
        <v/>
      </c>
      <c r="W164" s="185"/>
      <c r="X164" s="38" t="str">
        <f>IF(L164="","",VLOOKUP($L164,classifications!$C:$J,6,FALSE))</f>
        <v/>
      </c>
      <c r="Y164" s="26" t="b">
        <f t="shared" si="55"/>
        <v>0</v>
      </c>
      <c r="Z164" s="34" t="e">
        <f>IF(Y164="","",IF(I$8="A",(RANK(Y164,Y$11:Y$368,1)+COUNTIF(Y$11:Y164,Y164)-1),(RANK(Y164,Y$11:Y$368)+COUNTIF(Y$11:Y164,Y164)-1)))</f>
        <v>#N/A</v>
      </c>
      <c r="AA164" s="188" t="str">
        <f>IF(L164="","",VLOOKUP($L164,classifications!C:I,7,FALSE))</f>
        <v/>
      </c>
      <c r="AB164" s="184" t="str">
        <f t="shared" si="63"/>
        <v/>
      </c>
      <c r="AC164" s="184" t="str">
        <f>IF(AB164="","",IF($I$8="A",(RANK(AB164,AB$11:AB$368)+COUNTIF(AB$11:AB164,AB164)-1),(RANK(AB164,AB$11:AB$368,1)+COUNTIF(AB$11:AB164,AB164)-1)))</f>
        <v/>
      </c>
      <c r="AD164" s="184"/>
      <c r="AE164" s="28" t="str">
        <f t="shared" si="72"/>
        <v/>
      </c>
      <c r="AG164" s="96"/>
      <c r="AH164" s="29"/>
      <c r="AI164" s="38" t="str">
        <f>IF(L164="","",VLOOKUP($L164,classifications!$C:$J,8,FALSE))</f>
        <v/>
      </c>
      <c r="AJ164" s="39" t="str">
        <f t="shared" si="56"/>
        <v/>
      </c>
      <c r="AK164" s="34" t="str">
        <f>IF(AJ164="","",IF(I$8="A",(RANK(AJ164,AJ$11:AJ$368,1)+COUNTIF(AJ$11:AJ164,AJ164)-1),(RANK(AJ164,AJ$11:AJ$368)+COUNTIF(AJ$11:AJ164,AJ164)-1)))</f>
        <v/>
      </c>
      <c r="AL164" s="29" t="str">
        <f t="shared" si="64"/>
        <v/>
      </c>
      <c r="AM164" s="8" t="str">
        <f t="shared" si="57"/>
        <v/>
      </c>
      <c r="AN164" s="8" t="str">
        <f t="shared" si="65"/>
        <v/>
      </c>
      <c r="AP164" s="38" t="str">
        <f>IF(L164="","",VLOOKUP($L164,classifications!$C:$E,3,FALSE))</f>
        <v/>
      </c>
      <c r="AQ164" s="39" t="str">
        <f t="shared" si="66"/>
        <v/>
      </c>
      <c r="AR164" s="34" t="str">
        <f>IF(AQ164="","",IF(I$8="A",(RANK(AQ164,AQ$11:AQ$368,1)+COUNTIF(AQ$11:AQ164,AQ164)-1),(RANK(AQ164,AQ$11:AQ$368)+COUNTIF(AQ$11:AQ164,AQ164)-1)))</f>
        <v/>
      </c>
      <c r="AS164" s="29" t="str">
        <f t="shared" si="67"/>
        <v/>
      </c>
      <c r="AT164" s="34" t="str">
        <f t="shared" si="58"/>
        <v/>
      </c>
      <c r="AU164" s="39" t="str">
        <f t="shared" si="71"/>
        <v/>
      </c>
      <c r="AX164" s="21">
        <f>HLOOKUP($AX$9&amp;$AX$10,Data!$A$1:$ZZ$2000,(MATCH($C164,Data!$A$1:$A$2000,0)),FALSE)</f>
        <v>15.678181053079946</v>
      </c>
      <c r="AY164" s="103"/>
      <c r="AZ164" s="21"/>
    </row>
    <row r="165" spans="1:52">
      <c r="A165" s="56" t="str">
        <f>$D$1&amp;155</f>
        <v>SC155</v>
      </c>
      <c r="B165" s="57">
        <f>IF(ISERROR(VLOOKUP(A165,classifications!A:C,3,FALSE)),0,VLOOKUP(A165,classifications!A:C,3,FALSE))</f>
        <v>0</v>
      </c>
      <c r="C165" s="8" t="s">
        <v>315</v>
      </c>
      <c r="D165" s="26" t="str">
        <f>VLOOKUP($C165,classifications!$C:$J,4,FALSE)</f>
        <v>SC</v>
      </c>
      <c r="E165" s="26">
        <f>VLOOKUP(C165,classifications!C:K,9,FALSE)</f>
        <v>0</v>
      </c>
      <c r="F165" s="36">
        <f t="shared" si="50"/>
        <v>16.26259547069758</v>
      </c>
      <c r="G165" s="71"/>
      <c r="H165" s="37">
        <f t="shared" si="51"/>
        <v>16.26259547069758</v>
      </c>
      <c r="I165" s="77">
        <f>IF(H165="","",IF($I$8="A",(RANK(H165,H$11:H$368,1)+COUNTIF(H$11:H165,H165)-1),(RANK(H165,H$11:H$368)+COUNTIF(H$11:H165,H165)-1)))</f>
        <v>14</v>
      </c>
      <c r="J165" s="35"/>
      <c r="K165" s="28" t="str">
        <f t="shared" si="59"/>
        <v/>
      </c>
      <c r="L165" s="36" t="str">
        <f t="shared" si="52"/>
        <v/>
      </c>
      <c r="M165" s="102" t="str">
        <f t="shared" si="60"/>
        <v/>
      </c>
      <c r="N165" s="101" t="str">
        <f t="shared" si="61"/>
        <v/>
      </c>
      <c r="O165" s="94" t="str">
        <f t="shared" si="53"/>
        <v/>
      </c>
      <c r="P165" s="94" t="str">
        <f t="shared" si="68"/>
        <v/>
      </c>
      <c r="Q165" s="94" t="str">
        <f t="shared" si="69"/>
        <v/>
      </c>
      <c r="R165" s="90" t="str">
        <f t="shared" si="70"/>
        <v/>
      </c>
      <c r="S165" s="37" t="str">
        <f t="shared" si="62"/>
        <v/>
      </c>
      <c r="T165" s="176" t="str">
        <f>IF(L165="","",VLOOKUP(L165,classifications!C:K,9,FALSE))</f>
        <v/>
      </c>
      <c r="U165" s="183" t="str">
        <f t="shared" si="54"/>
        <v/>
      </c>
      <c r="V165" s="184" t="str">
        <f>IF(U165="","",IF($I$8="A",(RANK(U165,U$11:U$368)+COUNTIF(U$11:U165,U165)-1),(RANK(U165,U$11:U$368,1)+COUNTIF(U$11:U165,U165)-1)))</f>
        <v/>
      </c>
      <c r="W165" s="185"/>
      <c r="X165" s="38" t="str">
        <f>IF(L165="","",VLOOKUP($L165,classifications!$C:$J,6,FALSE))</f>
        <v/>
      </c>
      <c r="Y165" s="26" t="b">
        <f t="shared" si="55"/>
        <v>0</v>
      </c>
      <c r="Z165" s="34" t="e">
        <f>IF(Y165="","",IF(I$8="A",(RANK(Y165,Y$11:Y$368,1)+COUNTIF(Y$11:Y165,Y165)-1),(RANK(Y165,Y$11:Y$368)+COUNTIF(Y$11:Y165,Y165)-1)))</f>
        <v>#N/A</v>
      </c>
      <c r="AA165" s="188" t="str">
        <f>IF(L165="","",VLOOKUP($L165,classifications!C:I,7,FALSE))</f>
        <v/>
      </c>
      <c r="AB165" s="184" t="str">
        <f t="shared" si="63"/>
        <v/>
      </c>
      <c r="AC165" s="184" t="str">
        <f>IF(AB165="","",IF($I$8="A",(RANK(AB165,AB$11:AB$368)+COUNTIF(AB$11:AB165,AB165)-1),(RANK(AB165,AB$11:AB$368,1)+COUNTIF(AB$11:AB165,AB165)-1)))</f>
        <v/>
      </c>
      <c r="AD165" s="184"/>
      <c r="AE165" s="28" t="str">
        <f t="shared" si="72"/>
        <v/>
      </c>
      <c r="AG165" s="96"/>
      <c r="AH165" s="29"/>
      <c r="AI165" s="38" t="str">
        <f>IF(L165="","",VLOOKUP($L165,classifications!$C:$J,8,FALSE))</f>
        <v/>
      </c>
      <c r="AJ165" s="39" t="str">
        <f t="shared" si="56"/>
        <v/>
      </c>
      <c r="AK165" s="34" t="str">
        <f>IF(AJ165="","",IF(I$8="A",(RANK(AJ165,AJ$11:AJ$368,1)+COUNTIF(AJ$11:AJ165,AJ165)-1),(RANK(AJ165,AJ$11:AJ$368)+COUNTIF(AJ$11:AJ165,AJ165)-1)))</f>
        <v/>
      </c>
      <c r="AL165" s="29" t="str">
        <f t="shared" si="64"/>
        <v/>
      </c>
      <c r="AM165" s="8" t="str">
        <f t="shared" si="57"/>
        <v/>
      </c>
      <c r="AN165" s="8" t="str">
        <f t="shared" si="65"/>
        <v/>
      </c>
      <c r="AP165" s="38" t="str">
        <f>IF(L165="","",VLOOKUP($L165,classifications!$C:$E,3,FALSE))</f>
        <v/>
      </c>
      <c r="AQ165" s="39" t="str">
        <f t="shared" si="66"/>
        <v/>
      </c>
      <c r="AR165" s="34" t="str">
        <f>IF(AQ165="","",IF(I$8="A",(RANK(AQ165,AQ$11:AQ$368,1)+COUNTIF(AQ$11:AQ165,AQ165)-1),(RANK(AQ165,AQ$11:AQ$368)+COUNTIF(AQ$11:AQ165,AQ165)-1)))</f>
        <v/>
      </c>
      <c r="AS165" s="29" t="str">
        <f t="shared" si="67"/>
        <v/>
      </c>
      <c r="AT165" s="34" t="str">
        <f t="shared" si="58"/>
        <v/>
      </c>
      <c r="AU165" s="39" t="str">
        <f t="shared" si="71"/>
        <v/>
      </c>
      <c r="AX165" s="21">
        <f>HLOOKUP($AX$9&amp;$AX$10,Data!$A$1:$ZZ$2000,(MATCH($C165,Data!$A$1:$A$2000,0)),FALSE)</f>
        <v>16.26259547069758</v>
      </c>
      <c r="AY165" s="103"/>
      <c r="AZ165" s="21"/>
    </row>
    <row r="166" spans="1:52">
      <c r="A166" s="56" t="str">
        <f>$D$1&amp;156</f>
        <v>SC156</v>
      </c>
      <c r="B166" s="57">
        <f>IF(ISERROR(VLOOKUP(A166,classifications!A:C,3,FALSE)),0,VLOOKUP(A166,classifications!A:C,3,FALSE))</f>
        <v>0</v>
      </c>
      <c r="C166" s="8" t="s">
        <v>91</v>
      </c>
      <c r="D166" s="26" t="str">
        <f>VLOOKUP($C166,classifications!$C:$J,4,FALSE)</f>
        <v>SD</v>
      </c>
      <c r="E166" s="26">
        <f>VLOOKUP(C166,classifications!C:K,9,FALSE)</f>
        <v>0</v>
      </c>
      <c r="F166" s="36">
        <f t="shared" si="50"/>
        <v>12.747957801969298</v>
      </c>
      <c r="G166" s="71"/>
      <c r="H166" s="37" t="str">
        <f t="shared" si="51"/>
        <v/>
      </c>
      <c r="I166" s="77" t="str">
        <f>IF(H166="","",IF($I$8="A",(RANK(H166,H$11:H$368,1)+COUNTIF(H$11:H166,H166)-1),(RANK(H166,H$11:H$368)+COUNTIF(H$11:H166,H166)-1)))</f>
        <v/>
      </c>
      <c r="J166" s="35"/>
      <c r="K166" s="28" t="str">
        <f t="shared" si="59"/>
        <v/>
      </c>
      <c r="L166" s="36" t="str">
        <f t="shared" si="52"/>
        <v/>
      </c>
      <c r="M166" s="102" t="str">
        <f t="shared" si="60"/>
        <v/>
      </c>
      <c r="N166" s="101" t="str">
        <f t="shared" si="61"/>
        <v/>
      </c>
      <c r="O166" s="94" t="str">
        <f t="shared" si="53"/>
        <v/>
      </c>
      <c r="P166" s="94" t="str">
        <f t="shared" si="68"/>
        <v/>
      </c>
      <c r="Q166" s="94" t="str">
        <f t="shared" si="69"/>
        <v/>
      </c>
      <c r="R166" s="90" t="str">
        <f t="shared" si="70"/>
        <v/>
      </c>
      <c r="S166" s="37" t="str">
        <f t="shared" si="62"/>
        <v/>
      </c>
      <c r="T166" s="176" t="str">
        <f>IF(L166="","",VLOOKUP(L166,classifications!C:K,9,FALSE))</f>
        <v/>
      </c>
      <c r="U166" s="183" t="str">
        <f t="shared" si="54"/>
        <v/>
      </c>
      <c r="V166" s="184" t="str">
        <f>IF(U166="","",IF($I$8="A",(RANK(U166,U$11:U$368)+COUNTIF(U$11:U166,U166)-1),(RANK(U166,U$11:U$368,1)+COUNTIF(U$11:U166,U166)-1)))</f>
        <v/>
      </c>
      <c r="W166" s="185"/>
      <c r="X166" s="38" t="str">
        <f>IF(L166="","",VLOOKUP($L166,classifications!$C:$J,6,FALSE))</f>
        <v/>
      </c>
      <c r="Y166" s="26" t="b">
        <f t="shared" si="55"/>
        <v>0</v>
      </c>
      <c r="Z166" s="34" t="e">
        <f>IF(Y166="","",IF(I$8="A",(RANK(Y166,Y$11:Y$368,1)+COUNTIF(Y$11:Y166,Y166)-1),(RANK(Y166,Y$11:Y$368)+COUNTIF(Y$11:Y166,Y166)-1)))</f>
        <v>#N/A</v>
      </c>
      <c r="AA166" s="188" t="str">
        <f>IF(L166="","",VLOOKUP($L166,classifications!C:I,7,FALSE))</f>
        <v/>
      </c>
      <c r="AB166" s="184" t="str">
        <f t="shared" si="63"/>
        <v/>
      </c>
      <c r="AC166" s="184" t="str">
        <f>IF(AB166="","",IF($I$8="A",(RANK(AB166,AB$11:AB$368)+COUNTIF(AB$11:AB166,AB166)-1),(RANK(AB166,AB$11:AB$368,1)+COUNTIF(AB$11:AB166,AB166)-1)))</f>
        <v/>
      </c>
      <c r="AD166" s="184"/>
      <c r="AE166" s="28" t="str">
        <f t="shared" si="72"/>
        <v/>
      </c>
      <c r="AG166" s="96"/>
      <c r="AH166" s="29"/>
      <c r="AI166" s="38" t="str">
        <f>IF(L166="","",VLOOKUP($L166,classifications!$C:$J,8,FALSE))</f>
        <v/>
      </c>
      <c r="AJ166" s="39" t="str">
        <f t="shared" si="56"/>
        <v/>
      </c>
      <c r="AK166" s="34" t="str">
        <f>IF(AJ166="","",IF(I$8="A",(RANK(AJ166,AJ$11:AJ$368,1)+COUNTIF(AJ$11:AJ166,AJ166)-1),(RANK(AJ166,AJ$11:AJ$368)+COUNTIF(AJ$11:AJ166,AJ166)-1)))</f>
        <v/>
      </c>
      <c r="AL166" s="29" t="str">
        <f t="shared" si="64"/>
        <v/>
      </c>
      <c r="AM166" s="8" t="str">
        <f t="shared" si="57"/>
        <v/>
      </c>
      <c r="AN166" s="8" t="str">
        <f t="shared" si="65"/>
        <v/>
      </c>
      <c r="AP166" s="38" t="str">
        <f>IF(L166="","",VLOOKUP($L166,classifications!$C:$E,3,FALSE))</f>
        <v/>
      </c>
      <c r="AQ166" s="39" t="str">
        <f t="shared" si="66"/>
        <v/>
      </c>
      <c r="AR166" s="34" t="str">
        <f>IF(AQ166="","",IF(I$8="A",(RANK(AQ166,AQ$11:AQ$368,1)+COUNTIF(AQ$11:AQ166,AQ166)-1),(RANK(AQ166,AQ$11:AQ$368)+COUNTIF(AQ$11:AQ166,AQ166)-1)))</f>
        <v/>
      </c>
      <c r="AS166" s="29" t="str">
        <f t="shared" si="67"/>
        <v/>
      </c>
      <c r="AT166" s="34" t="str">
        <f t="shared" si="58"/>
        <v/>
      </c>
      <c r="AU166" s="39" t="str">
        <f t="shared" si="71"/>
        <v/>
      </c>
      <c r="AX166" s="21">
        <f>HLOOKUP($AX$9&amp;$AX$10,Data!$A$1:$ZZ$2000,(MATCH($C166,Data!$A$1:$A$2000,0)),FALSE)</f>
        <v>12.747957801969298</v>
      </c>
      <c r="AY166" s="103"/>
      <c r="AZ166" s="21"/>
    </row>
    <row r="167" spans="1:52">
      <c r="A167" s="56" t="str">
        <f>$D$1&amp;157</f>
        <v>SC157</v>
      </c>
      <c r="B167" s="57">
        <f>IF(ISERROR(VLOOKUP(A167,classifications!A:C,3,FALSE)),0,VLOOKUP(A167,classifications!A:C,3,FALSE))</f>
        <v>0</v>
      </c>
      <c r="C167" s="8" t="s">
        <v>377</v>
      </c>
      <c r="D167" s="26" t="str">
        <f>VLOOKUP($C167,classifications!$C:$J,4,FALSE)</f>
        <v>SD</v>
      </c>
      <c r="E167" s="26" t="str">
        <f>VLOOKUP(C167,classifications!C:K,9,FALSE)</f>
        <v>Sparse</v>
      </c>
      <c r="F167" s="36">
        <f t="shared" si="50"/>
        <v>18.768803000595355</v>
      </c>
      <c r="G167" s="71"/>
      <c r="H167" s="37" t="str">
        <f t="shared" si="51"/>
        <v/>
      </c>
      <c r="I167" s="77" t="str">
        <f>IF(H167="","",IF($I$8="A",(RANK(H167,H$11:H$368,1)+COUNTIF(H$11:H167,H167)-1),(RANK(H167,H$11:H$368)+COUNTIF(H$11:H167,H167)-1)))</f>
        <v/>
      </c>
      <c r="J167" s="35"/>
      <c r="K167" s="28" t="str">
        <f t="shared" si="59"/>
        <v/>
      </c>
      <c r="L167" s="36" t="str">
        <f t="shared" si="52"/>
        <v/>
      </c>
      <c r="M167" s="102" t="str">
        <f t="shared" si="60"/>
        <v/>
      </c>
      <c r="N167" s="101" t="str">
        <f t="shared" si="61"/>
        <v/>
      </c>
      <c r="O167" s="94" t="str">
        <f t="shared" si="53"/>
        <v/>
      </c>
      <c r="P167" s="94" t="str">
        <f t="shared" si="68"/>
        <v/>
      </c>
      <c r="Q167" s="94" t="str">
        <f t="shared" si="69"/>
        <v/>
      </c>
      <c r="R167" s="90" t="str">
        <f t="shared" si="70"/>
        <v/>
      </c>
      <c r="S167" s="37" t="str">
        <f t="shared" si="62"/>
        <v/>
      </c>
      <c r="T167" s="176" t="str">
        <f>IF(L167="","",VLOOKUP(L167,classifications!C:K,9,FALSE))</f>
        <v/>
      </c>
      <c r="U167" s="183" t="str">
        <f t="shared" si="54"/>
        <v/>
      </c>
      <c r="V167" s="184" t="str">
        <f>IF(U167="","",IF($I$8="A",(RANK(U167,U$11:U$368)+COUNTIF(U$11:U167,U167)-1),(RANK(U167,U$11:U$368,1)+COUNTIF(U$11:U167,U167)-1)))</f>
        <v/>
      </c>
      <c r="W167" s="185"/>
      <c r="X167" s="38" t="str">
        <f>IF(L167="","",VLOOKUP($L167,classifications!$C:$J,6,FALSE))</f>
        <v/>
      </c>
      <c r="Y167" s="26" t="b">
        <f t="shared" si="55"/>
        <v>0</v>
      </c>
      <c r="Z167" s="34" t="e">
        <f>IF(Y167="","",IF(I$8="A",(RANK(Y167,Y$11:Y$368,1)+COUNTIF(Y$11:Y167,Y167)-1),(RANK(Y167,Y$11:Y$368)+COUNTIF(Y$11:Y167,Y167)-1)))</f>
        <v>#N/A</v>
      </c>
      <c r="AA167" s="188" t="str">
        <f>IF(L167="","",VLOOKUP($L167,classifications!C:I,7,FALSE))</f>
        <v/>
      </c>
      <c r="AB167" s="184" t="str">
        <f t="shared" si="63"/>
        <v/>
      </c>
      <c r="AC167" s="184" t="str">
        <f>IF(AB167="","",IF($I$8="A",(RANK(AB167,AB$11:AB$368)+COUNTIF(AB$11:AB167,AB167)-1),(RANK(AB167,AB$11:AB$368,1)+COUNTIF(AB$11:AB167,AB167)-1)))</f>
        <v/>
      </c>
      <c r="AD167" s="184"/>
      <c r="AE167" s="28" t="str">
        <f t="shared" si="72"/>
        <v/>
      </c>
      <c r="AG167" s="96"/>
      <c r="AH167" s="29"/>
      <c r="AI167" s="38" t="str">
        <f>IF(L167="","",VLOOKUP($L167,classifications!$C:$J,8,FALSE))</f>
        <v/>
      </c>
      <c r="AJ167" s="39" t="str">
        <f t="shared" si="56"/>
        <v/>
      </c>
      <c r="AK167" s="34" t="str">
        <f>IF(AJ167="","",IF(I$8="A",(RANK(AJ167,AJ$11:AJ$368,1)+COUNTIF(AJ$11:AJ167,AJ167)-1),(RANK(AJ167,AJ$11:AJ$368)+COUNTIF(AJ$11:AJ167,AJ167)-1)))</f>
        <v/>
      </c>
      <c r="AL167" s="29" t="str">
        <f t="shared" si="64"/>
        <v/>
      </c>
      <c r="AM167" s="8" t="str">
        <f t="shared" si="57"/>
        <v/>
      </c>
      <c r="AN167" s="8" t="str">
        <f t="shared" si="65"/>
        <v/>
      </c>
      <c r="AP167" s="38" t="str">
        <f>IF(L167="","",VLOOKUP($L167,classifications!$C:$E,3,FALSE))</f>
        <v/>
      </c>
      <c r="AQ167" s="39" t="str">
        <f t="shared" si="66"/>
        <v/>
      </c>
      <c r="AR167" s="34" t="str">
        <f>IF(AQ167="","",IF(I$8="A",(RANK(AQ167,AQ$11:AQ$368,1)+COUNTIF(AQ$11:AQ167,AQ167)-1),(RANK(AQ167,AQ$11:AQ$368)+COUNTIF(AQ$11:AQ167,AQ167)-1)))</f>
        <v/>
      </c>
      <c r="AS167" s="29" t="str">
        <f t="shared" si="67"/>
        <v/>
      </c>
      <c r="AT167" s="34" t="str">
        <f t="shared" si="58"/>
        <v/>
      </c>
      <c r="AU167" s="39" t="str">
        <f t="shared" si="71"/>
        <v/>
      </c>
      <c r="AX167" s="21">
        <f>HLOOKUP($AX$9&amp;$AX$10,Data!$A$1:$ZZ$2000,(MATCH($C167,Data!$A$1:$A$2000,0)),FALSE)</f>
        <v>18.768803000595355</v>
      </c>
      <c r="AY167" s="103"/>
      <c r="AZ167" s="21"/>
    </row>
    <row r="168" spans="1:52">
      <c r="A168" s="56" t="str">
        <f>$D$1&amp;158</f>
        <v>SC158</v>
      </c>
      <c r="B168" s="57">
        <f>IF(ISERROR(VLOOKUP(A168,classifications!A:C,3,FALSE)),0,VLOOKUP(A168,classifications!A:C,3,FALSE))</f>
        <v>0</v>
      </c>
      <c r="C168" s="8" t="s">
        <v>817</v>
      </c>
      <c r="D168" s="26" t="str">
        <f>VLOOKUP($C168,classifications!$C:$J,4,FALSE)</f>
        <v>UA</v>
      </c>
      <c r="E168" s="26">
        <f>VLOOKUP(C168,classifications!C:K,9,FALSE)</f>
        <v>0</v>
      </c>
      <c r="F168" s="36">
        <f t="shared" si="50"/>
        <v>16.532177522431386</v>
      </c>
      <c r="G168" s="71"/>
      <c r="H168" s="37" t="str">
        <f t="shared" si="51"/>
        <v/>
      </c>
      <c r="I168" s="77" t="str">
        <f>IF(H168="","",IF($I$8="A",(RANK(H168,H$11:H$368,1)+COUNTIF(H$11:H168,H168)-1),(RANK(H168,H$11:H$368)+COUNTIF(H$11:H168,H168)-1)))</f>
        <v/>
      </c>
      <c r="J168" s="35"/>
      <c r="K168" s="28" t="str">
        <f t="shared" si="59"/>
        <v/>
      </c>
      <c r="L168" s="36" t="str">
        <f t="shared" si="52"/>
        <v/>
      </c>
      <c r="M168" s="102" t="str">
        <f t="shared" si="60"/>
        <v/>
      </c>
      <c r="N168" s="101" t="str">
        <f t="shared" si="61"/>
        <v/>
      </c>
      <c r="O168" s="94" t="str">
        <f t="shared" si="53"/>
        <v/>
      </c>
      <c r="P168" s="94" t="str">
        <f t="shared" si="68"/>
        <v/>
      </c>
      <c r="Q168" s="94" t="str">
        <f t="shared" si="69"/>
        <v/>
      </c>
      <c r="R168" s="90" t="str">
        <f t="shared" si="70"/>
        <v/>
      </c>
      <c r="S168" s="37" t="str">
        <f t="shared" si="62"/>
        <v/>
      </c>
      <c r="T168" s="176" t="str">
        <f>IF(L168="","",VLOOKUP(L168,classifications!C:K,9,FALSE))</f>
        <v/>
      </c>
      <c r="U168" s="183" t="str">
        <f t="shared" si="54"/>
        <v/>
      </c>
      <c r="V168" s="184" t="str">
        <f>IF(U168="","",IF($I$8="A",(RANK(U168,U$11:U$368)+COUNTIF(U$11:U168,U168)-1),(RANK(U168,U$11:U$368,1)+COUNTIF(U$11:U168,U168)-1)))</f>
        <v/>
      </c>
      <c r="W168" s="185"/>
      <c r="X168" s="38" t="str">
        <f>IF(L168="","",VLOOKUP($L168,classifications!$C:$J,6,FALSE))</f>
        <v/>
      </c>
      <c r="Y168" s="26" t="b">
        <f t="shared" si="55"/>
        <v>0</v>
      </c>
      <c r="Z168" s="34" t="e">
        <f>IF(Y168="","",IF(I$8="A",(RANK(Y168,Y$11:Y$368,1)+COUNTIF(Y$11:Y168,Y168)-1),(RANK(Y168,Y$11:Y$368)+COUNTIF(Y$11:Y168,Y168)-1)))</f>
        <v>#N/A</v>
      </c>
      <c r="AA168" s="188" t="str">
        <f>IF(L168="","",VLOOKUP($L168,classifications!C:I,7,FALSE))</f>
        <v/>
      </c>
      <c r="AB168" s="184" t="str">
        <f t="shared" si="63"/>
        <v/>
      </c>
      <c r="AC168" s="184" t="str">
        <f>IF(AB168="","",IF($I$8="A",(RANK(AB168,AB$11:AB$368)+COUNTIF(AB$11:AB168,AB168)-1),(RANK(AB168,AB$11:AB$368,1)+COUNTIF(AB$11:AB168,AB168)-1)))</f>
        <v/>
      </c>
      <c r="AD168" s="184"/>
      <c r="AE168" s="28" t="str">
        <f t="shared" si="72"/>
        <v/>
      </c>
      <c r="AG168" s="96"/>
      <c r="AH168" s="29"/>
      <c r="AI168" s="38" t="str">
        <f>IF(L168="","",VLOOKUP($L168,classifications!$C:$J,8,FALSE))</f>
        <v/>
      </c>
      <c r="AJ168" s="39" t="str">
        <f t="shared" si="56"/>
        <v/>
      </c>
      <c r="AK168" s="34" t="str">
        <f>IF(AJ168="","",IF(I$8="A",(RANK(AJ168,AJ$11:AJ$368,1)+COUNTIF(AJ$11:AJ168,AJ168)-1),(RANK(AJ168,AJ$11:AJ$368)+COUNTIF(AJ$11:AJ168,AJ168)-1)))</f>
        <v/>
      </c>
      <c r="AL168" s="29" t="str">
        <f t="shared" si="64"/>
        <v/>
      </c>
      <c r="AM168" s="8" t="str">
        <f t="shared" si="57"/>
        <v/>
      </c>
      <c r="AN168" s="8" t="str">
        <f t="shared" si="65"/>
        <v/>
      </c>
      <c r="AP168" s="38" t="str">
        <f>IF(L168="","",VLOOKUP($L168,classifications!$C:$E,3,FALSE))</f>
        <v/>
      </c>
      <c r="AQ168" s="39" t="str">
        <f t="shared" si="66"/>
        <v/>
      </c>
      <c r="AR168" s="34" t="str">
        <f>IF(AQ168="","",IF(I$8="A",(RANK(AQ168,AQ$11:AQ$368,1)+COUNTIF(AQ$11:AQ168,AQ168)-1),(RANK(AQ168,AQ$11:AQ$368)+COUNTIF(AQ$11:AQ168,AQ168)-1)))</f>
        <v/>
      </c>
      <c r="AS168" s="29" t="str">
        <f t="shared" si="67"/>
        <v/>
      </c>
      <c r="AT168" s="34" t="str">
        <f t="shared" si="58"/>
        <v/>
      </c>
      <c r="AU168" s="39" t="str">
        <f t="shared" si="71"/>
        <v/>
      </c>
      <c r="AX168" s="21">
        <f>HLOOKUP($AX$9&amp;$AX$10,Data!$A$1:$ZZ$2000,(MATCH($C168,Data!$A$1:$A$2000,0)),FALSE)</f>
        <v>16.532177522431386</v>
      </c>
      <c r="AY168" s="103"/>
      <c r="AZ168" s="21"/>
    </row>
    <row r="169" spans="1:52">
      <c r="A169" s="56" t="str">
        <f>$D$1&amp;159</f>
        <v>SC159</v>
      </c>
      <c r="B169" s="57">
        <f>IF(ISERROR(VLOOKUP(A169,classifications!A:C,3,FALSE)),0,VLOOKUP(A169,classifications!A:C,3,FALSE))</f>
        <v>0</v>
      </c>
      <c r="C169" s="8" t="s">
        <v>393</v>
      </c>
      <c r="D169" s="26" t="str">
        <f>VLOOKUP($C169,classifications!$C:$J,4,FALSE)</f>
        <v>L</v>
      </c>
      <c r="E169" s="26">
        <f>VLOOKUP(C169,classifications!C:K,9,FALSE)</f>
        <v>0</v>
      </c>
      <c r="F169" s="36">
        <f t="shared" si="50"/>
        <v>24.480805822332584</v>
      </c>
      <c r="G169" s="71"/>
      <c r="H169" s="37" t="str">
        <f t="shared" si="51"/>
        <v/>
      </c>
      <c r="I169" s="77" t="str">
        <f>IF(H169="","",IF($I$8="A",(RANK(H169,H$11:H$368,1)+COUNTIF(H$11:H169,H169)-1),(RANK(H169,H$11:H$368)+COUNTIF(H$11:H169,H169)-1)))</f>
        <v/>
      </c>
      <c r="J169" s="35"/>
      <c r="K169" s="28" t="str">
        <f t="shared" si="59"/>
        <v/>
      </c>
      <c r="L169" s="36" t="str">
        <f t="shared" si="52"/>
        <v/>
      </c>
      <c r="M169" s="102" t="str">
        <f t="shared" si="60"/>
        <v/>
      </c>
      <c r="N169" s="101" t="str">
        <f t="shared" si="61"/>
        <v/>
      </c>
      <c r="O169" s="94" t="str">
        <f t="shared" si="53"/>
        <v/>
      </c>
      <c r="P169" s="94" t="str">
        <f t="shared" si="68"/>
        <v/>
      </c>
      <c r="Q169" s="94" t="str">
        <f t="shared" si="69"/>
        <v/>
      </c>
      <c r="R169" s="90" t="str">
        <f t="shared" si="70"/>
        <v/>
      </c>
      <c r="S169" s="37" t="str">
        <f t="shared" si="62"/>
        <v/>
      </c>
      <c r="T169" s="176" t="str">
        <f>IF(L169="","",VLOOKUP(L169,classifications!C:K,9,FALSE))</f>
        <v/>
      </c>
      <c r="U169" s="183" t="str">
        <f t="shared" si="54"/>
        <v/>
      </c>
      <c r="V169" s="184" t="str">
        <f>IF(U169="","",IF($I$8="A",(RANK(U169,U$11:U$368)+COUNTIF(U$11:U169,U169)-1),(RANK(U169,U$11:U$368,1)+COUNTIF(U$11:U169,U169)-1)))</f>
        <v/>
      </c>
      <c r="W169" s="185"/>
      <c r="X169" s="38" t="str">
        <f>IF(L169="","",VLOOKUP($L169,classifications!$C:$J,6,FALSE))</f>
        <v/>
      </c>
      <c r="Y169" s="26" t="b">
        <f t="shared" si="55"/>
        <v>0</v>
      </c>
      <c r="Z169" s="34" t="e">
        <f>IF(Y169="","",IF(I$8="A",(RANK(Y169,Y$11:Y$368,1)+COUNTIF(Y$11:Y169,Y169)-1),(RANK(Y169,Y$11:Y$368)+COUNTIF(Y$11:Y169,Y169)-1)))</f>
        <v>#N/A</v>
      </c>
      <c r="AA169" s="188" t="str">
        <f>IF(L169="","",VLOOKUP($L169,classifications!C:I,7,FALSE))</f>
        <v/>
      </c>
      <c r="AB169" s="184" t="str">
        <f t="shared" si="63"/>
        <v/>
      </c>
      <c r="AC169" s="184" t="str">
        <f>IF(AB169="","",IF($I$8="A",(RANK(AB169,AB$11:AB$368)+COUNTIF(AB$11:AB169,AB169)-1),(RANK(AB169,AB$11:AB$368,1)+COUNTIF(AB$11:AB169,AB169)-1)))</f>
        <v/>
      </c>
      <c r="AD169" s="184"/>
      <c r="AE169" s="28" t="str">
        <f t="shared" si="72"/>
        <v/>
      </c>
      <c r="AG169" s="96"/>
      <c r="AH169" s="29"/>
      <c r="AI169" s="38" t="str">
        <f>IF(L169="","",VLOOKUP($L169,classifications!$C:$J,8,FALSE))</f>
        <v/>
      </c>
      <c r="AJ169" s="39" t="str">
        <f t="shared" si="56"/>
        <v/>
      </c>
      <c r="AK169" s="34" t="str">
        <f>IF(AJ169="","",IF(I$8="A",(RANK(AJ169,AJ$11:AJ$368,1)+COUNTIF(AJ$11:AJ169,AJ169)-1),(RANK(AJ169,AJ$11:AJ$368)+COUNTIF(AJ$11:AJ169,AJ169)-1)))</f>
        <v/>
      </c>
      <c r="AL169" s="29" t="str">
        <f t="shared" si="64"/>
        <v/>
      </c>
      <c r="AM169" s="8" t="str">
        <f t="shared" si="57"/>
        <v/>
      </c>
      <c r="AN169" s="8" t="str">
        <f t="shared" si="65"/>
        <v/>
      </c>
      <c r="AP169" s="38" t="str">
        <f>IF(L169="","",VLOOKUP($L169,classifications!$C:$E,3,FALSE))</f>
        <v/>
      </c>
      <c r="AQ169" s="39" t="str">
        <f t="shared" si="66"/>
        <v/>
      </c>
      <c r="AR169" s="34" t="str">
        <f>IF(AQ169="","",IF(I$8="A",(RANK(AQ169,AQ$11:AQ$368,1)+COUNTIF(AQ$11:AQ169,AQ169)-1),(RANK(AQ169,AQ$11:AQ$368)+COUNTIF(AQ$11:AQ169,AQ169)-1)))</f>
        <v/>
      </c>
      <c r="AS169" s="29" t="str">
        <f t="shared" si="67"/>
        <v/>
      </c>
      <c r="AT169" s="34" t="str">
        <f t="shared" si="58"/>
        <v/>
      </c>
      <c r="AU169" s="39" t="str">
        <f t="shared" si="71"/>
        <v/>
      </c>
      <c r="AX169" s="21">
        <f>HLOOKUP($AX$9&amp;$AX$10,Data!$A$1:$ZZ$2000,(MATCH($C169,Data!$A$1:$A$2000,0)),FALSE)</f>
        <v>24.480805822332584</v>
      </c>
      <c r="AY169" s="103"/>
      <c r="AZ169" s="21"/>
    </row>
    <row r="170" spans="1:52">
      <c r="A170" s="56" t="str">
        <f>$D$1&amp;160</f>
        <v>SC160</v>
      </c>
      <c r="B170" s="57">
        <f>IF(ISERROR(VLOOKUP(A170,classifications!A:C,3,FALSE)),0,VLOOKUP(A170,classifications!A:C,3,FALSE))</f>
        <v>0</v>
      </c>
      <c r="C170" s="8" t="s">
        <v>232</v>
      </c>
      <c r="D170" s="26" t="str">
        <f>VLOOKUP($C170,classifications!$C:$J,4,FALSE)</f>
        <v>MD</v>
      </c>
      <c r="E170" s="26">
        <f>VLOOKUP(C170,classifications!C:K,9,FALSE)</f>
        <v>0</v>
      </c>
      <c r="F170" s="36">
        <f t="shared" si="50"/>
        <v>11.306780314279793</v>
      </c>
      <c r="G170" s="71"/>
      <c r="H170" s="37" t="str">
        <f t="shared" si="51"/>
        <v/>
      </c>
      <c r="I170" s="77" t="str">
        <f>IF(H170="","",IF($I$8="A",(RANK(H170,H$11:H$368,1)+COUNTIF(H$11:H170,H170)-1),(RANK(H170,H$11:H$368)+COUNTIF(H$11:H170,H170)-1)))</f>
        <v/>
      </c>
      <c r="J170" s="35"/>
      <c r="K170" s="28" t="str">
        <f t="shared" si="59"/>
        <v/>
      </c>
      <c r="L170" s="36" t="str">
        <f t="shared" si="52"/>
        <v/>
      </c>
      <c r="M170" s="102" t="str">
        <f t="shared" si="60"/>
        <v/>
      </c>
      <c r="N170" s="101" t="str">
        <f t="shared" si="61"/>
        <v/>
      </c>
      <c r="O170" s="94" t="str">
        <f t="shared" si="53"/>
        <v/>
      </c>
      <c r="P170" s="94" t="str">
        <f t="shared" si="68"/>
        <v/>
      </c>
      <c r="Q170" s="94" t="str">
        <f t="shared" si="69"/>
        <v/>
      </c>
      <c r="R170" s="90" t="str">
        <f t="shared" si="70"/>
        <v/>
      </c>
      <c r="S170" s="37" t="str">
        <f t="shared" si="62"/>
        <v/>
      </c>
      <c r="T170" s="176" t="str">
        <f>IF(L170="","",VLOOKUP(L170,classifications!C:K,9,FALSE))</f>
        <v/>
      </c>
      <c r="U170" s="183" t="str">
        <f t="shared" si="54"/>
        <v/>
      </c>
      <c r="V170" s="184" t="str">
        <f>IF(U170="","",IF($I$8="A",(RANK(U170,U$11:U$368)+COUNTIF(U$11:U170,U170)-1),(RANK(U170,U$11:U$368,1)+COUNTIF(U$11:U170,U170)-1)))</f>
        <v/>
      </c>
      <c r="W170" s="185"/>
      <c r="X170" s="38" t="str">
        <f>IF(L170="","",VLOOKUP($L170,classifications!$C:$J,6,FALSE))</f>
        <v/>
      </c>
      <c r="Y170" s="26" t="b">
        <f t="shared" si="55"/>
        <v>0</v>
      </c>
      <c r="Z170" s="34" t="e">
        <f>IF(Y170="","",IF(I$8="A",(RANK(Y170,Y$11:Y$368,1)+COUNTIF(Y$11:Y170,Y170)-1),(RANK(Y170,Y$11:Y$368)+COUNTIF(Y$11:Y170,Y170)-1)))</f>
        <v>#N/A</v>
      </c>
      <c r="AA170" s="188" t="str">
        <f>IF(L170="","",VLOOKUP($L170,classifications!C:I,7,FALSE))</f>
        <v/>
      </c>
      <c r="AB170" s="184" t="str">
        <f t="shared" si="63"/>
        <v/>
      </c>
      <c r="AC170" s="184" t="str">
        <f>IF(AB170="","",IF($I$8="A",(RANK(AB170,AB$11:AB$368)+COUNTIF(AB$11:AB170,AB170)-1),(RANK(AB170,AB$11:AB$368,1)+COUNTIF(AB$11:AB170,AB170)-1)))</f>
        <v/>
      </c>
      <c r="AD170" s="184"/>
      <c r="AE170" s="28" t="str">
        <f t="shared" si="72"/>
        <v/>
      </c>
      <c r="AG170" s="96"/>
      <c r="AH170" s="29"/>
      <c r="AI170" s="38" t="str">
        <f>IF(L170="","",VLOOKUP($L170,classifications!$C:$J,8,FALSE))</f>
        <v/>
      </c>
      <c r="AJ170" s="39" t="str">
        <f t="shared" si="56"/>
        <v/>
      </c>
      <c r="AK170" s="34" t="str">
        <f>IF(AJ170="","",IF(I$8="A",(RANK(AJ170,AJ$11:AJ$368,1)+COUNTIF(AJ$11:AJ170,AJ170)-1),(RANK(AJ170,AJ$11:AJ$368)+COUNTIF(AJ$11:AJ170,AJ170)-1)))</f>
        <v/>
      </c>
      <c r="AL170" s="29" t="str">
        <f t="shared" si="64"/>
        <v/>
      </c>
      <c r="AM170" s="8" t="str">
        <f t="shared" si="57"/>
        <v/>
      </c>
      <c r="AN170" s="8" t="str">
        <f t="shared" si="65"/>
        <v/>
      </c>
      <c r="AP170" s="38" t="str">
        <f>IF(L170="","",VLOOKUP($L170,classifications!$C:$E,3,FALSE))</f>
        <v/>
      </c>
      <c r="AQ170" s="39" t="str">
        <f t="shared" si="66"/>
        <v/>
      </c>
      <c r="AR170" s="34" t="str">
        <f>IF(AQ170="","",IF(I$8="A",(RANK(AQ170,AQ$11:AQ$368,1)+COUNTIF(AQ$11:AQ170,AQ170)-1),(RANK(AQ170,AQ$11:AQ$368)+COUNTIF(AQ$11:AQ170,AQ170)-1)))</f>
        <v/>
      </c>
      <c r="AS170" s="29" t="str">
        <f t="shared" si="67"/>
        <v/>
      </c>
      <c r="AT170" s="34" t="str">
        <f t="shared" si="58"/>
        <v/>
      </c>
      <c r="AU170" s="39" t="str">
        <f t="shared" si="71"/>
        <v/>
      </c>
      <c r="AX170" s="21">
        <f>HLOOKUP($AX$9&amp;$AX$10,Data!$A$1:$ZZ$2000,(MATCH($C170,Data!$A$1:$A$2000,0)),FALSE)</f>
        <v>11.306780314279793</v>
      </c>
      <c r="AY170" s="103"/>
      <c r="AZ170" s="21"/>
    </row>
    <row r="171" spans="1:52">
      <c r="A171" s="56" t="str">
        <f>$D$1&amp;161</f>
        <v>SC161</v>
      </c>
      <c r="B171" s="57">
        <f>IF(ISERROR(VLOOKUP(A171,classifications!A:C,3,FALSE)),0,VLOOKUP(A171,classifications!A:C,3,FALSE))</f>
        <v>0</v>
      </c>
      <c r="C171" s="8" t="s">
        <v>233</v>
      </c>
      <c r="D171" s="26" t="str">
        <f>VLOOKUP($C171,classifications!$C:$J,4,FALSE)</f>
        <v>MD</v>
      </c>
      <c r="E171" s="26">
        <f>VLOOKUP(C171,classifications!C:K,9,FALSE)</f>
        <v>0</v>
      </c>
      <c r="F171" s="36">
        <f t="shared" si="50"/>
        <v>11.238012128840841</v>
      </c>
      <c r="G171" s="71"/>
      <c r="H171" s="37" t="str">
        <f t="shared" si="51"/>
        <v/>
      </c>
      <c r="I171" s="77" t="str">
        <f>IF(H171="","",IF($I$8="A",(RANK(H171,H$11:H$368,1)+COUNTIF(H$11:H171,H171)-1),(RANK(H171,H$11:H$368)+COUNTIF(H$11:H171,H171)-1)))</f>
        <v/>
      </c>
      <c r="J171" s="35"/>
      <c r="K171" s="28" t="str">
        <f t="shared" si="59"/>
        <v/>
      </c>
      <c r="L171" s="36" t="str">
        <f t="shared" si="52"/>
        <v/>
      </c>
      <c r="M171" s="102" t="str">
        <f t="shared" si="60"/>
        <v/>
      </c>
      <c r="N171" s="101" t="str">
        <f t="shared" si="61"/>
        <v/>
      </c>
      <c r="O171" s="94" t="str">
        <f t="shared" si="53"/>
        <v/>
      </c>
      <c r="P171" s="94" t="str">
        <f t="shared" si="68"/>
        <v/>
      </c>
      <c r="Q171" s="94" t="str">
        <f t="shared" si="69"/>
        <v/>
      </c>
      <c r="R171" s="90" t="str">
        <f t="shared" si="70"/>
        <v/>
      </c>
      <c r="S171" s="37" t="str">
        <f t="shared" si="62"/>
        <v/>
      </c>
      <c r="T171" s="176" t="str">
        <f>IF(L171="","",VLOOKUP(L171,classifications!C:K,9,FALSE))</f>
        <v/>
      </c>
      <c r="U171" s="183" t="str">
        <f t="shared" si="54"/>
        <v/>
      </c>
      <c r="V171" s="184" t="str">
        <f>IF(U171="","",IF($I$8="A",(RANK(U171,U$11:U$368)+COUNTIF(U$11:U171,U171)-1),(RANK(U171,U$11:U$368,1)+COUNTIF(U$11:U171,U171)-1)))</f>
        <v/>
      </c>
      <c r="W171" s="185"/>
      <c r="X171" s="38" t="str">
        <f>IF(L171="","",VLOOKUP($L171,classifications!$C:$J,6,FALSE))</f>
        <v/>
      </c>
      <c r="Y171" s="26" t="b">
        <f t="shared" si="55"/>
        <v>0</v>
      </c>
      <c r="Z171" s="34" t="e">
        <f>IF(Y171="","",IF(I$8="A",(RANK(Y171,Y$11:Y$368,1)+COUNTIF(Y$11:Y171,Y171)-1),(RANK(Y171,Y$11:Y$368)+COUNTIF(Y$11:Y171,Y171)-1)))</f>
        <v>#N/A</v>
      </c>
      <c r="AA171" s="188" t="str">
        <f>IF(L171="","",VLOOKUP($L171,classifications!C:I,7,FALSE))</f>
        <v/>
      </c>
      <c r="AB171" s="184" t="str">
        <f t="shared" si="63"/>
        <v/>
      </c>
      <c r="AC171" s="184" t="str">
        <f>IF(AB171="","",IF($I$8="A",(RANK(AB171,AB$11:AB$368)+COUNTIF(AB$11:AB171,AB171)-1),(RANK(AB171,AB$11:AB$368,1)+COUNTIF(AB$11:AB171,AB171)-1)))</f>
        <v/>
      </c>
      <c r="AD171" s="184"/>
      <c r="AE171" s="28" t="str">
        <f t="shared" si="72"/>
        <v/>
      </c>
      <c r="AG171" s="96"/>
      <c r="AH171" s="29"/>
      <c r="AI171" s="38" t="str">
        <f>IF(L171="","",VLOOKUP($L171,classifications!$C:$J,8,FALSE))</f>
        <v/>
      </c>
      <c r="AJ171" s="39" t="str">
        <f t="shared" si="56"/>
        <v/>
      </c>
      <c r="AK171" s="34" t="str">
        <f>IF(AJ171="","",IF(I$8="A",(RANK(AJ171,AJ$11:AJ$368,1)+COUNTIF(AJ$11:AJ171,AJ171)-1),(RANK(AJ171,AJ$11:AJ$368)+COUNTIF(AJ$11:AJ171,AJ171)-1)))</f>
        <v/>
      </c>
      <c r="AL171" s="29" t="str">
        <f t="shared" si="64"/>
        <v/>
      </c>
      <c r="AM171" s="8" t="str">
        <f t="shared" si="57"/>
        <v/>
      </c>
      <c r="AN171" s="8" t="str">
        <f t="shared" si="65"/>
        <v/>
      </c>
      <c r="AP171" s="38" t="str">
        <f>IF(L171="","",VLOOKUP($L171,classifications!$C:$E,3,FALSE))</f>
        <v/>
      </c>
      <c r="AQ171" s="39" t="str">
        <f t="shared" si="66"/>
        <v/>
      </c>
      <c r="AR171" s="34" t="str">
        <f>IF(AQ171="","",IF(I$8="A",(RANK(AQ171,AQ$11:AQ$368,1)+COUNTIF(AQ$11:AQ171,AQ171)-1),(RANK(AQ171,AQ$11:AQ$368)+COUNTIF(AQ$11:AQ171,AQ171)-1)))</f>
        <v/>
      </c>
      <c r="AS171" s="29" t="str">
        <f t="shared" si="67"/>
        <v/>
      </c>
      <c r="AT171" s="34" t="str">
        <f t="shared" si="58"/>
        <v/>
      </c>
      <c r="AU171" s="39" t="str">
        <f t="shared" si="71"/>
        <v/>
      </c>
      <c r="AX171" s="21">
        <f>HLOOKUP($AX$9&amp;$AX$10,Data!$A$1:$ZZ$2000,(MATCH($C171,Data!$A$1:$A$2000,0)),FALSE)</f>
        <v>11.238012128840841</v>
      </c>
      <c r="AY171" s="103"/>
      <c r="AZ171" s="21"/>
    </row>
    <row r="172" spans="1:52">
      <c r="A172" s="56" t="str">
        <f>$D$1&amp;162</f>
        <v>SC162</v>
      </c>
      <c r="B172" s="57">
        <f>IF(ISERROR(VLOOKUP(A172,classifications!A:C,3,FALSE)),0,VLOOKUP(A172,classifications!A:C,3,FALSE))</f>
        <v>0</v>
      </c>
      <c r="C172" s="8" t="s">
        <v>212</v>
      </c>
      <c r="D172" s="26" t="str">
        <f>VLOOKUP($C172,classifications!$C:$J,4,FALSE)</f>
        <v>L</v>
      </c>
      <c r="E172" s="26">
        <f>VLOOKUP(C172,classifications!C:K,9,FALSE)</f>
        <v>0</v>
      </c>
      <c r="F172" s="36">
        <f t="shared" si="50"/>
        <v>25.467390156762015</v>
      </c>
      <c r="G172" s="71"/>
      <c r="H172" s="37" t="str">
        <f t="shared" si="51"/>
        <v/>
      </c>
      <c r="I172" s="77" t="str">
        <f>IF(H172="","",IF($I$8="A",(RANK(H172,H$11:H$368,1)+COUNTIF(H$11:H172,H172)-1),(RANK(H172,H$11:H$368)+COUNTIF(H$11:H172,H172)-1)))</f>
        <v/>
      </c>
      <c r="J172" s="35"/>
      <c r="K172" s="28" t="str">
        <f t="shared" si="59"/>
        <v/>
      </c>
      <c r="L172" s="36" t="str">
        <f t="shared" si="52"/>
        <v/>
      </c>
      <c r="M172" s="102" t="str">
        <f t="shared" si="60"/>
        <v/>
      </c>
      <c r="N172" s="101" t="str">
        <f t="shared" si="61"/>
        <v/>
      </c>
      <c r="O172" s="94" t="str">
        <f t="shared" si="53"/>
        <v/>
      </c>
      <c r="P172" s="94" t="str">
        <f t="shared" si="68"/>
        <v/>
      </c>
      <c r="Q172" s="94" t="str">
        <f t="shared" si="69"/>
        <v/>
      </c>
      <c r="R172" s="90" t="str">
        <f t="shared" si="70"/>
        <v/>
      </c>
      <c r="S172" s="37" t="str">
        <f t="shared" si="62"/>
        <v/>
      </c>
      <c r="T172" s="176" t="str">
        <f>IF(L172="","",VLOOKUP(L172,classifications!C:K,9,FALSE))</f>
        <v/>
      </c>
      <c r="U172" s="183" t="str">
        <f t="shared" si="54"/>
        <v/>
      </c>
      <c r="V172" s="184" t="str">
        <f>IF(U172="","",IF($I$8="A",(RANK(U172,U$11:U$368)+COUNTIF(U$11:U172,U172)-1),(RANK(U172,U$11:U$368,1)+COUNTIF(U$11:U172,U172)-1)))</f>
        <v/>
      </c>
      <c r="W172" s="185"/>
      <c r="X172" s="38" t="str">
        <f>IF(L172="","",VLOOKUP($L172,classifications!$C:$J,6,FALSE))</f>
        <v/>
      </c>
      <c r="Y172" s="26" t="b">
        <f t="shared" si="55"/>
        <v>0</v>
      </c>
      <c r="Z172" s="34" t="e">
        <f>IF(Y172="","",IF(I$8="A",(RANK(Y172,Y$11:Y$368,1)+COUNTIF(Y$11:Y172,Y172)-1),(RANK(Y172,Y$11:Y$368)+COUNTIF(Y$11:Y172,Y172)-1)))</f>
        <v>#N/A</v>
      </c>
      <c r="AA172" s="188" t="str">
        <f>IF(L172="","",VLOOKUP($L172,classifications!C:I,7,FALSE))</f>
        <v/>
      </c>
      <c r="AB172" s="184" t="str">
        <f t="shared" si="63"/>
        <v/>
      </c>
      <c r="AC172" s="184" t="str">
        <f>IF(AB172="","",IF($I$8="A",(RANK(AB172,AB$11:AB$368)+COUNTIF(AB$11:AB172,AB172)-1),(RANK(AB172,AB$11:AB$368,1)+COUNTIF(AB$11:AB172,AB172)-1)))</f>
        <v/>
      </c>
      <c r="AD172" s="184"/>
      <c r="AE172" s="28" t="str">
        <f t="shared" si="72"/>
        <v/>
      </c>
      <c r="AG172" s="96"/>
      <c r="AH172" s="29"/>
      <c r="AI172" s="38" t="str">
        <f>IF(L172="","",VLOOKUP($L172,classifications!$C:$J,8,FALSE))</f>
        <v/>
      </c>
      <c r="AJ172" s="39" t="str">
        <f t="shared" si="56"/>
        <v/>
      </c>
      <c r="AK172" s="34" t="str">
        <f>IF(AJ172="","",IF(I$8="A",(RANK(AJ172,AJ$11:AJ$368,1)+COUNTIF(AJ$11:AJ172,AJ172)-1),(RANK(AJ172,AJ$11:AJ$368)+COUNTIF(AJ$11:AJ172,AJ172)-1)))</f>
        <v/>
      </c>
      <c r="AL172" s="29" t="str">
        <f t="shared" si="64"/>
        <v/>
      </c>
      <c r="AM172" s="8" t="str">
        <f t="shared" si="57"/>
        <v/>
      </c>
      <c r="AN172" s="8" t="str">
        <f t="shared" si="65"/>
        <v/>
      </c>
      <c r="AP172" s="38" t="str">
        <f>IF(L172="","",VLOOKUP($L172,classifications!$C:$E,3,FALSE))</f>
        <v/>
      </c>
      <c r="AQ172" s="39" t="str">
        <f t="shared" si="66"/>
        <v/>
      </c>
      <c r="AR172" s="34" t="str">
        <f>IF(AQ172="","",IF(I$8="A",(RANK(AQ172,AQ$11:AQ$368,1)+COUNTIF(AQ$11:AQ172,AQ172)-1),(RANK(AQ172,AQ$11:AQ$368)+COUNTIF(AQ$11:AQ172,AQ172)-1)))</f>
        <v/>
      </c>
      <c r="AS172" s="29" t="str">
        <f t="shared" si="67"/>
        <v/>
      </c>
      <c r="AT172" s="34" t="str">
        <f t="shared" si="58"/>
        <v/>
      </c>
      <c r="AU172" s="39" t="str">
        <f t="shared" si="71"/>
        <v/>
      </c>
      <c r="AX172" s="21">
        <f>HLOOKUP($AX$9&amp;$AX$10,Data!$A$1:$ZZ$2000,(MATCH($C172,Data!$A$1:$A$2000,0)),FALSE)</f>
        <v>25.467390156762015</v>
      </c>
      <c r="AY172" s="103"/>
      <c r="AZ172" s="21"/>
    </row>
    <row r="173" spans="1:52">
      <c r="A173" s="56" t="str">
        <f>$D$1&amp;163</f>
        <v>SC163</v>
      </c>
      <c r="B173" s="57">
        <f>IF(ISERROR(VLOOKUP(A173,classifications!A:C,3,FALSE)),0,VLOOKUP(A173,classifications!A:C,3,FALSE))</f>
        <v>0</v>
      </c>
      <c r="C173" s="8" t="s">
        <v>316</v>
      </c>
      <c r="D173" s="26" t="str">
        <f>VLOOKUP($C173,classifications!$C:$J,4,FALSE)</f>
        <v>SC</v>
      </c>
      <c r="E173" s="26" t="str">
        <f>VLOOKUP(C173,classifications!C:K,9,FALSE)</f>
        <v>Sparse</v>
      </c>
      <c r="F173" s="36">
        <f t="shared" si="50"/>
        <v>13.756921881703718</v>
      </c>
      <c r="G173" s="71"/>
      <c r="H173" s="37">
        <f t="shared" si="51"/>
        <v>13.756921881703718</v>
      </c>
      <c r="I173" s="77">
        <f>IF(H173="","",IF($I$8="A",(RANK(H173,H$11:H$368,1)+COUNTIF(H$11:H173,H173)-1),(RANK(H173,H$11:H$368)+COUNTIF(H$11:H173,H173)-1)))</f>
        <v>25</v>
      </c>
      <c r="J173" s="35"/>
      <c r="K173" s="28" t="str">
        <f t="shared" si="59"/>
        <v/>
      </c>
      <c r="L173" s="36" t="str">
        <f t="shared" si="52"/>
        <v/>
      </c>
      <c r="M173" s="102" t="str">
        <f t="shared" si="60"/>
        <v/>
      </c>
      <c r="N173" s="101" t="str">
        <f t="shared" si="61"/>
        <v/>
      </c>
      <c r="O173" s="94" t="str">
        <f t="shared" si="53"/>
        <v/>
      </c>
      <c r="P173" s="94" t="str">
        <f t="shared" si="68"/>
        <v/>
      </c>
      <c r="Q173" s="94" t="str">
        <f t="shared" si="69"/>
        <v/>
      </c>
      <c r="R173" s="90" t="str">
        <f t="shared" si="70"/>
        <v/>
      </c>
      <c r="S173" s="37" t="str">
        <f t="shared" si="62"/>
        <v/>
      </c>
      <c r="T173" s="176" t="str">
        <f>IF(L173="","",VLOOKUP(L173,classifications!C:K,9,FALSE))</f>
        <v/>
      </c>
      <c r="U173" s="183" t="str">
        <f t="shared" si="54"/>
        <v/>
      </c>
      <c r="V173" s="184" t="str">
        <f>IF(U173="","",IF($I$8="A",(RANK(U173,U$11:U$368)+COUNTIF(U$11:U173,U173)-1),(RANK(U173,U$11:U$368,1)+COUNTIF(U$11:U173,U173)-1)))</f>
        <v/>
      </c>
      <c r="W173" s="185"/>
      <c r="X173" s="38" t="str">
        <f>IF(L173="","",VLOOKUP($L173,classifications!$C:$J,6,FALSE))</f>
        <v/>
      </c>
      <c r="Y173" s="26" t="b">
        <f t="shared" si="55"/>
        <v>0</v>
      </c>
      <c r="Z173" s="34" t="e">
        <f>IF(Y173="","",IF(I$8="A",(RANK(Y173,Y$11:Y$368,1)+COUNTIF(Y$11:Y173,Y173)-1),(RANK(Y173,Y$11:Y$368)+COUNTIF(Y$11:Y173,Y173)-1)))</f>
        <v>#N/A</v>
      </c>
      <c r="AA173" s="188" t="str">
        <f>IF(L173="","",VLOOKUP($L173,classifications!C:I,7,FALSE))</f>
        <v/>
      </c>
      <c r="AB173" s="184" t="str">
        <f t="shared" si="63"/>
        <v/>
      </c>
      <c r="AC173" s="184" t="str">
        <f>IF(AB173="","",IF($I$8="A",(RANK(AB173,AB$11:AB$368)+COUNTIF(AB$11:AB173,AB173)-1),(RANK(AB173,AB$11:AB$368,1)+COUNTIF(AB$11:AB173,AB173)-1)))</f>
        <v/>
      </c>
      <c r="AD173" s="184"/>
      <c r="AE173" s="28" t="str">
        <f t="shared" si="72"/>
        <v/>
      </c>
      <c r="AG173" s="96"/>
      <c r="AH173" s="29"/>
      <c r="AI173" s="38" t="str">
        <f>IF(L173="","",VLOOKUP($L173,classifications!$C:$J,8,FALSE))</f>
        <v/>
      </c>
      <c r="AJ173" s="39" t="str">
        <f t="shared" si="56"/>
        <v/>
      </c>
      <c r="AK173" s="34" t="str">
        <f>IF(AJ173="","",IF(I$8="A",(RANK(AJ173,AJ$11:AJ$368,1)+COUNTIF(AJ$11:AJ173,AJ173)-1),(RANK(AJ173,AJ$11:AJ$368)+COUNTIF(AJ$11:AJ173,AJ173)-1)))</f>
        <v/>
      </c>
      <c r="AL173" s="29" t="str">
        <f t="shared" si="64"/>
        <v/>
      </c>
      <c r="AM173" s="8" t="str">
        <f t="shared" si="57"/>
        <v/>
      </c>
      <c r="AN173" s="8" t="str">
        <f t="shared" si="65"/>
        <v/>
      </c>
      <c r="AP173" s="38" t="str">
        <f>IF(L173="","",VLOOKUP($L173,classifications!$C:$E,3,FALSE))</f>
        <v/>
      </c>
      <c r="AQ173" s="39" t="str">
        <f t="shared" si="66"/>
        <v/>
      </c>
      <c r="AR173" s="34" t="str">
        <f>IF(AQ173="","",IF(I$8="A",(RANK(AQ173,AQ$11:AQ$368,1)+COUNTIF(AQ$11:AQ173,AQ173)-1),(RANK(AQ173,AQ$11:AQ$368)+COUNTIF(AQ$11:AQ173,AQ173)-1)))</f>
        <v/>
      </c>
      <c r="AS173" s="29" t="str">
        <f t="shared" si="67"/>
        <v/>
      </c>
      <c r="AT173" s="34" t="str">
        <f t="shared" si="58"/>
        <v/>
      </c>
      <c r="AU173" s="39" t="str">
        <f t="shared" si="71"/>
        <v/>
      </c>
      <c r="AX173" s="21">
        <f>HLOOKUP($AX$9&amp;$AX$10,Data!$A$1:$ZZ$2000,(MATCH($C173,Data!$A$1:$A$2000,0)),FALSE)</f>
        <v>13.756921881703718</v>
      </c>
      <c r="AY173" s="103"/>
      <c r="AZ173" s="21"/>
    </row>
    <row r="174" spans="1:52">
      <c r="A174" s="56" t="str">
        <f>$D$1&amp;164</f>
        <v>SC164</v>
      </c>
      <c r="B174" s="57">
        <f>IF(ISERROR(VLOOKUP(A174,classifications!A:C,3,FALSE)),0,VLOOKUP(A174,classifications!A:C,3,FALSE))</f>
        <v>0</v>
      </c>
      <c r="C174" s="8" t="s">
        <v>92</v>
      </c>
      <c r="D174" s="26" t="str">
        <f>VLOOKUP($C174,classifications!$C:$J,4,FALSE)</f>
        <v>SD</v>
      </c>
      <c r="E174" s="26">
        <f>VLOOKUP(C174,classifications!C:K,9,FALSE)</f>
        <v>0</v>
      </c>
      <c r="F174" s="36">
        <f t="shared" si="50"/>
        <v>18.306069117003016</v>
      </c>
      <c r="G174" s="71"/>
      <c r="H174" s="37" t="str">
        <f t="shared" si="51"/>
        <v/>
      </c>
      <c r="I174" s="77" t="str">
        <f>IF(H174="","",IF($I$8="A",(RANK(H174,H$11:H$368,1)+COUNTIF(H$11:H174,H174)-1),(RANK(H174,H$11:H$368)+COUNTIF(H$11:H174,H174)-1)))</f>
        <v/>
      </c>
      <c r="J174" s="35"/>
      <c r="K174" s="28" t="str">
        <f t="shared" si="59"/>
        <v/>
      </c>
      <c r="L174" s="36" t="str">
        <f t="shared" si="52"/>
        <v/>
      </c>
      <c r="M174" s="102" t="str">
        <f t="shared" si="60"/>
        <v/>
      </c>
      <c r="N174" s="101" t="str">
        <f t="shared" si="61"/>
        <v/>
      </c>
      <c r="O174" s="94" t="str">
        <f t="shared" si="53"/>
        <v/>
      </c>
      <c r="P174" s="94" t="str">
        <f t="shared" si="68"/>
        <v/>
      </c>
      <c r="Q174" s="94" t="str">
        <f t="shared" si="69"/>
        <v/>
      </c>
      <c r="R174" s="90" t="str">
        <f t="shared" si="70"/>
        <v/>
      </c>
      <c r="S174" s="37" t="str">
        <f t="shared" si="62"/>
        <v/>
      </c>
      <c r="T174" s="176" t="str">
        <f>IF(L174="","",VLOOKUP(L174,classifications!C:K,9,FALSE))</f>
        <v/>
      </c>
      <c r="U174" s="183" t="str">
        <f t="shared" si="54"/>
        <v/>
      </c>
      <c r="V174" s="184" t="str">
        <f>IF(U174="","",IF($I$8="A",(RANK(U174,U$11:U$368)+COUNTIF(U$11:U174,U174)-1),(RANK(U174,U$11:U$368,1)+COUNTIF(U$11:U174,U174)-1)))</f>
        <v/>
      </c>
      <c r="W174" s="185"/>
      <c r="X174" s="38" t="str">
        <f>IF(L174="","",VLOOKUP($L174,classifications!$C:$J,6,FALSE))</f>
        <v/>
      </c>
      <c r="Y174" s="26" t="b">
        <f t="shared" si="55"/>
        <v>0</v>
      </c>
      <c r="Z174" s="34" t="e">
        <f>IF(Y174="","",IF(I$8="A",(RANK(Y174,Y$11:Y$368,1)+COUNTIF(Y$11:Y174,Y174)-1),(RANK(Y174,Y$11:Y$368)+COUNTIF(Y$11:Y174,Y174)-1)))</f>
        <v>#N/A</v>
      </c>
      <c r="AA174" s="188" t="str">
        <f>IF(L174="","",VLOOKUP($L174,classifications!C:I,7,FALSE))</f>
        <v/>
      </c>
      <c r="AB174" s="184" t="str">
        <f t="shared" si="63"/>
        <v/>
      </c>
      <c r="AC174" s="184" t="str">
        <f>IF(AB174="","",IF($I$8="A",(RANK(AB174,AB$11:AB$368)+COUNTIF(AB$11:AB174,AB174)-1),(RANK(AB174,AB$11:AB$368,1)+COUNTIF(AB$11:AB174,AB174)-1)))</f>
        <v/>
      </c>
      <c r="AD174" s="184"/>
      <c r="AE174" s="28" t="str">
        <f t="shared" si="72"/>
        <v/>
      </c>
      <c r="AG174" s="96"/>
      <c r="AH174" s="29"/>
      <c r="AI174" s="38" t="str">
        <f>IF(L174="","",VLOOKUP($L174,classifications!$C:$J,8,FALSE))</f>
        <v/>
      </c>
      <c r="AJ174" s="39" t="str">
        <f t="shared" si="56"/>
        <v/>
      </c>
      <c r="AK174" s="34" t="str">
        <f>IF(AJ174="","",IF(I$8="A",(RANK(AJ174,AJ$11:AJ$368,1)+COUNTIF(AJ$11:AJ174,AJ174)-1),(RANK(AJ174,AJ$11:AJ$368)+COUNTIF(AJ$11:AJ174,AJ174)-1)))</f>
        <v/>
      </c>
      <c r="AL174" s="29" t="str">
        <f t="shared" si="64"/>
        <v/>
      </c>
      <c r="AM174" s="8" t="str">
        <f t="shared" si="57"/>
        <v/>
      </c>
      <c r="AN174" s="8" t="str">
        <f t="shared" si="65"/>
        <v/>
      </c>
      <c r="AP174" s="38" t="str">
        <f>IF(L174="","",VLOOKUP($L174,classifications!$C:$E,3,FALSE))</f>
        <v/>
      </c>
      <c r="AQ174" s="39" t="str">
        <f t="shared" si="66"/>
        <v/>
      </c>
      <c r="AR174" s="34" t="str">
        <f>IF(AQ174="","",IF(I$8="A",(RANK(AQ174,AQ$11:AQ$368,1)+COUNTIF(AQ$11:AQ174,AQ174)-1),(RANK(AQ174,AQ$11:AQ$368)+COUNTIF(AQ$11:AQ174,AQ174)-1)))</f>
        <v/>
      </c>
      <c r="AS174" s="29" t="str">
        <f t="shared" si="67"/>
        <v/>
      </c>
      <c r="AT174" s="34" t="str">
        <f t="shared" si="58"/>
        <v/>
      </c>
      <c r="AU174" s="39" t="str">
        <f t="shared" si="71"/>
        <v/>
      </c>
      <c r="AX174" s="21">
        <f>HLOOKUP($AX$9&amp;$AX$10,Data!$A$1:$ZZ$2000,(MATCH($C174,Data!$A$1:$A$2000,0)),FALSE)</f>
        <v>18.306069117003016</v>
      </c>
      <c r="AY174" s="103"/>
      <c r="AZ174" s="21"/>
    </row>
    <row r="175" spans="1:52">
      <c r="A175" s="56" t="str">
        <f>$D$1&amp;165</f>
        <v>SC165</v>
      </c>
      <c r="B175" s="57">
        <f>IF(ISERROR(VLOOKUP(A175,classifications!A:C,3,FALSE)),0,VLOOKUP(A175,classifications!A:C,3,FALSE))</f>
        <v>0</v>
      </c>
      <c r="C175" s="8" t="s">
        <v>234</v>
      </c>
      <c r="D175" s="26" t="str">
        <f>VLOOKUP($C175,classifications!$C:$J,4,FALSE)</f>
        <v>MD</v>
      </c>
      <c r="E175" s="26">
        <f>VLOOKUP(C175,classifications!C:K,9,FALSE)</f>
        <v>0</v>
      </c>
      <c r="F175" s="36">
        <f t="shared" si="50"/>
        <v>14.596719113188399</v>
      </c>
      <c r="G175" s="71"/>
      <c r="H175" s="37" t="str">
        <f t="shared" si="51"/>
        <v/>
      </c>
      <c r="I175" s="77" t="str">
        <f>IF(H175="","",IF($I$8="A",(RANK(H175,H$11:H$368,1)+COUNTIF(H$11:H175,H175)-1),(RANK(H175,H$11:H$368)+COUNTIF(H$11:H175,H175)-1)))</f>
        <v/>
      </c>
      <c r="J175" s="35"/>
      <c r="K175" s="28" t="str">
        <f t="shared" si="59"/>
        <v/>
      </c>
      <c r="L175" s="36" t="str">
        <f t="shared" si="52"/>
        <v/>
      </c>
      <c r="M175" s="102" t="str">
        <f t="shared" si="60"/>
        <v/>
      </c>
      <c r="N175" s="101" t="str">
        <f t="shared" si="61"/>
        <v/>
      </c>
      <c r="O175" s="94" t="str">
        <f t="shared" si="53"/>
        <v/>
      </c>
      <c r="P175" s="94" t="str">
        <f t="shared" si="68"/>
        <v/>
      </c>
      <c r="Q175" s="94" t="str">
        <f t="shared" si="69"/>
        <v/>
      </c>
      <c r="R175" s="90" t="str">
        <f t="shared" si="70"/>
        <v/>
      </c>
      <c r="S175" s="37" t="str">
        <f t="shared" si="62"/>
        <v/>
      </c>
      <c r="T175" s="176" t="str">
        <f>IF(L175="","",VLOOKUP(L175,classifications!C:K,9,FALSE))</f>
        <v/>
      </c>
      <c r="U175" s="183" t="str">
        <f t="shared" si="54"/>
        <v/>
      </c>
      <c r="V175" s="184" t="str">
        <f>IF(U175="","",IF($I$8="A",(RANK(U175,U$11:U$368)+COUNTIF(U$11:U175,U175)-1),(RANK(U175,U$11:U$368,1)+COUNTIF(U$11:U175,U175)-1)))</f>
        <v/>
      </c>
      <c r="W175" s="185"/>
      <c r="X175" s="38" t="str">
        <f>IF(L175="","",VLOOKUP($L175,classifications!$C:$J,6,FALSE))</f>
        <v/>
      </c>
      <c r="Y175" s="26" t="b">
        <f t="shared" si="55"/>
        <v>0</v>
      </c>
      <c r="Z175" s="34" t="e">
        <f>IF(Y175="","",IF(I$8="A",(RANK(Y175,Y$11:Y$368,1)+COUNTIF(Y$11:Y175,Y175)-1),(RANK(Y175,Y$11:Y$368)+COUNTIF(Y$11:Y175,Y175)-1)))</f>
        <v>#N/A</v>
      </c>
      <c r="AA175" s="188" t="str">
        <f>IF(L175="","",VLOOKUP($L175,classifications!C:I,7,FALSE))</f>
        <v/>
      </c>
      <c r="AB175" s="184" t="str">
        <f t="shared" si="63"/>
        <v/>
      </c>
      <c r="AC175" s="184" t="str">
        <f>IF(AB175="","",IF($I$8="A",(RANK(AB175,AB$11:AB$368)+COUNTIF(AB$11:AB175,AB175)-1),(RANK(AB175,AB$11:AB$368,1)+COUNTIF(AB$11:AB175,AB175)-1)))</f>
        <v/>
      </c>
      <c r="AD175" s="184"/>
      <c r="AE175" s="28" t="str">
        <f t="shared" si="72"/>
        <v/>
      </c>
      <c r="AG175" s="96"/>
      <c r="AH175" s="29"/>
      <c r="AI175" s="38" t="str">
        <f>IF(L175="","",VLOOKUP($L175,classifications!$C:$J,8,FALSE))</f>
        <v/>
      </c>
      <c r="AJ175" s="39" t="str">
        <f t="shared" si="56"/>
        <v/>
      </c>
      <c r="AK175" s="34" t="str">
        <f>IF(AJ175="","",IF(I$8="A",(RANK(AJ175,AJ$11:AJ$368,1)+COUNTIF(AJ$11:AJ175,AJ175)-1),(RANK(AJ175,AJ$11:AJ$368)+COUNTIF(AJ$11:AJ175,AJ175)-1)))</f>
        <v/>
      </c>
      <c r="AL175" s="29" t="str">
        <f t="shared" si="64"/>
        <v/>
      </c>
      <c r="AM175" s="8" t="str">
        <f t="shared" si="57"/>
        <v/>
      </c>
      <c r="AN175" s="8" t="str">
        <f t="shared" si="65"/>
        <v/>
      </c>
      <c r="AP175" s="38" t="str">
        <f>IF(L175="","",VLOOKUP($L175,classifications!$C:$E,3,FALSE))</f>
        <v/>
      </c>
      <c r="AQ175" s="39" t="str">
        <f t="shared" si="66"/>
        <v/>
      </c>
      <c r="AR175" s="34" t="str">
        <f>IF(AQ175="","",IF(I$8="A",(RANK(AQ175,AQ$11:AQ$368,1)+COUNTIF(AQ$11:AQ175,AQ175)-1),(RANK(AQ175,AQ$11:AQ$368)+COUNTIF(AQ$11:AQ175,AQ175)-1)))</f>
        <v/>
      </c>
      <c r="AS175" s="29" t="str">
        <f t="shared" si="67"/>
        <v/>
      </c>
      <c r="AT175" s="34" t="str">
        <f t="shared" si="58"/>
        <v/>
      </c>
      <c r="AU175" s="39" t="str">
        <f t="shared" si="71"/>
        <v/>
      </c>
      <c r="AX175" s="21">
        <f>HLOOKUP($AX$9&amp;$AX$10,Data!$A$1:$ZZ$2000,(MATCH($C175,Data!$A$1:$A$2000,0)),FALSE)</f>
        <v>14.596719113188399</v>
      </c>
      <c r="AY175" s="103"/>
      <c r="AZ175" s="21"/>
    </row>
    <row r="176" spans="1:52">
      <c r="A176" s="56" t="str">
        <f>$D$1&amp;166</f>
        <v>SC166</v>
      </c>
      <c r="B176" s="57">
        <f>IF(ISERROR(VLOOKUP(A176,classifications!A:C,3,FALSE)),0,VLOOKUP(A176,classifications!A:C,3,FALSE))</f>
        <v>0</v>
      </c>
      <c r="C176" s="8" t="s">
        <v>271</v>
      </c>
      <c r="D176" s="26" t="str">
        <f>VLOOKUP($C176,classifications!$C:$J,4,FALSE)</f>
        <v>UA</v>
      </c>
      <c r="E176" s="26">
        <f>VLOOKUP(C176,classifications!C:K,9,FALSE)</f>
        <v>0</v>
      </c>
      <c r="F176" s="36">
        <f t="shared" si="50"/>
        <v>14.985643119494712</v>
      </c>
      <c r="G176" s="71"/>
      <c r="H176" s="37" t="str">
        <f t="shared" si="51"/>
        <v/>
      </c>
      <c r="I176" s="77" t="str">
        <f>IF(H176="","",IF($I$8="A",(RANK(H176,H$11:H$368,1)+COUNTIF(H$11:H176,H176)-1),(RANK(H176,H$11:H$368)+COUNTIF(H$11:H176,H176)-1)))</f>
        <v/>
      </c>
      <c r="J176" s="35"/>
      <c r="K176" s="28" t="str">
        <f t="shared" si="59"/>
        <v/>
      </c>
      <c r="L176" s="36" t="str">
        <f t="shared" si="52"/>
        <v/>
      </c>
      <c r="M176" s="102" t="str">
        <f t="shared" si="60"/>
        <v/>
      </c>
      <c r="N176" s="101" t="str">
        <f t="shared" si="61"/>
        <v/>
      </c>
      <c r="O176" s="94" t="str">
        <f t="shared" si="53"/>
        <v/>
      </c>
      <c r="P176" s="94" t="str">
        <f t="shared" si="68"/>
        <v/>
      </c>
      <c r="Q176" s="94" t="str">
        <f t="shared" si="69"/>
        <v/>
      </c>
      <c r="R176" s="90" t="str">
        <f t="shared" si="70"/>
        <v/>
      </c>
      <c r="S176" s="37" t="str">
        <f t="shared" si="62"/>
        <v/>
      </c>
      <c r="T176" s="176" t="str">
        <f>IF(L176="","",VLOOKUP(L176,classifications!C:K,9,FALSE))</f>
        <v/>
      </c>
      <c r="U176" s="183" t="str">
        <f t="shared" si="54"/>
        <v/>
      </c>
      <c r="V176" s="184" t="str">
        <f>IF(U176="","",IF($I$8="A",(RANK(U176,U$11:U$368)+COUNTIF(U$11:U176,U176)-1),(RANK(U176,U$11:U$368,1)+COUNTIF(U$11:U176,U176)-1)))</f>
        <v/>
      </c>
      <c r="W176" s="185"/>
      <c r="X176" s="38" t="str">
        <f>IF(L176="","",VLOOKUP($L176,classifications!$C:$J,6,FALSE))</f>
        <v/>
      </c>
      <c r="Y176" s="26" t="b">
        <f t="shared" si="55"/>
        <v>0</v>
      </c>
      <c r="Z176" s="34" t="e">
        <f>IF(Y176="","",IF(I$8="A",(RANK(Y176,Y$11:Y$368,1)+COUNTIF(Y$11:Y176,Y176)-1),(RANK(Y176,Y$11:Y$368)+COUNTIF(Y$11:Y176,Y176)-1)))</f>
        <v>#N/A</v>
      </c>
      <c r="AA176" s="188" t="str">
        <f>IF(L176="","",VLOOKUP($L176,classifications!C:I,7,FALSE))</f>
        <v/>
      </c>
      <c r="AB176" s="184" t="str">
        <f t="shared" si="63"/>
        <v/>
      </c>
      <c r="AC176" s="184" t="str">
        <f>IF(AB176="","",IF($I$8="A",(RANK(AB176,AB$11:AB$368)+COUNTIF(AB$11:AB176,AB176)-1),(RANK(AB176,AB$11:AB$368,1)+COUNTIF(AB$11:AB176,AB176)-1)))</f>
        <v/>
      </c>
      <c r="AD176" s="184"/>
      <c r="AE176" s="28" t="str">
        <f t="shared" si="72"/>
        <v/>
      </c>
      <c r="AG176" s="96"/>
      <c r="AH176" s="29"/>
      <c r="AI176" s="38" t="str">
        <f>IF(L176="","",VLOOKUP($L176,classifications!$C:$J,8,FALSE))</f>
        <v/>
      </c>
      <c r="AJ176" s="39" t="str">
        <f t="shared" si="56"/>
        <v/>
      </c>
      <c r="AK176" s="34" t="str">
        <f>IF(AJ176="","",IF(I$8="A",(RANK(AJ176,AJ$11:AJ$368,1)+COUNTIF(AJ$11:AJ176,AJ176)-1),(RANK(AJ176,AJ$11:AJ$368)+COUNTIF(AJ$11:AJ176,AJ176)-1)))</f>
        <v/>
      </c>
      <c r="AL176" s="29" t="str">
        <f t="shared" si="64"/>
        <v/>
      </c>
      <c r="AM176" s="8" t="str">
        <f t="shared" si="57"/>
        <v/>
      </c>
      <c r="AN176" s="8" t="str">
        <f t="shared" si="65"/>
        <v/>
      </c>
      <c r="AP176" s="38" t="str">
        <f>IF(L176="","",VLOOKUP($L176,classifications!$C:$E,3,FALSE))</f>
        <v/>
      </c>
      <c r="AQ176" s="39" t="str">
        <f t="shared" si="66"/>
        <v/>
      </c>
      <c r="AR176" s="34" t="str">
        <f>IF(AQ176="","",IF(I$8="A",(RANK(AQ176,AQ$11:AQ$368,1)+COUNTIF(AQ$11:AQ176,AQ176)-1),(RANK(AQ176,AQ$11:AQ$368)+COUNTIF(AQ$11:AQ176,AQ176)-1)))</f>
        <v/>
      </c>
      <c r="AS176" s="29" t="str">
        <f t="shared" si="67"/>
        <v/>
      </c>
      <c r="AT176" s="34" t="str">
        <f t="shared" si="58"/>
        <v/>
      </c>
      <c r="AU176" s="39" t="str">
        <f t="shared" si="71"/>
        <v/>
      </c>
      <c r="AX176" s="21">
        <f>HLOOKUP($AX$9&amp;$AX$10,Data!$A$1:$ZZ$2000,(MATCH($C176,Data!$A$1:$A$2000,0)),FALSE)</f>
        <v>14.985643119494712</v>
      </c>
      <c r="AY176" s="103"/>
      <c r="AZ176" s="21"/>
    </row>
    <row r="177" spans="1:52">
      <c r="A177" s="56" t="str">
        <f>$D$1&amp;167</f>
        <v>SC167</v>
      </c>
      <c r="B177" s="57">
        <f>IF(ISERROR(VLOOKUP(A177,classifications!A:C,3,FALSE)),0,VLOOKUP(A177,classifications!A:C,3,FALSE))</f>
        <v>0</v>
      </c>
      <c r="C177" s="8" t="s">
        <v>317</v>
      </c>
      <c r="D177" s="26" t="str">
        <f>VLOOKUP($C177,classifications!$C:$J,4,FALSE)</f>
        <v>SC</v>
      </c>
      <c r="E177" s="26" t="str">
        <f>VLOOKUP(C177,classifications!C:K,9,FALSE)</f>
        <v>Sparse</v>
      </c>
      <c r="F177" s="36">
        <f t="shared" si="50"/>
        <v>15.032629506703366</v>
      </c>
      <c r="G177" s="71"/>
      <c r="H177" s="37">
        <f t="shared" si="51"/>
        <v>15.032629506703366</v>
      </c>
      <c r="I177" s="77">
        <f>IF(H177="","",IF($I$8="A",(RANK(H177,H$11:H$368,1)+COUNTIF(H$11:H177,H177)-1),(RANK(H177,H$11:H$368)+COUNTIF(H$11:H177,H177)-1)))</f>
        <v>19</v>
      </c>
      <c r="J177" s="35"/>
      <c r="K177" s="28" t="str">
        <f t="shared" si="59"/>
        <v/>
      </c>
      <c r="L177" s="36" t="str">
        <f t="shared" si="52"/>
        <v/>
      </c>
      <c r="M177" s="102" t="str">
        <f t="shared" si="60"/>
        <v/>
      </c>
      <c r="N177" s="101" t="str">
        <f t="shared" si="61"/>
        <v/>
      </c>
      <c r="O177" s="94" t="str">
        <f t="shared" si="53"/>
        <v/>
      </c>
      <c r="P177" s="94" t="str">
        <f t="shared" si="68"/>
        <v/>
      </c>
      <c r="Q177" s="94" t="str">
        <f t="shared" si="69"/>
        <v/>
      </c>
      <c r="R177" s="90" t="str">
        <f t="shared" si="70"/>
        <v/>
      </c>
      <c r="S177" s="37" t="str">
        <f t="shared" si="62"/>
        <v/>
      </c>
      <c r="T177" s="176" t="str">
        <f>IF(L177="","",VLOOKUP(L177,classifications!C:K,9,FALSE))</f>
        <v/>
      </c>
      <c r="U177" s="183" t="str">
        <f t="shared" si="54"/>
        <v/>
      </c>
      <c r="V177" s="184" t="str">
        <f>IF(U177="","",IF($I$8="A",(RANK(U177,U$11:U$368)+COUNTIF(U$11:U177,U177)-1),(RANK(U177,U$11:U$368,1)+COUNTIF(U$11:U177,U177)-1)))</f>
        <v/>
      </c>
      <c r="W177" s="185"/>
      <c r="X177" s="38" t="str">
        <f>IF(L177="","",VLOOKUP($L177,classifications!$C:$J,6,FALSE))</f>
        <v/>
      </c>
      <c r="Y177" s="26" t="b">
        <f t="shared" si="55"/>
        <v>0</v>
      </c>
      <c r="Z177" s="34" t="e">
        <f>IF(Y177="","",IF(I$8="A",(RANK(Y177,Y$11:Y$368,1)+COUNTIF(Y$11:Y177,Y177)-1),(RANK(Y177,Y$11:Y$368)+COUNTIF(Y$11:Y177,Y177)-1)))</f>
        <v>#N/A</v>
      </c>
      <c r="AA177" s="188" t="str">
        <f>IF(L177="","",VLOOKUP($L177,classifications!C:I,7,FALSE))</f>
        <v/>
      </c>
      <c r="AB177" s="184" t="str">
        <f t="shared" si="63"/>
        <v/>
      </c>
      <c r="AC177" s="184" t="str">
        <f>IF(AB177="","",IF($I$8="A",(RANK(AB177,AB$11:AB$368)+COUNTIF(AB$11:AB177,AB177)-1),(RANK(AB177,AB$11:AB$368,1)+COUNTIF(AB$11:AB177,AB177)-1)))</f>
        <v/>
      </c>
      <c r="AD177" s="184"/>
      <c r="AE177" s="28" t="str">
        <f t="shared" si="72"/>
        <v/>
      </c>
      <c r="AG177" s="96"/>
      <c r="AH177" s="29"/>
      <c r="AI177" s="38" t="str">
        <f>IF(L177="","",VLOOKUP($L177,classifications!$C:$J,8,FALSE))</f>
        <v/>
      </c>
      <c r="AJ177" s="39" t="str">
        <f t="shared" si="56"/>
        <v/>
      </c>
      <c r="AK177" s="34" t="str">
        <f>IF(AJ177="","",IF(I$8="A",(RANK(AJ177,AJ$11:AJ$368,1)+COUNTIF(AJ$11:AJ177,AJ177)-1),(RANK(AJ177,AJ$11:AJ$368)+COUNTIF(AJ$11:AJ177,AJ177)-1)))</f>
        <v/>
      </c>
      <c r="AL177" s="29" t="str">
        <f t="shared" si="64"/>
        <v/>
      </c>
      <c r="AM177" s="8" t="str">
        <f t="shared" si="57"/>
        <v/>
      </c>
      <c r="AN177" s="8" t="str">
        <f t="shared" si="65"/>
        <v/>
      </c>
      <c r="AP177" s="38" t="str">
        <f>IF(L177="","",VLOOKUP($L177,classifications!$C:$E,3,FALSE))</f>
        <v/>
      </c>
      <c r="AQ177" s="39" t="str">
        <f t="shared" si="66"/>
        <v/>
      </c>
      <c r="AR177" s="34" t="str">
        <f>IF(AQ177="","",IF(I$8="A",(RANK(AQ177,AQ$11:AQ$368,1)+COUNTIF(AQ$11:AQ177,AQ177)-1),(RANK(AQ177,AQ$11:AQ$368)+COUNTIF(AQ$11:AQ177,AQ177)-1)))</f>
        <v/>
      </c>
      <c r="AS177" s="29" t="str">
        <f t="shared" si="67"/>
        <v/>
      </c>
      <c r="AT177" s="34" t="str">
        <f t="shared" si="58"/>
        <v/>
      </c>
      <c r="AU177" s="39" t="str">
        <f t="shared" si="71"/>
        <v/>
      </c>
      <c r="AX177" s="21">
        <f>HLOOKUP($AX$9&amp;$AX$10,Data!$A$1:$ZZ$2000,(MATCH($C177,Data!$A$1:$A$2000,0)),FALSE)</f>
        <v>15.032629506703366</v>
      </c>
      <c r="AY177" s="103"/>
      <c r="AZ177" s="21"/>
    </row>
    <row r="178" spans="1:52">
      <c r="A178" s="56" t="str">
        <f>$D$1&amp;168</f>
        <v>SC168</v>
      </c>
      <c r="B178" s="57">
        <f>IF(ISERROR(VLOOKUP(A178,classifications!A:C,3,FALSE)),0,VLOOKUP(A178,classifications!A:C,3,FALSE))</f>
        <v>0</v>
      </c>
      <c r="C178" s="8" t="s">
        <v>93</v>
      </c>
      <c r="D178" s="26" t="str">
        <f>VLOOKUP($C178,classifications!$C:$J,4,FALSE)</f>
        <v>SD</v>
      </c>
      <c r="E178" s="26" t="str">
        <f>VLOOKUP(C178,classifications!C:K,9,FALSE)</f>
        <v>Sparse</v>
      </c>
      <c r="F178" s="36">
        <f t="shared" si="50"/>
        <v>13.830050471491706</v>
      </c>
      <c r="G178" s="71"/>
      <c r="H178" s="37" t="str">
        <f t="shared" si="51"/>
        <v/>
      </c>
      <c r="I178" s="77" t="str">
        <f>IF(H178="","",IF($I$8="A",(RANK(H178,H$11:H$368,1)+COUNTIF(H$11:H178,H178)-1),(RANK(H178,H$11:H$368)+COUNTIF(H$11:H178,H178)-1)))</f>
        <v/>
      </c>
      <c r="J178" s="35"/>
      <c r="K178" s="28" t="str">
        <f t="shared" si="59"/>
        <v/>
      </c>
      <c r="L178" s="36" t="str">
        <f t="shared" si="52"/>
        <v/>
      </c>
      <c r="M178" s="102" t="str">
        <f t="shared" si="60"/>
        <v/>
      </c>
      <c r="N178" s="101" t="str">
        <f t="shared" si="61"/>
        <v/>
      </c>
      <c r="O178" s="94" t="str">
        <f t="shared" si="53"/>
        <v/>
      </c>
      <c r="P178" s="94" t="str">
        <f t="shared" si="68"/>
        <v/>
      </c>
      <c r="Q178" s="94" t="str">
        <f t="shared" si="69"/>
        <v/>
      </c>
      <c r="R178" s="90" t="str">
        <f t="shared" si="70"/>
        <v/>
      </c>
      <c r="S178" s="37" t="str">
        <f t="shared" si="62"/>
        <v/>
      </c>
      <c r="T178" s="176" t="str">
        <f>IF(L178="","",VLOOKUP(L178,classifications!C:K,9,FALSE))</f>
        <v/>
      </c>
      <c r="U178" s="183" t="str">
        <f t="shared" si="54"/>
        <v/>
      </c>
      <c r="V178" s="184" t="str">
        <f>IF(U178="","",IF($I$8="A",(RANK(U178,U$11:U$368)+COUNTIF(U$11:U178,U178)-1),(RANK(U178,U$11:U$368,1)+COUNTIF(U$11:U178,U178)-1)))</f>
        <v/>
      </c>
      <c r="W178" s="185"/>
      <c r="X178" s="38" t="str">
        <f>IF(L178="","",VLOOKUP($L178,classifications!$C:$J,6,FALSE))</f>
        <v/>
      </c>
      <c r="Y178" s="26" t="b">
        <f t="shared" si="55"/>
        <v>0</v>
      </c>
      <c r="Z178" s="34" t="e">
        <f>IF(Y178="","",IF(I$8="A",(RANK(Y178,Y$11:Y$368,1)+COUNTIF(Y$11:Y178,Y178)-1),(RANK(Y178,Y$11:Y$368)+COUNTIF(Y$11:Y178,Y178)-1)))</f>
        <v>#N/A</v>
      </c>
      <c r="AA178" s="188" t="str">
        <f>IF(L178="","",VLOOKUP($L178,classifications!C:I,7,FALSE))</f>
        <v/>
      </c>
      <c r="AB178" s="184" t="str">
        <f t="shared" si="63"/>
        <v/>
      </c>
      <c r="AC178" s="184" t="str">
        <f>IF(AB178="","",IF($I$8="A",(RANK(AB178,AB$11:AB$368)+COUNTIF(AB$11:AB178,AB178)-1),(RANK(AB178,AB$11:AB$368,1)+COUNTIF(AB$11:AB178,AB178)-1)))</f>
        <v/>
      </c>
      <c r="AD178" s="184"/>
      <c r="AE178" s="28" t="str">
        <f t="shared" si="72"/>
        <v/>
      </c>
      <c r="AG178" s="96"/>
      <c r="AH178" s="29"/>
      <c r="AI178" s="38" t="str">
        <f>IF(L178="","",VLOOKUP($L178,classifications!$C:$J,8,FALSE))</f>
        <v/>
      </c>
      <c r="AJ178" s="39" t="str">
        <f t="shared" si="56"/>
        <v/>
      </c>
      <c r="AK178" s="34" t="str">
        <f>IF(AJ178="","",IF(I$8="A",(RANK(AJ178,AJ$11:AJ$368,1)+COUNTIF(AJ$11:AJ178,AJ178)-1),(RANK(AJ178,AJ$11:AJ$368)+COUNTIF(AJ$11:AJ178,AJ178)-1)))</f>
        <v/>
      </c>
      <c r="AL178" s="29" t="str">
        <f t="shared" si="64"/>
        <v/>
      </c>
      <c r="AM178" s="8" t="str">
        <f t="shared" si="57"/>
        <v/>
      </c>
      <c r="AN178" s="8" t="str">
        <f t="shared" si="65"/>
        <v/>
      </c>
      <c r="AP178" s="38" t="str">
        <f>IF(L178="","",VLOOKUP($L178,classifications!$C:$E,3,FALSE))</f>
        <v/>
      </c>
      <c r="AQ178" s="39" t="str">
        <f t="shared" si="66"/>
        <v/>
      </c>
      <c r="AR178" s="34" t="str">
        <f>IF(AQ178="","",IF(I$8="A",(RANK(AQ178,AQ$11:AQ$368,1)+COUNTIF(AQ$11:AQ178,AQ178)-1),(RANK(AQ178,AQ$11:AQ$368)+COUNTIF(AQ$11:AQ178,AQ178)-1)))</f>
        <v/>
      </c>
      <c r="AS178" s="29" t="str">
        <f t="shared" si="67"/>
        <v/>
      </c>
      <c r="AT178" s="34" t="str">
        <f t="shared" si="58"/>
        <v/>
      </c>
      <c r="AU178" s="39" t="str">
        <f t="shared" si="71"/>
        <v/>
      </c>
      <c r="AX178" s="21">
        <f>HLOOKUP($AX$9&amp;$AX$10,Data!$A$1:$ZZ$2000,(MATCH($C178,Data!$A$1:$A$2000,0)),FALSE)</f>
        <v>13.830050471491706</v>
      </c>
      <c r="AY178" s="103"/>
      <c r="AZ178" s="21"/>
    </row>
    <row r="179" spans="1:52">
      <c r="A179" s="56" t="str">
        <f>$D$1&amp;169</f>
        <v>SC169</v>
      </c>
      <c r="B179" s="57">
        <f>IF(ISERROR(VLOOKUP(A179,classifications!A:C,3,FALSE)),0,VLOOKUP(A179,classifications!A:C,3,FALSE))</f>
        <v>0</v>
      </c>
      <c r="C179" s="8" t="s">
        <v>213</v>
      </c>
      <c r="D179" s="26" t="str">
        <f>VLOOKUP($C179,classifications!$C:$J,4,FALSE)</f>
        <v>L</v>
      </c>
      <c r="E179" s="26">
        <f>VLOOKUP(C179,classifications!C:K,9,FALSE)</f>
        <v>0</v>
      </c>
      <c r="F179" s="36">
        <f t="shared" si="50"/>
        <v>20.130992962174368</v>
      </c>
      <c r="G179" s="71"/>
      <c r="H179" s="37" t="str">
        <f t="shared" si="51"/>
        <v/>
      </c>
      <c r="I179" s="77" t="str">
        <f>IF(H179="","",IF($I$8="A",(RANK(H179,H$11:H$368,1)+COUNTIF(H$11:H179,H179)-1),(RANK(H179,H$11:H$368)+COUNTIF(H$11:H179,H179)-1)))</f>
        <v/>
      </c>
      <c r="J179" s="35"/>
      <c r="K179" s="28" t="str">
        <f t="shared" si="59"/>
        <v/>
      </c>
      <c r="L179" s="36" t="str">
        <f t="shared" si="52"/>
        <v/>
      </c>
      <c r="M179" s="102" t="str">
        <f t="shared" si="60"/>
        <v/>
      </c>
      <c r="N179" s="101" t="str">
        <f t="shared" si="61"/>
        <v/>
      </c>
      <c r="O179" s="94" t="str">
        <f t="shared" si="53"/>
        <v/>
      </c>
      <c r="P179" s="94" t="str">
        <f t="shared" si="68"/>
        <v/>
      </c>
      <c r="Q179" s="94" t="str">
        <f t="shared" si="69"/>
        <v/>
      </c>
      <c r="R179" s="90" t="str">
        <f t="shared" si="70"/>
        <v/>
      </c>
      <c r="S179" s="37" t="str">
        <f t="shared" si="62"/>
        <v/>
      </c>
      <c r="T179" s="176" t="str">
        <f>IF(L179="","",VLOOKUP(L179,classifications!C:K,9,FALSE))</f>
        <v/>
      </c>
      <c r="U179" s="183" t="str">
        <f t="shared" si="54"/>
        <v/>
      </c>
      <c r="V179" s="184" t="str">
        <f>IF(U179="","",IF($I$8="A",(RANK(U179,U$11:U$368)+COUNTIF(U$11:U179,U179)-1),(RANK(U179,U$11:U$368,1)+COUNTIF(U$11:U179,U179)-1)))</f>
        <v/>
      </c>
      <c r="W179" s="185"/>
      <c r="X179" s="38" t="str">
        <f>IF(L179="","",VLOOKUP($L179,classifications!$C:$J,6,FALSE))</f>
        <v/>
      </c>
      <c r="Y179" s="26" t="b">
        <f t="shared" si="55"/>
        <v>0</v>
      </c>
      <c r="Z179" s="34" t="e">
        <f>IF(Y179="","",IF(I$8="A",(RANK(Y179,Y$11:Y$368,1)+COUNTIF(Y$11:Y179,Y179)-1),(RANK(Y179,Y$11:Y$368)+COUNTIF(Y$11:Y179,Y179)-1)))</f>
        <v>#N/A</v>
      </c>
      <c r="AA179" s="188" t="str">
        <f>IF(L179="","",VLOOKUP($L179,classifications!C:I,7,FALSE))</f>
        <v/>
      </c>
      <c r="AB179" s="184" t="str">
        <f t="shared" si="63"/>
        <v/>
      </c>
      <c r="AC179" s="184" t="str">
        <f>IF(AB179="","",IF($I$8="A",(RANK(AB179,AB$11:AB$368)+COUNTIF(AB$11:AB179,AB179)-1),(RANK(AB179,AB$11:AB$368,1)+COUNTIF(AB$11:AB179,AB179)-1)))</f>
        <v/>
      </c>
      <c r="AD179" s="184"/>
      <c r="AE179" s="28" t="str">
        <f t="shared" si="72"/>
        <v/>
      </c>
      <c r="AG179" s="96"/>
      <c r="AH179" s="29"/>
      <c r="AI179" s="38" t="str">
        <f>IF(L179="","",VLOOKUP($L179,classifications!$C:$J,8,FALSE))</f>
        <v/>
      </c>
      <c r="AJ179" s="39" t="str">
        <f t="shared" si="56"/>
        <v/>
      </c>
      <c r="AK179" s="34" t="str">
        <f>IF(AJ179="","",IF(I$8="A",(RANK(AJ179,AJ$11:AJ$368,1)+COUNTIF(AJ$11:AJ179,AJ179)-1),(RANK(AJ179,AJ$11:AJ$368)+COUNTIF(AJ$11:AJ179,AJ179)-1)))</f>
        <v/>
      </c>
      <c r="AL179" s="29" t="str">
        <f t="shared" si="64"/>
        <v/>
      </c>
      <c r="AM179" s="8" t="str">
        <f t="shared" si="57"/>
        <v/>
      </c>
      <c r="AN179" s="8" t="str">
        <f t="shared" si="65"/>
        <v/>
      </c>
      <c r="AP179" s="38" t="str">
        <f>IF(L179="","",VLOOKUP($L179,classifications!$C:$E,3,FALSE))</f>
        <v/>
      </c>
      <c r="AQ179" s="39" t="str">
        <f t="shared" si="66"/>
        <v/>
      </c>
      <c r="AR179" s="34" t="str">
        <f>IF(AQ179="","",IF(I$8="A",(RANK(AQ179,AQ$11:AQ$368,1)+COUNTIF(AQ$11:AQ179,AQ179)-1),(RANK(AQ179,AQ$11:AQ$368)+COUNTIF(AQ$11:AQ179,AQ179)-1)))</f>
        <v/>
      </c>
      <c r="AS179" s="29" t="str">
        <f t="shared" si="67"/>
        <v/>
      </c>
      <c r="AT179" s="34" t="str">
        <f t="shared" si="58"/>
        <v/>
      </c>
      <c r="AU179" s="39" t="str">
        <f t="shared" si="71"/>
        <v/>
      </c>
      <c r="AX179" s="21">
        <f>HLOOKUP($AX$9&amp;$AX$10,Data!$A$1:$ZZ$2000,(MATCH($C179,Data!$A$1:$A$2000,0)),FALSE)</f>
        <v>20.130992962174368</v>
      </c>
      <c r="AY179" s="103"/>
      <c r="AZ179" s="21"/>
    </row>
    <row r="180" spans="1:52">
      <c r="A180" s="56" t="str">
        <f>$D$1&amp;170</f>
        <v>SC170</v>
      </c>
      <c r="B180" s="57">
        <f>IF(ISERROR(VLOOKUP(A180,classifications!A:C,3,FALSE)),0,VLOOKUP(A180,classifications!A:C,3,FALSE))</f>
        <v>0</v>
      </c>
      <c r="C180" s="8" t="s">
        <v>94</v>
      </c>
      <c r="D180" s="26" t="str">
        <f>VLOOKUP($C180,classifications!$C:$J,4,FALSE)</f>
        <v>SD</v>
      </c>
      <c r="E180" s="26" t="str">
        <f>VLOOKUP(C180,classifications!C:K,9,FALSE)</f>
        <v>Sparse</v>
      </c>
      <c r="F180" s="36">
        <f t="shared" si="50"/>
        <v>18.084489959831238</v>
      </c>
      <c r="G180" s="71"/>
      <c r="H180" s="37" t="str">
        <f t="shared" si="51"/>
        <v/>
      </c>
      <c r="I180" s="77" t="str">
        <f>IF(H180="","",IF($I$8="A",(RANK(H180,H$11:H$368,1)+COUNTIF(H$11:H180,H180)-1),(RANK(H180,H$11:H$368)+COUNTIF(H$11:H180,H180)-1)))</f>
        <v/>
      </c>
      <c r="J180" s="35"/>
      <c r="K180" s="28" t="str">
        <f t="shared" si="59"/>
        <v/>
      </c>
      <c r="L180" s="36" t="str">
        <f t="shared" si="52"/>
        <v/>
      </c>
      <c r="M180" s="102" t="str">
        <f t="shared" si="60"/>
        <v/>
      </c>
      <c r="N180" s="101" t="str">
        <f t="shared" si="61"/>
        <v/>
      </c>
      <c r="O180" s="94" t="str">
        <f t="shared" si="53"/>
        <v/>
      </c>
      <c r="P180" s="94" t="str">
        <f t="shared" si="68"/>
        <v/>
      </c>
      <c r="Q180" s="94" t="str">
        <f t="shared" si="69"/>
        <v/>
      </c>
      <c r="R180" s="90" t="str">
        <f t="shared" si="70"/>
        <v/>
      </c>
      <c r="S180" s="37" t="str">
        <f t="shared" si="62"/>
        <v/>
      </c>
      <c r="T180" s="176" t="str">
        <f>IF(L180="","",VLOOKUP(L180,classifications!C:K,9,FALSE))</f>
        <v/>
      </c>
      <c r="U180" s="183" t="str">
        <f t="shared" si="54"/>
        <v/>
      </c>
      <c r="V180" s="184" t="str">
        <f>IF(U180="","",IF($I$8="A",(RANK(U180,U$11:U$368)+COUNTIF(U$11:U180,U180)-1),(RANK(U180,U$11:U$368,1)+COUNTIF(U$11:U180,U180)-1)))</f>
        <v/>
      </c>
      <c r="W180" s="185"/>
      <c r="X180" s="38" t="str">
        <f>IF(L180="","",VLOOKUP($L180,classifications!$C:$J,6,FALSE))</f>
        <v/>
      </c>
      <c r="Y180" s="26" t="b">
        <f t="shared" si="55"/>
        <v>0</v>
      </c>
      <c r="Z180" s="34" t="e">
        <f>IF(Y180="","",IF(I$8="A",(RANK(Y180,Y$11:Y$368,1)+COUNTIF(Y$11:Y180,Y180)-1),(RANK(Y180,Y$11:Y$368)+COUNTIF(Y$11:Y180,Y180)-1)))</f>
        <v>#N/A</v>
      </c>
      <c r="AA180" s="188" t="str">
        <f>IF(L180="","",VLOOKUP($L180,classifications!C:I,7,FALSE))</f>
        <v/>
      </c>
      <c r="AB180" s="184" t="str">
        <f t="shared" si="63"/>
        <v/>
      </c>
      <c r="AC180" s="184" t="str">
        <f>IF(AB180="","",IF($I$8="A",(RANK(AB180,AB$11:AB$368)+COUNTIF(AB$11:AB180,AB180)-1),(RANK(AB180,AB$11:AB$368,1)+COUNTIF(AB$11:AB180,AB180)-1)))</f>
        <v/>
      </c>
      <c r="AD180" s="184"/>
      <c r="AE180" s="28" t="str">
        <f t="shared" si="72"/>
        <v/>
      </c>
      <c r="AG180" s="96"/>
      <c r="AH180" s="29"/>
      <c r="AI180" s="38" t="str">
        <f>IF(L180="","",VLOOKUP($L180,classifications!$C:$J,8,FALSE))</f>
        <v/>
      </c>
      <c r="AJ180" s="39" t="str">
        <f t="shared" si="56"/>
        <v/>
      </c>
      <c r="AK180" s="34" t="str">
        <f>IF(AJ180="","",IF(I$8="A",(RANK(AJ180,AJ$11:AJ$368,1)+COUNTIF(AJ$11:AJ180,AJ180)-1),(RANK(AJ180,AJ$11:AJ$368)+COUNTIF(AJ$11:AJ180,AJ180)-1)))</f>
        <v/>
      </c>
      <c r="AL180" s="29" t="str">
        <f t="shared" si="64"/>
        <v/>
      </c>
      <c r="AM180" s="8" t="str">
        <f t="shared" si="57"/>
        <v/>
      </c>
      <c r="AN180" s="8" t="str">
        <f t="shared" si="65"/>
        <v/>
      </c>
      <c r="AP180" s="38" t="str">
        <f>IF(L180="","",VLOOKUP($L180,classifications!$C:$E,3,FALSE))</f>
        <v/>
      </c>
      <c r="AQ180" s="39" t="str">
        <f t="shared" si="66"/>
        <v/>
      </c>
      <c r="AR180" s="34" t="str">
        <f>IF(AQ180="","",IF(I$8="A",(RANK(AQ180,AQ$11:AQ$368,1)+COUNTIF(AQ$11:AQ180,AQ180)-1),(RANK(AQ180,AQ$11:AQ$368)+COUNTIF(AQ$11:AQ180,AQ180)-1)))</f>
        <v/>
      </c>
      <c r="AS180" s="29" t="str">
        <f t="shared" si="67"/>
        <v/>
      </c>
      <c r="AT180" s="34" t="str">
        <f t="shared" si="58"/>
        <v/>
      </c>
      <c r="AU180" s="39" t="str">
        <f t="shared" si="71"/>
        <v/>
      </c>
      <c r="AX180" s="21">
        <f>HLOOKUP($AX$9&amp;$AX$10,Data!$A$1:$ZZ$2000,(MATCH($C180,Data!$A$1:$A$2000,0)),FALSE)</f>
        <v>18.084489959831238</v>
      </c>
      <c r="AY180" s="103"/>
      <c r="AZ180" s="21"/>
    </row>
    <row r="181" spans="1:52">
      <c r="A181" s="56" t="str">
        <f>$D$1&amp;171</f>
        <v>SC171</v>
      </c>
      <c r="B181" s="57">
        <f>IF(ISERROR(VLOOKUP(A181,classifications!A:C,3,FALSE)),0,VLOOKUP(A181,classifications!A:C,3,FALSE))</f>
        <v>0</v>
      </c>
      <c r="C181" s="8" t="s">
        <v>95</v>
      </c>
      <c r="D181" s="26" t="str">
        <f>VLOOKUP($C181,classifications!$C:$J,4,FALSE)</f>
        <v>SD</v>
      </c>
      <c r="E181" s="26">
        <f>VLOOKUP(C181,classifications!C:K,9,FALSE)</f>
        <v>0</v>
      </c>
      <c r="F181" s="36">
        <f t="shared" si="50"/>
        <v>19.797647650234673</v>
      </c>
      <c r="G181" s="71"/>
      <c r="H181" s="37" t="str">
        <f t="shared" si="51"/>
        <v/>
      </c>
      <c r="I181" s="77" t="str">
        <f>IF(H181="","",IF($I$8="A",(RANK(H181,H$11:H$368,1)+COUNTIF(H$11:H181,H181)-1),(RANK(H181,H$11:H$368)+COUNTIF(H$11:H181,H181)-1)))</f>
        <v/>
      </c>
      <c r="J181" s="35"/>
      <c r="K181" s="28" t="str">
        <f t="shared" si="59"/>
        <v/>
      </c>
      <c r="L181" s="36" t="str">
        <f t="shared" si="52"/>
        <v/>
      </c>
      <c r="M181" s="102" t="str">
        <f t="shared" si="60"/>
        <v/>
      </c>
      <c r="N181" s="101" t="str">
        <f t="shared" si="61"/>
        <v/>
      </c>
      <c r="O181" s="94" t="str">
        <f t="shared" si="53"/>
        <v/>
      </c>
      <c r="P181" s="94" t="str">
        <f t="shared" si="68"/>
        <v/>
      </c>
      <c r="Q181" s="94" t="str">
        <f t="shared" si="69"/>
        <v/>
      </c>
      <c r="R181" s="90" t="str">
        <f t="shared" si="70"/>
        <v/>
      </c>
      <c r="S181" s="37" t="str">
        <f t="shared" si="62"/>
        <v/>
      </c>
      <c r="T181" s="176" t="str">
        <f>IF(L181="","",VLOOKUP(L181,classifications!C:K,9,FALSE))</f>
        <v/>
      </c>
      <c r="U181" s="183" t="str">
        <f t="shared" si="54"/>
        <v/>
      </c>
      <c r="V181" s="184" t="str">
        <f>IF(U181="","",IF($I$8="A",(RANK(U181,U$11:U$368)+COUNTIF(U$11:U181,U181)-1),(RANK(U181,U$11:U$368,1)+COUNTIF(U$11:U181,U181)-1)))</f>
        <v/>
      </c>
      <c r="W181" s="185"/>
      <c r="X181" s="38" t="str">
        <f>IF(L181="","",VLOOKUP($L181,classifications!$C:$J,6,FALSE))</f>
        <v/>
      </c>
      <c r="Y181" s="26" t="b">
        <f t="shared" si="55"/>
        <v>0</v>
      </c>
      <c r="Z181" s="34" t="e">
        <f>IF(Y181="","",IF(I$8="A",(RANK(Y181,Y$11:Y$368,1)+COUNTIF(Y$11:Y181,Y181)-1),(RANK(Y181,Y$11:Y$368)+COUNTIF(Y$11:Y181,Y181)-1)))</f>
        <v>#N/A</v>
      </c>
      <c r="AA181" s="188" t="str">
        <f>IF(L181="","",VLOOKUP($L181,classifications!C:I,7,FALSE))</f>
        <v/>
      </c>
      <c r="AB181" s="184" t="str">
        <f t="shared" si="63"/>
        <v/>
      </c>
      <c r="AC181" s="184" t="str">
        <f>IF(AB181="","",IF($I$8="A",(RANK(AB181,AB$11:AB$368)+COUNTIF(AB$11:AB181,AB181)-1),(RANK(AB181,AB$11:AB$368,1)+COUNTIF(AB$11:AB181,AB181)-1)))</f>
        <v/>
      </c>
      <c r="AD181" s="184"/>
      <c r="AE181" s="28" t="str">
        <f t="shared" si="72"/>
        <v/>
      </c>
      <c r="AG181" s="96"/>
      <c r="AH181" s="29"/>
      <c r="AI181" s="38" t="str">
        <f>IF(L181="","",VLOOKUP($L181,classifications!$C:$J,8,FALSE))</f>
        <v/>
      </c>
      <c r="AJ181" s="39" t="str">
        <f t="shared" si="56"/>
        <v/>
      </c>
      <c r="AK181" s="34" t="str">
        <f>IF(AJ181="","",IF(I$8="A",(RANK(AJ181,AJ$11:AJ$368,1)+COUNTIF(AJ$11:AJ181,AJ181)-1),(RANK(AJ181,AJ$11:AJ$368)+COUNTIF(AJ$11:AJ181,AJ181)-1)))</f>
        <v/>
      </c>
      <c r="AL181" s="29" t="str">
        <f t="shared" si="64"/>
        <v/>
      </c>
      <c r="AM181" s="8" t="str">
        <f t="shared" si="57"/>
        <v/>
      </c>
      <c r="AN181" s="8" t="str">
        <f t="shared" si="65"/>
        <v/>
      </c>
      <c r="AP181" s="38" t="str">
        <f>IF(L181="","",VLOOKUP($L181,classifications!$C:$E,3,FALSE))</f>
        <v/>
      </c>
      <c r="AQ181" s="39" t="str">
        <f t="shared" si="66"/>
        <v/>
      </c>
      <c r="AR181" s="34" t="str">
        <f>IF(AQ181="","",IF(I$8="A",(RANK(AQ181,AQ$11:AQ$368,1)+COUNTIF(AQ$11:AQ181,AQ181)-1),(RANK(AQ181,AQ$11:AQ$368)+COUNTIF(AQ$11:AQ181,AQ181)-1)))</f>
        <v/>
      </c>
      <c r="AS181" s="29" t="str">
        <f t="shared" si="67"/>
        <v/>
      </c>
      <c r="AT181" s="34" t="str">
        <f t="shared" si="58"/>
        <v/>
      </c>
      <c r="AU181" s="39" t="str">
        <f t="shared" si="71"/>
        <v/>
      </c>
      <c r="AX181" s="21">
        <f>HLOOKUP($AX$9&amp;$AX$10,Data!$A$1:$ZZ$2000,(MATCH($C181,Data!$A$1:$A$2000,0)),FALSE)</f>
        <v>19.797647650234673</v>
      </c>
      <c r="AY181" s="103"/>
      <c r="AZ181" s="21"/>
    </row>
    <row r="182" spans="1:52">
      <c r="A182" s="56" t="str">
        <f>$D$1&amp;172</f>
        <v>SC172</v>
      </c>
      <c r="B182" s="57">
        <f>IF(ISERROR(VLOOKUP(A182,classifications!A:C,3,FALSE)),0,VLOOKUP(A182,classifications!A:C,3,FALSE))</f>
        <v>0</v>
      </c>
      <c r="C182" s="8" t="s">
        <v>318</v>
      </c>
      <c r="D182" s="26" t="str">
        <f>VLOOKUP($C182,classifications!$C:$J,4,FALSE)</f>
        <v>SC</v>
      </c>
      <c r="E182" s="26" t="str">
        <f>VLOOKUP(C182,classifications!C:K,9,FALSE)</f>
        <v>Sparse</v>
      </c>
      <c r="F182" s="36">
        <f t="shared" si="50"/>
        <v>16.036007901999703</v>
      </c>
      <c r="G182" s="71"/>
      <c r="H182" s="37">
        <f t="shared" si="51"/>
        <v>16.036007901999703</v>
      </c>
      <c r="I182" s="77">
        <f>IF(H182="","",IF($I$8="A",(RANK(H182,H$11:H$368,1)+COUNTIF(H$11:H182,H182)-1),(RANK(H182,H$11:H$368)+COUNTIF(H$11:H182,H182)-1)))</f>
        <v>15</v>
      </c>
      <c r="J182" s="35"/>
      <c r="K182" s="28" t="str">
        <f t="shared" si="59"/>
        <v/>
      </c>
      <c r="L182" s="36" t="str">
        <f t="shared" si="52"/>
        <v/>
      </c>
      <c r="M182" s="102" t="str">
        <f t="shared" si="60"/>
        <v/>
      </c>
      <c r="N182" s="101" t="str">
        <f t="shared" si="61"/>
        <v/>
      </c>
      <c r="O182" s="94" t="str">
        <f t="shared" si="53"/>
        <v/>
      </c>
      <c r="P182" s="94" t="str">
        <f t="shared" si="68"/>
        <v/>
      </c>
      <c r="Q182" s="94" t="str">
        <f t="shared" si="69"/>
        <v/>
      </c>
      <c r="R182" s="90" t="str">
        <f t="shared" si="70"/>
        <v/>
      </c>
      <c r="S182" s="37" t="str">
        <f t="shared" si="62"/>
        <v/>
      </c>
      <c r="T182" s="176" t="str">
        <f>IF(L182="","",VLOOKUP(L182,classifications!C:K,9,FALSE))</f>
        <v/>
      </c>
      <c r="U182" s="183" t="str">
        <f t="shared" si="54"/>
        <v/>
      </c>
      <c r="V182" s="184" t="str">
        <f>IF(U182="","",IF($I$8="A",(RANK(U182,U$11:U$368)+COUNTIF(U$11:U182,U182)-1),(RANK(U182,U$11:U$368,1)+COUNTIF(U$11:U182,U182)-1)))</f>
        <v/>
      </c>
      <c r="W182" s="185"/>
      <c r="X182" s="38" t="str">
        <f>IF(L182="","",VLOOKUP($L182,classifications!$C:$J,6,FALSE))</f>
        <v/>
      </c>
      <c r="Y182" s="26" t="b">
        <f t="shared" si="55"/>
        <v>0</v>
      </c>
      <c r="Z182" s="34" t="e">
        <f>IF(Y182="","",IF(I$8="A",(RANK(Y182,Y$11:Y$368,1)+COUNTIF(Y$11:Y182,Y182)-1),(RANK(Y182,Y$11:Y$368)+COUNTIF(Y$11:Y182,Y182)-1)))</f>
        <v>#N/A</v>
      </c>
      <c r="AA182" s="188" t="str">
        <f>IF(L182="","",VLOOKUP($L182,classifications!C:I,7,FALSE))</f>
        <v/>
      </c>
      <c r="AB182" s="184" t="str">
        <f t="shared" si="63"/>
        <v/>
      </c>
      <c r="AC182" s="184" t="str">
        <f>IF(AB182="","",IF($I$8="A",(RANK(AB182,AB$11:AB$368)+COUNTIF(AB$11:AB182,AB182)-1),(RANK(AB182,AB$11:AB$368,1)+COUNTIF(AB$11:AB182,AB182)-1)))</f>
        <v/>
      </c>
      <c r="AD182" s="184"/>
      <c r="AE182" s="28" t="str">
        <f t="shared" si="72"/>
        <v/>
      </c>
      <c r="AG182" s="96"/>
      <c r="AH182" s="29"/>
      <c r="AI182" s="38" t="str">
        <f>IF(L182="","",VLOOKUP($L182,classifications!$C:$J,8,FALSE))</f>
        <v/>
      </c>
      <c r="AJ182" s="39" t="str">
        <f t="shared" si="56"/>
        <v/>
      </c>
      <c r="AK182" s="34" t="str">
        <f>IF(AJ182="","",IF(I$8="A",(RANK(AJ182,AJ$11:AJ$368,1)+COUNTIF(AJ$11:AJ182,AJ182)-1),(RANK(AJ182,AJ$11:AJ$368)+COUNTIF(AJ$11:AJ182,AJ182)-1)))</f>
        <v/>
      </c>
      <c r="AL182" s="29" t="str">
        <f t="shared" si="64"/>
        <v/>
      </c>
      <c r="AM182" s="8" t="str">
        <f t="shared" si="57"/>
        <v/>
      </c>
      <c r="AN182" s="8" t="str">
        <f t="shared" si="65"/>
        <v/>
      </c>
      <c r="AP182" s="38" t="str">
        <f>IF(L182="","",VLOOKUP($L182,classifications!$C:$E,3,FALSE))</f>
        <v/>
      </c>
      <c r="AQ182" s="39" t="str">
        <f t="shared" si="66"/>
        <v/>
      </c>
      <c r="AR182" s="34" t="str">
        <f>IF(AQ182="","",IF(I$8="A",(RANK(AQ182,AQ$11:AQ$368,1)+COUNTIF(AQ$11:AQ182,AQ182)-1),(RANK(AQ182,AQ$11:AQ$368)+COUNTIF(AQ$11:AQ182,AQ182)-1)))</f>
        <v/>
      </c>
      <c r="AS182" s="29" t="str">
        <f t="shared" si="67"/>
        <v/>
      </c>
      <c r="AT182" s="34" t="str">
        <f t="shared" si="58"/>
        <v/>
      </c>
      <c r="AU182" s="39" t="str">
        <f t="shared" si="71"/>
        <v/>
      </c>
      <c r="AX182" s="21">
        <f>HLOOKUP($AX$9&amp;$AX$10,Data!$A$1:$ZZ$2000,(MATCH($C182,Data!$A$1:$A$2000,0)),FALSE)</f>
        <v>16.036007901999703</v>
      </c>
      <c r="AY182" s="103"/>
      <c r="AZ182" s="21"/>
    </row>
    <row r="183" spans="1:52">
      <c r="A183" s="56" t="str">
        <f>$D$1&amp;173</f>
        <v>SC173</v>
      </c>
      <c r="B183" s="57">
        <f>IF(ISERROR(VLOOKUP(A183,classifications!A:C,3,FALSE)),0,VLOOKUP(A183,classifications!A:C,3,FALSE))</f>
        <v>0</v>
      </c>
      <c r="C183" s="8" t="s">
        <v>235</v>
      </c>
      <c r="D183" s="26" t="str">
        <f>VLOOKUP($C183,classifications!$C:$J,4,FALSE)</f>
        <v>MD</v>
      </c>
      <c r="E183" s="26">
        <f>VLOOKUP(C183,classifications!C:K,9,FALSE)</f>
        <v>0</v>
      </c>
      <c r="F183" s="36">
        <f t="shared" si="50"/>
        <v>15.700942032053323</v>
      </c>
      <c r="G183" s="71"/>
      <c r="H183" s="37" t="str">
        <f t="shared" si="51"/>
        <v/>
      </c>
      <c r="I183" s="77" t="str">
        <f>IF(H183="","",IF($I$8="A",(RANK(H183,H$11:H$368,1)+COUNTIF(H$11:H183,H183)-1),(RANK(H183,H$11:H$368)+COUNTIF(H$11:H183,H183)-1)))</f>
        <v/>
      </c>
      <c r="J183" s="35"/>
      <c r="K183" s="28" t="str">
        <f t="shared" si="59"/>
        <v/>
      </c>
      <c r="L183" s="36" t="str">
        <f t="shared" si="52"/>
        <v/>
      </c>
      <c r="M183" s="102" t="str">
        <f t="shared" si="60"/>
        <v/>
      </c>
      <c r="N183" s="101" t="str">
        <f t="shared" si="61"/>
        <v/>
      </c>
      <c r="O183" s="94" t="str">
        <f t="shared" si="53"/>
        <v/>
      </c>
      <c r="P183" s="94" t="str">
        <f t="shared" si="68"/>
        <v/>
      </c>
      <c r="Q183" s="94" t="str">
        <f t="shared" si="69"/>
        <v/>
      </c>
      <c r="R183" s="90" t="str">
        <f t="shared" si="70"/>
        <v/>
      </c>
      <c r="S183" s="37" t="str">
        <f t="shared" si="62"/>
        <v/>
      </c>
      <c r="T183" s="176" t="str">
        <f>IF(L183="","",VLOOKUP(L183,classifications!C:K,9,FALSE))</f>
        <v/>
      </c>
      <c r="U183" s="183" t="str">
        <f t="shared" si="54"/>
        <v/>
      </c>
      <c r="V183" s="184" t="str">
        <f>IF(U183="","",IF($I$8="A",(RANK(U183,U$11:U$368)+COUNTIF(U$11:U183,U183)-1),(RANK(U183,U$11:U$368,1)+COUNTIF(U$11:U183,U183)-1)))</f>
        <v/>
      </c>
      <c r="W183" s="185"/>
      <c r="X183" s="38" t="str">
        <f>IF(L183="","",VLOOKUP($L183,classifications!$C:$J,6,FALSE))</f>
        <v/>
      </c>
      <c r="Y183" s="26" t="b">
        <f t="shared" si="55"/>
        <v>0</v>
      </c>
      <c r="Z183" s="34" t="e">
        <f>IF(Y183="","",IF(I$8="A",(RANK(Y183,Y$11:Y$368,1)+COUNTIF(Y$11:Y183,Y183)-1),(RANK(Y183,Y$11:Y$368)+COUNTIF(Y$11:Y183,Y183)-1)))</f>
        <v>#N/A</v>
      </c>
      <c r="AA183" s="188" t="str">
        <f>IF(L183="","",VLOOKUP($L183,classifications!C:I,7,FALSE))</f>
        <v/>
      </c>
      <c r="AB183" s="184" t="str">
        <f t="shared" si="63"/>
        <v/>
      </c>
      <c r="AC183" s="184" t="str">
        <f>IF(AB183="","",IF($I$8="A",(RANK(AB183,AB$11:AB$368)+COUNTIF(AB$11:AB183,AB183)-1),(RANK(AB183,AB$11:AB$368,1)+COUNTIF(AB$11:AB183,AB183)-1)))</f>
        <v/>
      </c>
      <c r="AD183" s="184"/>
      <c r="AE183" s="28" t="str">
        <f t="shared" si="72"/>
        <v/>
      </c>
      <c r="AG183" s="96"/>
      <c r="AH183" s="29"/>
      <c r="AI183" s="38" t="str">
        <f>IF(L183="","",VLOOKUP($L183,classifications!$C:$J,8,FALSE))</f>
        <v/>
      </c>
      <c r="AJ183" s="39" t="str">
        <f t="shared" si="56"/>
        <v/>
      </c>
      <c r="AK183" s="34" t="str">
        <f>IF(AJ183="","",IF(I$8="A",(RANK(AJ183,AJ$11:AJ$368,1)+COUNTIF(AJ$11:AJ183,AJ183)-1),(RANK(AJ183,AJ$11:AJ$368)+COUNTIF(AJ$11:AJ183,AJ183)-1)))</f>
        <v/>
      </c>
      <c r="AL183" s="29" t="str">
        <f t="shared" si="64"/>
        <v/>
      </c>
      <c r="AM183" s="8" t="str">
        <f t="shared" si="57"/>
        <v/>
      </c>
      <c r="AN183" s="8" t="str">
        <f t="shared" si="65"/>
        <v/>
      </c>
      <c r="AP183" s="38" t="str">
        <f>IF(L183="","",VLOOKUP($L183,classifications!$C:$E,3,FALSE))</f>
        <v/>
      </c>
      <c r="AQ183" s="39" t="str">
        <f t="shared" si="66"/>
        <v/>
      </c>
      <c r="AR183" s="34" t="str">
        <f>IF(AQ183="","",IF(I$8="A",(RANK(AQ183,AQ$11:AQ$368,1)+COUNTIF(AQ$11:AQ183,AQ183)-1),(RANK(AQ183,AQ$11:AQ$368)+COUNTIF(AQ$11:AQ183,AQ183)-1)))</f>
        <v/>
      </c>
      <c r="AS183" s="29" t="str">
        <f t="shared" si="67"/>
        <v/>
      </c>
      <c r="AT183" s="34" t="str">
        <f t="shared" si="58"/>
        <v/>
      </c>
      <c r="AU183" s="39" t="str">
        <f t="shared" si="71"/>
        <v/>
      </c>
      <c r="AX183" s="21">
        <f>HLOOKUP($AX$9&amp;$AX$10,Data!$A$1:$ZZ$2000,(MATCH($C183,Data!$A$1:$A$2000,0)),FALSE)</f>
        <v>15.700942032053323</v>
      </c>
      <c r="AY183" s="103"/>
      <c r="AZ183" s="21"/>
    </row>
    <row r="184" spans="1:52">
      <c r="A184" s="56" t="str">
        <f>$D$1&amp;174</f>
        <v>SC174</v>
      </c>
      <c r="B184" s="57">
        <f>IF(ISERROR(VLOOKUP(A184,classifications!A:C,3,FALSE)),0,VLOOKUP(A184,classifications!A:C,3,FALSE))</f>
        <v>0</v>
      </c>
      <c r="C184" s="8" t="s">
        <v>272</v>
      </c>
      <c r="D184" s="26" t="str">
        <f>VLOOKUP($C184,classifications!$C:$J,4,FALSE)</f>
        <v>UA</v>
      </c>
      <c r="E184" s="26">
        <f>VLOOKUP(C184,classifications!C:K,9,FALSE)</f>
        <v>0</v>
      </c>
      <c r="F184" s="36">
        <f t="shared" si="50"/>
        <v>9.5349516918959196</v>
      </c>
      <c r="G184" s="71"/>
      <c r="H184" s="37" t="str">
        <f t="shared" si="51"/>
        <v/>
      </c>
      <c r="I184" s="77" t="str">
        <f>IF(H184="","",IF($I$8="A",(RANK(H184,H$11:H$368,1)+COUNTIF(H$11:H184,H184)-1),(RANK(H184,H$11:H$368)+COUNTIF(H$11:H184,H184)-1)))</f>
        <v/>
      </c>
      <c r="J184" s="35"/>
      <c r="K184" s="28" t="str">
        <f t="shared" si="59"/>
        <v/>
      </c>
      <c r="L184" s="36" t="str">
        <f t="shared" si="52"/>
        <v/>
      </c>
      <c r="M184" s="102" t="str">
        <f t="shared" si="60"/>
        <v/>
      </c>
      <c r="N184" s="101" t="str">
        <f t="shared" si="61"/>
        <v/>
      </c>
      <c r="O184" s="94" t="str">
        <f t="shared" si="53"/>
        <v/>
      </c>
      <c r="P184" s="94" t="str">
        <f t="shared" si="68"/>
        <v/>
      </c>
      <c r="Q184" s="94" t="str">
        <f t="shared" si="69"/>
        <v/>
      </c>
      <c r="R184" s="90" t="str">
        <f t="shared" si="70"/>
        <v/>
      </c>
      <c r="S184" s="37" t="str">
        <f t="shared" si="62"/>
        <v/>
      </c>
      <c r="T184" s="176" t="str">
        <f>IF(L184="","",VLOOKUP(L184,classifications!C:K,9,FALSE))</f>
        <v/>
      </c>
      <c r="U184" s="183" t="str">
        <f t="shared" si="54"/>
        <v/>
      </c>
      <c r="V184" s="184" t="str">
        <f>IF(U184="","",IF($I$8="A",(RANK(U184,U$11:U$368)+COUNTIF(U$11:U184,U184)-1),(RANK(U184,U$11:U$368,1)+COUNTIF(U$11:U184,U184)-1)))</f>
        <v/>
      </c>
      <c r="W184" s="185"/>
      <c r="X184" s="38" t="str">
        <f>IF(L184="","",VLOOKUP($L184,classifications!$C:$J,6,FALSE))</f>
        <v/>
      </c>
      <c r="Y184" s="26" t="b">
        <f t="shared" si="55"/>
        <v>0</v>
      </c>
      <c r="Z184" s="34" t="e">
        <f>IF(Y184="","",IF(I$8="A",(RANK(Y184,Y$11:Y$368,1)+COUNTIF(Y$11:Y184,Y184)-1),(RANK(Y184,Y$11:Y$368)+COUNTIF(Y$11:Y184,Y184)-1)))</f>
        <v>#N/A</v>
      </c>
      <c r="AA184" s="188" t="str">
        <f>IF(L184="","",VLOOKUP($L184,classifications!C:I,7,FALSE))</f>
        <v/>
      </c>
      <c r="AB184" s="184" t="str">
        <f t="shared" si="63"/>
        <v/>
      </c>
      <c r="AC184" s="184" t="str">
        <f>IF(AB184="","",IF($I$8="A",(RANK(AB184,AB$11:AB$368)+COUNTIF(AB$11:AB184,AB184)-1),(RANK(AB184,AB$11:AB$368,1)+COUNTIF(AB$11:AB184,AB184)-1)))</f>
        <v/>
      </c>
      <c r="AD184" s="184"/>
      <c r="AE184" s="28" t="str">
        <f t="shared" si="72"/>
        <v/>
      </c>
      <c r="AG184" s="96"/>
      <c r="AH184" s="29"/>
      <c r="AI184" s="38" t="str">
        <f>IF(L184="","",VLOOKUP($L184,classifications!$C:$J,8,FALSE))</f>
        <v/>
      </c>
      <c r="AJ184" s="39" t="str">
        <f t="shared" si="56"/>
        <v/>
      </c>
      <c r="AK184" s="34" t="str">
        <f>IF(AJ184="","",IF(I$8="A",(RANK(AJ184,AJ$11:AJ$368,1)+COUNTIF(AJ$11:AJ184,AJ184)-1),(RANK(AJ184,AJ$11:AJ$368)+COUNTIF(AJ$11:AJ184,AJ184)-1)))</f>
        <v/>
      </c>
      <c r="AL184" s="29" t="str">
        <f t="shared" si="64"/>
        <v/>
      </c>
      <c r="AM184" s="8" t="str">
        <f t="shared" si="57"/>
        <v/>
      </c>
      <c r="AN184" s="8" t="str">
        <f t="shared" si="65"/>
        <v/>
      </c>
      <c r="AP184" s="38" t="str">
        <f>IF(L184="","",VLOOKUP($L184,classifications!$C:$E,3,FALSE))</f>
        <v/>
      </c>
      <c r="AQ184" s="39" t="str">
        <f t="shared" si="66"/>
        <v/>
      </c>
      <c r="AR184" s="34" t="str">
        <f>IF(AQ184="","",IF(I$8="A",(RANK(AQ184,AQ$11:AQ$368,1)+COUNTIF(AQ$11:AQ184,AQ184)-1),(RANK(AQ184,AQ$11:AQ$368)+COUNTIF(AQ$11:AQ184,AQ184)-1)))</f>
        <v/>
      </c>
      <c r="AS184" s="29" t="str">
        <f t="shared" si="67"/>
        <v/>
      </c>
      <c r="AT184" s="34" t="str">
        <f t="shared" si="58"/>
        <v/>
      </c>
      <c r="AU184" s="39" t="str">
        <f t="shared" si="71"/>
        <v/>
      </c>
      <c r="AX184" s="21">
        <f>HLOOKUP($AX$9&amp;$AX$10,Data!$A$1:$ZZ$2000,(MATCH($C184,Data!$A$1:$A$2000,0)),FALSE)</f>
        <v>9.5349516918959196</v>
      </c>
      <c r="AY184" s="103"/>
      <c r="AZ184" s="21"/>
    </row>
    <row r="185" spans="1:52">
      <c r="A185" s="56" t="str">
        <f>$D$1&amp;175</f>
        <v>SC175</v>
      </c>
      <c r="B185" s="57">
        <f>IF(ISERROR(VLOOKUP(A185,classifications!A:C,3,FALSE)),0,VLOOKUP(A185,classifications!A:C,3,FALSE))</f>
        <v>0</v>
      </c>
      <c r="C185" s="8" t="s">
        <v>96</v>
      </c>
      <c r="D185" s="26" t="str">
        <f>VLOOKUP($C185,classifications!$C:$J,4,FALSE)</f>
        <v>SD</v>
      </c>
      <c r="E185" s="26">
        <f>VLOOKUP(C185,classifications!C:K,9,FALSE)</f>
        <v>0</v>
      </c>
      <c r="F185" s="36">
        <f t="shared" si="50"/>
        <v>18.687446522991642</v>
      </c>
      <c r="G185" s="71"/>
      <c r="H185" s="37" t="str">
        <f t="shared" si="51"/>
        <v/>
      </c>
      <c r="I185" s="77" t="str">
        <f>IF(H185="","",IF($I$8="A",(RANK(H185,H$11:H$368,1)+COUNTIF(H$11:H185,H185)-1),(RANK(H185,H$11:H$368)+COUNTIF(H$11:H185,H185)-1)))</f>
        <v/>
      </c>
      <c r="J185" s="35"/>
      <c r="K185" s="28" t="str">
        <f t="shared" si="59"/>
        <v/>
      </c>
      <c r="L185" s="36" t="str">
        <f t="shared" si="52"/>
        <v/>
      </c>
      <c r="M185" s="102" t="str">
        <f t="shared" si="60"/>
        <v/>
      </c>
      <c r="N185" s="101" t="str">
        <f t="shared" si="61"/>
        <v/>
      </c>
      <c r="O185" s="94" t="str">
        <f t="shared" si="53"/>
        <v/>
      </c>
      <c r="P185" s="94" t="str">
        <f t="shared" si="68"/>
        <v/>
      </c>
      <c r="Q185" s="94" t="str">
        <f t="shared" si="69"/>
        <v/>
      </c>
      <c r="R185" s="90" t="str">
        <f t="shared" si="70"/>
        <v/>
      </c>
      <c r="S185" s="37" t="str">
        <f t="shared" si="62"/>
        <v/>
      </c>
      <c r="T185" s="176" t="str">
        <f>IF(L185="","",VLOOKUP(L185,classifications!C:K,9,FALSE))</f>
        <v/>
      </c>
      <c r="U185" s="183" t="str">
        <f t="shared" si="54"/>
        <v/>
      </c>
      <c r="V185" s="184" t="str">
        <f>IF(U185="","",IF($I$8="A",(RANK(U185,U$11:U$368)+COUNTIF(U$11:U185,U185)-1),(RANK(U185,U$11:U$368,1)+COUNTIF(U$11:U185,U185)-1)))</f>
        <v/>
      </c>
      <c r="W185" s="185"/>
      <c r="X185" s="38" t="str">
        <f>IF(L185="","",VLOOKUP($L185,classifications!$C:$J,6,FALSE))</f>
        <v/>
      </c>
      <c r="Y185" s="26" t="b">
        <f t="shared" si="55"/>
        <v>0</v>
      </c>
      <c r="Z185" s="34" t="e">
        <f>IF(Y185="","",IF(I$8="A",(RANK(Y185,Y$11:Y$368,1)+COUNTIF(Y$11:Y185,Y185)-1),(RANK(Y185,Y$11:Y$368)+COUNTIF(Y$11:Y185,Y185)-1)))</f>
        <v>#N/A</v>
      </c>
      <c r="AA185" s="188" t="str">
        <f>IF(L185="","",VLOOKUP($L185,classifications!C:I,7,FALSE))</f>
        <v/>
      </c>
      <c r="AB185" s="184" t="str">
        <f t="shared" si="63"/>
        <v/>
      </c>
      <c r="AC185" s="184" t="str">
        <f>IF(AB185="","",IF($I$8="A",(RANK(AB185,AB$11:AB$368)+COUNTIF(AB$11:AB185,AB185)-1),(RANK(AB185,AB$11:AB$368,1)+COUNTIF(AB$11:AB185,AB185)-1)))</f>
        <v/>
      </c>
      <c r="AD185" s="184"/>
      <c r="AE185" s="28" t="str">
        <f t="shared" si="72"/>
        <v/>
      </c>
      <c r="AG185" s="96"/>
      <c r="AH185" s="29"/>
      <c r="AI185" s="38" t="str">
        <f>IF(L185="","",VLOOKUP($L185,classifications!$C:$J,8,FALSE))</f>
        <v/>
      </c>
      <c r="AJ185" s="39" t="str">
        <f t="shared" si="56"/>
        <v/>
      </c>
      <c r="AK185" s="34" t="str">
        <f>IF(AJ185="","",IF(I$8="A",(RANK(AJ185,AJ$11:AJ$368,1)+COUNTIF(AJ$11:AJ185,AJ185)-1),(RANK(AJ185,AJ$11:AJ$368)+COUNTIF(AJ$11:AJ185,AJ185)-1)))</f>
        <v/>
      </c>
      <c r="AL185" s="29" t="str">
        <f t="shared" si="64"/>
        <v/>
      </c>
      <c r="AM185" s="8" t="str">
        <f t="shared" si="57"/>
        <v/>
      </c>
      <c r="AN185" s="8" t="str">
        <f t="shared" si="65"/>
        <v/>
      </c>
      <c r="AP185" s="38" t="str">
        <f>IF(L185="","",VLOOKUP($L185,classifications!$C:$E,3,FALSE))</f>
        <v/>
      </c>
      <c r="AQ185" s="39" t="str">
        <f t="shared" si="66"/>
        <v/>
      </c>
      <c r="AR185" s="34" t="str">
        <f>IF(AQ185="","",IF(I$8="A",(RANK(AQ185,AQ$11:AQ$368,1)+COUNTIF(AQ$11:AQ185,AQ185)-1),(RANK(AQ185,AQ$11:AQ$368)+COUNTIF(AQ$11:AQ185,AQ185)-1)))</f>
        <v/>
      </c>
      <c r="AS185" s="29" t="str">
        <f t="shared" si="67"/>
        <v/>
      </c>
      <c r="AT185" s="34" t="str">
        <f t="shared" si="58"/>
        <v/>
      </c>
      <c r="AU185" s="39" t="str">
        <f t="shared" si="71"/>
        <v/>
      </c>
      <c r="AX185" s="21">
        <f>HLOOKUP($AX$9&amp;$AX$10,Data!$A$1:$ZZ$2000,(MATCH($C185,Data!$A$1:$A$2000,0)),FALSE)</f>
        <v>18.687446522991642</v>
      </c>
      <c r="AY185" s="103"/>
      <c r="AZ185" s="21"/>
    </row>
    <row r="186" spans="1:52">
      <c r="A186" s="56" t="str">
        <f>$D$1&amp;176</f>
        <v>SC176</v>
      </c>
      <c r="B186" s="57">
        <f>IF(ISERROR(VLOOKUP(A186,classifications!A:C,3,FALSE)),0,VLOOKUP(A186,classifications!A:C,3,FALSE))</f>
        <v>0</v>
      </c>
      <c r="C186" s="8" t="s">
        <v>97</v>
      </c>
      <c r="D186" s="26" t="str">
        <f>VLOOKUP($C186,classifications!$C:$J,4,FALSE)</f>
        <v>SD</v>
      </c>
      <c r="E186" s="26">
        <f>VLOOKUP(C186,classifications!C:K,9,FALSE)</f>
        <v>0</v>
      </c>
      <c r="F186" s="36">
        <f t="shared" si="50"/>
        <v>14.23297851074927</v>
      </c>
      <c r="G186" s="71"/>
      <c r="H186" s="37" t="str">
        <f t="shared" si="51"/>
        <v/>
      </c>
      <c r="I186" s="77" t="str">
        <f>IF(H186="","",IF($I$8="A",(RANK(H186,H$11:H$368,1)+COUNTIF(H$11:H186,H186)-1),(RANK(H186,H$11:H$368)+COUNTIF(H$11:H186,H186)-1)))</f>
        <v/>
      </c>
      <c r="J186" s="35"/>
      <c r="K186" s="28" t="str">
        <f t="shared" si="59"/>
        <v/>
      </c>
      <c r="L186" s="36" t="str">
        <f t="shared" si="52"/>
        <v/>
      </c>
      <c r="M186" s="102" t="str">
        <f t="shared" si="60"/>
        <v/>
      </c>
      <c r="N186" s="101" t="str">
        <f t="shared" si="61"/>
        <v/>
      </c>
      <c r="O186" s="94" t="str">
        <f t="shared" si="53"/>
        <v/>
      </c>
      <c r="P186" s="94" t="str">
        <f t="shared" si="68"/>
        <v/>
      </c>
      <c r="Q186" s="94" t="str">
        <f t="shared" si="69"/>
        <v/>
      </c>
      <c r="R186" s="90" t="str">
        <f t="shared" si="70"/>
        <v/>
      </c>
      <c r="S186" s="37" t="str">
        <f t="shared" si="62"/>
        <v/>
      </c>
      <c r="T186" s="176" t="str">
        <f>IF(L186="","",VLOOKUP(L186,classifications!C:K,9,FALSE))</f>
        <v/>
      </c>
      <c r="U186" s="183" t="str">
        <f t="shared" si="54"/>
        <v/>
      </c>
      <c r="V186" s="184" t="str">
        <f>IF(U186="","",IF($I$8="A",(RANK(U186,U$11:U$368)+COUNTIF(U$11:U186,U186)-1),(RANK(U186,U$11:U$368,1)+COUNTIF(U$11:U186,U186)-1)))</f>
        <v/>
      </c>
      <c r="W186" s="185"/>
      <c r="X186" s="38" t="str">
        <f>IF(L186="","",VLOOKUP($L186,classifications!$C:$J,6,FALSE))</f>
        <v/>
      </c>
      <c r="Y186" s="26" t="b">
        <f t="shared" si="55"/>
        <v>0</v>
      </c>
      <c r="Z186" s="34" t="e">
        <f>IF(Y186="","",IF(I$8="A",(RANK(Y186,Y$11:Y$368,1)+COUNTIF(Y$11:Y186,Y186)-1),(RANK(Y186,Y$11:Y$368)+COUNTIF(Y$11:Y186,Y186)-1)))</f>
        <v>#N/A</v>
      </c>
      <c r="AA186" s="188" t="str">
        <f>IF(L186="","",VLOOKUP($L186,classifications!C:I,7,FALSE))</f>
        <v/>
      </c>
      <c r="AB186" s="184" t="str">
        <f t="shared" si="63"/>
        <v/>
      </c>
      <c r="AC186" s="184" t="str">
        <f>IF(AB186="","",IF($I$8="A",(RANK(AB186,AB$11:AB$368)+COUNTIF(AB$11:AB186,AB186)-1),(RANK(AB186,AB$11:AB$368,1)+COUNTIF(AB$11:AB186,AB186)-1)))</f>
        <v/>
      </c>
      <c r="AD186" s="184"/>
      <c r="AE186" s="28" t="str">
        <f t="shared" si="72"/>
        <v/>
      </c>
      <c r="AG186" s="96"/>
      <c r="AH186" s="29"/>
      <c r="AI186" s="38" t="str">
        <f>IF(L186="","",VLOOKUP($L186,classifications!$C:$J,8,FALSE))</f>
        <v/>
      </c>
      <c r="AJ186" s="39" t="str">
        <f t="shared" si="56"/>
        <v/>
      </c>
      <c r="AK186" s="34" t="str">
        <f>IF(AJ186="","",IF(I$8="A",(RANK(AJ186,AJ$11:AJ$368,1)+COUNTIF(AJ$11:AJ186,AJ186)-1),(RANK(AJ186,AJ$11:AJ$368)+COUNTIF(AJ$11:AJ186,AJ186)-1)))</f>
        <v/>
      </c>
      <c r="AL186" s="29" t="str">
        <f t="shared" si="64"/>
        <v/>
      </c>
      <c r="AM186" s="8" t="str">
        <f t="shared" si="57"/>
        <v/>
      </c>
      <c r="AN186" s="8" t="str">
        <f t="shared" si="65"/>
        <v/>
      </c>
      <c r="AP186" s="38" t="str">
        <f>IF(L186="","",VLOOKUP($L186,classifications!$C:$E,3,FALSE))</f>
        <v/>
      </c>
      <c r="AQ186" s="39" t="str">
        <f t="shared" si="66"/>
        <v/>
      </c>
      <c r="AR186" s="34" t="str">
        <f>IF(AQ186="","",IF(I$8="A",(RANK(AQ186,AQ$11:AQ$368,1)+COUNTIF(AQ$11:AQ186,AQ186)-1),(RANK(AQ186,AQ$11:AQ$368)+COUNTIF(AQ$11:AQ186,AQ186)-1)))</f>
        <v/>
      </c>
      <c r="AS186" s="29" t="str">
        <f t="shared" si="67"/>
        <v/>
      </c>
      <c r="AT186" s="34" t="str">
        <f t="shared" si="58"/>
        <v/>
      </c>
      <c r="AU186" s="39" t="str">
        <f t="shared" si="71"/>
        <v/>
      </c>
      <c r="AX186" s="21">
        <f>HLOOKUP($AX$9&amp;$AX$10,Data!$A$1:$ZZ$2000,(MATCH($C186,Data!$A$1:$A$2000,0)),FALSE)</f>
        <v>14.23297851074927</v>
      </c>
      <c r="AY186" s="103"/>
      <c r="AZ186" s="21"/>
    </row>
    <row r="187" spans="1:52">
      <c r="A187" s="56" t="str">
        <f>$D$1&amp;177</f>
        <v>SC177</v>
      </c>
      <c r="B187" s="57">
        <f>IF(ISERROR(VLOOKUP(A187,classifications!A:C,3,FALSE)),0,VLOOKUP(A187,classifications!A:C,3,FALSE))</f>
        <v>0</v>
      </c>
      <c r="C187" s="8" t="s">
        <v>98</v>
      </c>
      <c r="D187" s="26" t="str">
        <f>VLOOKUP($C187,classifications!$C:$J,4,FALSE)</f>
        <v>SD</v>
      </c>
      <c r="E187" s="26" t="str">
        <f>VLOOKUP(C187,classifications!C:K,9,FALSE)</f>
        <v>Sparse</v>
      </c>
      <c r="F187" s="36">
        <f t="shared" si="50"/>
        <v>15.94468128411288</v>
      </c>
      <c r="G187" s="71"/>
      <c r="H187" s="37" t="str">
        <f t="shared" si="51"/>
        <v/>
      </c>
      <c r="I187" s="77" t="str">
        <f>IF(H187="","",IF($I$8="A",(RANK(H187,H$11:H$368,1)+COUNTIF(H$11:H187,H187)-1),(RANK(H187,H$11:H$368)+COUNTIF(H$11:H187,H187)-1)))</f>
        <v/>
      </c>
      <c r="J187" s="35"/>
      <c r="K187" s="28" t="str">
        <f t="shared" si="59"/>
        <v/>
      </c>
      <c r="L187" s="36" t="str">
        <f t="shared" si="52"/>
        <v/>
      </c>
      <c r="M187" s="102" t="str">
        <f t="shared" si="60"/>
        <v/>
      </c>
      <c r="N187" s="101" t="str">
        <f t="shared" si="61"/>
        <v/>
      </c>
      <c r="O187" s="94" t="str">
        <f t="shared" si="53"/>
        <v/>
      </c>
      <c r="P187" s="94" t="str">
        <f t="shared" si="68"/>
        <v/>
      </c>
      <c r="Q187" s="94" t="str">
        <f t="shared" si="69"/>
        <v/>
      </c>
      <c r="R187" s="90" t="str">
        <f t="shared" si="70"/>
        <v/>
      </c>
      <c r="S187" s="37" t="str">
        <f t="shared" si="62"/>
        <v/>
      </c>
      <c r="T187" s="176" t="str">
        <f>IF(L187="","",VLOOKUP(L187,classifications!C:K,9,FALSE))</f>
        <v/>
      </c>
      <c r="U187" s="183" t="str">
        <f t="shared" si="54"/>
        <v/>
      </c>
      <c r="V187" s="184" t="str">
        <f>IF(U187="","",IF($I$8="A",(RANK(U187,U$11:U$368)+COUNTIF(U$11:U187,U187)-1),(RANK(U187,U$11:U$368,1)+COUNTIF(U$11:U187,U187)-1)))</f>
        <v/>
      </c>
      <c r="W187" s="185"/>
      <c r="X187" s="38" t="str">
        <f>IF(L187="","",VLOOKUP($L187,classifications!$C:$J,6,FALSE))</f>
        <v/>
      </c>
      <c r="Y187" s="26" t="b">
        <f t="shared" si="55"/>
        <v>0</v>
      </c>
      <c r="Z187" s="34" t="e">
        <f>IF(Y187="","",IF(I$8="A",(RANK(Y187,Y$11:Y$368,1)+COUNTIF(Y$11:Y187,Y187)-1),(RANK(Y187,Y$11:Y$368)+COUNTIF(Y$11:Y187,Y187)-1)))</f>
        <v>#N/A</v>
      </c>
      <c r="AA187" s="188" t="str">
        <f>IF(L187="","",VLOOKUP($L187,classifications!C:I,7,FALSE))</f>
        <v/>
      </c>
      <c r="AB187" s="184" t="str">
        <f t="shared" si="63"/>
        <v/>
      </c>
      <c r="AC187" s="184" t="str">
        <f>IF(AB187="","",IF($I$8="A",(RANK(AB187,AB$11:AB$368)+COUNTIF(AB$11:AB187,AB187)-1),(RANK(AB187,AB$11:AB$368,1)+COUNTIF(AB$11:AB187,AB187)-1)))</f>
        <v/>
      </c>
      <c r="AD187" s="184"/>
      <c r="AE187" s="28" t="str">
        <f t="shared" si="72"/>
        <v/>
      </c>
      <c r="AG187" s="96"/>
      <c r="AH187" s="29"/>
      <c r="AI187" s="38" t="str">
        <f>IF(L187="","",VLOOKUP($L187,classifications!$C:$J,8,FALSE))</f>
        <v/>
      </c>
      <c r="AJ187" s="39" t="str">
        <f t="shared" si="56"/>
        <v/>
      </c>
      <c r="AK187" s="34" t="str">
        <f>IF(AJ187="","",IF(I$8="A",(RANK(AJ187,AJ$11:AJ$368,1)+COUNTIF(AJ$11:AJ187,AJ187)-1),(RANK(AJ187,AJ$11:AJ$368)+COUNTIF(AJ$11:AJ187,AJ187)-1)))</f>
        <v/>
      </c>
      <c r="AL187" s="29" t="str">
        <f t="shared" si="64"/>
        <v/>
      </c>
      <c r="AM187" s="8" t="str">
        <f t="shared" si="57"/>
        <v/>
      </c>
      <c r="AN187" s="8" t="str">
        <f t="shared" si="65"/>
        <v/>
      </c>
      <c r="AP187" s="38" t="str">
        <f>IF(L187="","",VLOOKUP($L187,classifications!$C:$E,3,FALSE))</f>
        <v/>
      </c>
      <c r="AQ187" s="39" t="str">
        <f t="shared" si="66"/>
        <v/>
      </c>
      <c r="AR187" s="34" t="str">
        <f>IF(AQ187="","",IF(I$8="A",(RANK(AQ187,AQ$11:AQ$368,1)+COUNTIF(AQ$11:AQ187,AQ187)-1),(RANK(AQ187,AQ$11:AQ$368)+COUNTIF(AQ$11:AQ187,AQ187)-1)))</f>
        <v/>
      </c>
      <c r="AS187" s="29" t="str">
        <f t="shared" si="67"/>
        <v/>
      </c>
      <c r="AT187" s="34" t="str">
        <f t="shared" si="58"/>
        <v/>
      </c>
      <c r="AU187" s="39" t="str">
        <f t="shared" si="71"/>
        <v/>
      </c>
      <c r="AX187" s="21">
        <f>HLOOKUP($AX$9&amp;$AX$10,Data!$A$1:$ZZ$2000,(MATCH($C187,Data!$A$1:$A$2000,0)),FALSE)</f>
        <v>15.94468128411288</v>
      </c>
      <c r="AY187" s="103"/>
      <c r="AZ187" s="21"/>
    </row>
    <row r="188" spans="1:52">
      <c r="A188" s="56" t="str">
        <f>$D$1&amp;178</f>
        <v>SC178</v>
      </c>
      <c r="B188" s="57">
        <f>IF(ISERROR(VLOOKUP(A188,classifications!A:C,3,FALSE)),0,VLOOKUP(A188,classifications!A:C,3,FALSE))</f>
        <v>0</v>
      </c>
      <c r="C188" s="8" t="s">
        <v>236</v>
      </c>
      <c r="D188" s="26" t="str">
        <f>VLOOKUP($C188,classifications!$C:$J,4,FALSE)</f>
        <v>MD</v>
      </c>
      <c r="E188" s="26">
        <f>VLOOKUP(C188,classifications!C:K,9,FALSE)</f>
        <v>0</v>
      </c>
      <c r="F188" s="36">
        <f t="shared" si="50"/>
        <v>16.984962286672751</v>
      </c>
      <c r="G188" s="71"/>
      <c r="H188" s="37" t="str">
        <f t="shared" si="51"/>
        <v/>
      </c>
      <c r="I188" s="77" t="str">
        <f>IF(H188="","",IF($I$8="A",(RANK(H188,H$11:H$368,1)+COUNTIF(H$11:H188,H188)-1),(RANK(H188,H$11:H$368)+COUNTIF(H$11:H188,H188)-1)))</f>
        <v/>
      </c>
      <c r="J188" s="35"/>
      <c r="K188" s="28" t="str">
        <f t="shared" si="59"/>
        <v/>
      </c>
      <c r="L188" s="36" t="str">
        <f t="shared" si="52"/>
        <v/>
      </c>
      <c r="M188" s="102" t="str">
        <f t="shared" si="60"/>
        <v/>
      </c>
      <c r="N188" s="101" t="str">
        <f t="shared" si="61"/>
        <v/>
      </c>
      <c r="O188" s="94" t="str">
        <f t="shared" si="53"/>
        <v/>
      </c>
      <c r="P188" s="94" t="str">
        <f t="shared" si="68"/>
        <v/>
      </c>
      <c r="Q188" s="94" t="str">
        <f t="shared" si="69"/>
        <v/>
      </c>
      <c r="R188" s="90" t="str">
        <f t="shared" si="70"/>
        <v/>
      </c>
      <c r="S188" s="37" t="str">
        <f t="shared" si="62"/>
        <v/>
      </c>
      <c r="T188" s="176" t="str">
        <f>IF(L188="","",VLOOKUP(L188,classifications!C:K,9,FALSE))</f>
        <v/>
      </c>
      <c r="U188" s="183" t="str">
        <f t="shared" si="54"/>
        <v/>
      </c>
      <c r="V188" s="184" t="str">
        <f>IF(U188="","",IF($I$8="A",(RANK(U188,U$11:U$368)+COUNTIF(U$11:U188,U188)-1),(RANK(U188,U$11:U$368,1)+COUNTIF(U$11:U188,U188)-1)))</f>
        <v/>
      </c>
      <c r="W188" s="185"/>
      <c r="X188" s="38" t="str">
        <f>IF(L188="","",VLOOKUP($L188,classifications!$C:$J,6,FALSE))</f>
        <v/>
      </c>
      <c r="Y188" s="26" t="b">
        <f t="shared" si="55"/>
        <v>0</v>
      </c>
      <c r="Z188" s="34" t="e">
        <f>IF(Y188="","",IF(I$8="A",(RANK(Y188,Y$11:Y$368,1)+COUNTIF(Y$11:Y188,Y188)-1),(RANK(Y188,Y$11:Y$368)+COUNTIF(Y$11:Y188,Y188)-1)))</f>
        <v>#N/A</v>
      </c>
      <c r="AA188" s="188" t="str">
        <f>IF(L188="","",VLOOKUP($L188,classifications!C:I,7,FALSE))</f>
        <v/>
      </c>
      <c r="AB188" s="184" t="str">
        <f t="shared" si="63"/>
        <v/>
      </c>
      <c r="AC188" s="184" t="str">
        <f>IF(AB188="","",IF($I$8="A",(RANK(AB188,AB$11:AB$368)+COUNTIF(AB$11:AB188,AB188)-1),(RANK(AB188,AB$11:AB$368,1)+COUNTIF(AB$11:AB188,AB188)-1)))</f>
        <v/>
      </c>
      <c r="AD188" s="184"/>
      <c r="AE188" s="28" t="str">
        <f t="shared" si="72"/>
        <v/>
      </c>
      <c r="AG188" s="96"/>
      <c r="AH188" s="29"/>
      <c r="AI188" s="38" t="str">
        <f>IF(L188="","",VLOOKUP($L188,classifications!$C:$J,8,FALSE))</f>
        <v/>
      </c>
      <c r="AJ188" s="39" t="str">
        <f t="shared" si="56"/>
        <v/>
      </c>
      <c r="AK188" s="34" t="str">
        <f>IF(AJ188="","",IF(I$8="A",(RANK(AJ188,AJ$11:AJ$368,1)+COUNTIF(AJ$11:AJ188,AJ188)-1),(RANK(AJ188,AJ$11:AJ$368)+COUNTIF(AJ$11:AJ188,AJ188)-1)))</f>
        <v/>
      </c>
      <c r="AL188" s="29" t="str">
        <f t="shared" si="64"/>
        <v/>
      </c>
      <c r="AM188" s="8" t="str">
        <f t="shared" si="57"/>
        <v/>
      </c>
      <c r="AN188" s="8" t="str">
        <f t="shared" si="65"/>
        <v/>
      </c>
      <c r="AP188" s="38" t="str">
        <f>IF(L188="","",VLOOKUP($L188,classifications!$C:$E,3,FALSE))</f>
        <v/>
      </c>
      <c r="AQ188" s="39" t="str">
        <f t="shared" si="66"/>
        <v/>
      </c>
      <c r="AR188" s="34" t="str">
        <f>IF(AQ188="","",IF(I$8="A",(RANK(AQ188,AQ$11:AQ$368,1)+COUNTIF(AQ$11:AQ188,AQ188)-1),(RANK(AQ188,AQ$11:AQ$368)+COUNTIF(AQ$11:AQ188,AQ188)-1)))</f>
        <v/>
      </c>
      <c r="AS188" s="29" t="str">
        <f t="shared" si="67"/>
        <v/>
      </c>
      <c r="AT188" s="34" t="str">
        <f t="shared" si="58"/>
        <v/>
      </c>
      <c r="AU188" s="39" t="str">
        <f t="shared" si="71"/>
        <v/>
      </c>
      <c r="AX188" s="21">
        <f>HLOOKUP($AX$9&amp;$AX$10,Data!$A$1:$ZZ$2000,(MATCH($C188,Data!$A$1:$A$2000,0)),FALSE)</f>
        <v>16.984962286672751</v>
      </c>
      <c r="AY188" s="103"/>
      <c r="AZ188" s="21"/>
    </row>
    <row r="189" spans="1:52">
      <c r="A189" s="56" t="str">
        <f>$D$1&amp;179</f>
        <v>SC179</v>
      </c>
      <c r="B189" s="57">
        <f>IF(ISERROR(VLOOKUP(A189,classifications!A:C,3,FALSE)),0,VLOOKUP(A189,classifications!A:C,3,FALSE))</f>
        <v>0</v>
      </c>
      <c r="C189" s="8" t="s">
        <v>99</v>
      </c>
      <c r="D189" s="26" t="str">
        <f>VLOOKUP($C189,classifications!$C:$J,4,FALSE)</f>
        <v>SD</v>
      </c>
      <c r="E189" s="26">
        <f>VLOOKUP(C189,classifications!C:K,9,FALSE)</f>
        <v>0</v>
      </c>
      <c r="F189" s="36">
        <f t="shared" si="50"/>
        <v>10.572959580533785</v>
      </c>
      <c r="G189" s="71"/>
      <c r="H189" s="37" t="str">
        <f t="shared" si="51"/>
        <v/>
      </c>
      <c r="I189" s="77" t="str">
        <f>IF(H189="","",IF($I$8="A",(RANK(H189,H$11:H$368,1)+COUNTIF(H$11:H189,H189)-1),(RANK(H189,H$11:H$368)+COUNTIF(H$11:H189,H189)-1)))</f>
        <v/>
      </c>
      <c r="J189" s="35"/>
      <c r="K189" s="28" t="str">
        <f t="shared" si="59"/>
        <v/>
      </c>
      <c r="L189" s="36" t="str">
        <f t="shared" si="52"/>
        <v/>
      </c>
      <c r="M189" s="102" t="str">
        <f t="shared" si="60"/>
        <v/>
      </c>
      <c r="N189" s="101" t="str">
        <f t="shared" si="61"/>
        <v/>
      </c>
      <c r="O189" s="94" t="str">
        <f t="shared" si="53"/>
        <v/>
      </c>
      <c r="P189" s="94" t="str">
        <f t="shared" si="68"/>
        <v/>
      </c>
      <c r="Q189" s="94" t="str">
        <f t="shared" si="69"/>
        <v/>
      </c>
      <c r="R189" s="90" t="str">
        <f t="shared" si="70"/>
        <v/>
      </c>
      <c r="S189" s="37" t="str">
        <f t="shared" si="62"/>
        <v/>
      </c>
      <c r="T189" s="176" t="str">
        <f>IF(L189="","",VLOOKUP(L189,classifications!C:K,9,FALSE))</f>
        <v/>
      </c>
      <c r="U189" s="183" t="str">
        <f t="shared" si="54"/>
        <v/>
      </c>
      <c r="V189" s="184" t="str">
        <f>IF(U189="","",IF($I$8="A",(RANK(U189,U$11:U$368)+COUNTIF(U$11:U189,U189)-1),(RANK(U189,U$11:U$368,1)+COUNTIF(U$11:U189,U189)-1)))</f>
        <v/>
      </c>
      <c r="W189" s="185"/>
      <c r="X189" s="38" t="str">
        <f>IF(L189="","",VLOOKUP($L189,classifications!$C:$J,6,FALSE))</f>
        <v/>
      </c>
      <c r="Y189" s="26" t="b">
        <f t="shared" si="55"/>
        <v>0</v>
      </c>
      <c r="Z189" s="34" t="e">
        <f>IF(Y189="","",IF(I$8="A",(RANK(Y189,Y$11:Y$368,1)+COUNTIF(Y$11:Y189,Y189)-1),(RANK(Y189,Y$11:Y$368)+COUNTIF(Y$11:Y189,Y189)-1)))</f>
        <v>#N/A</v>
      </c>
      <c r="AA189" s="188" t="str">
        <f>IF(L189="","",VLOOKUP($L189,classifications!C:I,7,FALSE))</f>
        <v/>
      </c>
      <c r="AB189" s="184" t="str">
        <f t="shared" si="63"/>
        <v/>
      </c>
      <c r="AC189" s="184" t="str">
        <f>IF(AB189="","",IF($I$8="A",(RANK(AB189,AB$11:AB$368)+COUNTIF(AB$11:AB189,AB189)-1),(RANK(AB189,AB$11:AB$368,1)+COUNTIF(AB$11:AB189,AB189)-1)))</f>
        <v/>
      </c>
      <c r="AD189" s="184"/>
      <c r="AE189" s="28" t="str">
        <f t="shared" si="72"/>
        <v/>
      </c>
      <c r="AG189" s="96"/>
      <c r="AH189" s="29"/>
      <c r="AI189" s="38" t="str">
        <f>IF(L189="","",VLOOKUP($L189,classifications!$C:$J,8,FALSE))</f>
        <v/>
      </c>
      <c r="AJ189" s="39" t="str">
        <f t="shared" si="56"/>
        <v/>
      </c>
      <c r="AK189" s="34" t="str">
        <f>IF(AJ189="","",IF(I$8="A",(RANK(AJ189,AJ$11:AJ$368,1)+COUNTIF(AJ$11:AJ189,AJ189)-1),(RANK(AJ189,AJ$11:AJ$368)+COUNTIF(AJ$11:AJ189,AJ189)-1)))</f>
        <v/>
      </c>
      <c r="AL189" s="29" t="str">
        <f t="shared" si="64"/>
        <v/>
      </c>
      <c r="AM189" s="8" t="str">
        <f t="shared" si="57"/>
        <v/>
      </c>
      <c r="AN189" s="8" t="str">
        <f t="shared" si="65"/>
        <v/>
      </c>
      <c r="AP189" s="38" t="str">
        <f>IF(L189="","",VLOOKUP($L189,classifications!$C:$E,3,FALSE))</f>
        <v/>
      </c>
      <c r="AQ189" s="39" t="str">
        <f t="shared" si="66"/>
        <v/>
      </c>
      <c r="AR189" s="34" t="str">
        <f>IF(AQ189="","",IF(I$8="A",(RANK(AQ189,AQ$11:AQ$368,1)+COUNTIF(AQ$11:AQ189,AQ189)-1),(RANK(AQ189,AQ$11:AQ$368)+COUNTIF(AQ$11:AQ189,AQ189)-1)))</f>
        <v/>
      </c>
      <c r="AS189" s="29" t="str">
        <f t="shared" si="67"/>
        <v/>
      </c>
      <c r="AT189" s="34" t="str">
        <f t="shared" si="58"/>
        <v/>
      </c>
      <c r="AU189" s="39" t="str">
        <f t="shared" si="71"/>
        <v/>
      </c>
      <c r="AX189" s="21">
        <f>HLOOKUP($AX$9&amp;$AX$10,Data!$A$1:$ZZ$2000,(MATCH($C189,Data!$A$1:$A$2000,0)),FALSE)</f>
        <v>10.572959580533785</v>
      </c>
      <c r="AY189" s="103"/>
      <c r="AZ189" s="21"/>
    </row>
    <row r="190" spans="1:52">
      <c r="A190" s="56" t="str">
        <f>$D$1&amp;180</f>
        <v>SC180</v>
      </c>
      <c r="B190" s="57">
        <f>IF(ISERROR(VLOOKUP(A190,classifications!A:C,3,FALSE)),0,VLOOKUP(A190,classifications!A:C,3,FALSE))</f>
        <v>0</v>
      </c>
      <c r="C190" s="8" t="s">
        <v>273</v>
      </c>
      <c r="D190" s="26" t="str">
        <f>VLOOKUP($C190,classifications!$C:$J,4,FALSE)</f>
        <v>UA</v>
      </c>
      <c r="E190" s="26">
        <f>VLOOKUP(C190,classifications!C:K,9,FALSE)</f>
        <v>0</v>
      </c>
      <c r="F190" s="36">
        <f t="shared" si="50"/>
        <v>10.23497031433444</v>
      </c>
      <c r="G190" s="71"/>
      <c r="H190" s="37" t="str">
        <f t="shared" si="51"/>
        <v/>
      </c>
      <c r="I190" s="77" t="str">
        <f>IF(H190="","",IF($I$8="A",(RANK(H190,H$11:H$368,1)+COUNTIF(H$11:H190,H190)-1),(RANK(H190,H$11:H$368)+COUNTIF(H$11:H190,H190)-1)))</f>
        <v/>
      </c>
      <c r="J190" s="35"/>
      <c r="K190" s="28" t="str">
        <f t="shared" si="59"/>
        <v/>
      </c>
      <c r="L190" s="36" t="str">
        <f t="shared" si="52"/>
        <v/>
      </c>
      <c r="M190" s="102" t="str">
        <f t="shared" si="60"/>
        <v/>
      </c>
      <c r="N190" s="101" t="str">
        <f t="shared" si="61"/>
        <v/>
      </c>
      <c r="O190" s="94" t="str">
        <f t="shared" si="53"/>
        <v/>
      </c>
      <c r="P190" s="94" t="str">
        <f t="shared" si="68"/>
        <v/>
      </c>
      <c r="Q190" s="94" t="str">
        <f t="shared" si="69"/>
        <v/>
      </c>
      <c r="R190" s="90" t="str">
        <f t="shared" si="70"/>
        <v/>
      </c>
      <c r="S190" s="37" t="str">
        <f t="shared" si="62"/>
        <v/>
      </c>
      <c r="T190" s="176" t="str">
        <f>IF(L190="","",VLOOKUP(L190,classifications!C:K,9,FALSE))</f>
        <v/>
      </c>
      <c r="U190" s="183" t="str">
        <f t="shared" si="54"/>
        <v/>
      </c>
      <c r="V190" s="184" t="str">
        <f>IF(U190="","",IF($I$8="A",(RANK(U190,U$11:U$368)+COUNTIF(U$11:U190,U190)-1),(RANK(U190,U$11:U$368,1)+COUNTIF(U$11:U190,U190)-1)))</f>
        <v/>
      </c>
      <c r="W190" s="185"/>
      <c r="X190" s="38" t="str">
        <f>IF(L190="","",VLOOKUP($L190,classifications!$C:$J,6,FALSE))</f>
        <v/>
      </c>
      <c r="Y190" s="26" t="b">
        <f t="shared" si="55"/>
        <v>0</v>
      </c>
      <c r="Z190" s="34" t="e">
        <f>IF(Y190="","",IF(I$8="A",(RANK(Y190,Y$11:Y$368,1)+COUNTIF(Y$11:Y190,Y190)-1),(RANK(Y190,Y$11:Y$368)+COUNTIF(Y$11:Y190,Y190)-1)))</f>
        <v>#N/A</v>
      </c>
      <c r="AA190" s="188" t="str">
        <f>IF(L190="","",VLOOKUP($L190,classifications!C:I,7,FALSE))</f>
        <v/>
      </c>
      <c r="AB190" s="184" t="str">
        <f t="shared" si="63"/>
        <v/>
      </c>
      <c r="AC190" s="184" t="str">
        <f>IF(AB190="","",IF($I$8="A",(RANK(AB190,AB$11:AB$368)+COUNTIF(AB$11:AB190,AB190)-1),(RANK(AB190,AB$11:AB$368,1)+COUNTIF(AB$11:AB190,AB190)-1)))</f>
        <v/>
      </c>
      <c r="AD190" s="184"/>
      <c r="AE190" s="28" t="str">
        <f t="shared" si="72"/>
        <v/>
      </c>
      <c r="AG190" s="96"/>
      <c r="AH190" s="29"/>
      <c r="AI190" s="38" t="str">
        <f>IF(L190="","",VLOOKUP($L190,classifications!$C:$J,8,FALSE))</f>
        <v/>
      </c>
      <c r="AJ190" s="39" t="str">
        <f t="shared" si="56"/>
        <v/>
      </c>
      <c r="AK190" s="34" t="str">
        <f>IF(AJ190="","",IF(I$8="A",(RANK(AJ190,AJ$11:AJ$368,1)+COUNTIF(AJ$11:AJ190,AJ190)-1),(RANK(AJ190,AJ$11:AJ$368)+COUNTIF(AJ$11:AJ190,AJ190)-1)))</f>
        <v/>
      </c>
      <c r="AL190" s="29" t="str">
        <f t="shared" si="64"/>
        <v/>
      </c>
      <c r="AM190" s="8" t="str">
        <f t="shared" si="57"/>
        <v/>
      </c>
      <c r="AN190" s="8" t="str">
        <f t="shared" si="65"/>
        <v/>
      </c>
      <c r="AP190" s="38" t="str">
        <f>IF(L190="","",VLOOKUP($L190,classifications!$C:$E,3,FALSE))</f>
        <v/>
      </c>
      <c r="AQ190" s="39" t="str">
        <f t="shared" si="66"/>
        <v/>
      </c>
      <c r="AR190" s="34" t="str">
        <f>IF(AQ190="","",IF(I$8="A",(RANK(AQ190,AQ$11:AQ$368,1)+COUNTIF(AQ$11:AQ190,AQ190)-1),(RANK(AQ190,AQ$11:AQ$368)+COUNTIF(AQ$11:AQ190,AQ190)-1)))</f>
        <v/>
      </c>
      <c r="AS190" s="29" t="str">
        <f t="shared" si="67"/>
        <v/>
      </c>
      <c r="AT190" s="34" t="str">
        <f t="shared" si="58"/>
        <v/>
      </c>
      <c r="AU190" s="39" t="str">
        <f t="shared" si="71"/>
        <v/>
      </c>
      <c r="AX190" s="21">
        <f>HLOOKUP($AX$9&amp;$AX$10,Data!$A$1:$ZZ$2000,(MATCH($C190,Data!$A$1:$A$2000,0)),FALSE)</f>
        <v>10.23497031433444</v>
      </c>
      <c r="AY190" s="103"/>
      <c r="AZ190" s="21"/>
    </row>
    <row r="191" spans="1:52">
      <c r="A191" s="56" t="str">
        <f>$D$1&amp;181</f>
        <v>SC181</v>
      </c>
      <c r="B191" s="57">
        <f>IF(ISERROR(VLOOKUP(A191,classifications!A:C,3,FALSE)),0,VLOOKUP(A191,classifications!A:C,3,FALSE))</f>
        <v>0</v>
      </c>
      <c r="C191" s="8" t="s">
        <v>100</v>
      </c>
      <c r="D191" s="26" t="str">
        <f>VLOOKUP($C191,classifications!$C:$J,4,FALSE)</f>
        <v>SD</v>
      </c>
      <c r="E191" s="26" t="str">
        <f>VLOOKUP(C191,classifications!C:K,9,FALSE)</f>
        <v>Sparse</v>
      </c>
      <c r="F191" s="36">
        <f t="shared" si="50"/>
        <v>16.144883535566787</v>
      </c>
      <c r="G191" s="71"/>
      <c r="H191" s="37" t="str">
        <f t="shared" si="51"/>
        <v/>
      </c>
      <c r="I191" s="77" t="str">
        <f>IF(H191="","",IF($I$8="A",(RANK(H191,H$11:H$368,1)+COUNTIF(H$11:H191,H191)-1),(RANK(H191,H$11:H$368)+COUNTIF(H$11:H191,H191)-1)))</f>
        <v/>
      </c>
      <c r="J191" s="35"/>
      <c r="K191" s="28" t="str">
        <f t="shared" si="59"/>
        <v/>
      </c>
      <c r="L191" s="36" t="str">
        <f t="shared" si="52"/>
        <v/>
      </c>
      <c r="M191" s="102" t="str">
        <f t="shared" si="60"/>
        <v/>
      </c>
      <c r="N191" s="101" t="str">
        <f t="shared" si="61"/>
        <v/>
      </c>
      <c r="O191" s="94" t="str">
        <f t="shared" si="53"/>
        <v/>
      </c>
      <c r="P191" s="94" t="str">
        <f t="shared" si="68"/>
        <v/>
      </c>
      <c r="Q191" s="94" t="str">
        <f t="shared" si="69"/>
        <v/>
      </c>
      <c r="R191" s="90" t="str">
        <f t="shared" si="70"/>
        <v/>
      </c>
      <c r="S191" s="37" t="str">
        <f t="shared" si="62"/>
        <v/>
      </c>
      <c r="T191" s="176" t="str">
        <f>IF(L191="","",VLOOKUP(L191,classifications!C:K,9,FALSE))</f>
        <v/>
      </c>
      <c r="U191" s="183" t="str">
        <f t="shared" si="54"/>
        <v/>
      </c>
      <c r="V191" s="184" t="str">
        <f>IF(U191="","",IF($I$8="A",(RANK(U191,U$11:U$368)+COUNTIF(U$11:U191,U191)-1),(RANK(U191,U$11:U$368,1)+COUNTIF(U$11:U191,U191)-1)))</f>
        <v/>
      </c>
      <c r="W191" s="185"/>
      <c r="X191" s="38" t="str">
        <f>IF(L191="","",VLOOKUP($L191,classifications!$C:$J,6,FALSE))</f>
        <v/>
      </c>
      <c r="Y191" s="26" t="b">
        <f t="shared" si="55"/>
        <v>0</v>
      </c>
      <c r="Z191" s="34" t="e">
        <f>IF(Y191="","",IF(I$8="A",(RANK(Y191,Y$11:Y$368,1)+COUNTIF(Y$11:Y191,Y191)-1),(RANK(Y191,Y$11:Y$368)+COUNTIF(Y$11:Y191,Y191)-1)))</f>
        <v>#N/A</v>
      </c>
      <c r="AA191" s="188" t="str">
        <f>IF(L191="","",VLOOKUP($L191,classifications!C:I,7,FALSE))</f>
        <v/>
      </c>
      <c r="AB191" s="184" t="str">
        <f t="shared" si="63"/>
        <v/>
      </c>
      <c r="AC191" s="184" t="str">
        <f>IF(AB191="","",IF($I$8="A",(RANK(AB191,AB$11:AB$368)+COUNTIF(AB$11:AB191,AB191)-1),(RANK(AB191,AB$11:AB$368,1)+COUNTIF(AB$11:AB191,AB191)-1)))</f>
        <v/>
      </c>
      <c r="AD191" s="184"/>
      <c r="AE191" s="28" t="str">
        <f t="shared" si="72"/>
        <v/>
      </c>
      <c r="AG191" s="96"/>
      <c r="AH191" s="29"/>
      <c r="AI191" s="38" t="str">
        <f>IF(L191="","",VLOOKUP($L191,classifications!$C:$J,8,FALSE))</f>
        <v/>
      </c>
      <c r="AJ191" s="39" t="str">
        <f t="shared" si="56"/>
        <v/>
      </c>
      <c r="AK191" s="34" t="str">
        <f>IF(AJ191="","",IF(I$8="A",(RANK(AJ191,AJ$11:AJ$368,1)+COUNTIF(AJ$11:AJ191,AJ191)-1),(RANK(AJ191,AJ$11:AJ$368)+COUNTIF(AJ$11:AJ191,AJ191)-1)))</f>
        <v/>
      </c>
      <c r="AL191" s="29" t="str">
        <f t="shared" si="64"/>
        <v/>
      </c>
      <c r="AM191" s="8" t="str">
        <f t="shared" si="57"/>
        <v/>
      </c>
      <c r="AN191" s="8" t="str">
        <f t="shared" si="65"/>
        <v/>
      </c>
      <c r="AP191" s="38" t="str">
        <f>IF(L191="","",VLOOKUP($L191,classifications!$C:$E,3,FALSE))</f>
        <v/>
      </c>
      <c r="AQ191" s="39" t="str">
        <f t="shared" si="66"/>
        <v/>
      </c>
      <c r="AR191" s="34" t="str">
        <f>IF(AQ191="","",IF(I$8="A",(RANK(AQ191,AQ$11:AQ$368,1)+COUNTIF(AQ$11:AQ191,AQ191)-1),(RANK(AQ191,AQ$11:AQ$368)+COUNTIF(AQ$11:AQ191,AQ191)-1)))</f>
        <v/>
      </c>
      <c r="AS191" s="29" t="str">
        <f t="shared" si="67"/>
        <v/>
      </c>
      <c r="AT191" s="34" t="str">
        <f t="shared" si="58"/>
        <v/>
      </c>
      <c r="AU191" s="39" t="str">
        <f t="shared" si="71"/>
        <v/>
      </c>
      <c r="AX191" s="21">
        <f>HLOOKUP($AX$9&amp;$AX$10,Data!$A$1:$ZZ$2000,(MATCH($C191,Data!$A$1:$A$2000,0)),FALSE)</f>
        <v>16.144883535566787</v>
      </c>
      <c r="AY191" s="103"/>
      <c r="AZ191" s="21"/>
    </row>
    <row r="192" spans="1:52">
      <c r="A192" s="56" t="str">
        <f>$D$1&amp;182</f>
        <v>SC182</v>
      </c>
      <c r="B192" s="57">
        <f>IF(ISERROR(VLOOKUP(A192,classifications!A:C,3,FALSE)),0,VLOOKUP(A192,classifications!A:C,3,FALSE))</f>
        <v>0</v>
      </c>
      <c r="C192" s="8" t="s">
        <v>101</v>
      </c>
      <c r="D192" s="26" t="str">
        <f>VLOOKUP($C192,classifications!$C:$J,4,FALSE)</f>
        <v>SD</v>
      </c>
      <c r="E192" s="26" t="str">
        <f>VLOOKUP(C192,classifications!C:K,9,FALSE)</f>
        <v>Sparse</v>
      </c>
      <c r="F192" s="36">
        <f t="shared" si="50"/>
        <v>19.056148089242345</v>
      </c>
      <c r="G192" s="71"/>
      <c r="H192" s="37" t="str">
        <f t="shared" si="51"/>
        <v/>
      </c>
      <c r="I192" s="77" t="str">
        <f>IF(H192="","",IF($I$8="A",(RANK(H192,H$11:H$368,1)+COUNTIF(H$11:H192,H192)-1),(RANK(H192,H$11:H$368)+COUNTIF(H$11:H192,H192)-1)))</f>
        <v/>
      </c>
      <c r="J192" s="35"/>
      <c r="K192" s="28" t="str">
        <f t="shared" si="59"/>
        <v/>
      </c>
      <c r="L192" s="36" t="str">
        <f t="shared" si="52"/>
        <v/>
      </c>
      <c r="M192" s="102" t="str">
        <f t="shared" si="60"/>
        <v/>
      </c>
      <c r="N192" s="101" t="str">
        <f t="shared" si="61"/>
        <v/>
      </c>
      <c r="O192" s="94" t="str">
        <f t="shared" si="53"/>
        <v/>
      </c>
      <c r="P192" s="94" t="str">
        <f t="shared" si="68"/>
        <v/>
      </c>
      <c r="Q192" s="94" t="str">
        <f t="shared" si="69"/>
        <v/>
      </c>
      <c r="R192" s="90" t="str">
        <f t="shared" si="70"/>
        <v/>
      </c>
      <c r="S192" s="37" t="str">
        <f t="shared" si="62"/>
        <v/>
      </c>
      <c r="T192" s="176" t="str">
        <f>IF(L192="","",VLOOKUP(L192,classifications!C:K,9,FALSE))</f>
        <v/>
      </c>
      <c r="U192" s="183" t="str">
        <f t="shared" si="54"/>
        <v/>
      </c>
      <c r="V192" s="184" t="str">
        <f>IF(U192="","",IF($I$8="A",(RANK(U192,U$11:U$368)+COUNTIF(U$11:U192,U192)-1),(RANK(U192,U$11:U$368,1)+COUNTIF(U$11:U192,U192)-1)))</f>
        <v/>
      </c>
      <c r="W192" s="185"/>
      <c r="X192" s="38" t="str">
        <f>IF(L192="","",VLOOKUP($L192,classifications!$C:$J,6,FALSE))</f>
        <v/>
      </c>
      <c r="Y192" s="26" t="b">
        <f t="shared" si="55"/>
        <v>0</v>
      </c>
      <c r="Z192" s="34" t="e">
        <f>IF(Y192="","",IF(I$8="A",(RANK(Y192,Y$11:Y$368,1)+COUNTIF(Y$11:Y192,Y192)-1),(RANK(Y192,Y$11:Y$368)+COUNTIF(Y$11:Y192,Y192)-1)))</f>
        <v>#N/A</v>
      </c>
      <c r="AA192" s="188" t="str">
        <f>IF(L192="","",VLOOKUP($L192,classifications!C:I,7,FALSE))</f>
        <v/>
      </c>
      <c r="AB192" s="184" t="str">
        <f t="shared" si="63"/>
        <v/>
      </c>
      <c r="AC192" s="184" t="str">
        <f>IF(AB192="","",IF($I$8="A",(RANK(AB192,AB$11:AB$368)+COUNTIF(AB$11:AB192,AB192)-1),(RANK(AB192,AB$11:AB$368,1)+COUNTIF(AB$11:AB192,AB192)-1)))</f>
        <v/>
      </c>
      <c r="AD192" s="184"/>
      <c r="AE192" s="28" t="str">
        <f t="shared" si="72"/>
        <v/>
      </c>
      <c r="AG192" s="96"/>
      <c r="AH192" s="29"/>
      <c r="AI192" s="38" t="str">
        <f>IF(L192="","",VLOOKUP($L192,classifications!$C:$J,8,FALSE))</f>
        <v/>
      </c>
      <c r="AJ192" s="39" t="str">
        <f t="shared" si="56"/>
        <v/>
      </c>
      <c r="AK192" s="34" t="str">
        <f>IF(AJ192="","",IF(I$8="A",(RANK(AJ192,AJ$11:AJ$368,1)+COUNTIF(AJ$11:AJ192,AJ192)-1),(RANK(AJ192,AJ$11:AJ$368)+COUNTIF(AJ$11:AJ192,AJ192)-1)))</f>
        <v/>
      </c>
      <c r="AL192" s="29" t="str">
        <f t="shared" si="64"/>
        <v/>
      </c>
      <c r="AM192" s="8" t="str">
        <f t="shared" si="57"/>
        <v/>
      </c>
      <c r="AN192" s="8" t="str">
        <f t="shared" si="65"/>
        <v/>
      </c>
      <c r="AP192" s="38" t="str">
        <f>IF(L192="","",VLOOKUP($L192,classifications!$C:$E,3,FALSE))</f>
        <v/>
      </c>
      <c r="AQ192" s="39" t="str">
        <f t="shared" si="66"/>
        <v/>
      </c>
      <c r="AR192" s="34" t="str">
        <f>IF(AQ192="","",IF(I$8="A",(RANK(AQ192,AQ$11:AQ$368,1)+COUNTIF(AQ$11:AQ192,AQ192)-1),(RANK(AQ192,AQ$11:AQ$368)+COUNTIF(AQ$11:AQ192,AQ192)-1)))</f>
        <v/>
      </c>
      <c r="AS192" s="29" t="str">
        <f t="shared" si="67"/>
        <v/>
      </c>
      <c r="AT192" s="34" t="str">
        <f t="shared" si="58"/>
        <v/>
      </c>
      <c r="AU192" s="39" t="str">
        <f t="shared" si="71"/>
        <v/>
      </c>
      <c r="AX192" s="21">
        <f>HLOOKUP($AX$9&amp;$AX$10,Data!$A$1:$ZZ$2000,(MATCH($C192,Data!$A$1:$A$2000,0)),FALSE)</f>
        <v>19.056148089242345</v>
      </c>
      <c r="AY192" s="103"/>
      <c r="AZ192" s="21"/>
    </row>
    <row r="193" spans="1:52">
      <c r="A193" s="56" t="str">
        <f>$D$1&amp;183</f>
        <v>SC183</v>
      </c>
      <c r="B193" s="57">
        <f>IF(ISERROR(VLOOKUP(A193,classifications!A:C,3,FALSE)),0,VLOOKUP(A193,classifications!A:C,3,FALSE))</f>
        <v>0</v>
      </c>
      <c r="C193" s="8" t="s">
        <v>214</v>
      </c>
      <c r="D193" s="26" t="str">
        <f>VLOOKUP($C193,classifications!$C:$J,4,FALSE)</f>
        <v>L</v>
      </c>
      <c r="E193" s="26">
        <f>VLOOKUP(C193,classifications!C:K,9,FALSE)</f>
        <v>0</v>
      </c>
      <c r="F193" s="36">
        <f t="shared" si="50"/>
        <v>19.804567987501024</v>
      </c>
      <c r="G193" s="71"/>
      <c r="H193" s="37" t="str">
        <f t="shared" si="51"/>
        <v/>
      </c>
      <c r="I193" s="77" t="str">
        <f>IF(H193="","",IF($I$8="A",(RANK(H193,H$11:H$368,1)+COUNTIF(H$11:H193,H193)-1),(RANK(H193,H$11:H$368)+COUNTIF(H$11:H193,H193)-1)))</f>
        <v/>
      </c>
      <c r="J193" s="35"/>
      <c r="K193" s="28" t="str">
        <f t="shared" si="59"/>
        <v/>
      </c>
      <c r="L193" s="36" t="str">
        <f t="shared" si="52"/>
        <v/>
      </c>
      <c r="M193" s="102" t="str">
        <f t="shared" si="60"/>
        <v/>
      </c>
      <c r="N193" s="101" t="str">
        <f t="shared" si="61"/>
        <v/>
      </c>
      <c r="O193" s="94" t="str">
        <f t="shared" si="53"/>
        <v/>
      </c>
      <c r="P193" s="94" t="str">
        <f t="shared" si="68"/>
        <v/>
      </c>
      <c r="Q193" s="94" t="str">
        <f t="shared" si="69"/>
        <v/>
      </c>
      <c r="R193" s="90" t="str">
        <f t="shared" si="70"/>
        <v/>
      </c>
      <c r="S193" s="37" t="str">
        <f t="shared" si="62"/>
        <v/>
      </c>
      <c r="T193" s="176" t="str">
        <f>IF(L193="","",VLOOKUP(L193,classifications!C:K,9,FALSE))</f>
        <v/>
      </c>
      <c r="U193" s="183" t="str">
        <f t="shared" si="54"/>
        <v/>
      </c>
      <c r="V193" s="184" t="str">
        <f>IF(U193="","",IF($I$8="A",(RANK(U193,U$11:U$368)+COUNTIF(U$11:U193,U193)-1),(RANK(U193,U$11:U$368,1)+COUNTIF(U$11:U193,U193)-1)))</f>
        <v/>
      </c>
      <c r="W193" s="185"/>
      <c r="X193" s="38" t="str">
        <f>IF(L193="","",VLOOKUP($L193,classifications!$C:$J,6,FALSE))</f>
        <v/>
      </c>
      <c r="Y193" s="26" t="b">
        <f t="shared" si="55"/>
        <v>0</v>
      </c>
      <c r="Z193" s="34" t="e">
        <f>IF(Y193="","",IF(I$8="A",(RANK(Y193,Y$11:Y$368,1)+COUNTIF(Y$11:Y193,Y193)-1),(RANK(Y193,Y$11:Y$368)+COUNTIF(Y$11:Y193,Y193)-1)))</f>
        <v>#N/A</v>
      </c>
      <c r="AA193" s="188" t="str">
        <f>IF(L193="","",VLOOKUP($L193,classifications!C:I,7,FALSE))</f>
        <v/>
      </c>
      <c r="AB193" s="184" t="str">
        <f t="shared" si="63"/>
        <v/>
      </c>
      <c r="AC193" s="184" t="str">
        <f>IF(AB193="","",IF($I$8="A",(RANK(AB193,AB$11:AB$368)+COUNTIF(AB$11:AB193,AB193)-1),(RANK(AB193,AB$11:AB$368,1)+COUNTIF(AB$11:AB193,AB193)-1)))</f>
        <v/>
      </c>
      <c r="AD193" s="184"/>
      <c r="AE193" s="28" t="str">
        <f t="shared" si="72"/>
        <v/>
      </c>
      <c r="AG193" s="96"/>
      <c r="AH193" s="29"/>
      <c r="AI193" s="38" t="str">
        <f>IF(L193="","",VLOOKUP($L193,classifications!$C:$J,8,FALSE))</f>
        <v/>
      </c>
      <c r="AJ193" s="39" t="str">
        <f t="shared" si="56"/>
        <v/>
      </c>
      <c r="AK193" s="34" t="str">
        <f>IF(AJ193="","",IF(I$8="A",(RANK(AJ193,AJ$11:AJ$368,1)+COUNTIF(AJ$11:AJ193,AJ193)-1),(RANK(AJ193,AJ$11:AJ$368)+COUNTIF(AJ$11:AJ193,AJ193)-1)))</f>
        <v/>
      </c>
      <c r="AL193" s="29" t="str">
        <f t="shared" si="64"/>
        <v/>
      </c>
      <c r="AM193" s="8" t="str">
        <f t="shared" si="57"/>
        <v/>
      </c>
      <c r="AN193" s="8" t="str">
        <f t="shared" si="65"/>
        <v/>
      </c>
      <c r="AP193" s="38" t="str">
        <f>IF(L193="","",VLOOKUP($L193,classifications!$C:$E,3,FALSE))</f>
        <v/>
      </c>
      <c r="AQ193" s="39" t="str">
        <f t="shared" si="66"/>
        <v/>
      </c>
      <c r="AR193" s="34" t="str">
        <f>IF(AQ193="","",IF(I$8="A",(RANK(AQ193,AQ$11:AQ$368,1)+COUNTIF(AQ$11:AQ193,AQ193)-1),(RANK(AQ193,AQ$11:AQ$368)+COUNTIF(AQ$11:AQ193,AQ193)-1)))</f>
        <v/>
      </c>
      <c r="AS193" s="29" t="str">
        <f t="shared" si="67"/>
        <v/>
      </c>
      <c r="AT193" s="34" t="str">
        <f t="shared" si="58"/>
        <v/>
      </c>
      <c r="AU193" s="39" t="str">
        <f t="shared" si="71"/>
        <v/>
      </c>
      <c r="AX193" s="21">
        <f>HLOOKUP($AX$9&amp;$AX$10,Data!$A$1:$ZZ$2000,(MATCH($C193,Data!$A$1:$A$2000,0)),FALSE)</f>
        <v>19.804567987501024</v>
      </c>
      <c r="AY193" s="103"/>
      <c r="AZ193" s="21"/>
    </row>
    <row r="194" spans="1:52">
      <c r="A194" s="56" t="str">
        <f>$D$1&amp;184</f>
        <v>SC184</v>
      </c>
      <c r="B194" s="57">
        <f>IF(ISERROR(VLOOKUP(A194,classifications!A:C,3,FALSE)),0,VLOOKUP(A194,classifications!A:C,3,FALSE))</f>
        <v>0</v>
      </c>
      <c r="C194" s="8" t="s">
        <v>102</v>
      </c>
      <c r="D194" s="26" t="str">
        <f>VLOOKUP($C194,classifications!$C:$J,4,FALSE)</f>
        <v>SD</v>
      </c>
      <c r="E194" s="26" t="str">
        <f>VLOOKUP(C194,classifications!C:K,9,FALSE)</f>
        <v>Sparse</v>
      </c>
      <c r="F194" s="36">
        <f t="shared" si="50"/>
        <v>17.72867644453849</v>
      </c>
      <c r="G194" s="71"/>
      <c r="H194" s="37" t="str">
        <f t="shared" si="51"/>
        <v/>
      </c>
      <c r="I194" s="77" t="str">
        <f>IF(H194="","",IF($I$8="A",(RANK(H194,H$11:H$368,1)+COUNTIF(H$11:H194,H194)-1),(RANK(H194,H$11:H$368)+COUNTIF(H$11:H194,H194)-1)))</f>
        <v/>
      </c>
      <c r="J194" s="35"/>
      <c r="K194" s="28" t="str">
        <f t="shared" si="59"/>
        <v/>
      </c>
      <c r="L194" s="36" t="str">
        <f t="shared" si="52"/>
        <v/>
      </c>
      <c r="M194" s="102" t="str">
        <f t="shared" si="60"/>
        <v/>
      </c>
      <c r="N194" s="101" t="str">
        <f t="shared" si="61"/>
        <v/>
      </c>
      <c r="O194" s="94" t="str">
        <f t="shared" si="53"/>
        <v/>
      </c>
      <c r="P194" s="94" t="str">
        <f t="shared" si="68"/>
        <v/>
      </c>
      <c r="Q194" s="94" t="str">
        <f t="shared" si="69"/>
        <v/>
      </c>
      <c r="R194" s="90" t="str">
        <f t="shared" si="70"/>
        <v/>
      </c>
      <c r="S194" s="37" t="str">
        <f t="shared" si="62"/>
        <v/>
      </c>
      <c r="T194" s="176" t="str">
        <f>IF(L194="","",VLOOKUP(L194,classifications!C:K,9,FALSE))</f>
        <v/>
      </c>
      <c r="U194" s="183" t="str">
        <f t="shared" si="54"/>
        <v/>
      </c>
      <c r="V194" s="184" t="str">
        <f>IF(U194="","",IF($I$8="A",(RANK(U194,U$11:U$368)+COUNTIF(U$11:U194,U194)-1),(RANK(U194,U$11:U$368,1)+COUNTIF(U$11:U194,U194)-1)))</f>
        <v/>
      </c>
      <c r="W194" s="185"/>
      <c r="X194" s="38" t="str">
        <f>IF(L194="","",VLOOKUP($L194,classifications!$C:$J,6,FALSE))</f>
        <v/>
      </c>
      <c r="Y194" s="26" t="b">
        <f t="shared" si="55"/>
        <v>0</v>
      </c>
      <c r="Z194" s="34" t="e">
        <f>IF(Y194="","",IF(I$8="A",(RANK(Y194,Y$11:Y$368,1)+COUNTIF(Y$11:Y194,Y194)-1),(RANK(Y194,Y$11:Y$368)+COUNTIF(Y$11:Y194,Y194)-1)))</f>
        <v>#N/A</v>
      </c>
      <c r="AA194" s="188" t="str">
        <f>IF(L194="","",VLOOKUP($L194,classifications!C:I,7,FALSE))</f>
        <v/>
      </c>
      <c r="AB194" s="184" t="str">
        <f t="shared" si="63"/>
        <v/>
      </c>
      <c r="AC194" s="184" t="str">
        <f>IF(AB194="","",IF($I$8="A",(RANK(AB194,AB$11:AB$368)+COUNTIF(AB$11:AB194,AB194)-1),(RANK(AB194,AB$11:AB$368,1)+COUNTIF(AB$11:AB194,AB194)-1)))</f>
        <v/>
      </c>
      <c r="AD194" s="184"/>
      <c r="AE194" s="28" t="str">
        <f t="shared" si="72"/>
        <v/>
      </c>
      <c r="AG194" s="96"/>
      <c r="AH194" s="29"/>
      <c r="AI194" s="38" t="str">
        <f>IF(L194="","",VLOOKUP($L194,classifications!$C:$J,8,FALSE))</f>
        <v/>
      </c>
      <c r="AJ194" s="39" t="str">
        <f t="shared" si="56"/>
        <v/>
      </c>
      <c r="AK194" s="34" t="str">
        <f>IF(AJ194="","",IF(I$8="A",(RANK(AJ194,AJ$11:AJ$368,1)+COUNTIF(AJ$11:AJ194,AJ194)-1),(RANK(AJ194,AJ$11:AJ$368)+COUNTIF(AJ$11:AJ194,AJ194)-1)))</f>
        <v/>
      </c>
      <c r="AL194" s="29" t="str">
        <f t="shared" si="64"/>
        <v/>
      </c>
      <c r="AM194" s="8" t="str">
        <f t="shared" si="57"/>
        <v/>
      </c>
      <c r="AN194" s="8" t="str">
        <f t="shared" si="65"/>
        <v/>
      </c>
      <c r="AP194" s="38" t="str">
        <f>IF(L194="","",VLOOKUP($L194,classifications!$C:$E,3,FALSE))</f>
        <v/>
      </c>
      <c r="AQ194" s="39" t="str">
        <f t="shared" si="66"/>
        <v/>
      </c>
      <c r="AR194" s="34" t="str">
        <f>IF(AQ194="","",IF(I$8="A",(RANK(AQ194,AQ$11:AQ$368,1)+COUNTIF(AQ$11:AQ194,AQ194)-1),(RANK(AQ194,AQ$11:AQ$368)+COUNTIF(AQ$11:AQ194,AQ194)-1)))</f>
        <v/>
      </c>
      <c r="AS194" s="29" t="str">
        <f t="shared" si="67"/>
        <v/>
      </c>
      <c r="AT194" s="34" t="str">
        <f t="shared" si="58"/>
        <v/>
      </c>
      <c r="AU194" s="39" t="str">
        <f t="shared" si="71"/>
        <v/>
      </c>
      <c r="AX194" s="21">
        <f>HLOOKUP($AX$9&amp;$AX$10,Data!$A$1:$ZZ$2000,(MATCH($C194,Data!$A$1:$A$2000,0)),FALSE)</f>
        <v>17.72867644453849</v>
      </c>
      <c r="AY194" s="103"/>
      <c r="AZ194" s="21"/>
    </row>
    <row r="195" spans="1:52">
      <c r="A195" s="56" t="str">
        <f>$D$1&amp;185</f>
        <v>SC185</v>
      </c>
      <c r="B195" s="57">
        <f>IF(ISERROR(VLOOKUP(A195,classifications!A:C,3,FALSE)),0,VLOOKUP(A195,classifications!A:C,3,FALSE))</f>
        <v>0</v>
      </c>
      <c r="C195" s="8" t="s">
        <v>103</v>
      </c>
      <c r="D195" s="26" t="str">
        <f>VLOOKUP($C195,classifications!$C:$J,4,FALSE)</f>
        <v>SD</v>
      </c>
      <c r="E195" s="26" t="str">
        <f>VLOOKUP(C195,classifications!C:K,9,FALSE)</f>
        <v>Sparse</v>
      </c>
      <c r="F195" s="36">
        <f t="shared" si="50"/>
        <v>17.419228824095381</v>
      </c>
      <c r="G195" s="71"/>
      <c r="H195" s="37" t="str">
        <f t="shared" si="51"/>
        <v/>
      </c>
      <c r="I195" s="77" t="str">
        <f>IF(H195="","",IF($I$8="A",(RANK(H195,H$11:H$368,1)+COUNTIF(H$11:H195,H195)-1),(RANK(H195,H$11:H$368)+COUNTIF(H$11:H195,H195)-1)))</f>
        <v/>
      </c>
      <c r="J195" s="35"/>
      <c r="K195" s="28" t="str">
        <f t="shared" si="59"/>
        <v/>
      </c>
      <c r="L195" s="36" t="str">
        <f t="shared" si="52"/>
        <v/>
      </c>
      <c r="M195" s="102" t="str">
        <f t="shared" si="60"/>
        <v/>
      </c>
      <c r="N195" s="101" t="str">
        <f t="shared" si="61"/>
        <v/>
      </c>
      <c r="O195" s="94" t="str">
        <f t="shared" si="53"/>
        <v/>
      </c>
      <c r="P195" s="94" t="str">
        <f t="shared" si="68"/>
        <v/>
      </c>
      <c r="Q195" s="94" t="str">
        <f t="shared" si="69"/>
        <v/>
      </c>
      <c r="R195" s="90" t="str">
        <f t="shared" si="70"/>
        <v/>
      </c>
      <c r="S195" s="37" t="str">
        <f t="shared" si="62"/>
        <v/>
      </c>
      <c r="T195" s="176" t="str">
        <f>IF(L195="","",VLOOKUP(L195,classifications!C:K,9,FALSE))</f>
        <v/>
      </c>
      <c r="U195" s="183" t="str">
        <f t="shared" si="54"/>
        <v/>
      </c>
      <c r="V195" s="184" t="str">
        <f>IF(U195="","",IF($I$8="A",(RANK(U195,U$11:U$368)+COUNTIF(U$11:U195,U195)-1),(RANK(U195,U$11:U$368,1)+COUNTIF(U$11:U195,U195)-1)))</f>
        <v/>
      </c>
      <c r="W195" s="185"/>
      <c r="X195" s="38" t="str">
        <f>IF(L195="","",VLOOKUP($L195,classifications!$C:$J,6,FALSE))</f>
        <v/>
      </c>
      <c r="Y195" s="26" t="b">
        <f t="shared" si="55"/>
        <v>0</v>
      </c>
      <c r="Z195" s="34" t="e">
        <f>IF(Y195="","",IF(I$8="A",(RANK(Y195,Y$11:Y$368,1)+COUNTIF(Y$11:Y195,Y195)-1),(RANK(Y195,Y$11:Y$368)+COUNTIF(Y$11:Y195,Y195)-1)))</f>
        <v>#N/A</v>
      </c>
      <c r="AA195" s="188" t="str">
        <f>IF(L195="","",VLOOKUP($L195,classifications!C:I,7,FALSE))</f>
        <v/>
      </c>
      <c r="AB195" s="184" t="str">
        <f t="shared" si="63"/>
        <v/>
      </c>
      <c r="AC195" s="184" t="str">
        <f>IF(AB195="","",IF($I$8="A",(RANK(AB195,AB$11:AB$368)+COUNTIF(AB$11:AB195,AB195)-1),(RANK(AB195,AB$11:AB$368,1)+COUNTIF(AB$11:AB195,AB195)-1)))</f>
        <v/>
      </c>
      <c r="AD195" s="184"/>
      <c r="AE195" s="28" t="str">
        <f t="shared" si="72"/>
        <v/>
      </c>
      <c r="AG195" s="96"/>
      <c r="AH195" s="29"/>
      <c r="AI195" s="38" t="str">
        <f>IF(L195="","",VLOOKUP($L195,classifications!$C:$J,8,FALSE))</f>
        <v/>
      </c>
      <c r="AJ195" s="39" t="str">
        <f t="shared" si="56"/>
        <v/>
      </c>
      <c r="AK195" s="34" t="str">
        <f>IF(AJ195="","",IF(I$8="A",(RANK(AJ195,AJ$11:AJ$368,1)+COUNTIF(AJ$11:AJ195,AJ195)-1),(RANK(AJ195,AJ$11:AJ$368)+COUNTIF(AJ$11:AJ195,AJ195)-1)))</f>
        <v/>
      </c>
      <c r="AL195" s="29" t="str">
        <f t="shared" si="64"/>
        <v/>
      </c>
      <c r="AM195" s="8" t="str">
        <f t="shared" si="57"/>
        <v/>
      </c>
      <c r="AN195" s="8" t="str">
        <f t="shared" si="65"/>
        <v/>
      </c>
      <c r="AP195" s="38" t="str">
        <f>IF(L195="","",VLOOKUP($L195,classifications!$C:$E,3,FALSE))</f>
        <v/>
      </c>
      <c r="AQ195" s="39" t="str">
        <f t="shared" si="66"/>
        <v/>
      </c>
      <c r="AR195" s="34" t="str">
        <f>IF(AQ195="","",IF(I$8="A",(RANK(AQ195,AQ$11:AQ$368,1)+COUNTIF(AQ$11:AQ195,AQ195)-1),(RANK(AQ195,AQ$11:AQ$368)+COUNTIF(AQ$11:AQ195,AQ195)-1)))</f>
        <v/>
      </c>
      <c r="AS195" s="29" t="str">
        <f t="shared" si="67"/>
        <v/>
      </c>
      <c r="AT195" s="34" t="str">
        <f t="shared" si="58"/>
        <v/>
      </c>
      <c r="AU195" s="39" t="str">
        <f t="shared" si="71"/>
        <v/>
      </c>
      <c r="AX195" s="21">
        <f>HLOOKUP($AX$9&amp;$AX$10,Data!$A$1:$ZZ$2000,(MATCH($C195,Data!$A$1:$A$2000,0)),FALSE)</f>
        <v>17.419228824095381</v>
      </c>
      <c r="AY195" s="103"/>
      <c r="AZ195" s="21"/>
    </row>
    <row r="196" spans="1:52">
      <c r="A196" s="56" t="str">
        <f>$D$1&amp;186</f>
        <v>SC186</v>
      </c>
      <c r="B196" s="57">
        <f>IF(ISERROR(VLOOKUP(A196,classifications!A:C,3,FALSE)),0,VLOOKUP(A196,classifications!A:C,3,FALSE))</f>
        <v>0</v>
      </c>
      <c r="C196" s="8" t="s">
        <v>104</v>
      </c>
      <c r="D196" s="26" t="str">
        <f>VLOOKUP($C196,classifications!$C:$J,4,FALSE)</f>
        <v>SD</v>
      </c>
      <c r="E196" s="26" t="str">
        <f>VLOOKUP(C196,classifications!C:K,9,FALSE)</f>
        <v>Sparse</v>
      </c>
      <c r="F196" s="36">
        <f t="shared" si="50"/>
        <v>14.190503523665186</v>
      </c>
      <c r="G196" s="71"/>
      <c r="H196" s="37" t="str">
        <f t="shared" si="51"/>
        <v/>
      </c>
      <c r="I196" s="77" t="str">
        <f>IF(H196="","",IF($I$8="A",(RANK(H196,H$11:H$368,1)+COUNTIF(H$11:H196,H196)-1),(RANK(H196,H$11:H$368)+COUNTIF(H$11:H196,H196)-1)))</f>
        <v/>
      </c>
      <c r="J196" s="35"/>
      <c r="K196" s="28" t="str">
        <f t="shared" si="59"/>
        <v/>
      </c>
      <c r="L196" s="36" t="str">
        <f t="shared" si="52"/>
        <v/>
      </c>
      <c r="M196" s="102" t="str">
        <f t="shared" si="60"/>
        <v/>
      </c>
      <c r="N196" s="101" t="str">
        <f t="shared" si="61"/>
        <v/>
      </c>
      <c r="O196" s="94" t="str">
        <f t="shared" si="53"/>
        <v/>
      </c>
      <c r="P196" s="94" t="str">
        <f t="shared" si="68"/>
        <v/>
      </c>
      <c r="Q196" s="94" t="str">
        <f t="shared" si="69"/>
        <v/>
      </c>
      <c r="R196" s="90" t="str">
        <f t="shared" si="70"/>
        <v/>
      </c>
      <c r="S196" s="37" t="str">
        <f t="shared" si="62"/>
        <v/>
      </c>
      <c r="T196" s="176" t="str">
        <f>IF(L196="","",VLOOKUP(L196,classifications!C:K,9,FALSE))</f>
        <v/>
      </c>
      <c r="U196" s="183" t="str">
        <f t="shared" si="54"/>
        <v/>
      </c>
      <c r="V196" s="184" t="str">
        <f>IF(U196="","",IF($I$8="A",(RANK(U196,U$11:U$368)+COUNTIF(U$11:U196,U196)-1),(RANK(U196,U$11:U$368,1)+COUNTIF(U$11:U196,U196)-1)))</f>
        <v/>
      </c>
      <c r="W196" s="185"/>
      <c r="X196" s="38" t="str">
        <f>IF(L196="","",VLOOKUP($L196,classifications!$C:$J,6,FALSE))</f>
        <v/>
      </c>
      <c r="Y196" s="26" t="b">
        <f t="shared" si="55"/>
        <v>0</v>
      </c>
      <c r="Z196" s="34" t="e">
        <f>IF(Y196="","",IF(I$8="A",(RANK(Y196,Y$11:Y$368,1)+COUNTIF(Y$11:Y196,Y196)-1),(RANK(Y196,Y$11:Y$368)+COUNTIF(Y$11:Y196,Y196)-1)))</f>
        <v>#N/A</v>
      </c>
      <c r="AA196" s="188" t="str">
        <f>IF(L196="","",VLOOKUP($L196,classifications!C:I,7,FALSE))</f>
        <v/>
      </c>
      <c r="AB196" s="184" t="str">
        <f t="shared" si="63"/>
        <v/>
      </c>
      <c r="AC196" s="184" t="str">
        <f>IF(AB196="","",IF($I$8="A",(RANK(AB196,AB$11:AB$368)+COUNTIF(AB$11:AB196,AB196)-1),(RANK(AB196,AB$11:AB$368,1)+COUNTIF(AB$11:AB196,AB196)-1)))</f>
        <v/>
      </c>
      <c r="AD196" s="184"/>
      <c r="AE196" s="28" t="str">
        <f t="shared" si="72"/>
        <v/>
      </c>
      <c r="AG196" s="96"/>
      <c r="AH196" s="29"/>
      <c r="AI196" s="38" t="str">
        <f>IF(L196="","",VLOOKUP($L196,classifications!$C:$J,8,FALSE))</f>
        <v/>
      </c>
      <c r="AJ196" s="39" t="str">
        <f t="shared" si="56"/>
        <v/>
      </c>
      <c r="AK196" s="34" t="str">
        <f>IF(AJ196="","",IF(I$8="A",(RANK(AJ196,AJ$11:AJ$368,1)+COUNTIF(AJ$11:AJ196,AJ196)-1),(RANK(AJ196,AJ$11:AJ$368)+COUNTIF(AJ$11:AJ196,AJ196)-1)))</f>
        <v/>
      </c>
      <c r="AL196" s="29" t="str">
        <f t="shared" si="64"/>
        <v/>
      </c>
      <c r="AM196" s="8" t="str">
        <f t="shared" si="57"/>
        <v/>
      </c>
      <c r="AN196" s="8" t="str">
        <f t="shared" si="65"/>
        <v/>
      </c>
      <c r="AP196" s="38" t="str">
        <f>IF(L196="","",VLOOKUP($L196,classifications!$C:$E,3,FALSE))</f>
        <v/>
      </c>
      <c r="AQ196" s="39" t="str">
        <f t="shared" si="66"/>
        <v/>
      </c>
      <c r="AR196" s="34" t="str">
        <f>IF(AQ196="","",IF(I$8="A",(RANK(AQ196,AQ$11:AQ$368,1)+COUNTIF(AQ$11:AQ196,AQ196)-1),(RANK(AQ196,AQ$11:AQ$368)+COUNTIF(AQ$11:AQ196,AQ196)-1)))</f>
        <v/>
      </c>
      <c r="AS196" s="29" t="str">
        <f t="shared" si="67"/>
        <v/>
      </c>
      <c r="AT196" s="34" t="str">
        <f t="shared" si="58"/>
        <v/>
      </c>
      <c r="AU196" s="39" t="str">
        <f t="shared" si="71"/>
        <v/>
      </c>
      <c r="AX196" s="21">
        <f>HLOOKUP($AX$9&amp;$AX$10,Data!$A$1:$ZZ$2000,(MATCH($C196,Data!$A$1:$A$2000,0)),FALSE)</f>
        <v>14.190503523665186</v>
      </c>
      <c r="AY196" s="103"/>
      <c r="AZ196" s="21"/>
    </row>
    <row r="197" spans="1:52">
      <c r="A197" s="56" t="str">
        <f>$D$1&amp;187</f>
        <v>SC187</v>
      </c>
      <c r="B197" s="57">
        <f>IF(ISERROR(VLOOKUP(A197,classifications!A:C,3,FALSE)),0,VLOOKUP(A197,classifications!A:C,3,FALSE))</f>
        <v>0</v>
      </c>
      <c r="C197" s="8" t="s">
        <v>274</v>
      </c>
      <c r="D197" s="26" t="str">
        <f>VLOOKUP($C197,classifications!$C:$J,4,FALSE)</f>
        <v>UA</v>
      </c>
      <c r="E197" s="26">
        <f>VLOOKUP(C197,classifications!C:K,9,FALSE)</f>
        <v>0</v>
      </c>
      <c r="F197" s="36">
        <f t="shared" si="50"/>
        <v>11.600383016556885</v>
      </c>
      <c r="G197" s="71"/>
      <c r="H197" s="37" t="str">
        <f t="shared" si="51"/>
        <v/>
      </c>
      <c r="I197" s="77" t="str">
        <f>IF(H197="","",IF($I$8="A",(RANK(H197,H$11:H$368,1)+COUNTIF(H$11:H197,H197)-1),(RANK(H197,H$11:H$368)+COUNTIF(H$11:H197,H197)-1)))</f>
        <v/>
      </c>
      <c r="J197" s="35"/>
      <c r="K197" s="28" t="str">
        <f t="shared" si="59"/>
        <v/>
      </c>
      <c r="L197" s="36" t="str">
        <f t="shared" si="52"/>
        <v/>
      </c>
      <c r="M197" s="102" t="str">
        <f t="shared" si="60"/>
        <v/>
      </c>
      <c r="N197" s="101" t="str">
        <f t="shared" si="61"/>
        <v/>
      </c>
      <c r="O197" s="94" t="str">
        <f t="shared" si="53"/>
        <v/>
      </c>
      <c r="P197" s="94" t="str">
        <f t="shared" si="68"/>
        <v/>
      </c>
      <c r="Q197" s="94" t="str">
        <f t="shared" si="69"/>
        <v/>
      </c>
      <c r="R197" s="90" t="str">
        <f t="shared" si="70"/>
        <v/>
      </c>
      <c r="S197" s="37" t="str">
        <f t="shared" si="62"/>
        <v/>
      </c>
      <c r="T197" s="176" t="str">
        <f>IF(L197="","",VLOOKUP(L197,classifications!C:K,9,FALSE))</f>
        <v/>
      </c>
      <c r="U197" s="183" t="str">
        <f t="shared" si="54"/>
        <v/>
      </c>
      <c r="V197" s="184" t="str">
        <f>IF(U197="","",IF($I$8="A",(RANK(U197,U$11:U$368)+COUNTIF(U$11:U197,U197)-1),(RANK(U197,U$11:U$368,1)+COUNTIF(U$11:U197,U197)-1)))</f>
        <v/>
      </c>
      <c r="W197" s="185"/>
      <c r="X197" s="38" t="str">
        <f>IF(L197="","",VLOOKUP($L197,classifications!$C:$J,6,FALSE))</f>
        <v/>
      </c>
      <c r="Y197" s="26" t="b">
        <f t="shared" si="55"/>
        <v>0</v>
      </c>
      <c r="Z197" s="34" t="e">
        <f>IF(Y197="","",IF(I$8="A",(RANK(Y197,Y$11:Y$368,1)+COUNTIF(Y$11:Y197,Y197)-1),(RANK(Y197,Y$11:Y$368)+COUNTIF(Y$11:Y197,Y197)-1)))</f>
        <v>#N/A</v>
      </c>
      <c r="AA197" s="188" t="str">
        <f>IF(L197="","",VLOOKUP($L197,classifications!C:I,7,FALSE))</f>
        <v/>
      </c>
      <c r="AB197" s="184" t="str">
        <f t="shared" si="63"/>
        <v/>
      </c>
      <c r="AC197" s="184" t="str">
        <f>IF(AB197="","",IF($I$8="A",(RANK(AB197,AB$11:AB$368)+COUNTIF(AB$11:AB197,AB197)-1),(RANK(AB197,AB$11:AB$368,1)+COUNTIF(AB$11:AB197,AB197)-1)))</f>
        <v/>
      </c>
      <c r="AD197" s="184"/>
      <c r="AE197" s="28" t="str">
        <f t="shared" si="72"/>
        <v/>
      </c>
      <c r="AG197" s="96"/>
      <c r="AH197" s="29"/>
      <c r="AI197" s="38" t="str">
        <f>IF(L197="","",VLOOKUP($L197,classifications!$C:$J,8,FALSE))</f>
        <v/>
      </c>
      <c r="AJ197" s="39" t="str">
        <f t="shared" si="56"/>
        <v/>
      </c>
      <c r="AK197" s="34" t="str">
        <f>IF(AJ197="","",IF(I$8="A",(RANK(AJ197,AJ$11:AJ$368,1)+COUNTIF(AJ$11:AJ197,AJ197)-1),(RANK(AJ197,AJ$11:AJ$368)+COUNTIF(AJ$11:AJ197,AJ197)-1)))</f>
        <v/>
      </c>
      <c r="AL197" s="29" t="str">
        <f t="shared" si="64"/>
        <v/>
      </c>
      <c r="AM197" s="8" t="str">
        <f t="shared" si="57"/>
        <v/>
      </c>
      <c r="AN197" s="8" t="str">
        <f t="shared" si="65"/>
        <v/>
      </c>
      <c r="AP197" s="38" t="str">
        <f>IF(L197="","",VLOOKUP($L197,classifications!$C:$E,3,FALSE))</f>
        <v/>
      </c>
      <c r="AQ197" s="39" t="str">
        <f t="shared" si="66"/>
        <v/>
      </c>
      <c r="AR197" s="34" t="str">
        <f>IF(AQ197="","",IF(I$8="A",(RANK(AQ197,AQ$11:AQ$368,1)+COUNTIF(AQ$11:AQ197,AQ197)-1),(RANK(AQ197,AQ$11:AQ$368)+COUNTIF(AQ$11:AQ197,AQ197)-1)))</f>
        <v/>
      </c>
      <c r="AS197" s="29" t="str">
        <f t="shared" si="67"/>
        <v/>
      </c>
      <c r="AT197" s="34" t="str">
        <f t="shared" si="58"/>
        <v/>
      </c>
      <c r="AU197" s="39" t="str">
        <f t="shared" si="71"/>
        <v/>
      </c>
      <c r="AX197" s="21">
        <f>HLOOKUP($AX$9&amp;$AX$10,Data!$A$1:$ZZ$2000,(MATCH($C197,Data!$A$1:$A$2000,0)),FALSE)</f>
        <v>11.600383016556885</v>
      </c>
      <c r="AY197" s="103"/>
      <c r="AZ197" s="21"/>
    </row>
    <row r="198" spans="1:52">
      <c r="A198" s="56" t="str">
        <f>$D$1&amp;188</f>
        <v>SC188</v>
      </c>
      <c r="B198" s="57">
        <f>IF(ISERROR(VLOOKUP(A198,classifications!A:C,3,FALSE)),0,VLOOKUP(A198,classifications!A:C,3,FALSE))</f>
        <v>0</v>
      </c>
      <c r="C198" s="8" t="s">
        <v>275</v>
      </c>
      <c r="D198" s="26" t="str">
        <f>VLOOKUP($C198,classifications!$C:$J,4,FALSE)</f>
        <v>UA</v>
      </c>
      <c r="E198" s="26">
        <f>VLOOKUP(C198,classifications!C:K,9,FALSE)</f>
        <v>0</v>
      </c>
      <c r="F198" s="36">
        <f t="shared" si="50"/>
        <v>16.794923575695222</v>
      </c>
      <c r="G198" s="71"/>
      <c r="H198" s="37" t="str">
        <f t="shared" si="51"/>
        <v/>
      </c>
      <c r="I198" s="77" t="str">
        <f>IF(H198="","",IF($I$8="A",(RANK(H198,H$11:H$368,1)+COUNTIF(H$11:H198,H198)-1),(RANK(H198,H$11:H$368)+COUNTIF(H$11:H198,H198)-1)))</f>
        <v/>
      </c>
      <c r="J198" s="35"/>
      <c r="K198" s="28" t="str">
        <f t="shared" si="59"/>
        <v/>
      </c>
      <c r="L198" s="36" t="str">
        <f t="shared" si="52"/>
        <v/>
      </c>
      <c r="M198" s="102" t="str">
        <f t="shared" si="60"/>
        <v/>
      </c>
      <c r="N198" s="101" t="str">
        <f t="shared" si="61"/>
        <v/>
      </c>
      <c r="O198" s="94" t="str">
        <f t="shared" si="53"/>
        <v/>
      </c>
      <c r="P198" s="94" t="str">
        <f t="shared" si="68"/>
        <v/>
      </c>
      <c r="Q198" s="94" t="str">
        <f t="shared" si="69"/>
        <v/>
      </c>
      <c r="R198" s="90" t="str">
        <f t="shared" si="70"/>
        <v/>
      </c>
      <c r="S198" s="37" t="str">
        <f t="shared" si="62"/>
        <v/>
      </c>
      <c r="T198" s="176" t="str">
        <f>IF(L198="","",VLOOKUP(L198,classifications!C:K,9,FALSE))</f>
        <v/>
      </c>
      <c r="U198" s="183" t="str">
        <f t="shared" si="54"/>
        <v/>
      </c>
      <c r="V198" s="184" t="str">
        <f>IF(U198="","",IF($I$8="A",(RANK(U198,U$11:U$368)+COUNTIF(U$11:U198,U198)-1),(RANK(U198,U$11:U$368,1)+COUNTIF(U$11:U198,U198)-1)))</f>
        <v/>
      </c>
      <c r="W198" s="185"/>
      <c r="X198" s="38" t="str">
        <f>IF(L198="","",VLOOKUP($L198,classifications!$C:$J,6,FALSE))</f>
        <v/>
      </c>
      <c r="Y198" s="26" t="b">
        <f t="shared" si="55"/>
        <v>0</v>
      </c>
      <c r="Z198" s="34" t="e">
        <f>IF(Y198="","",IF(I$8="A",(RANK(Y198,Y$11:Y$368,1)+COUNTIF(Y$11:Y198,Y198)-1),(RANK(Y198,Y$11:Y$368)+COUNTIF(Y$11:Y198,Y198)-1)))</f>
        <v>#N/A</v>
      </c>
      <c r="AA198" s="188" t="str">
        <f>IF(L198="","",VLOOKUP($L198,classifications!C:I,7,FALSE))</f>
        <v/>
      </c>
      <c r="AB198" s="184" t="str">
        <f t="shared" si="63"/>
        <v/>
      </c>
      <c r="AC198" s="184" t="str">
        <f>IF(AB198="","",IF($I$8="A",(RANK(AB198,AB$11:AB$368)+COUNTIF(AB$11:AB198,AB198)-1),(RANK(AB198,AB$11:AB$368,1)+COUNTIF(AB$11:AB198,AB198)-1)))</f>
        <v/>
      </c>
      <c r="AD198" s="184"/>
      <c r="AE198" s="28" t="str">
        <f t="shared" si="72"/>
        <v/>
      </c>
      <c r="AG198" s="96"/>
      <c r="AH198" s="29"/>
      <c r="AI198" s="38" t="str">
        <f>IF(L198="","",VLOOKUP($L198,classifications!$C:$J,8,FALSE))</f>
        <v/>
      </c>
      <c r="AJ198" s="39" t="str">
        <f t="shared" si="56"/>
        <v/>
      </c>
      <c r="AK198" s="34" t="str">
        <f>IF(AJ198="","",IF(I$8="A",(RANK(AJ198,AJ$11:AJ$368,1)+COUNTIF(AJ$11:AJ198,AJ198)-1),(RANK(AJ198,AJ$11:AJ$368)+COUNTIF(AJ$11:AJ198,AJ198)-1)))</f>
        <v/>
      </c>
      <c r="AL198" s="29" t="str">
        <f t="shared" si="64"/>
        <v/>
      </c>
      <c r="AM198" s="8" t="str">
        <f t="shared" si="57"/>
        <v/>
      </c>
      <c r="AN198" s="8" t="str">
        <f t="shared" si="65"/>
        <v/>
      </c>
      <c r="AP198" s="38" t="str">
        <f>IF(L198="","",VLOOKUP($L198,classifications!$C:$E,3,FALSE))</f>
        <v/>
      </c>
      <c r="AQ198" s="39" t="str">
        <f t="shared" si="66"/>
        <v/>
      </c>
      <c r="AR198" s="34" t="str">
        <f>IF(AQ198="","",IF(I$8="A",(RANK(AQ198,AQ$11:AQ$368,1)+COUNTIF(AQ$11:AQ198,AQ198)-1),(RANK(AQ198,AQ$11:AQ$368)+COUNTIF(AQ$11:AQ198,AQ198)-1)))</f>
        <v/>
      </c>
      <c r="AS198" s="29" t="str">
        <f t="shared" si="67"/>
        <v/>
      </c>
      <c r="AT198" s="34" t="str">
        <f t="shared" si="58"/>
        <v/>
      </c>
      <c r="AU198" s="39" t="str">
        <f t="shared" si="71"/>
        <v/>
      </c>
      <c r="AX198" s="21">
        <f>HLOOKUP($AX$9&amp;$AX$10,Data!$A$1:$ZZ$2000,(MATCH($C198,Data!$A$1:$A$2000,0)),FALSE)</f>
        <v>16.794923575695222</v>
      </c>
      <c r="AY198" s="103"/>
      <c r="AZ198" s="21"/>
    </row>
    <row r="199" spans="1:52">
      <c r="A199" s="56" t="str">
        <f>$D$1&amp;189</f>
        <v>SC189</v>
      </c>
      <c r="B199" s="57">
        <f>IF(ISERROR(VLOOKUP(A199,classifications!A:C,3,FALSE)),0,VLOOKUP(A199,classifications!A:C,3,FALSE))</f>
        <v>0</v>
      </c>
      <c r="C199" s="8" t="s">
        <v>105</v>
      </c>
      <c r="D199" s="26" t="str">
        <f>VLOOKUP($C199,classifications!$C:$J,4,FALSE)</f>
        <v>SD</v>
      </c>
      <c r="E199" s="26">
        <f>VLOOKUP(C199,classifications!C:K,9,FALSE)</f>
        <v>0</v>
      </c>
      <c r="F199" s="36">
        <f t="shared" si="50"/>
        <v>23.631091087291487</v>
      </c>
      <c r="G199" s="71"/>
      <c r="H199" s="37" t="str">
        <f t="shared" si="51"/>
        <v/>
      </c>
      <c r="I199" s="77" t="str">
        <f>IF(H199="","",IF($I$8="A",(RANK(H199,H$11:H$368,1)+COUNTIF(H$11:H199,H199)-1),(RANK(H199,H$11:H$368)+COUNTIF(H$11:H199,H199)-1)))</f>
        <v/>
      </c>
      <c r="J199" s="35"/>
      <c r="K199" s="28" t="str">
        <f t="shared" si="59"/>
        <v/>
      </c>
      <c r="L199" s="36" t="str">
        <f t="shared" si="52"/>
        <v/>
      </c>
      <c r="M199" s="102" t="str">
        <f t="shared" si="60"/>
        <v/>
      </c>
      <c r="N199" s="101" t="str">
        <f t="shared" si="61"/>
        <v/>
      </c>
      <c r="O199" s="94" t="str">
        <f t="shared" si="53"/>
        <v/>
      </c>
      <c r="P199" s="94" t="str">
        <f t="shared" si="68"/>
        <v/>
      </c>
      <c r="Q199" s="94" t="str">
        <f t="shared" si="69"/>
        <v/>
      </c>
      <c r="R199" s="90" t="str">
        <f t="shared" si="70"/>
        <v/>
      </c>
      <c r="S199" s="37" t="str">
        <f t="shared" si="62"/>
        <v/>
      </c>
      <c r="T199" s="176" t="str">
        <f>IF(L199="","",VLOOKUP(L199,classifications!C:K,9,FALSE))</f>
        <v/>
      </c>
      <c r="U199" s="183" t="str">
        <f t="shared" si="54"/>
        <v/>
      </c>
      <c r="V199" s="184" t="str">
        <f>IF(U199="","",IF($I$8="A",(RANK(U199,U$11:U$368)+COUNTIF(U$11:U199,U199)-1),(RANK(U199,U$11:U$368,1)+COUNTIF(U$11:U199,U199)-1)))</f>
        <v/>
      </c>
      <c r="W199" s="185"/>
      <c r="X199" s="38" t="str">
        <f>IF(L199="","",VLOOKUP($L199,classifications!$C:$J,6,FALSE))</f>
        <v/>
      </c>
      <c r="Y199" s="26" t="b">
        <f t="shared" si="55"/>
        <v>0</v>
      </c>
      <c r="Z199" s="34" t="e">
        <f>IF(Y199="","",IF(I$8="A",(RANK(Y199,Y$11:Y$368,1)+COUNTIF(Y$11:Y199,Y199)-1),(RANK(Y199,Y$11:Y$368)+COUNTIF(Y$11:Y199,Y199)-1)))</f>
        <v>#N/A</v>
      </c>
      <c r="AA199" s="188" t="str">
        <f>IF(L199="","",VLOOKUP($L199,classifications!C:I,7,FALSE))</f>
        <v/>
      </c>
      <c r="AB199" s="184" t="str">
        <f t="shared" si="63"/>
        <v/>
      </c>
      <c r="AC199" s="184" t="str">
        <f>IF(AB199="","",IF($I$8="A",(RANK(AB199,AB$11:AB$368)+COUNTIF(AB$11:AB199,AB199)-1),(RANK(AB199,AB$11:AB$368,1)+COUNTIF(AB$11:AB199,AB199)-1)))</f>
        <v/>
      </c>
      <c r="AD199" s="184"/>
      <c r="AE199" s="28" t="str">
        <f t="shared" si="72"/>
        <v/>
      </c>
      <c r="AG199" s="96"/>
      <c r="AH199" s="29"/>
      <c r="AI199" s="38" t="str">
        <f>IF(L199="","",VLOOKUP($L199,classifications!$C:$J,8,FALSE))</f>
        <v/>
      </c>
      <c r="AJ199" s="39" t="str">
        <f t="shared" si="56"/>
        <v/>
      </c>
      <c r="AK199" s="34" t="str">
        <f>IF(AJ199="","",IF(I$8="A",(RANK(AJ199,AJ$11:AJ$368,1)+COUNTIF(AJ$11:AJ199,AJ199)-1),(RANK(AJ199,AJ$11:AJ$368)+COUNTIF(AJ$11:AJ199,AJ199)-1)))</f>
        <v/>
      </c>
      <c r="AL199" s="29" t="str">
        <f t="shared" si="64"/>
        <v/>
      </c>
      <c r="AM199" s="8" t="str">
        <f t="shared" si="57"/>
        <v/>
      </c>
      <c r="AN199" s="8" t="str">
        <f t="shared" si="65"/>
        <v/>
      </c>
      <c r="AP199" s="38" t="str">
        <f>IF(L199="","",VLOOKUP($L199,classifications!$C:$E,3,FALSE))</f>
        <v/>
      </c>
      <c r="AQ199" s="39" t="str">
        <f t="shared" si="66"/>
        <v/>
      </c>
      <c r="AR199" s="34" t="str">
        <f>IF(AQ199="","",IF(I$8="A",(RANK(AQ199,AQ$11:AQ$368,1)+COUNTIF(AQ$11:AQ199,AQ199)-1),(RANK(AQ199,AQ$11:AQ$368)+COUNTIF(AQ$11:AQ199,AQ199)-1)))</f>
        <v/>
      </c>
      <c r="AS199" s="29" t="str">
        <f t="shared" si="67"/>
        <v/>
      </c>
      <c r="AT199" s="34" t="str">
        <f t="shared" si="58"/>
        <v/>
      </c>
      <c r="AU199" s="39" t="str">
        <f t="shared" si="71"/>
        <v/>
      </c>
      <c r="AX199" s="21">
        <f>HLOOKUP($AX$9&amp;$AX$10,Data!$A$1:$ZZ$2000,(MATCH($C199,Data!$A$1:$A$2000,0)),FALSE)</f>
        <v>23.631091087291487</v>
      </c>
      <c r="AY199" s="103"/>
      <c r="AZ199" s="21"/>
    </row>
    <row r="200" spans="1:52">
      <c r="A200" s="56" t="str">
        <f>$D$1&amp;190</f>
        <v>SC190</v>
      </c>
      <c r="B200" s="57">
        <f>IF(ISERROR(VLOOKUP(A200,classifications!A:C,3,FALSE)),0,VLOOKUP(A200,classifications!A:C,3,FALSE))</f>
        <v>0</v>
      </c>
      <c r="C200" s="8" t="s">
        <v>106</v>
      </c>
      <c r="D200" s="26" t="str">
        <f>VLOOKUP($C200,classifications!$C:$J,4,FALSE)</f>
        <v>SD</v>
      </c>
      <c r="E200" s="26" t="str">
        <f>VLOOKUP(C200,classifications!C:K,9,FALSE)</f>
        <v>Sparse</v>
      </c>
      <c r="F200" s="36">
        <f t="shared" si="50"/>
        <v>24.834003514838301</v>
      </c>
      <c r="G200" s="71"/>
      <c r="H200" s="37" t="str">
        <f t="shared" si="51"/>
        <v/>
      </c>
      <c r="I200" s="77" t="str">
        <f>IF(H200="","",IF($I$8="A",(RANK(H200,H$11:H$368,1)+COUNTIF(H$11:H200,H200)-1),(RANK(H200,H$11:H$368)+COUNTIF(H$11:H200,H200)-1)))</f>
        <v/>
      </c>
      <c r="J200" s="35"/>
      <c r="K200" s="28" t="str">
        <f t="shared" si="59"/>
        <v/>
      </c>
      <c r="L200" s="36" t="str">
        <f t="shared" si="52"/>
        <v/>
      </c>
      <c r="M200" s="102" t="str">
        <f t="shared" si="60"/>
        <v/>
      </c>
      <c r="N200" s="101" t="str">
        <f t="shared" si="61"/>
        <v/>
      </c>
      <c r="O200" s="94" t="str">
        <f t="shared" si="53"/>
        <v/>
      </c>
      <c r="P200" s="94" t="str">
        <f t="shared" si="68"/>
        <v/>
      </c>
      <c r="Q200" s="94" t="str">
        <f t="shared" si="69"/>
        <v/>
      </c>
      <c r="R200" s="90" t="str">
        <f t="shared" si="70"/>
        <v/>
      </c>
      <c r="S200" s="37" t="str">
        <f t="shared" si="62"/>
        <v/>
      </c>
      <c r="T200" s="176" t="str">
        <f>IF(L200="","",VLOOKUP(L200,classifications!C:K,9,FALSE))</f>
        <v/>
      </c>
      <c r="U200" s="183" t="str">
        <f t="shared" si="54"/>
        <v/>
      </c>
      <c r="V200" s="184" t="str">
        <f>IF(U200="","",IF($I$8="A",(RANK(U200,U$11:U$368)+COUNTIF(U$11:U200,U200)-1),(RANK(U200,U$11:U$368,1)+COUNTIF(U$11:U200,U200)-1)))</f>
        <v/>
      </c>
      <c r="W200" s="185"/>
      <c r="X200" s="38" t="str">
        <f>IF(L200="","",VLOOKUP($L200,classifications!$C:$J,6,FALSE))</f>
        <v/>
      </c>
      <c r="Y200" s="26" t="b">
        <f t="shared" si="55"/>
        <v>0</v>
      </c>
      <c r="Z200" s="34" t="e">
        <f>IF(Y200="","",IF(I$8="A",(RANK(Y200,Y$11:Y$368,1)+COUNTIF(Y$11:Y200,Y200)-1),(RANK(Y200,Y$11:Y$368)+COUNTIF(Y$11:Y200,Y200)-1)))</f>
        <v>#N/A</v>
      </c>
      <c r="AA200" s="188" t="str">
        <f>IF(L200="","",VLOOKUP($L200,classifications!C:I,7,FALSE))</f>
        <v/>
      </c>
      <c r="AB200" s="184" t="str">
        <f t="shared" si="63"/>
        <v/>
      </c>
      <c r="AC200" s="184" t="str">
        <f>IF(AB200="","",IF($I$8="A",(RANK(AB200,AB$11:AB$368)+COUNTIF(AB$11:AB200,AB200)-1),(RANK(AB200,AB$11:AB$368,1)+COUNTIF(AB$11:AB200,AB200)-1)))</f>
        <v/>
      </c>
      <c r="AD200" s="184"/>
      <c r="AE200" s="28" t="str">
        <f t="shared" si="72"/>
        <v/>
      </c>
      <c r="AG200" s="96"/>
      <c r="AH200" s="29"/>
      <c r="AI200" s="38" t="str">
        <f>IF(L200="","",VLOOKUP($L200,classifications!$C:$J,8,FALSE))</f>
        <v/>
      </c>
      <c r="AJ200" s="39" t="str">
        <f t="shared" si="56"/>
        <v/>
      </c>
      <c r="AK200" s="34" t="str">
        <f>IF(AJ200="","",IF(I$8="A",(RANK(AJ200,AJ$11:AJ$368,1)+COUNTIF(AJ$11:AJ200,AJ200)-1),(RANK(AJ200,AJ$11:AJ$368)+COUNTIF(AJ$11:AJ200,AJ200)-1)))</f>
        <v/>
      </c>
      <c r="AL200" s="29" t="str">
        <f t="shared" si="64"/>
        <v/>
      </c>
      <c r="AM200" s="8" t="str">
        <f t="shared" si="57"/>
        <v/>
      </c>
      <c r="AN200" s="8" t="str">
        <f t="shared" si="65"/>
        <v/>
      </c>
      <c r="AP200" s="38" t="str">
        <f>IF(L200="","",VLOOKUP($L200,classifications!$C:$E,3,FALSE))</f>
        <v/>
      </c>
      <c r="AQ200" s="39" t="str">
        <f t="shared" si="66"/>
        <v/>
      </c>
      <c r="AR200" s="34" t="str">
        <f>IF(AQ200="","",IF(I$8="A",(RANK(AQ200,AQ$11:AQ$368,1)+COUNTIF(AQ$11:AQ200,AQ200)-1),(RANK(AQ200,AQ$11:AQ$368)+COUNTIF(AQ$11:AQ200,AQ200)-1)))</f>
        <v/>
      </c>
      <c r="AS200" s="29" t="str">
        <f t="shared" si="67"/>
        <v/>
      </c>
      <c r="AT200" s="34" t="str">
        <f t="shared" si="58"/>
        <v/>
      </c>
      <c r="AU200" s="39" t="str">
        <f t="shared" si="71"/>
        <v/>
      </c>
      <c r="AX200" s="21">
        <f>HLOOKUP($AX$9&amp;$AX$10,Data!$A$1:$ZZ$2000,(MATCH($C200,Data!$A$1:$A$2000,0)),FALSE)</f>
        <v>24.834003514838301</v>
      </c>
      <c r="AY200" s="103"/>
      <c r="AZ200" s="21"/>
    </row>
    <row r="201" spans="1:52">
      <c r="A201" s="56" t="str">
        <f>$D$1&amp;191</f>
        <v>SC191</v>
      </c>
      <c r="B201" s="57">
        <f>IF(ISERROR(VLOOKUP(A201,classifications!A:C,3,FALSE)),0,VLOOKUP(A201,classifications!A:C,3,FALSE))</f>
        <v>0</v>
      </c>
      <c r="C201" s="8" t="s">
        <v>346</v>
      </c>
      <c r="D201" s="26" t="str">
        <f>VLOOKUP($C201,classifications!$C:$J,4,FALSE)</f>
        <v>SD</v>
      </c>
      <c r="E201" s="26" t="str">
        <f>VLOOKUP(C201,classifications!C:K,9,FALSE)</f>
        <v>Sparse</v>
      </c>
      <c r="F201" s="36">
        <f t="shared" si="50"/>
        <v>20.450713225714221</v>
      </c>
      <c r="G201" s="71"/>
      <c r="H201" s="37" t="str">
        <f t="shared" si="51"/>
        <v/>
      </c>
      <c r="I201" s="77" t="str">
        <f>IF(H201="","",IF($I$8="A",(RANK(H201,H$11:H$368,1)+COUNTIF(H$11:H201,H201)-1),(RANK(H201,H$11:H$368)+COUNTIF(H$11:H201,H201)-1)))</f>
        <v/>
      </c>
      <c r="J201" s="35"/>
      <c r="K201" s="28" t="str">
        <f t="shared" si="59"/>
        <v/>
      </c>
      <c r="L201" s="36" t="str">
        <f t="shared" si="52"/>
        <v/>
      </c>
      <c r="M201" s="102" t="str">
        <f t="shared" si="60"/>
        <v/>
      </c>
      <c r="N201" s="101" t="str">
        <f t="shared" si="61"/>
        <v/>
      </c>
      <c r="O201" s="94" t="str">
        <f t="shared" si="53"/>
        <v/>
      </c>
      <c r="P201" s="94" t="str">
        <f t="shared" si="68"/>
        <v/>
      </c>
      <c r="Q201" s="94" t="str">
        <f t="shared" si="69"/>
        <v/>
      </c>
      <c r="R201" s="90" t="str">
        <f t="shared" si="70"/>
        <v/>
      </c>
      <c r="S201" s="37" t="str">
        <f t="shared" si="62"/>
        <v/>
      </c>
      <c r="T201" s="176" t="str">
        <f>IF(L201="","",VLOOKUP(L201,classifications!C:K,9,FALSE))</f>
        <v/>
      </c>
      <c r="U201" s="183" t="str">
        <f t="shared" si="54"/>
        <v/>
      </c>
      <c r="V201" s="184" t="str">
        <f>IF(U201="","",IF($I$8="A",(RANK(U201,U$11:U$368)+COUNTIF(U$11:U201,U201)-1),(RANK(U201,U$11:U$368,1)+COUNTIF(U$11:U201,U201)-1)))</f>
        <v/>
      </c>
      <c r="W201" s="185"/>
      <c r="X201" s="38" t="str">
        <f>IF(L201="","",VLOOKUP($L201,classifications!$C:$J,6,FALSE))</f>
        <v/>
      </c>
      <c r="Y201" s="26" t="b">
        <f t="shared" si="55"/>
        <v>0</v>
      </c>
      <c r="Z201" s="34" t="e">
        <f>IF(Y201="","",IF(I$8="A",(RANK(Y201,Y$11:Y$368,1)+COUNTIF(Y$11:Y201,Y201)-1),(RANK(Y201,Y$11:Y$368)+COUNTIF(Y$11:Y201,Y201)-1)))</f>
        <v>#N/A</v>
      </c>
      <c r="AA201" s="188" t="str">
        <f>IF(L201="","",VLOOKUP($L201,classifications!C:I,7,FALSE))</f>
        <v/>
      </c>
      <c r="AB201" s="184" t="str">
        <f t="shared" si="63"/>
        <v/>
      </c>
      <c r="AC201" s="184" t="str">
        <f>IF(AB201="","",IF($I$8="A",(RANK(AB201,AB$11:AB$368)+COUNTIF(AB$11:AB201,AB201)-1),(RANK(AB201,AB$11:AB$368,1)+COUNTIF(AB$11:AB201,AB201)-1)))</f>
        <v/>
      </c>
      <c r="AD201" s="184"/>
      <c r="AE201" s="28" t="str">
        <f t="shared" si="72"/>
        <v/>
      </c>
      <c r="AG201" s="96"/>
      <c r="AH201" s="29"/>
      <c r="AI201" s="38" t="str">
        <f>IF(L201="","",VLOOKUP($L201,classifications!$C:$J,8,FALSE))</f>
        <v/>
      </c>
      <c r="AJ201" s="39" t="str">
        <f t="shared" si="56"/>
        <v/>
      </c>
      <c r="AK201" s="34" t="str">
        <f>IF(AJ201="","",IF(I$8="A",(RANK(AJ201,AJ$11:AJ$368,1)+COUNTIF(AJ$11:AJ201,AJ201)-1),(RANK(AJ201,AJ$11:AJ$368)+COUNTIF(AJ$11:AJ201,AJ201)-1)))</f>
        <v/>
      </c>
      <c r="AL201" s="29" t="str">
        <f t="shared" si="64"/>
        <v/>
      </c>
      <c r="AM201" s="8" t="str">
        <f t="shared" si="57"/>
        <v/>
      </c>
      <c r="AN201" s="8" t="str">
        <f t="shared" si="65"/>
        <v/>
      </c>
      <c r="AP201" s="38" t="str">
        <f>IF(L201="","",VLOOKUP($L201,classifications!$C:$E,3,FALSE))</f>
        <v/>
      </c>
      <c r="AQ201" s="39" t="str">
        <f t="shared" si="66"/>
        <v/>
      </c>
      <c r="AR201" s="34" t="str">
        <f>IF(AQ201="","",IF(I$8="A",(RANK(AQ201,AQ$11:AQ$368,1)+COUNTIF(AQ$11:AQ201,AQ201)-1),(RANK(AQ201,AQ$11:AQ$368)+COUNTIF(AQ$11:AQ201,AQ201)-1)))</f>
        <v/>
      </c>
      <c r="AS201" s="29" t="str">
        <f t="shared" si="67"/>
        <v/>
      </c>
      <c r="AT201" s="34" t="str">
        <f t="shared" si="58"/>
        <v/>
      </c>
      <c r="AU201" s="39" t="str">
        <f t="shared" si="71"/>
        <v/>
      </c>
      <c r="AX201" s="21">
        <f>HLOOKUP($AX$9&amp;$AX$10,Data!$A$1:$ZZ$2000,(MATCH($C201,Data!$A$1:$A$2000,0)),FALSE)</f>
        <v>20.450713225714221</v>
      </c>
      <c r="AY201" s="103"/>
      <c r="AZ201" s="21"/>
    </row>
    <row r="202" spans="1:52">
      <c r="A202" s="56" t="str">
        <f>$D$1&amp;192</f>
        <v>SC192</v>
      </c>
      <c r="B202" s="57">
        <f>IF(ISERROR(VLOOKUP(A202,classifications!A:C,3,FALSE)),0,VLOOKUP(A202,classifications!A:C,3,FALSE))</f>
        <v>0</v>
      </c>
      <c r="C202" s="8" t="s">
        <v>237</v>
      </c>
      <c r="D202" s="26" t="str">
        <f>VLOOKUP($C202,classifications!$C:$J,4,FALSE)</f>
        <v>MD</v>
      </c>
      <c r="E202" s="26">
        <f>VLOOKUP(C202,classifications!C:K,9,FALSE)</f>
        <v>0</v>
      </c>
      <c r="F202" s="36">
        <f t="shared" si="50"/>
        <v>16.328424479689993</v>
      </c>
      <c r="G202" s="71"/>
      <c r="H202" s="37" t="str">
        <f t="shared" si="51"/>
        <v/>
      </c>
      <c r="I202" s="77" t="str">
        <f>IF(H202="","",IF($I$8="A",(RANK(H202,H$11:H$368,1)+COUNTIF(H$11:H202,H202)-1),(RANK(H202,H$11:H$368)+COUNTIF(H$11:H202,H202)-1)))</f>
        <v/>
      </c>
      <c r="J202" s="35"/>
      <c r="K202" s="28" t="str">
        <f t="shared" si="59"/>
        <v/>
      </c>
      <c r="L202" s="36" t="str">
        <f t="shared" si="52"/>
        <v/>
      </c>
      <c r="M202" s="102" t="str">
        <f t="shared" si="60"/>
        <v/>
      </c>
      <c r="N202" s="101" t="str">
        <f t="shared" si="61"/>
        <v/>
      </c>
      <c r="O202" s="94" t="str">
        <f t="shared" si="53"/>
        <v/>
      </c>
      <c r="P202" s="94" t="str">
        <f t="shared" si="68"/>
        <v/>
      </c>
      <c r="Q202" s="94" t="str">
        <f t="shared" si="69"/>
        <v/>
      </c>
      <c r="R202" s="90" t="str">
        <f t="shared" si="70"/>
        <v/>
      </c>
      <c r="S202" s="37" t="str">
        <f t="shared" si="62"/>
        <v/>
      </c>
      <c r="T202" s="176" t="str">
        <f>IF(L202="","",VLOOKUP(L202,classifications!C:K,9,FALSE))</f>
        <v/>
      </c>
      <c r="U202" s="183" t="str">
        <f t="shared" si="54"/>
        <v/>
      </c>
      <c r="V202" s="184" t="str">
        <f>IF(U202="","",IF($I$8="A",(RANK(U202,U$11:U$368)+COUNTIF(U$11:U202,U202)-1),(RANK(U202,U$11:U$368,1)+COUNTIF(U$11:U202,U202)-1)))</f>
        <v/>
      </c>
      <c r="W202" s="185"/>
      <c r="X202" s="38" t="str">
        <f>IF(L202="","",VLOOKUP($L202,classifications!$C:$J,6,FALSE))</f>
        <v/>
      </c>
      <c r="Y202" s="26" t="b">
        <f t="shared" si="55"/>
        <v>0</v>
      </c>
      <c r="Z202" s="34" t="e">
        <f>IF(Y202="","",IF(I$8="A",(RANK(Y202,Y$11:Y$368,1)+COUNTIF(Y$11:Y202,Y202)-1),(RANK(Y202,Y$11:Y$368)+COUNTIF(Y$11:Y202,Y202)-1)))</f>
        <v>#N/A</v>
      </c>
      <c r="AA202" s="188" t="str">
        <f>IF(L202="","",VLOOKUP($L202,classifications!C:I,7,FALSE))</f>
        <v/>
      </c>
      <c r="AB202" s="184" t="str">
        <f t="shared" si="63"/>
        <v/>
      </c>
      <c r="AC202" s="184" t="str">
        <f>IF(AB202="","",IF($I$8="A",(RANK(AB202,AB$11:AB$368)+COUNTIF(AB$11:AB202,AB202)-1),(RANK(AB202,AB$11:AB$368,1)+COUNTIF(AB$11:AB202,AB202)-1)))</f>
        <v/>
      </c>
      <c r="AD202" s="184"/>
      <c r="AE202" s="28" t="str">
        <f t="shared" si="72"/>
        <v/>
      </c>
      <c r="AG202" s="96"/>
      <c r="AH202" s="29"/>
      <c r="AI202" s="38" t="str">
        <f>IF(L202="","",VLOOKUP($L202,classifications!$C:$J,8,FALSE))</f>
        <v/>
      </c>
      <c r="AJ202" s="39" t="str">
        <f t="shared" si="56"/>
        <v/>
      </c>
      <c r="AK202" s="34" t="str">
        <f>IF(AJ202="","",IF(I$8="A",(RANK(AJ202,AJ$11:AJ$368,1)+COUNTIF(AJ$11:AJ202,AJ202)-1),(RANK(AJ202,AJ$11:AJ$368)+COUNTIF(AJ$11:AJ202,AJ202)-1)))</f>
        <v/>
      </c>
      <c r="AL202" s="29" t="str">
        <f t="shared" si="64"/>
        <v/>
      </c>
      <c r="AM202" s="8" t="str">
        <f t="shared" si="57"/>
        <v/>
      </c>
      <c r="AN202" s="8" t="str">
        <f t="shared" si="65"/>
        <v/>
      </c>
      <c r="AP202" s="38" t="str">
        <f>IF(L202="","",VLOOKUP($L202,classifications!$C:$E,3,FALSE))</f>
        <v/>
      </c>
      <c r="AQ202" s="39" t="str">
        <f t="shared" si="66"/>
        <v/>
      </c>
      <c r="AR202" s="34" t="str">
        <f>IF(AQ202="","",IF(I$8="A",(RANK(AQ202,AQ$11:AQ$368,1)+COUNTIF(AQ$11:AQ202,AQ202)-1),(RANK(AQ202,AQ$11:AQ$368)+COUNTIF(AQ$11:AQ202,AQ202)-1)))</f>
        <v/>
      </c>
      <c r="AS202" s="29" t="str">
        <f t="shared" si="67"/>
        <v/>
      </c>
      <c r="AT202" s="34" t="str">
        <f t="shared" si="58"/>
        <v/>
      </c>
      <c r="AU202" s="39" t="str">
        <f t="shared" si="71"/>
        <v/>
      </c>
      <c r="AX202" s="21">
        <f>HLOOKUP($AX$9&amp;$AX$10,Data!$A$1:$ZZ$2000,(MATCH($C202,Data!$A$1:$A$2000,0)),FALSE)</f>
        <v>16.328424479689993</v>
      </c>
      <c r="AY202" s="103"/>
      <c r="AZ202" s="21"/>
    </row>
    <row r="203" spans="1:52">
      <c r="A203" s="56" t="str">
        <f>$D$1&amp;193</f>
        <v>SC193</v>
      </c>
      <c r="B203" s="57">
        <f>IF(ISERROR(VLOOKUP(A203,classifications!A:C,3,FALSE)),0,VLOOKUP(A203,classifications!A:C,3,FALSE))</f>
        <v>0</v>
      </c>
      <c r="C203" s="8" t="s">
        <v>107</v>
      </c>
      <c r="D203" s="26" t="str">
        <f>VLOOKUP($C203,classifications!$C:$J,4,FALSE)</f>
        <v>SD</v>
      </c>
      <c r="E203" s="26">
        <f>VLOOKUP(C203,classifications!C:K,9,FALSE)</f>
        <v>0</v>
      </c>
      <c r="F203" s="36">
        <f t="shared" ref="F203:F266" si="73">HLOOKUP($D$6,AX$10:ZX$368,ROW()-9,FALSE)</f>
        <v>10.281654250869103</v>
      </c>
      <c r="G203" s="71"/>
      <c r="H203" s="37" t="str">
        <f t="shared" ref="H203:H266" si="74">IF(D203=$D$1,HLOOKUP($D$6,$AX$10:$ZZ$368,ROW()-9,FALSE),"")</f>
        <v/>
      </c>
      <c r="I203" s="77" t="str">
        <f>IF(H203="","",IF($I$8="A",(RANK(H203,H$11:H$368,1)+COUNTIF(H$11:H203,H203)-1),(RANK(H203,H$11:H$368)+COUNTIF(H$11:H203,H203)-1)))</f>
        <v/>
      </c>
      <c r="J203" s="35"/>
      <c r="K203" s="28" t="str">
        <f t="shared" si="59"/>
        <v/>
      </c>
      <c r="L203" s="36" t="str">
        <f t="shared" ref="L203:L266" si="75">IF(K203="","",INDEX(C$11:C$368,MATCH(K203,I$11:I$368,0)))</f>
        <v/>
      </c>
      <c r="M203" s="102" t="str">
        <f t="shared" si="60"/>
        <v/>
      </c>
      <c r="N203" s="101" t="str">
        <f t="shared" si="61"/>
        <v/>
      </c>
      <c r="O203" s="94" t="str">
        <f t="shared" ref="O203:O266" si="76">IF(I$8="A",IF(N203&gt;=$P$7,IF(N203&lt;=$O$10,N203,""),""),IF(N203&lt;=$P$7,IF(N203&gt;=$O$10,N203,""),""))</f>
        <v/>
      </c>
      <c r="P203" s="94" t="str">
        <f t="shared" si="68"/>
        <v/>
      </c>
      <c r="Q203" s="94" t="str">
        <f t="shared" si="69"/>
        <v/>
      </c>
      <c r="R203" s="90" t="str">
        <f t="shared" si="70"/>
        <v/>
      </c>
      <c r="S203" s="37" t="str">
        <f t="shared" si="62"/>
        <v/>
      </c>
      <c r="T203" s="176" t="str">
        <f>IF(L203="","",VLOOKUP(L203,classifications!C:K,9,FALSE))</f>
        <v/>
      </c>
      <c r="U203" s="183" t="str">
        <f t="shared" ref="U203:U266" si="77">IF(T203="Sparse",M203,"")</f>
        <v/>
      </c>
      <c r="V203" s="184" t="str">
        <f>IF(U203="","",IF($I$8="A",(RANK(U203,U$11:U$368)+COUNTIF(U$11:U203,U203)-1),(RANK(U203,U$11:U$368,1)+COUNTIF(U$11:U203,U203)-1)))</f>
        <v/>
      </c>
      <c r="W203" s="185"/>
      <c r="X203" s="38" t="str">
        <f>IF(L203="","",VLOOKUP($L203,classifications!$C:$J,6,FALSE))</f>
        <v/>
      </c>
      <c r="Y203" s="26" t="b">
        <f t="shared" ref="Y203:Y266" si="78">IF($D$1="UA",IF(X203="Largely Rural (rural including hub towns 50-79%) ",M203,IF(X203="Mainly Rural (rural including hub towns &gt;=80%) ",M203,IF(X203="Urban with Significant Rural (rural including hub towns 26-49%)",M203,""))),IF($D$1="SD",IF(X203=$H$3,M203,"")))</f>
        <v>0</v>
      </c>
      <c r="Z203" s="34" t="e">
        <f>IF(Y203="","",IF(I$8="A",(RANK(Y203,Y$11:Y$368,1)+COUNTIF(Y$11:Y203,Y203)-1),(RANK(Y203,Y$11:Y$368)+COUNTIF(Y$11:Y203,Y203)-1)))</f>
        <v>#N/A</v>
      </c>
      <c r="AA203" s="188" t="str">
        <f>IF(L203="","",VLOOKUP($L203,classifications!C:I,7,FALSE))</f>
        <v/>
      </c>
      <c r="AB203" s="184" t="str">
        <f t="shared" si="63"/>
        <v/>
      </c>
      <c r="AC203" s="184" t="str">
        <f>IF(AB203="","",IF($I$8="A",(RANK(AB203,AB$11:AB$368)+COUNTIF(AB$11:AB203,AB203)-1),(RANK(AB203,AB$11:AB$368,1)+COUNTIF(AB$11:AB203,AB203)-1)))</f>
        <v/>
      </c>
      <c r="AD203" s="184"/>
      <c r="AE203" s="28" t="str">
        <f t="shared" si="72"/>
        <v/>
      </c>
      <c r="AG203" s="96"/>
      <c r="AH203" s="29"/>
      <c r="AI203" s="38" t="str">
        <f>IF(L203="","",VLOOKUP($L203,classifications!$C:$J,8,FALSE))</f>
        <v/>
      </c>
      <c r="AJ203" s="39" t="str">
        <f t="shared" ref="AJ203:AJ266" si="79">IF(AI203=$I$3,M203,"")</f>
        <v/>
      </c>
      <c r="AK203" s="34" t="str">
        <f>IF(AJ203="","",IF(I$8="A",(RANK(AJ203,AJ$11:AJ$368,1)+COUNTIF(AJ$11:AJ203,AJ203)-1),(RANK(AJ203,AJ$11:AJ$368)+COUNTIF(AJ$11:AJ203,AJ203)-1)))</f>
        <v/>
      </c>
      <c r="AL203" s="29" t="str">
        <f t="shared" si="64"/>
        <v/>
      </c>
      <c r="AM203" s="8" t="str">
        <f t="shared" ref="AM203:AM266" si="80">IF(ISNA(IF(AL203="","",INDEX(L$11:L$368,MATCH(AL203,AK$11:AK$368,0)))),"",(IF(AL203="","",INDEX(L$11:L$368,MATCH(AL203,AK$11:AK$368,0)))))</f>
        <v/>
      </c>
      <c r="AN203" s="8" t="str">
        <f t="shared" si="65"/>
        <v/>
      </c>
      <c r="AP203" s="38" t="str">
        <f>IF(L203="","",VLOOKUP($L203,classifications!$C:$E,3,FALSE))</f>
        <v/>
      </c>
      <c r="AQ203" s="39" t="str">
        <f t="shared" si="66"/>
        <v/>
      </c>
      <c r="AR203" s="34" t="str">
        <f>IF(AQ203="","",IF(I$8="A",(RANK(AQ203,AQ$11:AQ$368,1)+COUNTIF(AQ$11:AQ203,AQ203)-1),(RANK(AQ203,AQ$11:AQ$368)+COUNTIF(AQ$11:AQ203,AQ203)-1)))</f>
        <v/>
      </c>
      <c r="AS203" s="29" t="str">
        <f t="shared" si="67"/>
        <v/>
      </c>
      <c r="AT203" s="34" t="str">
        <f t="shared" ref="AT203:AT266" si="81">IF(AS203="","",INDEX(L$11:L$368,MATCH(AS203,AR$11:AR$368,0)))</f>
        <v/>
      </c>
      <c r="AU203" s="39" t="str">
        <f t="shared" si="71"/>
        <v/>
      </c>
      <c r="AX203" s="21">
        <f>HLOOKUP($AX$9&amp;$AX$10,Data!$A$1:$ZZ$2000,(MATCH($C203,Data!$A$1:$A$2000,0)),FALSE)</f>
        <v>10.281654250869103</v>
      </c>
      <c r="AY203" s="103"/>
      <c r="AZ203" s="21"/>
    </row>
    <row r="204" spans="1:52">
      <c r="A204" s="56" t="str">
        <f>$D$1&amp;194</f>
        <v>SC194</v>
      </c>
      <c r="B204" s="57">
        <f>IF(ISERROR(VLOOKUP(A204,classifications!A:C,3,FALSE)),0,VLOOKUP(A204,classifications!A:C,3,FALSE))</f>
        <v>0</v>
      </c>
      <c r="C204" s="8" t="s">
        <v>215</v>
      </c>
      <c r="D204" s="26" t="str">
        <f>VLOOKUP($C204,classifications!$C:$J,4,FALSE)</f>
        <v>L</v>
      </c>
      <c r="E204" s="26">
        <f>VLOOKUP(C204,classifications!C:K,9,FALSE)</f>
        <v>0</v>
      </c>
      <c r="F204" s="36">
        <f t="shared" si="73"/>
        <v>17.760498099305604</v>
      </c>
      <c r="G204" s="71"/>
      <c r="H204" s="37" t="str">
        <f t="shared" si="74"/>
        <v/>
      </c>
      <c r="I204" s="77" t="str">
        <f>IF(H204="","",IF($I$8="A",(RANK(H204,H$11:H$368,1)+COUNTIF(H$11:H204,H204)-1),(RANK(H204,H$11:H$368)+COUNTIF(H$11:H204,H204)-1)))</f>
        <v/>
      </c>
      <c r="J204" s="35"/>
      <c r="K204" s="28" t="str">
        <f t="shared" ref="K204:K267" si="82">IF(K203="","",IF(K203+1&gt;(COUNT(H$11:H$368)),"",K203+1))</f>
        <v/>
      </c>
      <c r="L204" s="36" t="str">
        <f t="shared" si="75"/>
        <v/>
      </c>
      <c r="M204" s="102" t="str">
        <f t="shared" ref="M204:M267" si="83">IF(L204="","",IF(VLOOKUP(L204,C:D,2,FALSE)=$F$3,VLOOKUP(L204,C:H,6,FALSE),""))</f>
        <v/>
      </c>
      <c r="N204" s="101" t="str">
        <f t="shared" ref="N204:N267" si="84">IF(L204="","",IF($H$8="%%",M204*100,M204))</f>
        <v/>
      </c>
      <c r="O204" s="94" t="str">
        <f t="shared" si="76"/>
        <v/>
      </c>
      <c r="P204" s="94" t="str">
        <f t="shared" si="68"/>
        <v/>
      </c>
      <c r="Q204" s="94" t="str">
        <f t="shared" si="69"/>
        <v/>
      </c>
      <c r="R204" s="90" t="str">
        <f t="shared" si="70"/>
        <v/>
      </c>
      <c r="S204" s="37" t="str">
        <f t="shared" ref="S204:S267" si="85">IF(L204=D$3,"u","")</f>
        <v/>
      </c>
      <c r="T204" s="176" t="str">
        <f>IF(L204="","",VLOOKUP(L204,classifications!C:K,9,FALSE))</f>
        <v/>
      </c>
      <c r="U204" s="183" t="str">
        <f t="shared" si="77"/>
        <v/>
      </c>
      <c r="V204" s="184" t="str">
        <f>IF(U204="","",IF($I$8="A",(RANK(U204,U$11:U$368)+COUNTIF(U$11:U204,U204)-1),(RANK(U204,U$11:U$368,1)+COUNTIF(U$11:U204,U204)-1)))</f>
        <v/>
      </c>
      <c r="W204" s="185"/>
      <c r="X204" s="38" t="str">
        <f>IF(L204="","",VLOOKUP($L204,classifications!$C:$J,6,FALSE))</f>
        <v/>
      </c>
      <c r="Y204" s="26" t="b">
        <f t="shared" si="78"/>
        <v>0</v>
      </c>
      <c r="Z204" s="34" t="e">
        <f>IF(Y204="","",IF(I$8="A",(RANK(Y204,Y$11:Y$368,1)+COUNTIF(Y$11:Y204,Y204)-1),(RANK(Y204,Y$11:Y$368)+COUNTIF(Y$11:Y204,Y204)-1)))</f>
        <v>#N/A</v>
      </c>
      <c r="AA204" s="188" t="str">
        <f>IF(L204="","",VLOOKUP($L204,classifications!C:I,7,FALSE))</f>
        <v/>
      </c>
      <c r="AB204" s="184" t="str">
        <f t="shared" ref="AB204:AB267" si="86">IF(AA204=$J$3,M204,"")</f>
        <v/>
      </c>
      <c r="AC204" s="184" t="str">
        <f>IF(AB204="","",IF($I$8="A",(RANK(AB204,AB$11:AB$368)+COUNTIF(AB$11:AB204,AB204)-1),(RANK(AB204,AB$11:AB$368,1)+COUNTIF(AB$11:AB204,AB204)-1)))</f>
        <v/>
      </c>
      <c r="AD204" s="184"/>
      <c r="AE204" s="28" t="str">
        <f t="shared" si="72"/>
        <v/>
      </c>
      <c r="AG204" s="96"/>
      <c r="AH204" s="29"/>
      <c r="AI204" s="38" t="str">
        <f>IF(L204="","",VLOOKUP($L204,classifications!$C:$J,8,FALSE))</f>
        <v/>
      </c>
      <c r="AJ204" s="39" t="str">
        <f t="shared" si="79"/>
        <v/>
      </c>
      <c r="AK204" s="34" t="str">
        <f>IF(AJ204="","",IF(I$8="A",(RANK(AJ204,AJ$11:AJ$368,1)+COUNTIF(AJ$11:AJ204,AJ204)-1),(RANK(AJ204,AJ$11:AJ$368)+COUNTIF(AJ$11:AJ204,AJ204)-1)))</f>
        <v/>
      </c>
      <c r="AL204" s="29" t="str">
        <f t="shared" ref="AL204:AL267" si="87">IF(AL203="","",IF(AL203+1&gt;(COUNT(AJ$11:AJ$368)),"",AL203+1))</f>
        <v/>
      </c>
      <c r="AM204" s="8" t="str">
        <f t="shared" si="80"/>
        <v/>
      </c>
      <c r="AN204" s="8" t="str">
        <f t="shared" ref="AN204:AN267" si="88">(VLOOKUP(AM204,L:M,2,FALSE))</f>
        <v/>
      </c>
      <c r="AP204" s="38" t="str">
        <f>IF(L204="","",VLOOKUP($L204,classifications!$C:$E,3,FALSE))</f>
        <v/>
      </c>
      <c r="AQ204" s="39" t="str">
        <f t="shared" ref="AQ204:AQ267" si="89">IF(AP204=$G$3,$M204,"")</f>
        <v/>
      </c>
      <c r="AR204" s="34" t="str">
        <f>IF(AQ204="","",IF(I$8="A",(RANK(AQ204,AQ$11:AQ$368,1)+COUNTIF(AQ$11:AQ204,AQ204)-1),(RANK(AQ204,AQ$11:AQ$368)+COUNTIF(AQ$11:AQ204,AQ204)-1)))</f>
        <v/>
      </c>
      <c r="AS204" s="29" t="str">
        <f t="shared" ref="AS204:AS267" si="90">IF(AS203="","",IF(AS203+1&gt;(COUNT(AQ$11:AQ$368)),"",AS203+1))</f>
        <v/>
      </c>
      <c r="AT204" s="34" t="str">
        <f t="shared" si="81"/>
        <v/>
      </c>
      <c r="AU204" s="39" t="str">
        <f t="shared" si="71"/>
        <v/>
      </c>
      <c r="AX204" s="21">
        <f>HLOOKUP($AX$9&amp;$AX$10,Data!$A$1:$ZZ$2000,(MATCH($C204,Data!$A$1:$A$2000,0)),FALSE)</f>
        <v>17.760498099305604</v>
      </c>
      <c r="AY204" s="103"/>
      <c r="AZ204" s="21"/>
    </row>
    <row r="205" spans="1:52">
      <c r="A205" s="56" t="str">
        <f>$D$1&amp;195</f>
        <v>SC195</v>
      </c>
      <c r="B205" s="57">
        <f>IF(ISERROR(VLOOKUP(A205,classifications!A:C,3,FALSE)),0,VLOOKUP(A205,classifications!A:C,3,FALSE))</f>
        <v>0</v>
      </c>
      <c r="C205" s="8" t="s">
        <v>319</v>
      </c>
      <c r="D205" s="26" t="str">
        <f>VLOOKUP($C205,classifications!$C:$J,4,FALSE)</f>
        <v>SC</v>
      </c>
      <c r="E205" s="26" t="str">
        <f>VLOOKUP(C205,classifications!C:K,9,FALSE)</f>
        <v>Sparse</v>
      </c>
      <c r="F205" s="36">
        <f t="shared" si="73"/>
        <v>19.776634494001861</v>
      </c>
      <c r="G205" s="71"/>
      <c r="H205" s="37">
        <f t="shared" si="74"/>
        <v>19.776634494001861</v>
      </c>
      <c r="I205" s="77">
        <f>IF(H205="","",IF($I$8="A",(RANK(H205,H$11:H$368,1)+COUNTIF(H$11:H205,H205)-1),(RANK(H205,H$11:H$368)+COUNTIF(H$11:H205,H205)-1)))</f>
        <v>5</v>
      </c>
      <c r="J205" s="35"/>
      <c r="K205" s="28" t="str">
        <f t="shared" si="82"/>
        <v/>
      </c>
      <c r="L205" s="36" t="str">
        <f t="shared" si="75"/>
        <v/>
      </c>
      <c r="M205" s="102" t="str">
        <f t="shared" si="83"/>
        <v/>
      </c>
      <c r="N205" s="101" t="str">
        <f t="shared" si="84"/>
        <v/>
      </c>
      <c r="O205" s="94" t="str">
        <f t="shared" si="76"/>
        <v/>
      </c>
      <c r="P205" s="94" t="str">
        <f t="shared" ref="P205:P268" si="91">IF(I$8="A",IF(N205&gt;$O$10,IF(N205&lt;=$P$10,N205,""),""),IF(N205&lt;$O$10,IF(N205&gt;=$P$10,N205,""),""))</f>
        <v/>
      </c>
      <c r="Q205" s="94" t="str">
        <f t="shared" ref="Q205:Q268" si="92">IF(I$8="A",IF(N205&gt;$P$10,IF(N205&lt;=$Q$10,N205,""),""),IF(N205&lt;$P$10,IF(N205&gt;=$Q$10,N205,""),""))</f>
        <v/>
      </c>
      <c r="R205" s="90" t="str">
        <f t="shared" ref="R205:R268" si="93">IF(I$8="A",IF(N205&gt;$Q$10,N205,""),IF(N205&lt;$Q$10,N205,""))</f>
        <v/>
      </c>
      <c r="S205" s="37" t="str">
        <f t="shared" si="85"/>
        <v/>
      </c>
      <c r="T205" s="176" t="str">
        <f>IF(L205="","",VLOOKUP(L205,classifications!C:K,9,FALSE))</f>
        <v/>
      </c>
      <c r="U205" s="183" t="str">
        <f t="shared" si="77"/>
        <v/>
      </c>
      <c r="V205" s="184" t="str">
        <f>IF(U205="","",IF($I$8="A",(RANK(U205,U$11:U$368)+COUNTIF(U$11:U205,U205)-1),(RANK(U205,U$11:U$368,1)+COUNTIF(U$11:U205,U205)-1)))</f>
        <v/>
      </c>
      <c r="W205" s="185"/>
      <c r="X205" s="38" t="str">
        <f>IF(L205="","",VLOOKUP($L205,classifications!$C:$J,6,FALSE))</f>
        <v/>
      </c>
      <c r="Y205" s="26" t="b">
        <f t="shared" si="78"/>
        <v>0</v>
      </c>
      <c r="Z205" s="34" t="e">
        <f>IF(Y205="","",IF(I$8="A",(RANK(Y205,Y$11:Y$368,1)+COUNTIF(Y$11:Y205,Y205)-1),(RANK(Y205,Y$11:Y$368)+COUNTIF(Y$11:Y205,Y205)-1)))</f>
        <v>#N/A</v>
      </c>
      <c r="AA205" s="188" t="str">
        <f>IF(L205="","",VLOOKUP($L205,classifications!C:I,7,FALSE))</f>
        <v/>
      </c>
      <c r="AB205" s="184" t="str">
        <f t="shared" si="86"/>
        <v/>
      </c>
      <c r="AC205" s="184" t="str">
        <f>IF(AB205="","",IF($I$8="A",(RANK(AB205,AB$11:AB$368)+COUNTIF(AB$11:AB205,AB205)-1),(RANK(AB205,AB$11:AB$368,1)+COUNTIF(AB$11:AB205,AB205)-1)))</f>
        <v/>
      </c>
      <c r="AD205" s="184"/>
      <c r="AE205" s="28" t="str">
        <f t="shared" si="72"/>
        <v/>
      </c>
      <c r="AG205" s="96"/>
      <c r="AH205" s="29"/>
      <c r="AI205" s="38" t="str">
        <f>IF(L205="","",VLOOKUP($L205,classifications!$C:$J,8,FALSE))</f>
        <v/>
      </c>
      <c r="AJ205" s="39" t="str">
        <f t="shared" si="79"/>
        <v/>
      </c>
      <c r="AK205" s="34" t="str">
        <f>IF(AJ205="","",IF(I$8="A",(RANK(AJ205,AJ$11:AJ$368,1)+COUNTIF(AJ$11:AJ205,AJ205)-1),(RANK(AJ205,AJ$11:AJ$368)+COUNTIF(AJ$11:AJ205,AJ205)-1)))</f>
        <v/>
      </c>
      <c r="AL205" s="29" t="str">
        <f t="shared" si="87"/>
        <v/>
      </c>
      <c r="AM205" s="8" t="str">
        <f t="shared" si="80"/>
        <v/>
      </c>
      <c r="AN205" s="8" t="str">
        <f t="shared" si="88"/>
        <v/>
      </c>
      <c r="AP205" s="38" t="str">
        <f>IF(L205="","",VLOOKUP($L205,classifications!$C:$E,3,FALSE))</f>
        <v/>
      </c>
      <c r="AQ205" s="39" t="str">
        <f t="shared" si="89"/>
        <v/>
      </c>
      <c r="AR205" s="34" t="str">
        <f>IF(AQ205="","",IF(I$8="A",(RANK(AQ205,AQ$11:AQ$368,1)+COUNTIF(AQ$11:AQ205,AQ205)-1),(RANK(AQ205,AQ$11:AQ$368)+COUNTIF(AQ$11:AQ205,AQ205)-1)))</f>
        <v/>
      </c>
      <c r="AS205" s="29" t="str">
        <f t="shared" si="90"/>
        <v/>
      </c>
      <c r="AT205" s="34" t="str">
        <f t="shared" si="81"/>
        <v/>
      </c>
      <c r="AU205" s="39" t="str">
        <f t="shared" si="71"/>
        <v/>
      </c>
      <c r="AX205" s="21">
        <f>HLOOKUP($AX$9&amp;$AX$10,Data!$A$1:$ZZ$2000,(MATCH($C205,Data!$A$1:$A$2000,0)),FALSE)</f>
        <v>19.776634494001861</v>
      </c>
      <c r="AY205" s="103"/>
      <c r="AZ205" s="21"/>
    </row>
    <row r="206" spans="1:52">
      <c r="A206" s="56" t="str">
        <f>$D$1&amp;196</f>
        <v>SC196</v>
      </c>
      <c r="B206" s="57">
        <f>IF(ISERROR(VLOOKUP(A206,classifications!A:C,3,FALSE)),0,VLOOKUP(A206,classifications!A:C,3,FALSE))</f>
        <v>0</v>
      </c>
      <c r="C206" s="8" t="s">
        <v>108</v>
      </c>
      <c r="D206" s="26" t="str">
        <f>VLOOKUP($C206,classifications!$C:$J,4,FALSE)</f>
        <v>SD</v>
      </c>
      <c r="E206" s="26" t="str">
        <f>VLOOKUP(C206,classifications!C:K,9,FALSE)</f>
        <v>Sparse</v>
      </c>
      <c r="F206" s="36">
        <f t="shared" si="73"/>
        <v>20.269091247082798</v>
      </c>
      <c r="G206" s="71"/>
      <c r="H206" s="37" t="str">
        <f t="shared" si="74"/>
        <v/>
      </c>
      <c r="I206" s="77" t="str">
        <f>IF(H206="","",IF($I$8="A",(RANK(H206,H$11:H$368,1)+COUNTIF(H$11:H206,H206)-1),(RANK(H206,H$11:H$368)+COUNTIF(H$11:H206,H206)-1)))</f>
        <v/>
      </c>
      <c r="J206" s="35"/>
      <c r="K206" s="28" t="str">
        <f t="shared" si="82"/>
        <v/>
      </c>
      <c r="L206" s="36" t="str">
        <f t="shared" si="75"/>
        <v/>
      </c>
      <c r="M206" s="102" t="str">
        <f t="shared" si="83"/>
        <v/>
      </c>
      <c r="N206" s="101" t="str">
        <f t="shared" si="84"/>
        <v/>
      </c>
      <c r="O206" s="94" t="str">
        <f t="shared" si="76"/>
        <v/>
      </c>
      <c r="P206" s="94" t="str">
        <f t="shared" si="91"/>
        <v/>
      </c>
      <c r="Q206" s="94" t="str">
        <f t="shared" si="92"/>
        <v/>
      </c>
      <c r="R206" s="90" t="str">
        <f t="shared" si="93"/>
        <v/>
      </c>
      <c r="S206" s="37" t="str">
        <f t="shared" si="85"/>
        <v/>
      </c>
      <c r="T206" s="176" t="str">
        <f>IF(L206="","",VLOOKUP(L206,classifications!C:K,9,FALSE))</f>
        <v/>
      </c>
      <c r="U206" s="183" t="str">
        <f t="shared" si="77"/>
        <v/>
      </c>
      <c r="V206" s="184" t="str">
        <f>IF(U206="","",IF($I$8="A",(RANK(U206,U$11:U$368)+COUNTIF(U$11:U206,U206)-1),(RANK(U206,U$11:U$368,1)+COUNTIF(U$11:U206,U206)-1)))</f>
        <v/>
      </c>
      <c r="W206" s="185"/>
      <c r="X206" s="38" t="str">
        <f>IF(L206="","",VLOOKUP($L206,classifications!$C:$J,6,FALSE))</f>
        <v/>
      </c>
      <c r="Y206" s="26" t="b">
        <f t="shared" si="78"/>
        <v>0</v>
      </c>
      <c r="Z206" s="34" t="e">
        <f>IF(Y206="","",IF(I$8="A",(RANK(Y206,Y$11:Y$368,1)+COUNTIF(Y$11:Y206,Y206)-1),(RANK(Y206,Y$11:Y$368)+COUNTIF(Y$11:Y206,Y206)-1)))</f>
        <v>#N/A</v>
      </c>
      <c r="AA206" s="188" t="str">
        <f>IF(L206="","",VLOOKUP($L206,classifications!C:I,7,FALSE))</f>
        <v/>
      </c>
      <c r="AB206" s="184" t="str">
        <f t="shared" si="86"/>
        <v/>
      </c>
      <c r="AC206" s="184" t="str">
        <f>IF(AB206="","",IF($I$8="A",(RANK(AB206,AB$11:AB$368)+COUNTIF(AB$11:AB206,AB206)-1),(RANK(AB206,AB$11:AB$368,1)+COUNTIF(AB$11:AB206,AB206)-1)))</f>
        <v/>
      </c>
      <c r="AD206" s="184"/>
      <c r="AE206" s="28" t="str">
        <f t="shared" si="72"/>
        <v/>
      </c>
      <c r="AG206" s="96"/>
      <c r="AH206" s="29"/>
      <c r="AI206" s="38" t="str">
        <f>IF(L206="","",VLOOKUP($L206,classifications!$C:$J,8,FALSE))</f>
        <v/>
      </c>
      <c r="AJ206" s="39" t="str">
        <f t="shared" si="79"/>
        <v/>
      </c>
      <c r="AK206" s="34" t="str">
        <f>IF(AJ206="","",IF(I$8="A",(RANK(AJ206,AJ$11:AJ$368,1)+COUNTIF(AJ$11:AJ206,AJ206)-1),(RANK(AJ206,AJ$11:AJ$368)+COUNTIF(AJ$11:AJ206,AJ206)-1)))</f>
        <v/>
      </c>
      <c r="AL206" s="29" t="str">
        <f t="shared" si="87"/>
        <v/>
      </c>
      <c r="AM206" s="8" t="str">
        <f t="shared" si="80"/>
        <v/>
      </c>
      <c r="AN206" s="8" t="str">
        <f t="shared" si="88"/>
        <v/>
      </c>
      <c r="AP206" s="38" t="str">
        <f>IF(L206="","",VLOOKUP($L206,classifications!$C:$E,3,FALSE))</f>
        <v/>
      </c>
      <c r="AQ206" s="39" t="str">
        <f t="shared" si="89"/>
        <v/>
      </c>
      <c r="AR206" s="34" t="str">
        <f>IF(AQ206="","",IF(I$8="A",(RANK(AQ206,AQ$11:AQ$368,1)+COUNTIF(AQ$11:AQ206,AQ206)-1),(RANK(AQ206,AQ$11:AQ$368)+COUNTIF(AQ$11:AQ206,AQ206)-1)))</f>
        <v/>
      </c>
      <c r="AS206" s="29" t="str">
        <f t="shared" si="90"/>
        <v/>
      </c>
      <c r="AT206" s="34" t="str">
        <f t="shared" si="81"/>
        <v/>
      </c>
      <c r="AU206" s="39" t="str">
        <f t="shared" si="71"/>
        <v/>
      </c>
      <c r="AX206" s="21">
        <f>HLOOKUP($AX$9&amp;$AX$10,Data!$A$1:$ZZ$2000,(MATCH($C206,Data!$A$1:$A$2000,0)),FALSE)</f>
        <v>20.269091247082798</v>
      </c>
      <c r="AY206" s="103"/>
      <c r="AZ206" s="21"/>
    </row>
    <row r="207" spans="1:52">
      <c r="A207" s="56" t="str">
        <f>$D$1&amp;197</f>
        <v>SC197</v>
      </c>
      <c r="B207" s="57">
        <f>IF(ISERROR(VLOOKUP(A207,classifications!A:C,3,FALSE)),0,VLOOKUP(A207,classifications!A:C,3,FALSE))</f>
        <v>0</v>
      </c>
      <c r="C207" s="8" t="s">
        <v>109</v>
      </c>
      <c r="D207" s="26" t="str">
        <f>VLOOKUP($C207,classifications!$C:$J,4,FALSE)</f>
        <v>SD</v>
      </c>
      <c r="E207" s="26">
        <f>VLOOKUP(C207,classifications!C:K,9,FALSE)</f>
        <v>0</v>
      </c>
      <c r="F207" s="36">
        <f t="shared" si="73"/>
        <v>0</v>
      </c>
      <c r="G207" s="71"/>
      <c r="H207" s="37" t="str">
        <f t="shared" si="74"/>
        <v/>
      </c>
      <c r="I207" s="77" t="str">
        <f>IF(H207="","",IF($I$8="A",(RANK(H207,H$11:H$368,1)+COUNTIF(H$11:H207,H207)-1),(RANK(H207,H$11:H$368)+COUNTIF(H$11:H207,H207)-1)))</f>
        <v/>
      </c>
      <c r="J207" s="35"/>
      <c r="K207" s="28" t="str">
        <f t="shared" si="82"/>
        <v/>
      </c>
      <c r="L207" s="36" t="str">
        <f t="shared" si="75"/>
        <v/>
      </c>
      <c r="M207" s="102" t="str">
        <f t="shared" si="83"/>
        <v/>
      </c>
      <c r="N207" s="101" t="str">
        <f t="shared" si="84"/>
        <v/>
      </c>
      <c r="O207" s="94" t="str">
        <f t="shared" si="76"/>
        <v/>
      </c>
      <c r="P207" s="94" t="str">
        <f t="shared" si="91"/>
        <v/>
      </c>
      <c r="Q207" s="94" t="str">
        <f t="shared" si="92"/>
        <v/>
      </c>
      <c r="R207" s="90" t="str">
        <f t="shared" si="93"/>
        <v/>
      </c>
      <c r="S207" s="37" t="str">
        <f t="shared" si="85"/>
        <v/>
      </c>
      <c r="T207" s="176" t="str">
        <f>IF(L207="","",VLOOKUP(L207,classifications!C:K,9,FALSE))</f>
        <v/>
      </c>
      <c r="U207" s="183" t="str">
        <f t="shared" si="77"/>
        <v/>
      </c>
      <c r="V207" s="184" t="str">
        <f>IF(U207="","",IF($I$8="A",(RANK(U207,U$11:U$368)+COUNTIF(U$11:U207,U207)-1),(RANK(U207,U$11:U$368,1)+COUNTIF(U$11:U207,U207)-1)))</f>
        <v/>
      </c>
      <c r="W207" s="185"/>
      <c r="X207" s="38" t="str">
        <f>IF(L207="","",VLOOKUP($L207,classifications!$C:$J,6,FALSE))</f>
        <v/>
      </c>
      <c r="Y207" s="26" t="b">
        <f t="shared" si="78"/>
        <v>0</v>
      </c>
      <c r="Z207" s="34" t="e">
        <f>IF(Y207="","",IF(I$8="A",(RANK(Y207,Y$11:Y$368,1)+COUNTIF(Y$11:Y207,Y207)-1),(RANK(Y207,Y$11:Y$368)+COUNTIF(Y$11:Y207,Y207)-1)))</f>
        <v>#N/A</v>
      </c>
      <c r="AA207" s="188" t="str">
        <f>IF(L207="","",VLOOKUP($L207,classifications!C:I,7,FALSE))</f>
        <v/>
      </c>
      <c r="AB207" s="184" t="str">
        <f t="shared" si="86"/>
        <v/>
      </c>
      <c r="AC207" s="184" t="str">
        <f>IF(AB207="","",IF($I$8="A",(RANK(AB207,AB$11:AB$368)+COUNTIF(AB$11:AB207,AB207)-1),(RANK(AB207,AB$11:AB$368,1)+COUNTIF(AB$11:AB207,AB207)-1)))</f>
        <v/>
      </c>
      <c r="AD207" s="184"/>
      <c r="AE207" s="28" t="str">
        <f t="shared" si="72"/>
        <v/>
      </c>
      <c r="AG207" s="96"/>
      <c r="AH207" s="29"/>
      <c r="AI207" s="38" t="str">
        <f>IF(L207="","",VLOOKUP($L207,classifications!$C:$J,8,FALSE))</f>
        <v/>
      </c>
      <c r="AJ207" s="39" t="str">
        <f t="shared" si="79"/>
        <v/>
      </c>
      <c r="AK207" s="34" t="str">
        <f>IF(AJ207="","",IF(I$8="A",(RANK(AJ207,AJ$11:AJ$368,1)+COUNTIF(AJ$11:AJ207,AJ207)-1),(RANK(AJ207,AJ$11:AJ$368)+COUNTIF(AJ$11:AJ207,AJ207)-1)))</f>
        <v/>
      </c>
      <c r="AL207" s="29" t="str">
        <f t="shared" si="87"/>
        <v/>
      </c>
      <c r="AM207" s="8" t="str">
        <f t="shared" si="80"/>
        <v/>
      </c>
      <c r="AN207" s="8" t="str">
        <f t="shared" si="88"/>
        <v/>
      </c>
      <c r="AP207" s="38" t="str">
        <f>IF(L207="","",VLOOKUP($L207,classifications!$C:$E,3,FALSE))</f>
        <v/>
      </c>
      <c r="AQ207" s="39" t="str">
        <f t="shared" si="89"/>
        <v/>
      </c>
      <c r="AR207" s="34" t="str">
        <f>IF(AQ207="","",IF(I$8="A",(RANK(AQ207,AQ$11:AQ$368,1)+COUNTIF(AQ$11:AQ207,AQ207)-1),(RANK(AQ207,AQ$11:AQ$368)+COUNTIF(AQ$11:AQ207,AQ207)-1)))</f>
        <v/>
      </c>
      <c r="AS207" s="29" t="str">
        <f t="shared" si="90"/>
        <v/>
      </c>
      <c r="AT207" s="34" t="str">
        <f t="shared" si="81"/>
        <v/>
      </c>
      <c r="AU207" s="39" t="str">
        <f t="shared" si="71"/>
        <v/>
      </c>
      <c r="AX207" s="21">
        <f>HLOOKUP($AX$9&amp;$AX$10,Data!$A$1:$ZZ$2000,(MATCH($C207,Data!$A$1:$A$2000,0)),FALSE)</f>
        <v>0</v>
      </c>
      <c r="AY207" s="103"/>
      <c r="AZ207" s="21"/>
    </row>
    <row r="208" spans="1:52">
      <c r="A208" s="56" t="str">
        <f>$D$1&amp;198</f>
        <v>SC198</v>
      </c>
      <c r="B208" s="57">
        <f>IF(ISERROR(VLOOKUP(A208,classifications!A:C,3,FALSE)),0,VLOOKUP(A208,classifications!A:C,3,FALSE))</f>
        <v>0</v>
      </c>
      <c r="C208" s="8" t="s">
        <v>110</v>
      </c>
      <c r="D208" s="26" t="str">
        <f>VLOOKUP($C208,classifications!$C:$J,4,FALSE)</f>
        <v>SD</v>
      </c>
      <c r="E208" s="26">
        <f>VLOOKUP(C208,classifications!C:K,9,FALSE)</f>
        <v>0</v>
      </c>
      <c r="F208" s="36">
        <f t="shared" si="73"/>
        <v>12.393275215065955</v>
      </c>
      <c r="G208" s="71"/>
      <c r="H208" s="37" t="str">
        <f t="shared" si="74"/>
        <v/>
      </c>
      <c r="I208" s="77" t="str">
        <f>IF(H208="","",IF($I$8="A",(RANK(H208,H$11:H$368,1)+COUNTIF(H$11:H208,H208)-1),(RANK(H208,H$11:H$368)+COUNTIF(H$11:H208,H208)-1)))</f>
        <v/>
      </c>
      <c r="J208" s="35"/>
      <c r="K208" s="28" t="str">
        <f t="shared" si="82"/>
        <v/>
      </c>
      <c r="L208" s="36" t="str">
        <f t="shared" si="75"/>
        <v/>
      </c>
      <c r="M208" s="102" t="str">
        <f t="shared" si="83"/>
        <v/>
      </c>
      <c r="N208" s="101" t="str">
        <f t="shared" si="84"/>
        <v/>
      </c>
      <c r="O208" s="94" t="str">
        <f t="shared" si="76"/>
        <v/>
      </c>
      <c r="P208" s="94" t="str">
        <f t="shared" si="91"/>
        <v/>
      </c>
      <c r="Q208" s="94" t="str">
        <f t="shared" si="92"/>
        <v/>
      </c>
      <c r="R208" s="90" t="str">
        <f t="shared" si="93"/>
        <v/>
      </c>
      <c r="S208" s="37" t="str">
        <f t="shared" si="85"/>
        <v/>
      </c>
      <c r="T208" s="176" t="str">
        <f>IF(L208="","",VLOOKUP(L208,classifications!C:K,9,FALSE))</f>
        <v/>
      </c>
      <c r="U208" s="183" t="str">
        <f t="shared" si="77"/>
        <v/>
      </c>
      <c r="V208" s="184" t="str">
        <f>IF(U208="","",IF($I$8="A",(RANK(U208,U$11:U$368)+COUNTIF(U$11:U208,U208)-1),(RANK(U208,U$11:U$368,1)+COUNTIF(U$11:U208,U208)-1)))</f>
        <v/>
      </c>
      <c r="W208" s="185"/>
      <c r="X208" s="38" t="str">
        <f>IF(L208="","",VLOOKUP($L208,classifications!$C:$J,6,FALSE))</f>
        <v/>
      </c>
      <c r="Y208" s="26" t="b">
        <f t="shared" si="78"/>
        <v>0</v>
      </c>
      <c r="Z208" s="34" t="e">
        <f>IF(Y208="","",IF(I$8="A",(RANK(Y208,Y$11:Y$368,1)+COUNTIF(Y$11:Y208,Y208)-1),(RANK(Y208,Y$11:Y$368)+COUNTIF(Y$11:Y208,Y208)-1)))</f>
        <v>#N/A</v>
      </c>
      <c r="AA208" s="188" t="str">
        <f>IF(L208="","",VLOOKUP($L208,classifications!C:I,7,FALSE))</f>
        <v/>
      </c>
      <c r="AB208" s="184" t="str">
        <f t="shared" si="86"/>
        <v/>
      </c>
      <c r="AC208" s="184" t="str">
        <f>IF(AB208="","",IF($I$8="A",(RANK(AB208,AB$11:AB$368)+COUNTIF(AB$11:AB208,AB208)-1),(RANK(AB208,AB$11:AB$368,1)+COUNTIF(AB$11:AB208,AB208)-1)))</f>
        <v/>
      </c>
      <c r="AD208" s="184"/>
      <c r="AE208" s="28" t="str">
        <f t="shared" si="72"/>
        <v/>
      </c>
      <c r="AG208" s="96"/>
      <c r="AH208" s="29"/>
      <c r="AI208" s="38" t="str">
        <f>IF(L208="","",VLOOKUP($L208,classifications!$C:$J,8,FALSE))</f>
        <v/>
      </c>
      <c r="AJ208" s="39" t="str">
        <f t="shared" si="79"/>
        <v/>
      </c>
      <c r="AK208" s="34" t="str">
        <f>IF(AJ208="","",IF(I$8="A",(RANK(AJ208,AJ$11:AJ$368,1)+COUNTIF(AJ$11:AJ208,AJ208)-1),(RANK(AJ208,AJ$11:AJ$368)+COUNTIF(AJ$11:AJ208,AJ208)-1)))</f>
        <v/>
      </c>
      <c r="AL208" s="29" t="str">
        <f t="shared" si="87"/>
        <v/>
      </c>
      <c r="AM208" s="8" t="str">
        <f t="shared" si="80"/>
        <v/>
      </c>
      <c r="AN208" s="8" t="str">
        <f t="shared" si="88"/>
        <v/>
      </c>
      <c r="AP208" s="38" t="str">
        <f>IF(L208="","",VLOOKUP($L208,classifications!$C:$E,3,FALSE))</f>
        <v/>
      </c>
      <c r="AQ208" s="39" t="str">
        <f t="shared" si="89"/>
        <v/>
      </c>
      <c r="AR208" s="34" t="str">
        <f>IF(AQ208="","",IF(I$8="A",(RANK(AQ208,AQ$11:AQ$368,1)+COUNTIF(AQ$11:AQ208,AQ208)-1),(RANK(AQ208,AQ$11:AQ$368)+COUNTIF(AQ$11:AQ208,AQ208)-1)))</f>
        <v/>
      </c>
      <c r="AS208" s="29" t="str">
        <f t="shared" si="90"/>
        <v/>
      </c>
      <c r="AT208" s="34" t="str">
        <f t="shared" si="81"/>
        <v/>
      </c>
      <c r="AU208" s="39" t="str">
        <f t="shared" si="71"/>
        <v/>
      </c>
      <c r="AX208" s="21">
        <f>HLOOKUP($AX$9&amp;$AX$10,Data!$A$1:$ZZ$2000,(MATCH($C208,Data!$A$1:$A$2000,0)),FALSE)</f>
        <v>12.393275215065955</v>
      </c>
      <c r="AY208" s="103"/>
      <c r="AZ208" s="21"/>
    </row>
    <row r="209" spans="1:52">
      <c r="A209" s="56" t="str">
        <f>$D$1&amp;199</f>
        <v>SC199</v>
      </c>
      <c r="B209" s="57">
        <f>IF(ISERROR(VLOOKUP(A209,classifications!A:C,3,FALSE)),0,VLOOKUP(A209,classifications!A:C,3,FALSE))</f>
        <v>0</v>
      </c>
      <c r="C209" s="8" t="s">
        <v>276</v>
      </c>
      <c r="D209" s="26" t="str">
        <f>VLOOKUP($C209,classifications!$C:$J,4,FALSE)</f>
        <v>UA</v>
      </c>
      <c r="E209" s="26">
        <f>VLOOKUP(C209,classifications!C:K,9,FALSE)</f>
        <v>0</v>
      </c>
      <c r="F209" s="36">
        <f t="shared" si="73"/>
        <v>17.531673375001855</v>
      </c>
      <c r="G209" s="71"/>
      <c r="H209" s="37" t="str">
        <f t="shared" si="74"/>
        <v/>
      </c>
      <c r="I209" s="77" t="str">
        <f>IF(H209="","",IF($I$8="A",(RANK(H209,H$11:H$368,1)+COUNTIF(H$11:H209,H209)-1),(RANK(H209,H$11:H$368)+COUNTIF(H$11:H209,H209)-1)))</f>
        <v/>
      </c>
      <c r="J209" s="35"/>
      <c r="K209" s="28" t="str">
        <f t="shared" si="82"/>
        <v/>
      </c>
      <c r="L209" s="36" t="str">
        <f t="shared" si="75"/>
        <v/>
      </c>
      <c r="M209" s="102" t="str">
        <f t="shared" si="83"/>
        <v/>
      </c>
      <c r="N209" s="101" t="str">
        <f t="shared" si="84"/>
        <v/>
      </c>
      <c r="O209" s="94" t="str">
        <f t="shared" si="76"/>
        <v/>
      </c>
      <c r="P209" s="94" t="str">
        <f t="shared" si="91"/>
        <v/>
      </c>
      <c r="Q209" s="94" t="str">
        <f t="shared" si="92"/>
        <v/>
      </c>
      <c r="R209" s="90" t="str">
        <f t="shared" si="93"/>
        <v/>
      </c>
      <c r="S209" s="37" t="str">
        <f t="shared" si="85"/>
        <v/>
      </c>
      <c r="T209" s="176" t="str">
        <f>IF(L209="","",VLOOKUP(L209,classifications!C:K,9,FALSE))</f>
        <v/>
      </c>
      <c r="U209" s="183" t="str">
        <f t="shared" si="77"/>
        <v/>
      </c>
      <c r="V209" s="184" t="str">
        <f>IF(U209="","",IF($I$8="A",(RANK(U209,U$11:U$368)+COUNTIF(U$11:U209,U209)-1),(RANK(U209,U$11:U$368,1)+COUNTIF(U$11:U209,U209)-1)))</f>
        <v/>
      </c>
      <c r="W209" s="185"/>
      <c r="X209" s="38" t="str">
        <f>IF(L209="","",VLOOKUP($L209,classifications!$C:$J,6,FALSE))</f>
        <v/>
      </c>
      <c r="Y209" s="26" t="b">
        <f t="shared" si="78"/>
        <v>0</v>
      </c>
      <c r="Z209" s="34" t="e">
        <f>IF(Y209="","",IF(I$8="A",(RANK(Y209,Y$11:Y$368,1)+COUNTIF(Y$11:Y209,Y209)-1),(RANK(Y209,Y$11:Y$368)+COUNTIF(Y$11:Y209,Y209)-1)))</f>
        <v>#N/A</v>
      </c>
      <c r="AA209" s="188" t="str">
        <f>IF(L209="","",VLOOKUP($L209,classifications!C:I,7,FALSE))</f>
        <v/>
      </c>
      <c r="AB209" s="184" t="str">
        <f t="shared" si="86"/>
        <v/>
      </c>
      <c r="AC209" s="184" t="str">
        <f>IF(AB209="","",IF($I$8="A",(RANK(AB209,AB$11:AB$368)+COUNTIF(AB$11:AB209,AB209)-1),(RANK(AB209,AB$11:AB$368,1)+COUNTIF(AB$11:AB209,AB209)-1)))</f>
        <v/>
      </c>
      <c r="AD209" s="184"/>
      <c r="AE209" s="28" t="str">
        <f t="shared" si="72"/>
        <v/>
      </c>
      <c r="AG209" s="96"/>
      <c r="AH209" s="29"/>
      <c r="AI209" s="38" t="str">
        <f>IF(L209="","",VLOOKUP($L209,classifications!$C:$J,8,FALSE))</f>
        <v/>
      </c>
      <c r="AJ209" s="39" t="str">
        <f t="shared" si="79"/>
        <v/>
      </c>
      <c r="AK209" s="34" t="str">
        <f>IF(AJ209="","",IF(I$8="A",(RANK(AJ209,AJ$11:AJ$368,1)+COUNTIF(AJ$11:AJ209,AJ209)-1),(RANK(AJ209,AJ$11:AJ$368)+COUNTIF(AJ$11:AJ209,AJ209)-1)))</f>
        <v/>
      </c>
      <c r="AL209" s="29" t="str">
        <f t="shared" si="87"/>
        <v/>
      </c>
      <c r="AM209" s="8" t="str">
        <f t="shared" si="80"/>
        <v/>
      </c>
      <c r="AN209" s="8" t="str">
        <f t="shared" si="88"/>
        <v/>
      </c>
      <c r="AP209" s="38" t="str">
        <f>IF(L209="","",VLOOKUP($L209,classifications!$C:$E,3,FALSE))</f>
        <v/>
      </c>
      <c r="AQ209" s="39" t="str">
        <f t="shared" si="89"/>
        <v/>
      </c>
      <c r="AR209" s="34" t="str">
        <f>IF(AQ209="","",IF(I$8="A",(RANK(AQ209,AQ$11:AQ$368,1)+COUNTIF(AQ$11:AQ209,AQ209)-1),(RANK(AQ209,AQ$11:AQ$368)+COUNTIF(AQ$11:AQ209,AQ209)-1)))</f>
        <v/>
      </c>
      <c r="AS209" s="29" t="str">
        <f t="shared" si="90"/>
        <v/>
      </c>
      <c r="AT209" s="34" t="str">
        <f t="shared" si="81"/>
        <v/>
      </c>
      <c r="AU209" s="39" t="str">
        <f t="shared" si="71"/>
        <v/>
      </c>
      <c r="AX209" s="21">
        <f>HLOOKUP($AX$9&amp;$AX$10,Data!$A$1:$ZZ$2000,(MATCH($C209,Data!$A$1:$A$2000,0)),FALSE)</f>
        <v>17.531673375001855</v>
      </c>
      <c r="AY209" s="103"/>
      <c r="AZ209" s="21"/>
    </row>
    <row r="210" spans="1:52">
      <c r="A210" s="56" t="str">
        <f>$D$1&amp;200</f>
        <v>SC200</v>
      </c>
      <c r="B210" s="57">
        <f>IF(ISERROR(VLOOKUP(A210,classifications!A:C,3,FALSE)),0,VLOOKUP(A210,classifications!A:C,3,FALSE))</f>
        <v>0</v>
      </c>
      <c r="C210" s="8" t="s">
        <v>111</v>
      </c>
      <c r="D210" s="26" t="str">
        <f>VLOOKUP($C210,classifications!$C:$J,4,FALSE)</f>
        <v>SD</v>
      </c>
      <c r="E210" s="26">
        <f>VLOOKUP(C210,classifications!C:K,9,FALSE)</f>
        <v>0</v>
      </c>
      <c r="F210" s="36">
        <f t="shared" si="73"/>
        <v>21.130332143258538</v>
      </c>
      <c r="G210" s="71"/>
      <c r="H210" s="37" t="str">
        <f t="shared" si="74"/>
        <v/>
      </c>
      <c r="I210" s="77" t="str">
        <f>IF(H210="","",IF($I$8="A",(RANK(H210,H$11:H$368,1)+COUNTIF(H$11:H210,H210)-1),(RANK(H210,H$11:H$368)+COUNTIF(H$11:H210,H210)-1)))</f>
        <v/>
      </c>
      <c r="J210" s="35"/>
      <c r="K210" s="28" t="str">
        <f t="shared" si="82"/>
        <v/>
      </c>
      <c r="L210" s="36" t="str">
        <f t="shared" si="75"/>
        <v/>
      </c>
      <c r="M210" s="102" t="str">
        <f t="shared" si="83"/>
        <v/>
      </c>
      <c r="N210" s="101" t="str">
        <f t="shared" si="84"/>
        <v/>
      </c>
      <c r="O210" s="94" t="str">
        <f t="shared" si="76"/>
        <v/>
      </c>
      <c r="P210" s="94" t="str">
        <f t="shared" si="91"/>
        <v/>
      </c>
      <c r="Q210" s="94" t="str">
        <f t="shared" si="92"/>
        <v/>
      </c>
      <c r="R210" s="90" t="str">
        <f t="shared" si="93"/>
        <v/>
      </c>
      <c r="S210" s="37" t="str">
        <f t="shared" si="85"/>
        <v/>
      </c>
      <c r="T210" s="176" t="str">
        <f>IF(L210="","",VLOOKUP(L210,classifications!C:K,9,FALSE))</f>
        <v/>
      </c>
      <c r="U210" s="183" t="str">
        <f t="shared" si="77"/>
        <v/>
      </c>
      <c r="V210" s="184" t="str">
        <f>IF(U210="","",IF($I$8="A",(RANK(U210,U$11:U$368)+COUNTIF(U$11:U210,U210)-1),(RANK(U210,U$11:U$368,1)+COUNTIF(U$11:U210,U210)-1)))</f>
        <v/>
      </c>
      <c r="W210" s="185"/>
      <c r="X210" s="38" t="str">
        <f>IF(L210="","",VLOOKUP($L210,classifications!$C:$J,6,FALSE))</f>
        <v/>
      </c>
      <c r="Y210" s="26" t="b">
        <f t="shared" si="78"/>
        <v>0</v>
      </c>
      <c r="Z210" s="34" t="e">
        <f>IF(Y210="","",IF(I$8="A",(RANK(Y210,Y$11:Y$368,1)+COUNTIF(Y$11:Y210,Y210)-1),(RANK(Y210,Y$11:Y$368)+COUNTIF(Y$11:Y210,Y210)-1)))</f>
        <v>#N/A</v>
      </c>
      <c r="AA210" s="188" t="str">
        <f>IF(L210="","",VLOOKUP($L210,classifications!C:I,7,FALSE))</f>
        <v/>
      </c>
      <c r="AB210" s="184" t="str">
        <f t="shared" si="86"/>
        <v/>
      </c>
      <c r="AC210" s="184" t="str">
        <f>IF(AB210="","",IF($I$8="A",(RANK(AB210,AB$11:AB$368)+COUNTIF(AB$11:AB210,AB210)-1),(RANK(AB210,AB$11:AB$368,1)+COUNTIF(AB$11:AB210,AB210)-1)))</f>
        <v/>
      </c>
      <c r="AD210" s="184"/>
      <c r="AE210" s="28" t="str">
        <f t="shared" si="72"/>
        <v/>
      </c>
      <c r="AG210" s="96"/>
      <c r="AH210" s="29"/>
      <c r="AI210" s="38" t="str">
        <f>IF(L210="","",VLOOKUP($L210,classifications!$C:$J,8,FALSE))</f>
        <v/>
      </c>
      <c r="AJ210" s="39" t="str">
        <f t="shared" si="79"/>
        <v/>
      </c>
      <c r="AK210" s="34" t="str">
        <f>IF(AJ210="","",IF(I$8="A",(RANK(AJ210,AJ$11:AJ$368,1)+COUNTIF(AJ$11:AJ210,AJ210)-1),(RANK(AJ210,AJ$11:AJ$368)+COUNTIF(AJ$11:AJ210,AJ210)-1)))</f>
        <v/>
      </c>
      <c r="AL210" s="29" t="str">
        <f t="shared" si="87"/>
        <v/>
      </c>
      <c r="AM210" s="8" t="str">
        <f t="shared" si="80"/>
        <v/>
      </c>
      <c r="AN210" s="8" t="str">
        <f t="shared" si="88"/>
        <v/>
      </c>
      <c r="AP210" s="38" t="str">
        <f>IF(L210="","",VLOOKUP($L210,classifications!$C:$E,3,FALSE))</f>
        <v/>
      </c>
      <c r="AQ210" s="39" t="str">
        <f t="shared" si="89"/>
        <v/>
      </c>
      <c r="AR210" s="34" t="str">
        <f>IF(AQ210="","",IF(I$8="A",(RANK(AQ210,AQ$11:AQ$368,1)+COUNTIF(AQ$11:AQ210,AQ210)-1),(RANK(AQ210,AQ$11:AQ$368)+COUNTIF(AQ$11:AQ210,AQ210)-1)))</f>
        <v/>
      </c>
      <c r="AS210" s="29" t="str">
        <f t="shared" si="90"/>
        <v/>
      </c>
      <c r="AT210" s="34" t="str">
        <f t="shared" si="81"/>
        <v/>
      </c>
      <c r="AU210" s="39" t="str">
        <f t="shared" ref="AU210:AU273" si="94">IF(AT210="","",VLOOKUP(AT210,L:M,2,FALSE))</f>
        <v/>
      </c>
      <c r="AX210" s="21">
        <f>HLOOKUP($AX$9&amp;$AX$10,Data!$A$1:$ZZ$2000,(MATCH($C210,Data!$A$1:$A$2000,0)),FALSE)</f>
        <v>21.130332143258538</v>
      </c>
      <c r="AY210" s="103"/>
      <c r="AZ210" s="21"/>
    </row>
    <row r="211" spans="1:52">
      <c r="A211" s="56" t="str">
        <f>$D$1&amp;201</f>
        <v>SC201</v>
      </c>
      <c r="B211" s="57">
        <f>IF(ISERROR(VLOOKUP(A211,classifications!A:C,3,FALSE)),0,VLOOKUP(A211,classifications!A:C,3,FALSE))</f>
        <v>0</v>
      </c>
      <c r="C211" s="8" t="s">
        <v>112</v>
      </c>
      <c r="D211" s="26" t="str">
        <f>VLOOKUP($C211,classifications!$C:$J,4,FALSE)</f>
        <v>SD</v>
      </c>
      <c r="E211" s="26" t="str">
        <f>VLOOKUP(C211,classifications!C:K,9,FALSE)</f>
        <v>Sparse</v>
      </c>
      <c r="F211" s="36">
        <f t="shared" si="73"/>
        <v>16.767137666804256</v>
      </c>
      <c r="G211" s="71"/>
      <c r="H211" s="37" t="str">
        <f t="shared" si="74"/>
        <v/>
      </c>
      <c r="I211" s="77" t="str">
        <f>IF(H211="","",IF($I$8="A",(RANK(H211,H$11:H$368,1)+COUNTIF(H$11:H211,H211)-1),(RANK(H211,H$11:H$368)+COUNTIF(H$11:H211,H211)-1)))</f>
        <v/>
      </c>
      <c r="J211" s="35"/>
      <c r="K211" s="28" t="str">
        <f t="shared" si="82"/>
        <v/>
      </c>
      <c r="L211" s="36" t="str">
        <f t="shared" si="75"/>
        <v/>
      </c>
      <c r="M211" s="102" t="str">
        <f t="shared" si="83"/>
        <v/>
      </c>
      <c r="N211" s="101" t="str">
        <f t="shared" si="84"/>
        <v/>
      </c>
      <c r="O211" s="94" t="str">
        <f t="shared" si="76"/>
        <v/>
      </c>
      <c r="P211" s="94" t="str">
        <f t="shared" si="91"/>
        <v/>
      </c>
      <c r="Q211" s="94" t="str">
        <f t="shared" si="92"/>
        <v/>
      </c>
      <c r="R211" s="90" t="str">
        <f t="shared" si="93"/>
        <v/>
      </c>
      <c r="S211" s="37" t="str">
        <f t="shared" si="85"/>
        <v/>
      </c>
      <c r="T211" s="176" t="str">
        <f>IF(L211="","",VLOOKUP(L211,classifications!C:K,9,FALSE))</f>
        <v/>
      </c>
      <c r="U211" s="183" t="str">
        <f t="shared" ref="U211:U226" si="95">IF(T211="Sparse",M211,"")</f>
        <v/>
      </c>
      <c r="V211" s="184" t="str">
        <f>IF(U211="","",IF($I$8="A",(RANK(U211,U$11:U$368)+COUNTIF(U$11:U211,U211)-1),(RANK(U211,U$11:U$368,1)+COUNTIF(U$11:U211,U211)-1)))</f>
        <v/>
      </c>
      <c r="W211" s="185"/>
      <c r="X211" s="38" t="str">
        <f>IF(L211="","",VLOOKUP($L211,classifications!$C:$J,6,FALSE))</f>
        <v/>
      </c>
      <c r="Y211" s="26" t="b">
        <f t="shared" si="78"/>
        <v>0</v>
      </c>
      <c r="Z211" s="34" t="e">
        <f>IF(Y211="","",IF(I$8="A",(RANK(Y211,Y$11:Y$368,1)+COUNTIF(Y$11:Y211,Y211)-1),(RANK(Y211,Y$11:Y$368)+COUNTIF(Y$11:Y211,Y211)-1)))</f>
        <v>#N/A</v>
      </c>
      <c r="AA211" s="188" t="str">
        <f>IF(L211="","",VLOOKUP($L211,classifications!C:I,7,FALSE))</f>
        <v/>
      </c>
      <c r="AB211" s="184" t="str">
        <f t="shared" si="86"/>
        <v/>
      </c>
      <c r="AC211" s="184" t="str">
        <f>IF(AB211="","",IF($I$8="A",(RANK(AB211,AB$11:AB$368)+COUNTIF(AB$11:AB211,AB211)-1),(RANK(AB211,AB$11:AB$368,1)+COUNTIF(AB$11:AB211,AB211)-1)))</f>
        <v/>
      </c>
      <c r="AD211" s="184"/>
      <c r="AE211" s="28" t="str">
        <f t="shared" si="72"/>
        <v/>
      </c>
      <c r="AG211" s="96"/>
      <c r="AH211" s="29"/>
      <c r="AI211" s="38" t="str">
        <f>IF(L211="","",VLOOKUP($L211,classifications!$C:$J,8,FALSE))</f>
        <v/>
      </c>
      <c r="AJ211" s="39" t="str">
        <f t="shared" si="79"/>
        <v/>
      </c>
      <c r="AK211" s="34" t="str">
        <f>IF(AJ211="","",IF(I$8="A",(RANK(AJ211,AJ$11:AJ$368,1)+COUNTIF(AJ$11:AJ211,AJ211)-1),(RANK(AJ211,AJ$11:AJ$368)+COUNTIF(AJ$11:AJ211,AJ211)-1)))</f>
        <v/>
      </c>
      <c r="AL211" s="29" t="str">
        <f t="shared" si="87"/>
        <v/>
      </c>
      <c r="AM211" s="8" t="str">
        <f t="shared" si="80"/>
        <v/>
      </c>
      <c r="AN211" s="8" t="str">
        <f t="shared" si="88"/>
        <v/>
      </c>
      <c r="AP211" s="38" t="str">
        <f>IF(L211="","",VLOOKUP($L211,classifications!$C:$E,3,FALSE))</f>
        <v/>
      </c>
      <c r="AQ211" s="39" t="str">
        <f t="shared" si="89"/>
        <v/>
      </c>
      <c r="AR211" s="34" t="str">
        <f>IF(AQ211="","",IF(I$8="A",(RANK(AQ211,AQ$11:AQ$368,1)+COUNTIF(AQ$11:AQ211,AQ211)-1),(RANK(AQ211,AQ$11:AQ$368)+COUNTIF(AQ$11:AQ211,AQ211)-1)))</f>
        <v/>
      </c>
      <c r="AS211" s="29" t="str">
        <f t="shared" si="90"/>
        <v/>
      </c>
      <c r="AT211" s="34" t="str">
        <f t="shared" si="81"/>
        <v/>
      </c>
      <c r="AU211" s="39" t="str">
        <f t="shared" si="94"/>
        <v/>
      </c>
      <c r="AX211" s="21">
        <f>HLOOKUP($AX$9&amp;$AX$10,Data!$A$1:$ZZ$2000,(MATCH($C211,Data!$A$1:$A$2000,0)),FALSE)</f>
        <v>16.767137666804256</v>
      </c>
      <c r="AY211" s="103"/>
      <c r="AZ211" s="21"/>
    </row>
    <row r="212" spans="1:52">
      <c r="A212" s="56" t="str">
        <f>$D$1&amp;202</f>
        <v>SC202</v>
      </c>
      <c r="B212" s="57">
        <f>IF(ISERROR(VLOOKUP(A212,classifications!A:C,3,FALSE)),0,VLOOKUP(A212,classifications!A:C,3,FALSE))</f>
        <v>0</v>
      </c>
      <c r="C212" s="8" t="s">
        <v>277</v>
      </c>
      <c r="D212" s="26" t="str">
        <f>VLOOKUP($C212,classifications!$C:$J,4,FALSE)</f>
        <v>UA</v>
      </c>
      <c r="E212" s="26" t="str">
        <f>VLOOKUP(C212,classifications!C:K,9,FALSE)</f>
        <v>Sparse</v>
      </c>
      <c r="F212" s="36">
        <f t="shared" si="73"/>
        <v>14.605754991466737</v>
      </c>
      <c r="G212" s="71"/>
      <c r="H212" s="37" t="str">
        <f t="shared" si="74"/>
        <v/>
      </c>
      <c r="I212" s="77" t="str">
        <f>IF(H212="","",IF($I$8="A",(RANK(H212,H$11:H$368,1)+COUNTIF(H$11:H212,H212)-1),(RANK(H212,H$11:H$368)+COUNTIF(H$11:H212,H212)-1)))</f>
        <v/>
      </c>
      <c r="J212" s="35"/>
      <c r="K212" s="28" t="str">
        <f t="shared" si="82"/>
        <v/>
      </c>
      <c r="L212" s="36" t="str">
        <f t="shared" si="75"/>
        <v/>
      </c>
      <c r="M212" s="102" t="str">
        <f t="shared" si="83"/>
        <v/>
      </c>
      <c r="N212" s="101" t="str">
        <f t="shared" si="84"/>
        <v/>
      </c>
      <c r="O212" s="94" t="str">
        <f t="shared" si="76"/>
        <v/>
      </c>
      <c r="P212" s="94" t="str">
        <f t="shared" si="91"/>
        <v/>
      </c>
      <c r="Q212" s="94" t="str">
        <f t="shared" si="92"/>
        <v/>
      </c>
      <c r="R212" s="90" t="str">
        <f t="shared" si="93"/>
        <v/>
      </c>
      <c r="S212" s="37" t="str">
        <f t="shared" si="85"/>
        <v/>
      </c>
      <c r="T212" s="176" t="str">
        <f>IF(L212="","",VLOOKUP(L212,classifications!C:K,9,FALSE))</f>
        <v/>
      </c>
      <c r="U212" s="183" t="str">
        <f t="shared" si="95"/>
        <v/>
      </c>
      <c r="V212" s="184" t="str">
        <f>IF(U212="","",IF($I$8="A",(RANK(U212,U$11:U$368)+COUNTIF(U$11:U212,U212)-1),(RANK(U212,U$11:U$368,1)+COUNTIF(U$11:U212,U212)-1)))</f>
        <v/>
      </c>
      <c r="W212" s="185"/>
      <c r="X212" s="38" t="str">
        <f>IF(L212="","",VLOOKUP($L212,classifications!$C:$J,6,FALSE))</f>
        <v/>
      </c>
      <c r="Y212" s="26" t="b">
        <f t="shared" si="78"/>
        <v>0</v>
      </c>
      <c r="Z212" s="34" t="e">
        <f>IF(Y212="","",IF(I$8="A",(RANK(Y212,Y$11:Y$368,1)+COUNTIF(Y$11:Y212,Y212)-1),(RANK(Y212,Y$11:Y$368)+COUNTIF(Y$11:Y212,Y212)-1)))</f>
        <v>#N/A</v>
      </c>
      <c r="AA212" s="188" t="str">
        <f>IF(L212="","",VLOOKUP($L212,classifications!C:I,7,FALSE))</f>
        <v/>
      </c>
      <c r="AB212" s="184" t="str">
        <f t="shared" si="86"/>
        <v/>
      </c>
      <c r="AC212" s="184" t="str">
        <f>IF(AB212="","",IF($I$8="A",(RANK(AB212,AB$11:AB$368)+COUNTIF(AB$11:AB212,AB212)-1),(RANK(AB212,AB$11:AB$368,1)+COUNTIF(AB$11:AB212,AB212)-1)))</f>
        <v/>
      </c>
      <c r="AD212" s="184"/>
      <c r="AE212" s="28" t="str">
        <f t="shared" si="72"/>
        <v/>
      </c>
      <c r="AG212" s="96"/>
      <c r="AH212" s="29"/>
      <c r="AI212" s="38" t="str">
        <f>IF(L212="","",VLOOKUP($L212,classifications!$C:$J,8,FALSE))</f>
        <v/>
      </c>
      <c r="AJ212" s="39" t="str">
        <f t="shared" si="79"/>
        <v/>
      </c>
      <c r="AK212" s="34" t="str">
        <f>IF(AJ212="","",IF(I$8="A",(RANK(AJ212,AJ$11:AJ$368,1)+COUNTIF(AJ$11:AJ212,AJ212)-1),(RANK(AJ212,AJ$11:AJ$368)+COUNTIF(AJ$11:AJ212,AJ212)-1)))</f>
        <v/>
      </c>
      <c r="AL212" s="29" t="str">
        <f t="shared" si="87"/>
        <v/>
      </c>
      <c r="AM212" s="8" t="str">
        <f t="shared" si="80"/>
        <v/>
      </c>
      <c r="AN212" s="8" t="str">
        <f t="shared" si="88"/>
        <v/>
      </c>
      <c r="AP212" s="38" t="str">
        <f>IF(L212="","",VLOOKUP($L212,classifications!$C:$E,3,FALSE))</f>
        <v/>
      </c>
      <c r="AQ212" s="39" t="str">
        <f t="shared" si="89"/>
        <v/>
      </c>
      <c r="AR212" s="34" t="str">
        <f>IF(AQ212="","",IF(I$8="A",(RANK(AQ212,AQ$11:AQ$368,1)+COUNTIF(AQ$11:AQ212,AQ212)-1),(RANK(AQ212,AQ$11:AQ$368)+COUNTIF(AQ$11:AQ212,AQ212)-1)))</f>
        <v/>
      </c>
      <c r="AS212" s="29" t="str">
        <f t="shared" si="90"/>
        <v/>
      </c>
      <c r="AT212" s="34" t="str">
        <f t="shared" si="81"/>
        <v/>
      </c>
      <c r="AU212" s="39" t="str">
        <f t="shared" si="94"/>
        <v/>
      </c>
      <c r="AX212" s="21">
        <f>HLOOKUP($AX$9&amp;$AX$10,Data!$A$1:$ZZ$2000,(MATCH($C212,Data!$A$1:$A$2000,0)),FALSE)</f>
        <v>14.605754991466737</v>
      </c>
      <c r="AY212" s="103"/>
      <c r="AZ212" s="21"/>
    </row>
    <row r="213" spans="1:52">
      <c r="A213" s="56" t="str">
        <f>$D$1&amp;203</f>
        <v>SC203</v>
      </c>
      <c r="B213" s="57">
        <f>IF(ISERROR(VLOOKUP(A213,classifications!A:C,3,FALSE)),0,VLOOKUP(A213,classifications!A:C,3,FALSE))</f>
        <v>0</v>
      </c>
      <c r="C213" s="8" t="s">
        <v>113</v>
      </c>
      <c r="D213" s="26" t="str">
        <f>VLOOKUP($C213,classifications!$C:$J,4,FALSE)</f>
        <v>SD</v>
      </c>
      <c r="E213" s="26" t="str">
        <f>VLOOKUP(C213,classifications!C:K,9,FALSE)</f>
        <v>Sparse</v>
      </c>
      <c r="F213" s="36">
        <f t="shared" si="73"/>
        <v>19.615222699254311</v>
      </c>
      <c r="G213" s="71"/>
      <c r="H213" s="37" t="str">
        <f t="shared" si="74"/>
        <v/>
      </c>
      <c r="I213" s="77" t="str">
        <f>IF(H213="","",IF($I$8="A",(RANK(H213,H$11:H$368,1)+COUNTIF(H$11:H213,H213)-1),(RANK(H213,H$11:H$368)+COUNTIF(H$11:H213,H213)-1)))</f>
        <v/>
      </c>
      <c r="J213" s="35"/>
      <c r="K213" s="28" t="str">
        <f t="shared" si="82"/>
        <v/>
      </c>
      <c r="L213" s="36" t="str">
        <f t="shared" si="75"/>
        <v/>
      </c>
      <c r="M213" s="102" t="str">
        <f t="shared" si="83"/>
        <v/>
      </c>
      <c r="N213" s="101" t="str">
        <f t="shared" si="84"/>
        <v/>
      </c>
      <c r="O213" s="94" t="str">
        <f t="shared" si="76"/>
        <v/>
      </c>
      <c r="P213" s="94" t="str">
        <f t="shared" si="91"/>
        <v/>
      </c>
      <c r="Q213" s="94" t="str">
        <f t="shared" si="92"/>
        <v/>
      </c>
      <c r="R213" s="90" t="str">
        <f t="shared" si="93"/>
        <v/>
      </c>
      <c r="S213" s="37" t="str">
        <f t="shared" si="85"/>
        <v/>
      </c>
      <c r="T213" s="176" t="str">
        <f>IF(L213="","",VLOOKUP(L213,classifications!C:K,9,FALSE))</f>
        <v/>
      </c>
      <c r="U213" s="183" t="str">
        <f t="shared" si="95"/>
        <v/>
      </c>
      <c r="V213" s="184" t="str">
        <f>IF(U213="","",IF($I$8="A",(RANK(U213,U$11:U$368)+COUNTIF(U$11:U213,U213)-1),(RANK(U213,U$11:U$368,1)+COUNTIF(U$11:U213,U213)-1)))</f>
        <v/>
      </c>
      <c r="W213" s="185"/>
      <c r="X213" s="38" t="str">
        <f>IF(L213="","",VLOOKUP($L213,classifications!$C:$J,6,FALSE))</f>
        <v/>
      </c>
      <c r="Y213" s="26" t="b">
        <f t="shared" si="78"/>
        <v>0</v>
      </c>
      <c r="Z213" s="34" t="e">
        <f>IF(Y213="","",IF(I$8="A",(RANK(Y213,Y$11:Y$368,1)+COUNTIF(Y$11:Y213,Y213)-1),(RANK(Y213,Y$11:Y$368)+COUNTIF(Y$11:Y213,Y213)-1)))</f>
        <v>#N/A</v>
      </c>
      <c r="AA213" s="188" t="str">
        <f>IF(L213="","",VLOOKUP($L213,classifications!C:I,7,FALSE))</f>
        <v/>
      </c>
      <c r="AB213" s="184" t="str">
        <f t="shared" si="86"/>
        <v/>
      </c>
      <c r="AC213" s="184" t="str">
        <f>IF(AB213="","",IF($I$8="A",(RANK(AB213,AB$11:AB$368)+COUNTIF(AB$11:AB213,AB213)-1),(RANK(AB213,AB$11:AB$368,1)+COUNTIF(AB$11:AB213,AB213)-1)))</f>
        <v/>
      </c>
      <c r="AD213" s="184"/>
      <c r="AE213" s="28" t="str">
        <f t="shared" si="72"/>
        <v/>
      </c>
      <c r="AG213" s="96"/>
      <c r="AH213" s="29"/>
      <c r="AI213" s="38" t="str">
        <f>IF(L213="","",VLOOKUP($L213,classifications!$C:$J,8,FALSE))</f>
        <v/>
      </c>
      <c r="AJ213" s="39" t="str">
        <f t="shared" si="79"/>
        <v/>
      </c>
      <c r="AK213" s="34" t="str">
        <f>IF(AJ213="","",IF(I$8="A",(RANK(AJ213,AJ$11:AJ$368,1)+COUNTIF(AJ$11:AJ213,AJ213)-1),(RANK(AJ213,AJ$11:AJ$368)+COUNTIF(AJ$11:AJ213,AJ213)-1)))</f>
        <v/>
      </c>
      <c r="AL213" s="29" t="str">
        <f t="shared" si="87"/>
        <v/>
      </c>
      <c r="AM213" s="8" t="str">
        <f t="shared" si="80"/>
        <v/>
      </c>
      <c r="AN213" s="8" t="str">
        <f t="shared" si="88"/>
        <v/>
      </c>
      <c r="AP213" s="38" t="str">
        <f>IF(L213="","",VLOOKUP($L213,classifications!$C:$E,3,FALSE))</f>
        <v/>
      </c>
      <c r="AQ213" s="39" t="str">
        <f t="shared" si="89"/>
        <v/>
      </c>
      <c r="AR213" s="34" t="str">
        <f>IF(AQ213="","",IF(I$8="A",(RANK(AQ213,AQ$11:AQ$368,1)+COUNTIF(AQ$11:AQ213,AQ213)-1),(RANK(AQ213,AQ$11:AQ$368)+COUNTIF(AQ$11:AQ213,AQ213)-1)))</f>
        <v/>
      </c>
      <c r="AS213" s="29" t="str">
        <f t="shared" si="90"/>
        <v/>
      </c>
      <c r="AT213" s="34" t="str">
        <f t="shared" si="81"/>
        <v/>
      </c>
      <c r="AU213" s="39" t="str">
        <f t="shared" si="94"/>
        <v/>
      </c>
      <c r="AX213" s="21">
        <f>HLOOKUP($AX$9&amp;$AX$10,Data!$A$1:$ZZ$2000,(MATCH($C213,Data!$A$1:$A$2000,0)),FALSE)</f>
        <v>19.615222699254311</v>
      </c>
      <c r="AY213" s="103"/>
      <c r="AZ213" s="21"/>
    </row>
    <row r="214" spans="1:52">
      <c r="A214" s="56" t="str">
        <f>$D$1&amp;204</f>
        <v>SC204</v>
      </c>
      <c r="B214" s="57">
        <f>IF(ISERROR(VLOOKUP(A214,classifications!A:C,3,FALSE)),0,VLOOKUP(A214,classifications!A:C,3,FALSE))</f>
        <v>0</v>
      </c>
      <c r="C214" s="8" t="s">
        <v>278</v>
      </c>
      <c r="D214" s="26" t="str">
        <f>VLOOKUP($C214,classifications!$C:$J,4,FALSE)</f>
        <v>UA</v>
      </c>
      <c r="E214" s="26" t="str">
        <f>VLOOKUP(C214,classifications!C:K,9,FALSE)</f>
        <v>Sparse</v>
      </c>
      <c r="F214" s="36">
        <f t="shared" si="73"/>
        <v>15.880681429760729</v>
      </c>
      <c r="G214" s="71"/>
      <c r="H214" s="37" t="str">
        <f t="shared" si="74"/>
        <v/>
      </c>
      <c r="I214" s="77" t="str">
        <f>IF(H214="","",IF($I$8="A",(RANK(H214,H$11:H$368,1)+COUNTIF(H$11:H214,H214)-1),(RANK(H214,H$11:H$368)+COUNTIF(H$11:H214,H214)-1)))</f>
        <v/>
      </c>
      <c r="J214" s="35"/>
      <c r="K214" s="28" t="str">
        <f t="shared" si="82"/>
        <v/>
      </c>
      <c r="L214" s="36" t="str">
        <f t="shared" si="75"/>
        <v/>
      </c>
      <c r="M214" s="102" t="str">
        <f t="shared" si="83"/>
        <v/>
      </c>
      <c r="N214" s="101" t="str">
        <f t="shared" si="84"/>
        <v/>
      </c>
      <c r="O214" s="94" t="str">
        <f t="shared" si="76"/>
        <v/>
      </c>
      <c r="P214" s="94" t="str">
        <f t="shared" si="91"/>
        <v/>
      </c>
      <c r="Q214" s="94" t="str">
        <f t="shared" si="92"/>
        <v/>
      </c>
      <c r="R214" s="90" t="str">
        <f t="shared" si="93"/>
        <v/>
      </c>
      <c r="S214" s="37" t="str">
        <f t="shared" si="85"/>
        <v/>
      </c>
      <c r="T214" s="176" t="str">
        <f>IF(L214="","",VLOOKUP(L214,classifications!C:K,9,FALSE))</f>
        <v/>
      </c>
      <c r="U214" s="183" t="str">
        <f t="shared" si="95"/>
        <v/>
      </c>
      <c r="V214" s="184" t="str">
        <f>IF(U214="","",IF($I$8="A",(RANK(U214,U$11:U$368)+COUNTIF(U$11:U214,U214)-1),(RANK(U214,U$11:U$368,1)+COUNTIF(U$11:U214,U214)-1)))</f>
        <v/>
      </c>
      <c r="W214" s="185"/>
      <c r="X214" s="38" t="str">
        <f>IF(L214="","",VLOOKUP($L214,classifications!$C:$J,6,FALSE))</f>
        <v/>
      </c>
      <c r="Y214" s="26" t="b">
        <f t="shared" si="78"/>
        <v>0</v>
      </c>
      <c r="Z214" s="34" t="e">
        <f>IF(Y214="","",IF(I$8="A",(RANK(Y214,Y$11:Y$368,1)+COUNTIF(Y$11:Y214,Y214)-1),(RANK(Y214,Y$11:Y$368)+COUNTIF(Y$11:Y214,Y214)-1)))</f>
        <v>#N/A</v>
      </c>
      <c r="AA214" s="188" t="str">
        <f>IF(L214="","",VLOOKUP($L214,classifications!C:I,7,FALSE))</f>
        <v/>
      </c>
      <c r="AB214" s="184" t="str">
        <f t="shared" si="86"/>
        <v/>
      </c>
      <c r="AC214" s="184" t="str">
        <f>IF(AB214="","",IF($I$8="A",(RANK(AB214,AB$11:AB$368)+COUNTIF(AB$11:AB214,AB214)-1),(RANK(AB214,AB$11:AB$368,1)+COUNTIF(AB$11:AB214,AB214)-1)))</f>
        <v/>
      </c>
      <c r="AD214" s="184"/>
      <c r="AE214" s="28" t="str">
        <f t="shared" si="72"/>
        <v/>
      </c>
      <c r="AG214" s="96"/>
      <c r="AH214" s="29"/>
      <c r="AI214" s="38" t="str">
        <f>IF(L214="","",VLOOKUP($L214,classifications!$C:$J,8,FALSE))</f>
        <v/>
      </c>
      <c r="AJ214" s="39" t="str">
        <f t="shared" si="79"/>
        <v/>
      </c>
      <c r="AK214" s="34" t="str">
        <f>IF(AJ214="","",IF(I$8="A",(RANK(AJ214,AJ$11:AJ$368,1)+COUNTIF(AJ$11:AJ214,AJ214)-1),(RANK(AJ214,AJ$11:AJ$368)+COUNTIF(AJ$11:AJ214,AJ214)-1)))</f>
        <v/>
      </c>
      <c r="AL214" s="29" t="str">
        <f t="shared" si="87"/>
        <v/>
      </c>
      <c r="AM214" s="8" t="str">
        <f t="shared" si="80"/>
        <v/>
      </c>
      <c r="AN214" s="8" t="str">
        <f t="shared" si="88"/>
        <v/>
      </c>
      <c r="AP214" s="38" t="str">
        <f>IF(L214="","",VLOOKUP($L214,classifications!$C:$E,3,FALSE))</f>
        <v/>
      </c>
      <c r="AQ214" s="39" t="str">
        <f t="shared" si="89"/>
        <v/>
      </c>
      <c r="AR214" s="34" t="str">
        <f>IF(AQ214="","",IF(I$8="A",(RANK(AQ214,AQ$11:AQ$368,1)+COUNTIF(AQ$11:AQ214,AQ214)-1),(RANK(AQ214,AQ$11:AQ$368)+COUNTIF(AQ$11:AQ214,AQ214)-1)))</f>
        <v/>
      </c>
      <c r="AS214" s="29" t="str">
        <f t="shared" si="90"/>
        <v/>
      </c>
      <c r="AT214" s="34" t="str">
        <f t="shared" si="81"/>
        <v/>
      </c>
      <c r="AU214" s="39" t="str">
        <f t="shared" si="94"/>
        <v/>
      </c>
      <c r="AX214" s="21">
        <f>HLOOKUP($AX$9&amp;$AX$10,Data!$A$1:$ZZ$2000,(MATCH($C214,Data!$A$1:$A$2000,0)),FALSE)</f>
        <v>15.880681429760729</v>
      </c>
      <c r="AY214" s="103"/>
      <c r="AZ214" s="21"/>
    </row>
    <row r="215" spans="1:52">
      <c r="A215" s="56" t="str">
        <f>$D$1&amp;205</f>
        <v>SC205</v>
      </c>
      <c r="B215" s="57">
        <f>IF(ISERROR(VLOOKUP(A215,classifications!A:C,3,FALSE)),0,VLOOKUP(A215,classifications!A:C,3,FALSE))</f>
        <v>0</v>
      </c>
      <c r="C215" s="8" t="s">
        <v>238</v>
      </c>
      <c r="D215" s="26" t="str">
        <f>VLOOKUP($C215,classifications!$C:$J,4,FALSE)</f>
        <v>MD</v>
      </c>
      <c r="E215" s="26">
        <f>VLOOKUP(C215,classifications!C:K,9,FALSE)</f>
        <v>0</v>
      </c>
      <c r="F215" s="36">
        <f t="shared" si="73"/>
        <v>14.366258214114227</v>
      </c>
      <c r="G215" s="71"/>
      <c r="H215" s="37" t="str">
        <f t="shared" si="74"/>
        <v/>
      </c>
      <c r="I215" s="77" t="str">
        <f>IF(H215="","",IF($I$8="A",(RANK(H215,H$11:H$368,1)+COUNTIF(H$11:H215,H215)-1),(RANK(H215,H$11:H$368)+COUNTIF(H$11:H215,H215)-1)))</f>
        <v/>
      </c>
      <c r="J215" s="35"/>
      <c r="K215" s="28" t="str">
        <f t="shared" si="82"/>
        <v/>
      </c>
      <c r="L215" s="36" t="str">
        <f t="shared" si="75"/>
        <v/>
      </c>
      <c r="M215" s="102" t="str">
        <f t="shared" si="83"/>
        <v/>
      </c>
      <c r="N215" s="101" t="str">
        <f t="shared" si="84"/>
        <v/>
      </c>
      <c r="O215" s="94" t="str">
        <f t="shared" si="76"/>
        <v/>
      </c>
      <c r="P215" s="94" t="str">
        <f t="shared" si="91"/>
        <v/>
      </c>
      <c r="Q215" s="94" t="str">
        <f t="shared" si="92"/>
        <v/>
      </c>
      <c r="R215" s="90" t="str">
        <f t="shared" si="93"/>
        <v/>
      </c>
      <c r="S215" s="37" t="str">
        <f t="shared" si="85"/>
        <v/>
      </c>
      <c r="T215" s="176" t="str">
        <f>IF(L215="","",VLOOKUP(L215,classifications!C:K,9,FALSE))</f>
        <v/>
      </c>
      <c r="U215" s="183" t="str">
        <f t="shared" si="95"/>
        <v/>
      </c>
      <c r="V215" s="184" t="str">
        <f>IF(U215="","",IF($I$8="A",(RANK(U215,U$11:U$368)+COUNTIF(U$11:U215,U215)-1),(RANK(U215,U$11:U$368,1)+COUNTIF(U$11:U215,U215)-1)))</f>
        <v/>
      </c>
      <c r="W215" s="185"/>
      <c r="X215" s="38" t="str">
        <f>IF(L215="","",VLOOKUP($L215,classifications!$C:$J,6,FALSE))</f>
        <v/>
      </c>
      <c r="Y215" s="26" t="b">
        <f t="shared" si="78"/>
        <v>0</v>
      </c>
      <c r="Z215" s="34" t="e">
        <f>IF(Y215="","",IF(I$8="A",(RANK(Y215,Y$11:Y$368,1)+COUNTIF(Y$11:Y215,Y215)-1),(RANK(Y215,Y$11:Y$368)+COUNTIF(Y$11:Y215,Y215)-1)))</f>
        <v>#N/A</v>
      </c>
      <c r="AA215" s="188" t="str">
        <f>IF(L215="","",VLOOKUP($L215,classifications!C:I,7,FALSE))</f>
        <v/>
      </c>
      <c r="AB215" s="184" t="str">
        <f t="shared" si="86"/>
        <v/>
      </c>
      <c r="AC215" s="184" t="str">
        <f>IF(AB215="","",IF($I$8="A",(RANK(AB215,AB$11:AB$368)+COUNTIF(AB$11:AB215,AB215)-1),(RANK(AB215,AB$11:AB$368,1)+COUNTIF(AB$11:AB215,AB215)-1)))</f>
        <v/>
      </c>
      <c r="AD215" s="184"/>
      <c r="AE215" s="28" t="str">
        <f t="shared" si="72"/>
        <v/>
      </c>
      <c r="AG215" s="96"/>
      <c r="AH215" s="29"/>
      <c r="AI215" s="38" t="str">
        <f>IF(L215="","",VLOOKUP($L215,classifications!$C:$J,8,FALSE))</f>
        <v/>
      </c>
      <c r="AJ215" s="39" t="str">
        <f t="shared" si="79"/>
        <v/>
      </c>
      <c r="AK215" s="34" t="str">
        <f>IF(AJ215="","",IF(I$8="A",(RANK(AJ215,AJ$11:AJ$368,1)+COUNTIF(AJ$11:AJ215,AJ215)-1),(RANK(AJ215,AJ$11:AJ$368)+COUNTIF(AJ$11:AJ215,AJ215)-1)))</f>
        <v/>
      </c>
      <c r="AL215" s="29" t="str">
        <f t="shared" si="87"/>
        <v/>
      </c>
      <c r="AM215" s="8" t="str">
        <f t="shared" si="80"/>
        <v/>
      </c>
      <c r="AN215" s="8" t="str">
        <f t="shared" si="88"/>
        <v/>
      </c>
      <c r="AP215" s="38" t="str">
        <f>IF(L215="","",VLOOKUP($L215,classifications!$C:$E,3,FALSE))</f>
        <v/>
      </c>
      <c r="AQ215" s="39" t="str">
        <f t="shared" si="89"/>
        <v/>
      </c>
      <c r="AR215" s="34" t="str">
        <f>IF(AQ215="","",IF(I$8="A",(RANK(AQ215,AQ$11:AQ$368,1)+COUNTIF(AQ$11:AQ215,AQ215)-1),(RANK(AQ215,AQ$11:AQ$368)+COUNTIF(AQ$11:AQ215,AQ215)-1)))</f>
        <v/>
      </c>
      <c r="AS215" s="29" t="str">
        <f t="shared" si="90"/>
        <v/>
      </c>
      <c r="AT215" s="34" t="str">
        <f t="shared" si="81"/>
        <v/>
      </c>
      <c r="AU215" s="39" t="str">
        <f t="shared" si="94"/>
        <v/>
      </c>
      <c r="AX215" s="21">
        <f>HLOOKUP($AX$9&amp;$AX$10,Data!$A$1:$ZZ$2000,(MATCH($C215,Data!$A$1:$A$2000,0)),FALSE)</f>
        <v>14.366258214114227</v>
      </c>
      <c r="AY215" s="103"/>
      <c r="AZ215" s="21"/>
    </row>
    <row r="216" spans="1:52">
      <c r="A216" s="56" t="str">
        <f>$D$1&amp;206</f>
        <v>SC206</v>
      </c>
      <c r="B216" s="57">
        <f>IF(ISERROR(VLOOKUP(A216,classifications!A:C,3,FALSE)),0,VLOOKUP(A216,classifications!A:C,3,FALSE))</f>
        <v>0</v>
      </c>
      <c r="C216" s="8" t="s">
        <v>114</v>
      </c>
      <c r="D216" s="26" t="str">
        <f>VLOOKUP($C216,classifications!$C:$J,4,FALSE)</f>
        <v>SD</v>
      </c>
      <c r="E216" s="26">
        <f>VLOOKUP(C216,classifications!C:K,9,FALSE)</f>
        <v>0</v>
      </c>
      <c r="F216" s="36">
        <f t="shared" si="73"/>
        <v>10.130414870695253</v>
      </c>
      <c r="G216" s="71"/>
      <c r="H216" s="37" t="str">
        <f t="shared" si="74"/>
        <v/>
      </c>
      <c r="I216" s="77" t="str">
        <f>IF(H216="","",IF($I$8="A",(RANK(H216,H$11:H$368,1)+COUNTIF(H$11:H216,H216)-1),(RANK(H216,H$11:H$368)+COUNTIF(H$11:H216,H216)-1)))</f>
        <v/>
      </c>
      <c r="J216" s="35"/>
      <c r="K216" s="28" t="str">
        <f t="shared" si="82"/>
        <v/>
      </c>
      <c r="L216" s="36" t="str">
        <f t="shared" si="75"/>
        <v/>
      </c>
      <c r="M216" s="102" t="str">
        <f t="shared" si="83"/>
        <v/>
      </c>
      <c r="N216" s="101" t="str">
        <f t="shared" si="84"/>
        <v/>
      </c>
      <c r="O216" s="94" t="str">
        <f t="shared" si="76"/>
        <v/>
      </c>
      <c r="P216" s="94" t="str">
        <f t="shared" si="91"/>
        <v/>
      </c>
      <c r="Q216" s="94" t="str">
        <f t="shared" si="92"/>
        <v/>
      </c>
      <c r="R216" s="90" t="str">
        <f t="shared" si="93"/>
        <v/>
      </c>
      <c r="S216" s="37" t="str">
        <f t="shared" si="85"/>
        <v/>
      </c>
      <c r="T216" s="176" t="str">
        <f>IF(L216="","",VLOOKUP(L216,classifications!C:K,9,FALSE))</f>
        <v/>
      </c>
      <c r="U216" s="183" t="str">
        <f t="shared" si="95"/>
        <v/>
      </c>
      <c r="V216" s="184" t="str">
        <f>IF(U216="","",IF($I$8="A",(RANK(U216,U$11:U$368)+COUNTIF(U$11:U216,U216)-1),(RANK(U216,U$11:U$368,1)+COUNTIF(U$11:U216,U216)-1)))</f>
        <v/>
      </c>
      <c r="W216" s="185"/>
      <c r="X216" s="38" t="str">
        <f>IF(L216="","",VLOOKUP($L216,classifications!$C:$J,6,FALSE))</f>
        <v/>
      </c>
      <c r="Y216" s="26" t="b">
        <f t="shared" si="78"/>
        <v>0</v>
      </c>
      <c r="Z216" s="34" t="e">
        <f>IF(Y216="","",IF(I$8="A",(RANK(Y216,Y$11:Y$368,1)+COUNTIF(Y$11:Y216,Y216)-1),(RANK(Y216,Y$11:Y$368)+COUNTIF(Y$11:Y216,Y216)-1)))</f>
        <v>#N/A</v>
      </c>
      <c r="AA216" s="188" t="str">
        <f>IF(L216="","",VLOOKUP($L216,classifications!C:I,7,FALSE))</f>
        <v/>
      </c>
      <c r="AB216" s="184" t="str">
        <f t="shared" si="86"/>
        <v/>
      </c>
      <c r="AC216" s="184" t="str">
        <f>IF(AB216="","",IF($I$8="A",(RANK(AB216,AB$11:AB$368)+COUNTIF(AB$11:AB216,AB216)-1),(RANK(AB216,AB$11:AB$368,1)+COUNTIF(AB$11:AB216,AB216)-1)))</f>
        <v/>
      </c>
      <c r="AD216" s="184"/>
      <c r="AE216" s="28" t="str">
        <f t="shared" si="72"/>
        <v/>
      </c>
      <c r="AG216" s="96"/>
      <c r="AH216" s="29"/>
      <c r="AI216" s="38" t="str">
        <f>IF(L216="","",VLOOKUP($L216,classifications!$C:$J,8,FALSE))</f>
        <v/>
      </c>
      <c r="AJ216" s="39" t="str">
        <f t="shared" si="79"/>
        <v/>
      </c>
      <c r="AK216" s="34" t="str">
        <f>IF(AJ216="","",IF(I$8="A",(RANK(AJ216,AJ$11:AJ$368,1)+COUNTIF(AJ$11:AJ216,AJ216)-1),(RANK(AJ216,AJ$11:AJ$368)+COUNTIF(AJ$11:AJ216,AJ216)-1)))</f>
        <v/>
      </c>
      <c r="AL216" s="29" t="str">
        <f t="shared" si="87"/>
        <v/>
      </c>
      <c r="AM216" s="8" t="str">
        <f t="shared" si="80"/>
        <v/>
      </c>
      <c r="AN216" s="8" t="str">
        <f t="shared" si="88"/>
        <v/>
      </c>
      <c r="AP216" s="38" t="str">
        <f>IF(L216="","",VLOOKUP($L216,classifications!$C:$E,3,FALSE))</f>
        <v/>
      </c>
      <c r="AQ216" s="39" t="str">
        <f t="shared" si="89"/>
        <v/>
      </c>
      <c r="AR216" s="34" t="str">
        <f>IF(AQ216="","",IF(I$8="A",(RANK(AQ216,AQ$11:AQ$368,1)+COUNTIF(AQ$11:AQ216,AQ216)-1),(RANK(AQ216,AQ$11:AQ$368)+COUNTIF(AQ$11:AQ216,AQ216)-1)))</f>
        <v/>
      </c>
      <c r="AS216" s="29" t="str">
        <f t="shared" si="90"/>
        <v/>
      </c>
      <c r="AT216" s="34" t="str">
        <f t="shared" si="81"/>
        <v/>
      </c>
      <c r="AU216" s="39" t="str">
        <f t="shared" si="94"/>
        <v/>
      </c>
      <c r="AX216" s="21">
        <f>HLOOKUP($AX$9&amp;$AX$10,Data!$A$1:$ZZ$2000,(MATCH($C216,Data!$A$1:$A$2000,0)),FALSE)</f>
        <v>10.130414870695253</v>
      </c>
      <c r="AY216" s="103"/>
      <c r="AZ216" s="21"/>
    </row>
    <row r="217" spans="1:52">
      <c r="A217" s="56" t="str">
        <f>$D$1&amp;207</f>
        <v>SC207</v>
      </c>
      <c r="B217" s="57">
        <f>IF(ISERROR(VLOOKUP(A217,classifications!A:C,3,FALSE)),0,VLOOKUP(A217,classifications!A:C,3,FALSE))</f>
        <v>0</v>
      </c>
      <c r="C217" s="8" t="s">
        <v>115</v>
      </c>
      <c r="D217" s="26" t="str">
        <f>VLOOKUP($C217,classifications!$C:$J,4,FALSE)</f>
        <v>SD</v>
      </c>
      <c r="E217" s="26" t="str">
        <f>VLOOKUP(C217,classifications!C:K,9,FALSE)</f>
        <v>Sparse</v>
      </c>
      <c r="F217" s="36">
        <f t="shared" si="73"/>
        <v>10.853965256657139</v>
      </c>
      <c r="G217" s="71"/>
      <c r="H217" s="37" t="str">
        <f t="shared" si="74"/>
        <v/>
      </c>
      <c r="I217" s="77" t="str">
        <f>IF(H217="","",IF($I$8="A",(RANK(H217,H$11:H$368,1)+COUNTIF(H$11:H217,H217)-1),(RANK(H217,H$11:H$368)+COUNTIF(H$11:H217,H217)-1)))</f>
        <v/>
      </c>
      <c r="J217" s="35"/>
      <c r="K217" s="28" t="str">
        <f t="shared" si="82"/>
        <v/>
      </c>
      <c r="L217" s="36" t="str">
        <f t="shared" si="75"/>
        <v/>
      </c>
      <c r="M217" s="102" t="str">
        <f t="shared" si="83"/>
        <v/>
      </c>
      <c r="N217" s="101" t="str">
        <f t="shared" si="84"/>
        <v/>
      </c>
      <c r="O217" s="94" t="str">
        <f t="shared" si="76"/>
        <v/>
      </c>
      <c r="P217" s="94" t="str">
        <f t="shared" si="91"/>
        <v/>
      </c>
      <c r="Q217" s="94" t="str">
        <f t="shared" si="92"/>
        <v/>
      </c>
      <c r="R217" s="90" t="str">
        <f t="shared" si="93"/>
        <v/>
      </c>
      <c r="S217" s="37" t="str">
        <f t="shared" si="85"/>
        <v/>
      </c>
      <c r="T217" s="176" t="str">
        <f>IF(L217="","",VLOOKUP(L217,classifications!C:K,9,FALSE))</f>
        <v/>
      </c>
      <c r="U217" s="183" t="str">
        <f t="shared" si="95"/>
        <v/>
      </c>
      <c r="V217" s="184" t="str">
        <f>IF(U217="","",IF($I$8="A",(RANK(U217,U$11:U$368)+COUNTIF(U$11:U217,U217)-1),(RANK(U217,U$11:U$368,1)+COUNTIF(U$11:U217,U217)-1)))</f>
        <v/>
      </c>
      <c r="W217" s="185"/>
      <c r="X217" s="38" t="str">
        <f>IF(L217="","",VLOOKUP($L217,classifications!$C:$J,6,FALSE))</f>
        <v/>
      </c>
      <c r="Y217" s="26" t="b">
        <f t="shared" si="78"/>
        <v>0</v>
      </c>
      <c r="Z217" s="34" t="e">
        <f>IF(Y217="","",IF(I$8="A",(RANK(Y217,Y$11:Y$368,1)+COUNTIF(Y$11:Y217,Y217)-1),(RANK(Y217,Y$11:Y$368)+COUNTIF(Y$11:Y217,Y217)-1)))</f>
        <v>#N/A</v>
      </c>
      <c r="AA217" s="188" t="str">
        <f>IF(L217="","",VLOOKUP($L217,classifications!C:I,7,FALSE))</f>
        <v/>
      </c>
      <c r="AB217" s="184" t="str">
        <f t="shared" si="86"/>
        <v/>
      </c>
      <c r="AC217" s="184" t="str">
        <f>IF(AB217="","",IF($I$8="A",(RANK(AB217,AB$11:AB$368)+COUNTIF(AB$11:AB217,AB217)-1),(RANK(AB217,AB$11:AB$368,1)+COUNTIF(AB$11:AB217,AB217)-1)))</f>
        <v/>
      </c>
      <c r="AD217" s="184"/>
      <c r="AE217" s="28" t="str">
        <f t="shared" si="72"/>
        <v/>
      </c>
      <c r="AG217" s="96"/>
      <c r="AH217" s="29"/>
      <c r="AI217" s="38" t="str">
        <f>IF(L217="","",VLOOKUP($L217,classifications!$C:$J,8,FALSE))</f>
        <v/>
      </c>
      <c r="AJ217" s="39" t="str">
        <f t="shared" si="79"/>
        <v/>
      </c>
      <c r="AK217" s="34" t="str">
        <f>IF(AJ217="","",IF(I$8="A",(RANK(AJ217,AJ$11:AJ$368,1)+COUNTIF(AJ$11:AJ217,AJ217)-1),(RANK(AJ217,AJ$11:AJ$368)+COUNTIF(AJ$11:AJ217,AJ217)-1)))</f>
        <v/>
      </c>
      <c r="AL217" s="29" t="str">
        <f t="shared" si="87"/>
        <v/>
      </c>
      <c r="AM217" s="8" t="str">
        <f t="shared" si="80"/>
        <v/>
      </c>
      <c r="AN217" s="8" t="str">
        <f t="shared" si="88"/>
        <v/>
      </c>
      <c r="AP217" s="38" t="str">
        <f>IF(L217="","",VLOOKUP($L217,classifications!$C:$E,3,FALSE))</f>
        <v/>
      </c>
      <c r="AQ217" s="39" t="str">
        <f t="shared" si="89"/>
        <v/>
      </c>
      <c r="AR217" s="34" t="str">
        <f>IF(AQ217="","",IF(I$8="A",(RANK(AQ217,AQ$11:AQ$368,1)+COUNTIF(AQ$11:AQ217,AQ217)-1),(RANK(AQ217,AQ$11:AQ$368)+COUNTIF(AQ$11:AQ217,AQ217)-1)))</f>
        <v/>
      </c>
      <c r="AS217" s="29" t="str">
        <f t="shared" si="90"/>
        <v/>
      </c>
      <c r="AT217" s="34" t="str">
        <f t="shared" si="81"/>
        <v/>
      </c>
      <c r="AU217" s="39" t="str">
        <f t="shared" si="94"/>
        <v/>
      </c>
      <c r="AX217" s="21">
        <f>HLOOKUP($AX$9&amp;$AX$10,Data!$A$1:$ZZ$2000,(MATCH($C217,Data!$A$1:$A$2000,0)),FALSE)</f>
        <v>10.853965256657139</v>
      </c>
      <c r="AY217" s="103"/>
      <c r="AZ217" s="21"/>
    </row>
    <row r="218" spans="1:52">
      <c r="A218" s="56" t="str">
        <f>$D$1&amp;208</f>
        <v>SC208</v>
      </c>
      <c r="B218" s="57">
        <f>IF(ISERROR(VLOOKUP(A218,classifications!A:C,3,FALSE)),0,VLOOKUP(A218,classifications!A:C,3,FALSE))</f>
        <v>0</v>
      </c>
      <c r="C218" s="8" t="s">
        <v>320</v>
      </c>
      <c r="D218" s="26" t="str">
        <f>VLOOKUP($C218,classifications!$C:$J,4,FALSE)</f>
        <v>SC</v>
      </c>
      <c r="E218" s="26" t="str">
        <f>VLOOKUP(C218,classifications!C:K,9,FALSE)</f>
        <v>Sparse</v>
      </c>
      <c r="F218" s="36">
        <f t="shared" si="73"/>
        <v>18.088342558486225</v>
      </c>
      <c r="G218" s="71"/>
      <c r="H218" s="37">
        <f t="shared" si="74"/>
        <v>18.088342558486225</v>
      </c>
      <c r="I218" s="77">
        <f>IF(H218="","",IF($I$8="A",(RANK(H218,H$11:H$368,1)+COUNTIF(H$11:H218,H218)-1),(RANK(H218,H$11:H$368)+COUNTIF(H$11:H218,H218)-1)))</f>
        <v>9</v>
      </c>
      <c r="J218" s="35"/>
      <c r="K218" s="28" t="str">
        <f t="shared" si="82"/>
        <v/>
      </c>
      <c r="L218" s="36" t="str">
        <f t="shared" si="75"/>
        <v/>
      </c>
      <c r="M218" s="102" t="str">
        <f t="shared" si="83"/>
        <v/>
      </c>
      <c r="N218" s="101" t="str">
        <f t="shared" si="84"/>
        <v/>
      </c>
      <c r="O218" s="94" t="str">
        <f t="shared" si="76"/>
        <v/>
      </c>
      <c r="P218" s="94" t="str">
        <f t="shared" si="91"/>
        <v/>
      </c>
      <c r="Q218" s="94" t="str">
        <f t="shared" si="92"/>
        <v/>
      </c>
      <c r="R218" s="90" t="str">
        <f t="shared" si="93"/>
        <v/>
      </c>
      <c r="S218" s="37" t="str">
        <f t="shared" si="85"/>
        <v/>
      </c>
      <c r="T218" s="176" t="str">
        <f>IF(L218="","",VLOOKUP(L218,classifications!C:K,9,FALSE))</f>
        <v/>
      </c>
      <c r="U218" s="183" t="str">
        <f t="shared" si="95"/>
        <v/>
      </c>
      <c r="V218" s="184" t="str">
        <f>IF(U218="","",IF($I$8="A",(RANK(U218,U$11:U$368)+COUNTIF(U$11:U218,U218)-1),(RANK(U218,U$11:U$368,1)+COUNTIF(U$11:U218,U218)-1)))</f>
        <v/>
      </c>
      <c r="W218" s="185"/>
      <c r="X218" s="38" t="str">
        <f>IF(L218="","",VLOOKUP($L218,classifications!$C:$J,6,FALSE))</f>
        <v/>
      </c>
      <c r="Y218" s="26" t="b">
        <f t="shared" si="78"/>
        <v>0</v>
      </c>
      <c r="Z218" s="34" t="e">
        <f>IF(Y218="","",IF(I$8="A",(RANK(Y218,Y$11:Y$368,1)+COUNTIF(Y$11:Y218,Y218)-1),(RANK(Y218,Y$11:Y$368)+COUNTIF(Y$11:Y218,Y218)-1)))</f>
        <v>#N/A</v>
      </c>
      <c r="AA218" s="188" t="str">
        <f>IF(L218="","",VLOOKUP($L218,classifications!C:I,7,FALSE))</f>
        <v/>
      </c>
      <c r="AB218" s="184" t="str">
        <f t="shared" si="86"/>
        <v/>
      </c>
      <c r="AC218" s="184" t="str">
        <f>IF(AB218="","",IF($I$8="A",(RANK(AB218,AB$11:AB$368)+COUNTIF(AB$11:AB218,AB218)-1),(RANK(AB218,AB$11:AB$368,1)+COUNTIF(AB$11:AB218,AB218)-1)))</f>
        <v/>
      </c>
      <c r="AD218" s="184"/>
      <c r="AE218" s="28" t="str">
        <f t="shared" si="72"/>
        <v/>
      </c>
      <c r="AG218" s="96"/>
      <c r="AH218" s="29"/>
      <c r="AI218" s="38" t="str">
        <f>IF(L218="","",VLOOKUP($L218,classifications!$C:$J,8,FALSE))</f>
        <v/>
      </c>
      <c r="AJ218" s="39" t="str">
        <f t="shared" si="79"/>
        <v/>
      </c>
      <c r="AK218" s="34" t="str">
        <f>IF(AJ218="","",IF(I$8="A",(RANK(AJ218,AJ$11:AJ$368,1)+COUNTIF(AJ$11:AJ218,AJ218)-1),(RANK(AJ218,AJ$11:AJ$368)+COUNTIF(AJ$11:AJ218,AJ218)-1)))</f>
        <v/>
      </c>
      <c r="AL218" s="29" t="str">
        <f t="shared" si="87"/>
        <v/>
      </c>
      <c r="AM218" s="8" t="str">
        <f t="shared" si="80"/>
        <v/>
      </c>
      <c r="AN218" s="8" t="str">
        <f t="shared" si="88"/>
        <v/>
      </c>
      <c r="AP218" s="38" t="str">
        <f>IF(L218="","",VLOOKUP($L218,classifications!$C:$E,3,FALSE))</f>
        <v/>
      </c>
      <c r="AQ218" s="39" t="str">
        <f t="shared" si="89"/>
        <v/>
      </c>
      <c r="AR218" s="34" t="str">
        <f>IF(AQ218="","",IF(I$8="A",(RANK(AQ218,AQ$11:AQ$368,1)+COUNTIF(AQ$11:AQ218,AQ218)-1),(RANK(AQ218,AQ$11:AQ$368)+COUNTIF(AQ$11:AQ218,AQ218)-1)))</f>
        <v/>
      </c>
      <c r="AS218" s="29" t="str">
        <f t="shared" si="90"/>
        <v/>
      </c>
      <c r="AT218" s="34" t="str">
        <f t="shared" si="81"/>
        <v/>
      </c>
      <c r="AU218" s="39" t="str">
        <f t="shared" si="94"/>
        <v/>
      </c>
      <c r="AX218" s="21">
        <f>HLOOKUP($AX$9&amp;$AX$10,Data!$A$1:$ZZ$2000,(MATCH($C218,Data!$A$1:$A$2000,0)),FALSE)</f>
        <v>18.088342558486225</v>
      </c>
      <c r="AY218" s="103"/>
      <c r="AZ218" s="21"/>
    </row>
    <row r="219" spans="1:52">
      <c r="A219" s="56" t="str">
        <f>$D$1&amp;209</f>
        <v>SC209</v>
      </c>
      <c r="B219" s="57">
        <f>IF(ISERROR(VLOOKUP(A219,classifications!A:C,3,FALSE)),0,VLOOKUP(A219,classifications!A:C,3,FALSE))</f>
        <v>0</v>
      </c>
      <c r="C219" s="8" t="s">
        <v>116</v>
      </c>
      <c r="D219" s="26" t="str">
        <f>VLOOKUP($C219,classifications!$C:$J,4,FALSE)</f>
        <v>SD</v>
      </c>
      <c r="E219" s="26">
        <f>VLOOKUP(C219,classifications!C:K,9,FALSE)</f>
        <v>0</v>
      </c>
      <c r="F219" s="36">
        <f t="shared" si="73"/>
        <v>15.891447821010548</v>
      </c>
      <c r="G219" s="71"/>
      <c r="H219" s="37" t="str">
        <f t="shared" si="74"/>
        <v/>
      </c>
      <c r="I219" s="77" t="str">
        <f>IF(H219="","",IF($I$8="A",(RANK(H219,H$11:H$368,1)+COUNTIF(H$11:H219,H219)-1),(RANK(H219,H$11:H$368)+COUNTIF(H$11:H219,H219)-1)))</f>
        <v/>
      </c>
      <c r="J219" s="35"/>
      <c r="K219" s="28" t="str">
        <f t="shared" si="82"/>
        <v/>
      </c>
      <c r="L219" s="36" t="str">
        <f t="shared" si="75"/>
        <v/>
      </c>
      <c r="M219" s="102" t="str">
        <f t="shared" si="83"/>
        <v/>
      </c>
      <c r="N219" s="101" t="str">
        <f t="shared" si="84"/>
        <v/>
      </c>
      <c r="O219" s="94" t="str">
        <f t="shared" si="76"/>
        <v/>
      </c>
      <c r="P219" s="94" t="str">
        <f t="shared" si="91"/>
        <v/>
      </c>
      <c r="Q219" s="94" t="str">
        <f t="shared" si="92"/>
        <v/>
      </c>
      <c r="R219" s="90" t="str">
        <f t="shared" si="93"/>
        <v/>
      </c>
      <c r="S219" s="37" t="str">
        <f t="shared" si="85"/>
        <v/>
      </c>
      <c r="T219" s="176" t="str">
        <f>IF(L219="","",VLOOKUP(L219,classifications!C:K,9,FALSE))</f>
        <v/>
      </c>
      <c r="U219" s="183" t="str">
        <f t="shared" si="95"/>
        <v/>
      </c>
      <c r="V219" s="184" t="str">
        <f>IF(U219="","",IF($I$8="A",(RANK(U219,U$11:U$368)+COUNTIF(U$11:U219,U219)-1),(RANK(U219,U$11:U$368,1)+COUNTIF(U$11:U219,U219)-1)))</f>
        <v/>
      </c>
      <c r="W219" s="185"/>
      <c r="X219" s="38" t="str">
        <f>IF(L219="","",VLOOKUP($L219,classifications!$C:$J,6,FALSE))</f>
        <v/>
      </c>
      <c r="Y219" s="26" t="b">
        <f t="shared" si="78"/>
        <v>0</v>
      </c>
      <c r="Z219" s="34" t="e">
        <f>IF(Y219="","",IF(I$8="A",(RANK(Y219,Y$11:Y$368,1)+COUNTIF(Y$11:Y219,Y219)-1),(RANK(Y219,Y$11:Y$368)+COUNTIF(Y$11:Y219,Y219)-1)))</f>
        <v>#N/A</v>
      </c>
      <c r="AA219" s="188" t="str">
        <f>IF(L219="","",VLOOKUP($L219,classifications!C:I,7,FALSE))</f>
        <v/>
      </c>
      <c r="AB219" s="184" t="str">
        <f t="shared" si="86"/>
        <v/>
      </c>
      <c r="AC219" s="184" t="str">
        <f>IF(AB219="","",IF($I$8="A",(RANK(AB219,AB$11:AB$368)+COUNTIF(AB$11:AB219,AB219)-1),(RANK(AB219,AB$11:AB$368,1)+COUNTIF(AB$11:AB219,AB219)-1)))</f>
        <v/>
      </c>
      <c r="AD219" s="184"/>
      <c r="AE219" s="28" t="str">
        <f t="shared" si="72"/>
        <v/>
      </c>
      <c r="AG219" s="96"/>
      <c r="AH219" s="29"/>
      <c r="AI219" s="38" t="str">
        <f>IF(L219="","",VLOOKUP($L219,classifications!$C:$J,8,FALSE))</f>
        <v/>
      </c>
      <c r="AJ219" s="39" t="str">
        <f t="shared" si="79"/>
        <v/>
      </c>
      <c r="AK219" s="34" t="str">
        <f>IF(AJ219="","",IF(I$8="A",(RANK(AJ219,AJ$11:AJ$368,1)+COUNTIF(AJ$11:AJ219,AJ219)-1),(RANK(AJ219,AJ$11:AJ$368)+COUNTIF(AJ$11:AJ219,AJ219)-1)))</f>
        <v/>
      </c>
      <c r="AL219" s="29" t="str">
        <f t="shared" si="87"/>
        <v/>
      </c>
      <c r="AM219" s="8" t="str">
        <f t="shared" si="80"/>
        <v/>
      </c>
      <c r="AN219" s="8" t="str">
        <f t="shared" si="88"/>
        <v/>
      </c>
      <c r="AP219" s="38" t="str">
        <f>IF(L219="","",VLOOKUP($L219,classifications!$C:$E,3,FALSE))</f>
        <v/>
      </c>
      <c r="AQ219" s="39" t="str">
        <f t="shared" si="89"/>
        <v/>
      </c>
      <c r="AR219" s="34" t="str">
        <f>IF(AQ219="","",IF(I$8="A",(RANK(AQ219,AQ$11:AQ$368,1)+COUNTIF(AQ$11:AQ219,AQ219)-1),(RANK(AQ219,AQ$11:AQ$368)+COUNTIF(AQ$11:AQ219,AQ219)-1)))</f>
        <v/>
      </c>
      <c r="AS219" s="29" t="str">
        <f t="shared" si="90"/>
        <v/>
      </c>
      <c r="AT219" s="34" t="str">
        <f t="shared" si="81"/>
        <v/>
      </c>
      <c r="AU219" s="39" t="str">
        <f t="shared" si="94"/>
        <v/>
      </c>
      <c r="AX219" s="21">
        <f>HLOOKUP($AX$9&amp;$AX$10,Data!$A$1:$ZZ$2000,(MATCH($C219,Data!$A$1:$A$2000,0)),FALSE)</f>
        <v>15.891447821010548</v>
      </c>
      <c r="AY219" s="103"/>
      <c r="AZ219" s="21"/>
    </row>
    <row r="220" spans="1:52">
      <c r="A220" s="56" t="str">
        <f>$D$1&amp;210</f>
        <v>SC210</v>
      </c>
      <c r="B220" s="57">
        <f>IF(ISERROR(VLOOKUP(A220,classifications!A:C,3,FALSE)),0,VLOOKUP(A220,classifications!A:C,3,FALSE))</f>
        <v>0</v>
      </c>
      <c r="C220" s="8" t="s">
        <v>321</v>
      </c>
      <c r="D220" s="26" t="str">
        <f>VLOOKUP($C220,classifications!$C:$J,4,FALSE)</f>
        <v>SC</v>
      </c>
      <c r="E220" s="26">
        <f>VLOOKUP(C220,classifications!C:K,9,FALSE)</f>
        <v>0</v>
      </c>
      <c r="F220" s="36">
        <f t="shared" si="73"/>
        <v>13.772899630201854</v>
      </c>
      <c r="G220" s="71"/>
      <c r="H220" s="37">
        <f t="shared" si="74"/>
        <v>13.772899630201854</v>
      </c>
      <c r="I220" s="77">
        <f>IF(H220="","",IF($I$8="A",(RANK(H220,H$11:H$368,1)+COUNTIF(H$11:H220,H220)-1),(RANK(H220,H$11:H$368)+COUNTIF(H$11:H220,H220)-1)))</f>
        <v>24</v>
      </c>
      <c r="J220" s="35"/>
      <c r="K220" s="28" t="str">
        <f t="shared" si="82"/>
        <v/>
      </c>
      <c r="L220" s="36" t="str">
        <f t="shared" si="75"/>
        <v/>
      </c>
      <c r="M220" s="102" t="str">
        <f t="shared" si="83"/>
        <v/>
      </c>
      <c r="N220" s="101" t="str">
        <f t="shared" si="84"/>
        <v/>
      </c>
      <c r="O220" s="94" t="str">
        <f t="shared" si="76"/>
        <v/>
      </c>
      <c r="P220" s="94" t="str">
        <f t="shared" si="91"/>
        <v/>
      </c>
      <c r="Q220" s="94" t="str">
        <f t="shared" si="92"/>
        <v/>
      </c>
      <c r="R220" s="90" t="str">
        <f t="shared" si="93"/>
        <v/>
      </c>
      <c r="S220" s="37" t="str">
        <f t="shared" si="85"/>
        <v/>
      </c>
      <c r="T220" s="176" t="str">
        <f>IF(L220="","",VLOOKUP(L220,classifications!C:K,9,FALSE))</f>
        <v/>
      </c>
      <c r="U220" s="183" t="str">
        <f t="shared" si="95"/>
        <v/>
      </c>
      <c r="V220" s="184" t="str">
        <f>IF(U220="","",IF($I$8="A",(RANK(U220,U$11:U$368)+COUNTIF(U$11:U220,U220)-1),(RANK(U220,U$11:U$368,1)+COUNTIF(U$11:U220,U220)-1)))</f>
        <v/>
      </c>
      <c r="W220" s="185"/>
      <c r="X220" s="38" t="str">
        <f>IF(L220="","",VLOOKUP($L220,classifications!$C:$J,6,FALSE))</f>
        <v/>
      </c>
      <c r="Y220" s="26" t="b">
        <f t="shared" si="78"/>
        <v>0</v>
      </c>
      <c r="Z220" s="34" t="e">
        <f>IF(Y220="","",IF(I$8="A",(RANK(Y220,Y$11:Y$368,1)+COUNTIF(Y$11:Y220,Y220)-1),(RANK(Y220,Y$11:Y$368)+COUNTIF(Y$11:Y220,Y220)-1)))</f>
        <v>#N/A</v>
      </c>
      <c r="AA220" s="188" t="str">
        <f>IF(L220="","",VLOOKUP($L220,classifications!C:I,7,FALSE))</f>
        <v/>
      </c>
      <c r="AB220" s="184" t="str">
        <f t="shared" si="86"/>
        <v/>
      </c>
      <c r="AC220" s="184" t="str">
        <f>IF(AB220="","",IF($I$8="A",(RANK(AB220,AB$11:AB$368)+COUNTIF(AB$11:AB220,AB220)-1),(RANK(AB220,AB$11:AB$368,1)+COUNTIF(AB$11:AB220,AB220)-1)))</f>
        <v/>
      </c>
      <c r="AD220" s="184"/>
      <c r="AE220" s="28" t="str">
        <f t="shared" si="72"/>
        <v/>
      </c>
      <c r="AG220" s="96"/>
      <c r="AH220" s="29"/>
      <c r="AI220" s="38" t="str">
        <f>IF(L220="","",VLOOKUP($L220,classifications!$C:$J,8,FALSE))</f>
        <v/>
      </c>
      <c r="AJ220" s="39" t="str">
        <f t="shared" si="79"/>
        <v/>
      </c>
      <c r="AK220" s="34" t="str">
        <f>IF(AJ220="","",IF(I$8="A",(RANK(AJ220,AJ$11:AJ$368,1)+COUNTIF(AJ$11:AJ220,AJ220)-1),(RANK(AJ220,AJ$11:AJ$368)+COUNTIF(AJ$11:AJ220,AJ220)-1)))</f>
        <v/>
      </c>
      <c r="AL220" s="29" t="str">
        <f t="shared" si="87"/>
        <v/>
      </c>
      <c r="AM220" s="8" t="str">
        <f t="shared" si="80"/>
        <v/>
      </c>
      <c r="AN220" s="8" t="str">
        <f t="shared" si="88"/>
        <v/>
      </c>
      <c r="AP220" s="38" t="str">
        <f>IF(L220="","",VLOOKUP($L220,classifications!$C:$E,3,FALSE))</f>
        <v/>
      </c>
      <c r="AQ220" s="39" t="str">
        <f t="shared" si="89"/>
        <v/>
      </c>
      <c r="AR220" s="34" t="str">
        <f>IF(AQ220="","",IF(I$8="A",(RANK(AQ220,AQ$11:AQ$368,1)+COUNTIF(AQ$11:AQ220,AQ220)-1),(RANK(AQ220,AQ$11:AQ$368)+COUNTIF(AQ$11:AQ220,AQ220)-1)))</f>
        <v/>
      </c>
      <c r="AS220" s="29" t="str">
        <f t="shared" si="90"/>
        <v/>
      </c>
      <c r="AT220" s="34" t="str">
        <f t="shared" si="81"/>
        <v/>
      </c>
      <c r="AU220" s="39" t="str">
        <f t="shared" si="94"/>
        <v/>
      </c>
      <c r="AX220" s="21">
        <f>HLOOKUP($AX$9&amp;$AX$10,Data!$A$1:$ZZ$2000,(MATCH($C220,Data!$A$1:$A$2000,0)),FALSE)</f>
        <v>13.772899630201854</v>
      </c>
      <c r="AY220" s="103"/>
      <c r="AZ220" s="21"/>
    </row>
    <row r="221" spans="1:52">
      <c r="A221" s="56" t="str">
        <f>$D$1&amp;211</f>
        <v>SC211</v>
      </c>
      <c r="B221" s="57">
        <f>IF(ISERROR(VLOOKUP(A221,classifications!A:C,3,FALSE)),0,VLOOKUP(A221,classifications!A:C,3,FALSE))</f>
        <v>0</v>
      </c>
      <c r="C221" s="8" t="s">
        <v>322</v>
      </c>
      <c r="D221" s="26" t="str">
        <f>VLOOKUP($C221,classifications!$C:$J,4,FALSE)</f>
        <v>UA</v>
      </c>
      <c r="E221" s="26" t="str">
        <f>VLOOKUP(C221,classifications!C:K,9,FALSE)</f>
        <v>Sparse</v>
      </c>
      <c r="F221" s="36">
        <f t="shared" si="73"/>
        <v>13.602503562248479</v>
      </c>
      <c r="G221" s="71"/>
      <c r="H221" s="37" t="str">
        <f t="shared" si="74"/>
        <v/>
      </c>
      <c r="I221" s="77" t="str">
        <f>IF(H221="","",IF($I$8="A",(RANK(H221,H$11:H$368,1)+COUNTIF(H$11:H221,H221)-1),(RANK(H221,H$11:H$368)+COUNTIF(H$11:H221,H221)-1)))</f>
        <v/>
      </c>
      <c r="J221" s="35"/>
      <c r="K221" s="28" t="str">
        <f t="shared" si="82"/>
        <v/>
      </c>
      <c r="L221" s="36" t="str">
        <f t="shared" si="75"/>
        <v/>
      </c>
      <c r="M221" s="102" t="str">
        <f t="shared" si="83"/>
        <v/>
      </c>
      <c r="N221" s="101" t="str">
        <f t="shared" si="84"/>
        <v/>
      </c>
      <c r="O221" s="94" t="str">
        <f t="shared" si="76"/>
        <v/>
      </c>
      <c r="P221" s="94" t="str">
        <f t="shared" si="91"/>
        <v/>
      </c>
      <c r="Q221" s="94" t="str">
        <f t="shared" si="92"/>
        <v/>
      </c>
      <c r="R221" s="90" t="str">
        <f t="shared" si="93"/>
        <v/>
      </c>
      <c r="S221" s="37" t="str">
        <f t="shared" si="85"/>
        <v/>
      </c>
      <c r="T221" s="176" t="str">
        <f>IF(L221="","",VLOOKUP(L221,classifications!C:K,9,FALSE))</f>
        <v/>
      </c>
      <c r="U221" s="183" t="str">
        <f t="shared" si="95"/>
        <v/>
      </c>
      <c r="V221" s="184" t="str">
        <f>IF(U221="","",IF($I$8="A",(RANK(U221,U$11:U$368)+COUNTIF(U$11:U221,U221)-1),(RANK(U221,U$11:U$368,1)+COUNTIF(U$11:U221,U221)-1)))</f>
        <v/>
      </c>
      <c r="W221" s="185"/>
      <c r="X221" s="38" t="str">
        <f>IF(L221="","",VLOOKUP($L221,classifications!$C:$J,6,FALSE))</f>
        <v/>
      </c>
      <c r="Y221" s="26" t="b">
        <f t="shared" si="78"/>
        <v>0</v>
      </c>
      <c r="Z221" s="34" t="e">
        <f>IF(Y221="","",IF(I$8="A",(RANK(Y221,Y$11:Y$368,1)+COUNTIF(Y$11:Y221,Y221)-1),(RANK(Y221,Y$11:Y$368)+COUNTIF(Y$11:Y221,Y221)-1)))</f>
        <v>#N/A</v>
      </c>
      <c r="AA221" s="188" t="str">
        <f>IF(L221="","",VLOOKUP($L221,classifications!C:I,7,FALSE))</f>
        <v/>
      </c>
      <c r="AB221" s="184" t="str">
        <f t="shared" si="86"/>
        <v/>
      </c>
      <c r="AC221" s="184" t="str">
        <f>IF(AB221="","",IF($I$8="A",(RANK(AB221,AB$11:AB$368)+COUNTIF(AB$11:AB221,AB221)-1),(RANK(AB221,AB$11:AB$368,1)+COUNTIF(AB$11:AB221,AB221)-1)))</f>
        <v/>
      </c>
      <c r="AD221" s="184"/>
      <c r="AE221" s="28" t="str">
        <f t="shared" si="72"/>
        <v/>
      </c>
      <c r="AG221" s="96"/>
      <c r="AH221" s="29"/>
      <c r="AI221" s="38" t="str">
        <f>IF(L221="","",VLOOKUP($L221,classifications!$C:$J,8,FALSE))</f>
        <v/>
      </c>
      <c r="AJ221" s="39" t="str">
        <f t="shared" si="79"/>
        <v/>
      </c>
      <c r="AK221" s="34" t="str">
        <f>IF(AJ221="","",IF(I$8="A",(RANK(AJ221,AJ$11:AJ$368,1)+COUNTIF(AJ$11:AJ221,AJ221)-1),(RANK(AJ221,AJ$11:AJ$368)+COUNTIF(AJ$11:AJ221,AJ221)-1)))</f>
        <v/>
      </c>
      <c r="AL221" s="29" t="str">
        <f t="shared" si="87"/>
        <v/>
      </c>
      <c r="AM221" s="8" t="str">
        <f t="shared" si="80"/>
        <v/>
      </c>
      <c r="AN221" s="8" t="str">
        <f t="shared" si="88"/>
        <v/>
      </c>
      <c r="AP221" s="38" t="str">
        <f>IF(L221="","",VLOOKUP($L221,classifications!$C:$E,3,FALSE))</f>
        <v/>
      </c>
      <c r="AQ221" s="39" t="str">
        <f t="shared" si="89"/>
        <v/>
      </c>
      <c r="AR221" s="34" t="str">
        <f>IF(AQ221="","",IF(I$8="A",(RANK(AQ221,AQ$11:AQ$368,1)+COUNTIF(AQ$11:AQ221,AQ221)-1),(RANK(AQ221,AQ$11:AQ$368)+COUNTIF(AQ$11:AQ221,AQ221)-1)))</f>
        <v/>
      </c>
      <c r="AS221" s="29" t="str">
        <f t="shared" si="90"/>
        <v/>
      </c>
      <c r="AT221" s="34" t="str">
        <f t="shared" si="81"/>
        <v/>
      </c>
      <c r="AU221" s="39" t="str">
        <f t="shared" si="94"/>
        <v/>
      </c>
      <c r="AX221" s="21">
        <f>HLOOKUP($AX$9&amp;$AX$10,Data!$A$1:$ZZ$2000,(MATCH($C221,Data!$A$1:$A$2000,0)),FALSE)</f>
        <v>13.602503562248479</v>
      </c>
      <c r="AY221" s="103"/>
      <c r="AZ221" s="21"/>
    </row>
    <row r="222" spans="1:52">
      <c r="A222" s="56" t="str">
        <f>$D$1&amp;212</f>
        <v>SC212</v>
      </c>
      <c r="B222" s="57">
        <f>IF(ISERROR(VLOOKUP(A222,classifications!A:C,3,FALSE)),0,VLOOKUP(A222,classifications!A:C,3,FALSE))</f>
        <v>0</v>
      </c>
      <c r="C222" s="8" t="s">
        <v>117</v>
      </c>
      <c r="D222" s="26" t="str">
        <f>VLOOKUP($C222,classifications!$C:$J,4,FALSE)</f>
        <v>SD</v>
      </c>
      <c r="E222" s="26">
        <f>VLOOKUP(C222,classifications!C:K,9,FALSE)</f>
        <v>0</v>
      </c>
      <c r="F222" s="36">
        <f t="shared" si="73"/>
        <v>22.438094249543692</v>
      </c>
      <c r="G222" s="71"/>
      <c r="H222" s="37" t="str">
        <f t="shared" si="74"/>
        <v/>
      </c>
      <c r="I222" s="77" t="str">
        <f>IF(H222="","",IF($I$8="A",(RANK(H222,H$11:H$368,1)+COUNTIF(H$11:H222,H222)-1),(RANK(H222,H$11:H$368)+COUNTIF(H$11:H222,H222)-1)))</f>
        <v/>
      </c>
      <c r="J222" s="35"/>
      <c r="K222" s="28" t="str">
        <f t="shared" si="82"/>
        <v/>
      </c>
      <c r="L222" s="36" t="str">
        <f t="shared" si="75"/>
        <v/>
      </c>
      <c r="M222" s="102" t="str">
        <f t="shared" si="83"/>
        <v/>
      </c>
      <c r="N222" s="101" t="str">
        <f t="shared" si="84"/>
        <v/>
      </c>
      <c r="O222" s="94" t="str">
        <f t="shared" si="76"/>
        <v/>
      </c>
      <c r="P222" s="94" t="str">
        <f t="shared" si="91"/>
        <v/>
      </c>
      <c r="Q222" s="94" t="str">
        <f t="shared" si="92"/>
        <v/>
      </c>
      <c r="R222" s="90" t="str">
        <f t="shared" si="93"/>
        <v/>
      </c>
      <c r="S222" s="37" t="str">
        <f t="shared" si="85"/>
        <v/>
      </c>
      <c r="T222" s="176" t="str">
        <f>IF(L222="","",VLOOKUP(L222,classifications!C:K,9,FALSE))</f>
        <v/>
      </c>
      <c r="U222" s="183" t="str">
        <f t="shared" si="95"/>
        <v/>
      </c>
      <c r="V222" s="184" t="str">
        <f>IF(U222="","",IF($I$8="A",(RANK(U222,U$11:U$368)+COUNTIF(U$11:U222,U222)-1),(RANK(U222,U$11:U$368,1)+COUNTIF(U$11:U222,U222)-1)))</f>
        <v/>
      </c>
      <c r="W222" s="185"/>
      <c r="X222" s="38" t="str">
        <f>IF(L222="","",VLOOKUP($L222,classifications!$C:$J,6,FALSE))</f>
        <v/>
      </c>
      <c r="Y222" s="26" t="b">
        <f t="shared" si="78"/>
        <v>0</v>
      </c>
      <c r="Z222" s="34" t="e">
        <f>IF(Y222="","",IF(I$8="A",(RANK(Y222,Y$11:Y$368,1)+COUNTIF(Y$11:Y222,Y222)-1),(RANK(Y222,Y$11:Y$368)+COUNTIF(Y$11:Y222,Y222)-1)))</f>
        <v>#N/A</v>
      </c>
      <c r="AA222" s="188" t="str">
        <f>IF(L222="","",VLOOKUP($L222,classifications!C:I,7,FALSE))</f>
        <v/>
      </c>
      <c r="AB222" s="184" t="str">
        <f t="shared" si="86"/>
        <v/>
      </c>
      <c r="AC222" s="184" t="str">
        <f>IF(AB222="","",IF($I$8="A",(RANK(AB222,AB$11:AB$368)+COUNTIF(AB$11:AB222,AB222)-1),(RANK(AB222,AB$11:AB$368,1)+COUNTIF(AB$11:AB222,AB222)-1)))</f>
        <v/>
      </c>
      <c r="AD222" s="184"/>
      <c r="AE222" s="28" t="str">
        <f t="shared" si="72"/>
        <v/>
      </c>
      <c r="AG222" s="96"/>
      <c r="AH222" s="29"/>
      <c r="AI222" s="38" t="str">
        <f>IF(L222="","",VLOOKUP($L222,classifications!$C:$J,8,FALSE))</f>
        <v/>
      </c>
      <c r="AJ222" s="39" t="str">
        <f t="shared" si="79"/>
        <v/>
      </c>
      <c r="AK222" s="34" t="str">
        <f>IF(AJ222="","",IF(I$8="A",(RANK(AJ222,AJ$11:AJ$368,1)+COUNTIF(AJ$11:AJ222,AJ222)-1),(RANK(AJ222,AJ$11:AJ$368)+COUNTIF(AJ$11:AJ222,AJ222)-1)))</f>
        <v/>
      </c>
      <c r="AL222" s="29" t="str">
        <f t="shared" si="87"/>
        <v/>
      </c>
      <c r="AM222" s="8" t="str">
        <f t="shared" si="80"/>
        <v/>
      </c>
      <c r="AN222" s="8" t="str">
        <f t="shared" si="88"/>
        <v/>
      </c>
      <c r="AP222" s="38" t="str">
        <f>IF(L222="","",VLOOKUP($L222,classifications!$C:$E,3,FALSE))</f>
        <v/>
      </c>
      <c r="AQ222" s="39" t="str">
        <f t="shared" si="89"/>
        <v/>
      </c>
      <c r="AR222" s="34" t="str">
        <f>IF(AQ222="","",IF(I$8="A",(RANK(AQ222,AQ$11:AQ$368,1)+COUNTIF(AQ$11:AQ222,AQ222)-1),(RANK(AQ222,AQ$11:AQ$368)+COUNTIF(AQ$11:AQ222,AQ222)-1)))</f>
        <v/>
      </c>
      <c r="AS222" s="29" t="str">
        <f t="shared" si="90"/>
        <v/>
      </c>
      <c r="AT222" s="34" t="str">
        <f t="shared" si="81"/>
        <v/>
      </c>
      <c r="AU222" s="39" t="str">
        <f t="shared" si="94"/>
        <v/>
      </c>
      <c r="AX222" s="21">
        <f>HLOOKUP($AX$9&amp;$AX$10,Data!$A$1:$ZZ$2000,(MATCH($C222,Data!$A$1:$A$2000,0)),FALSE)</f>
        <v>22.438094249543692</v>
      </c>
      <c r="AY222" s="103"/>
      <c r="AZ222" s="21"/>
    </row>
    <row r="223" spans="1:52">
      <c r="A223" s="56" t="str">
        <f>$D$1&amp;213</f>
        <v>SC213</v>
      </c>
      <c r="B223" s="57">
        <f>IF(ISERROR(VLOOKUP(A223,classifications!A:C,3,FALSE)),0,VLOOKUP(A223,classifications!A:C,3,FALSE))</f>
        <v>0</v>
      </c>
      <c r="C223" s="8" t="s">
        <v>279</v>
      </c>
      <c r="D223" s="26" t="str">
        <f>VLOOKUP($C223,classifications!$C:$J,4,FALSE)</f>
        <v>UA</v>
      </c>
      <c r="E223" s="26">
        <f>VLOOKUP(C223,classifications!C:K,9,FALSE)</f>
        <v>0</v>
      </c>
      <c r="F223" s="36">
        <f t="shared" si="73"/>
        <v>15.92622509410443</v>
      </c>
      <c r="G223" s="71"/>
      <c r="H223" s="37" t="str">
        <f t="shared" si="74"/>
        <v/>
      </c>
      <c r="I223" s="77" t="str">
        <f>IF(H223="","",IF($I$8="A",(RANK(H223,H$11:H$368,1)+COUNTIF(H$11:H223,H223)-1),(RANK(H223,H$11:H$368)+COUNTIF(H$11:H223,H223)-1)))</f>
        <v/>
      </c>
      <c r="J223" s="35"/>
      <c r="K223" s="28" t="str">
        <f t="shared" si="82"/>
        <v/>
      </c>
      <c r="L223" s="36" t="str">
        <f t="shared" si="75"/>
        <v/>
      </c>
      <c r="M223" s="102" t="str">
        <f t="shared" si="83"/>
        <v/>
      </c>
      <c r="N223" s="101" t="str">
        <f t="shared" si="84"/>
        <v/>
      </c>
      <c r="O223" s="94" t="str">
        <f t="shared" si="76"/>
        <v/>
      </c>
      <c r="P223" s="94" t="str">
        <f t="shared" si="91"/>
        <v/>
      </c>
      <c r="Q223" s="94" t="str">
        <f t="shared" si="92"/>
        <v/>
      </c>
      <c r="R223" s="90" t="str">
        <f t="shared" si="93"/>
        <v/>
      </c>
      <c r="S223" s="37" t="str">
        <f t="shared" si="85"/>
        <v/>
      </c>
      <c r="T223" s="176" t="str">
        <f>IF(L223="","",VLOOKUP(L223,classifications!C:K,9,FALSE))</f>
        <v/>
      </c>
      <c r="U223" s="183" t="str">
        <f t="shared" si="95"/>
        <v/>
      </c>
      <c r="V223" s="184" t="str">
        <f>IF(U223="","",IF($I$8="A",(RANK(U223,U$11:U$368)+COUNTIF(U$11:U223,U223)-1),(RANK(U223,U$11:U$368,1)+COUNTIF(U$11:U223,U223)-1)))</f>
        <v/>
      </c>
      <c r="W223" s="185"/>
      <c r="X223" s="38" t="str">
        <f>IF(L223="","",VLOOKUP($L223,classifications!$C:$J,6,FALSE))</f>
        <v/>
      </c>
      <c r="Y223" s="26" t="b">
        <f t="shared" si="78"/>
        <v>0</v>
      </c>
      <c r="Z223" s="34" t="e">
        <f>IF(Y223="","",IF(I$8="A",(RANK(Y223,Y$11:Y$368,1)+COUNTIF(Y$11:Y223,Y223)-1),(RANK(Y223,Y$11:Y$368)+COUNTIF(Y$11:Y223,Y223)-1)))</f>
        <v>#N/A</v>
      </c>
      <c r="AA223" s="188" t="str">
        <f>IF(L223="","",VLOOKUP($L223,classifications!C:I,7,FALSE))</f>
        <v/>
      </c>
      <c r="AB223" s="184" t="str">
        <f t="shared" si="86"/>
        <v/>
      </c>
      <c r="AC223" s="184" t="str">
        <f>IF(AB223="","",IF($I$8="A",(RANK(AB223,AB$11:AB$368)+COUNTIF(AB$11:AB223,AB223)-1),(RANK(AB223,AB$11:AB$368,1)+COUNTIF(AB$11:AB223,AB223)-1)))</f>
        <v/>
      </c>
      <c r="AD223" s="184"/>
      <c r="AE223" s="28" t="str">
        <f t="shared" si="72"/>
        <v/>
      </c>
      <c r="AG223" s="96"/>
      <c r="AH223" s="29"/>
      <c r="AI223" s="38" t="str">
        <f>IF(L223="","",VLOOKUP($L223,classifications!$C:$J,8,FALSE))</f>
        <v/>
      </c>
      <c r="AJ223" s="39" t="str">
        <f t="shared" si="79"/>
        <v/>
      </c>
      <c r="AK223" s="34" t="str">
        <f>IF(AJ223="","",IF(I$8="A",(RANK(AJ223,AJ$11:AJ$368,1)+COUNTIF(AJ$11:AJ223,AJ223)-1),(RANK(AJ223,AJ$11:AJ$368)+COUNTIF(AJ$11:AJ223,AJ223)-1)))</f>
        <v/>
      </c>
      <c r="AL223" s="29" t="str">
        <f t="shared" si="87"/>
        <v/>
      </c>
      <c r="AM223" s="8" t="str">
        <f t="shared" si="80"/>
        <v/>
      </c>
      <c r="AN223" s="8" t="str">
        <f t="shared" si="88"/>
        <v/>
      </c>
      <c r="AP223" s="38" t="str">
        <f>IF(L223="","",VLOOKUP($L223,classifications!$C:$E,3,FALSE))</f>
        <v/>
      </c>
      <c r="AQ223" s="39" t="str">
        <f t="shared" si="89"/>
        <v/>
      </c>
      <c r="AR223" s="34" t="str">
        <f>IF(AQ223="","",IF(I$8="A",(RANK(AQ223,AQ$11:AQ$368,1)+COUNTIF(AQ$11:AQ223,AQ223)-1),(RANK(AQ223,AQ$11:AQ$368)+COUNTIF(AQ$11:AQ223,AQ223)-1)))</f>
        <v/>
      </c>
      <c r="AS223" s="29" t="str">
        <f t="shared" si="90"/>
        <v/>
      </c>
      <c r="AT223" s="34" t="str">
        <f t="shared" si="81"/>
        <v/>
      </c>
      <c r="AU223" s="39" t="str">
        <f t="shared" si="94"/>
        <v/>
      </c>
      <c r="AX223" s="21">
        <f>HLOOKUP($AX$9&amp;$AX$10,Data!$A$1:$ZZ$2000,(MATCH($C223,Data!$A$1:$A$2000,0)),FALSE)</f>
        <v>15.92622509410443</v>
      </c>
      <c r="AY223" s="103"/>
      <c r="AZ223" s="21"/>
    </row>
    <row r="224" spans="1:52">
      <c r="A224" s="56" t="str">
        <f>$D$1&amp;214</f>
        <v>SC214</v>
      </c>
      <c r="B224" s="57">
        <f>IF(ISERROR(VLOOKUP(A224,classifications!A:C,3,FALSE)),0,VLOOKUP(A224,classifications!A:C,3,FALSE))</f>
        <v>0</v>
      </c>
      <c r="C224" s="8" t="s">
        <v>323</v>
      </c>
      <c r="D224" s="26" t="str">
        <f>VLOOKUP($C224,classifications!$C:$J,4,FALSE)</f>
        <v>SC</v>
      </c>
      <c r="E224" s="26" t="str">
        <f>VLOOKUP(C224,classifications!C:K,9,FALSE)</f>
        <v>Sparse</v>
      </c>
      <c r="F224" s="36">
        <f t="shared" si="73"/>
        <v>16.292922014594303</v>
      </c>
      <c r="G224" s="71"/>
      <c r="H224" s="37">
        <f t="shared" si="74"/>
        <v>16.292922014594303</v>
      </c>
      <c r="I224" s="77">
        <f>IF(H224="","",IF($I$8="A",(RANK(H224,H$11:H$368,1)+COUNTIF(H$11:H224,H224)-1),(RANK(H224,H$11:H$368)+COUNTIF(H$11:H224,H224)-1)))</f>
        <v>13</v>
      </c>
      <c r="J224" s="35"/>
      <c r="K224" s="28" t="str">
        <f t="shared" si="82"/>
        <v/>
      </c>
      <c r="L224" s="36" t="str">
        <f t="shared" si="75"/>
        <v/>
      </c>
      <c r="M224" s="102" t="str">
        <f t="shared" si="83"/>
        <v/>
      </c>
      <c r="N224" s="101" t="str">
        <f t="shared" si="84"/>
        <v/>
      </c>
      <c r="O224" s="94" t="str">
        <f t="shared" si="76"/>
        <v/>
      </c>
      <c r="P224" s="94" t="str">
        <f t="shared" si="91"/>
        <v/>
      </c>
      <c r="Q224" s="94" t="str">
        <f t="shared" si="92"/>
        <v/>
      </c>
      <c r="R224" s="90" t="str">
        <f t="shared" si="93"/>
        <v/>
      </c>
      <c r="S224" s="37" t="str">
        <f t="shared" si="85"/>
        <v/>
      </c>
      <c r="T224" s="176" t="str">
        <f>IF(L224="","",VLOOKUP(L224,classifications!C:K,9,FALSE))</f>
        <v/>
      </c>
      <c r="U224" s="183" t="str">
        <f t="shared" si="95"/>
        <v/>
      </c>
      <c r="V224" s="184" t="str">
        <f>IF(U224="","",IF($I$8="A",(RANK(U224,U$11:U$368)+COUNTIF(U$11:U224,U224)-1),(RANK(U224,U$11:U$368,1)+COUNTIF(U$11:U224,U224)-1)))</f>
        <v/>
      </c>
      <c r="W224" s="185"/>
      <c r="X224" s="38" t="str">
        <f>IF(L224="","",VLOOKUP($L224,classifications!$C:$J,6,FALSE))</f>
        <v/>
      </c>
      <c r="Y224" s="26" t="b">
        <f t="shared" si="78"/>
        <v>0</v>
      </c>
      <c r="Z224" s="34" t="e">
        <f>IF(Y224="","",IF(I$8="A",(RANK(Y224,Y$11:Y$368,1)+COUNTIF(Y$11:Y224,Y224)-1),(RANK(Y224,Y$11:Y$368)+COUNTIF(Y$11:Y224,Y224)-1)))</f>
        <v>#N/A</v>
      </c>
      <c r="AA224" s="188" t="str">
        <f>IF(L224="","",VLOOKUP($L224,classifications!C:I,7,FALSE))</f>
        <v/>
      </c>
      <c r="AB224" s="184" t="str">
        <f t="shared" si="86"/>
        <v/>
      </c>
      <c r="AC224" s="184" t="str">
        <f>IF(AB224="","",IF($I$8="A",(RANK(AB224,AB$11:AB$368)+COUNTIF(AB$11:AB224,AB224)-1),(RANK(AB224,AB$11:AB$368,1)+COUNTIF(AB$11:AB224,AB224)-1)))</f>
        <v/>
      </c>
      <c r="AD224" s="184"/>
      <c r="AE224" s="28" t="str">
        <f t="shared" si="72"/>
        <v/>
      </c>
      <c r="AG224" s="96"/>
      <c r="AH224" s="29"/>
      <c r="AI224" s="38" t="str">
        <f>IF(L224="","",VLOOKUP($L224,classifications!$C:$J,8,FALSE))</f>
        <v/>
      </c>
      <c r="AJ224" s="39" t="str">
        <f t="shared" si="79"/>
        <v/>
      </c>
      <c r="AK224" s="34" t="str">
        <f>IF(AJ224="","",IF(I$8="A",(RANK(AJ224,AJ$11:AJ$368,1)+COUNTIF(AJ$11:AJ224,AJ224)-1),(RANK(AJ224,AJ$11:AJ$368)+COUNTIF(AJ$11:AJ224,AJ224)-1)))</f>
        <v/>
      </c>
      <c r="AL224" s="29" t="str">
        <f t="shared" si="87"/>
        <v/>
      </c>
      <c r="AM224" s="8" t="str">
        <f t="shared" si="80"/>
        <v/>
      </c>
      <c r="AN224" s="8" t="str">
        <f t="shared" si="88"/>
        <v/>
      </c>
      <c r="AP224" s="38" t="str">
        <f>IF(L224="","",VLOOKUP($L224,classifications!$C:$E,3,FALSE))</f>
        <v/>
      </c>
      <c r="AQ224" s="39" t="str">
        <f t="shared" si="89"/>
        <v/>
      </c>
      <c r="AR224" s="34" t="str">
        <f>IF(AQ224="","",IF(I$8="A",(RANK(AQ224,AQ$11:AQ$368,1)+COUNTIF(AQ$11:AQ224,AQ224)-1),(RANK(AQ224,AQ$11:AQ$368)+COUNTIF(AQ$11:AQ224,AQ224)-1)))</f>
        <v/>
      </c>
      <c r="AS224" s="29" t="str">
        <f t="shared" si="90"/>
        <v/>
      </c>
      <c r="AT224" s="34" t="str">
        <f t="shared" si="81"/>
        <v/>
      </c>
      <c r="AU224" s="39" t="str">
        <f t="shared" si="94"/>
        <v/>
      </c>
      <c r="AX224" s="21">
        <f>HLOOKUP($AX$9&amp;$AX$10,Data!$A$1:$ZZ$2000,(MATCH($C224,Data!$A$1:$A$2000,0)),FALSE)</f>
        <v>16.292922014594303</v>
      </c>
      <c r="AY224" s="103"/>
      <c r="AZ224" s="21"/>
    </row>
    <row r="225" spans="1:52">
      <c r="A225" s="56" t="str">
        <f>$D$1&amp;215</f>
        <v>SC215</v>
      </c>
      <c r="B225" s="57">
        <f>IF(ISERROR(VLOOKUP(A225,classifications!A:C,3,FALSE)),0,VLOOKUP(A225,classifications!A:C,3,FALSE))</f>
        <v>0</v>
      </c>
      <c r="C225" s="8" t="s">
        <v>347</v>
      </c>
      <c r="D225" s="26" t="str">
        <f>VLOOKUP($C225,classifications!$C:$J,4,FALSE)</f>
        <v>SD</v>
      </c>
      <c r="E225" s="26">
        <f>VLOOKUP(C225,classifications!C:K,9,FALSE)</f>
        <v>0</v>
      </c>
      <c r="F225" s="36">
        <f t="shared" si="73"/>
        <v>10.695537407557797</v>
      </c>
      <c r="G225" s="71"/>
      <c r="H225" s="37" t="str">
        <f t="shared" si="74"/>
        <v/>
      </c>
      <c r="I225" s="77" t="str">
        <f>IF(H225="","",IF($I$8="A",(RANK(H225,H$11:H$368,1)+COUNTIF(H$11:H225,H225)-1),(RANK(H225,H$11:H$368)+COUNTIF(H$11:H225,H225)-1)))</f>
        <v/>
      </c>
      <c r="J225" s="35"/>
      <c r="K225" s="28" t="str">
        <f t="shared" si="82"/>
        <v/>
      </c>
      <c r="L225" s="36" t="str">
        <f t="shared" si="75"/>
        <v/>
      </c>
      <c r="M225" s="102" t="str">
        <f t="shared" si="83"/>
        <v/>
      </c>
      <c r="N225" s="101" t="str">
        <f t="shared" si="84"/>
        <v/>
      </c>
      <c r="O225" s="94" t="str">
        <f t="shared" si="76"/>
        <v/>
      </c>
      <c r="P225" s="94" t="str">
        <f t="shared" si="91"/>
        <v/>
      </c>
      <c r="Q225" s="94" t="str">
        <f t="shared" si="92"/>
        <v/>
      </c>
      <c r="R225" s="90" t="str">
        <f t="shared" si="93"/>
        <v/>
      </c>
      <c r="S225" s="37" t="str">
        <f t="shared" si="85"/>
        <v/>
      </c>
      <c r="T225" s="176" t="str">
        <f>IF(L225="","",VLOOKUP(L225,classifications!C:K,9,FALSE))</f>
        <v/>
      </c>
      <c r="U225" s="183" t="str">
        <f t="shared" si="95"/>
        <v/>
      </c>
      <c r="V225" s="184" t="str">
        <f>IF(U225="","",IF($I$8="A",(RANK(U225,U$11:U$368)+COUNTIF(U$11:U225,U225)-1),(RANK(U225,U$11:U$368,1)+COUNTIF(U$11:U225,U225)-1)))</f>
        <v/>
      </c>
      <c r="W225" s="185"/>
      <c r="X225" s="38" t="str">
        <f>IF(L225="","",VLOOKUP($L225,classifications!$C:$J,6,FALSE))</f>
        <v/>
      </c>
      <c r="Y225" s="26" t="b">
        <f t="shared" si="78"/>
        <v>0</v>
      </c>
      <c r="Z225" s="34" t="e">
        <f>IF(Y225="","",IF(I$8="A",(RANK(Y225,Y$11:Y$368,1)+COUNTIF(Y$11:Y225,Y225)-1),(RANK(Y225,Y$11:Y$368)+COUNTIF(Y$11:Y225,Y225)-1)))</f>
        <v>#N/A</v>
      </c>
      <c r="AA225" s="188" t="str">
        <f>IF(L225="","",VLOOKUP($L225,classifications!C:I,7,FALSE))</f>
        <v/>
      </c>
      <c r="AB225" s="184" t="str">
        <f t="shared" si="86"/>
        <v/>
      </c>
      <c r="AC225" s="184" t="str">
        <f>IF(AB225="","",IF($I$8="A",(RANK(AB225,AB$11:AB$368)+COUNTIF(AB$11:AB225,AB225)-1),(RANK(AB225,AB$11:AB$368,1)+COUNTIF(AB$11:AB225,AB225)-1)))</f>
        <v/>
      </c>
      <c r="AD225" s="184"/>
      <c r="AE225" s="28" t="str">
        <f t="shared" si="72"/>
        <v/>
      </c>
      <c r="AG225" s="96"/>
      <c r="AH225" s="29"/>
      <c r="AI225" s="38" t="str">
        <f>IF(L225="","",VLOOKUP($L225,classifications!$C:$J,8,FALSE))</f>
        <v/>
      </c>
      <c r="AJ225" s="39" t="str">
        <f t="shared" si="79"/>
        <v/>
      </c>
      <c r="AK225" s="34" t="str">
        <f>IF(AJ225="","",IF(I$8="A",(RANK(AJ225,AJ$11:AJ$368,1)+COUNTIF(AJ$11:AJ225,AJ225)-1),(RANK(AJ225,AJ$11:AJ$368)+COUNTIF(AJ$11:AJ225,AJ225)-1)))</f>
        <v/>
      </c>
      <c r="AL225" s="29" t="str">
        <f t="shared" si="87"/>
        <v/>
      </c>
      <c r="AM225" s="8" t="str">
        <f t="shared" si="80"/>
        <v/>
      </c>
      <c r="AN225" s="8" t="str">
        <f t="shared" si="88"/>
        <v/>
      </c>
      <c r="AP225" s="38" t="str">
        <f>IF(L225="","",VLOOKUP($L225,classifications!$C:$E,3,FALSE))</f>
        <v/>
      </c>
      <c r="AQ225" s="39" t="str">
        <f t="shared" si="89"/>
        <v/>
      </c>
      <c r="AR225" s="34" t="str">
        <f>IF(AQ225="","",IF(I$8="A",(RANK(AQ225,AQ$11:AQ$368,1)+COUNTIF(AQ$11:AQ225,AQ225)-1),(RANK(AQ225,AQ$11:AQ$368)+COUNTIF(AQ$11:AQ225,AQ225)-1)))</f>
        <v/>
      </c>
      <c r="AS225" s="29" t="str">
        <f t="shared" si="90"/>
        <v/>
      </c>
      <c r="AT225" s="34" t="str">
        <f t="shared" si="81"/>
        <v/>
      </c>
      <c r="AU225" s="39" t="str">
        <f t="shared" si="94"/>
        <v/>
      </c>
      <c r="AX225" s="21">
        <f>HLOOKUP($AX$9&amp;$AX$10,Data!$A$1:$ZZ$2000,(MATCH($C225,Data!$A$1:$A$2000,0)),FALSE)</f>
        <v>10.695537407557797</v>
      </c>
      <c r="AY225" s="103"/>
      <c r="AZ225" s="21"/>
    </row>
    <row r="226" spans="1:52">
      <c r="A226" s="56" t="str">
        <f>$D$1&amp;216</f>
        <v>SC216</v>
      </c>
      <c r="B226" s="57">
        <f>IF(ISERROR(VLOOKUP(A226,classifications!A:C,3,FALSE)),0,VLOOKUP(A226,classifications!A:C,3,FALSE))</f>
        <v>0</v>
      </c>
      <c r="C226" s="8" t="s">
        <v>348</v>
      </c>
      <c r="D226" s="26" t="str">
        <f>VLOOKUP($C226,classifications!$C:$J,4,FALSE)</f>
        <v>SD</v>
      </c>
      <c r="E226" s="26">
        <f>VLOOKUP(C226,classifications!C:K,9,FALSE)</f>
        <v>0</v>
      </c>
      <c r="F226" s="36">
        <f t="shared" si="73"/>
        <v>14.816758078670947</v>
      </c>
      <c r="G226" s="71"/>
      <c r="H226" s="37" t="str">
        <f t="shared" si="74"/>
        <v/>
      </c>
      <c r="I226" s="77" t="str">
        <f>IF(H226="","",IF($I$8="A",(RANK(H226,H$11:H$368,1)+COUNTIF(H$11:H226,H226)-1),(RANK(H226,H$11:H$368)+COUNTIF(H$11:H226,H226)-1)))</f>
        <v/>
      </c>
      <c r="J226" s="35"/>
      <c r="K226" s="28" t="str">
        <f t="shared" si="82"/>
        <v/>
      </c>
      <c r="L226" s="36" t="str">
        <f t="shared" si="75"/>
        <v/>
      </c>
      <c r="M226" s="102" t="str">
        <f t="shared" si="83"/>
        <v/>
      </c>
      <c r="N226" s="101" t="str">
        <f t="shared" si="84"/>
        <v/>
      </c>
      <c r="O226" s="94" t="str">
        <f t="shared" si="76"/>
        <v/>
      </c>
      <c r="P226" s="94" t="str">
        <f t="shared" si="91"/>
        <v/>
      </c>
      <c r="Q226" s="94" t="str">
        <f t="shared" si="92"/>
        <v/>
      </c>
      <c r="R226" s="90" t="str">
        <f t="shared" si="93"/>
        <v/>
      </c>
      <c r="S226" s="37" t="str">
        <f t="shared" si="85"/>
        <v/>
      </c>
      <c r="T226" s="176" t="str">
        <f>IF(L226="","",VLOOKUP(L226,classifications!C:K,9,FALSE))</f>
        <v/>
      </c>
      <c r="U226" s="183" t="str">
        <f t="shared" si="95"/>
        <v/>
      </c>
      <c r="V226" s="184" t="str">
        <f>IF(U226="","",IF($I$8="A",(RANK(U226,U$11:U$368)+COUNTIF(U$11:U226,U226)-1),(RANK(U226,U$11:U$368,1)+COUNTIF(U$11:U226,U226)-1)))</f>
        <v/>
      </c>
      <c r="W226" s="185"/>
      <c r="X226" s="38" t="str">
        <f>IF(L226="","",VLOOKUP($L226,classifications!$C:$J,6,FALSE))</f>
        <v/>
      </c>
      <c r="Y226" s="26" t="b">
        <f t="shared" si="78"/>
        <v>0</v>
      </c>
      <c r="Z226" s="34" t="e">
        <f>IF(Y226="","",IF(I$8="A",(RANK(Y226,Y$11:Y$368,1)+COUNTIF(Y$11:Y226,Y226)-1),(RANK(Y226,Y$11:Y$368)+COUNTIF(Y$11:Y226,Y226)-1)))</f>
        <v>#N/A</v>
      </c>
      <c r="AA226" s="188" t="str">
        <f>IF(L226="","",VLOOKUP($L226,classifications!C:I,7,FALSE))</f>
        <v/>
      </c>
      <c r="AB226" s="184" t="str">
        <f t="shared" si="86"/>
        <v/>
      </c>
      <c r="AC226" s="184" t="str">
        <f>IF(AB226="","",IF($I$8="A",(RANK(AB226,AB$11:AB$368)+COUNTIF(AB$11:AB226,AB226)-1),(RANK(AB226,AB$11:AB$368,1)+COUNTIF(AB$11:AB226,AB226)-1)))</f>
        <v/>
      </c>
      <c r="AD226" s="184"/>
      <c r="AE226" s="28" t="str">
        <f t="shared" si="72"/>
        <v/>
      </c>
      <c r="AG226" s="96"/>
      <c r="AH226" s="29"/>
      <c r="AI226" s="38" t="str">
        <f>IF(L226="","",VLOOKUP($L226,classifications!$C:$J,8,FALSE))</f>
        <v/>
      </c>
      <c r="AJ226" s="39" t="str">
        <f t="shared" si="79"/>
        <v/>
      </c>
      <c r="AK226" s="34" t="str">
        <f>IF(AJ226="","",IF(I$8="A",(RANK(AJ226,AJ$11:AJ$368,1)+COUNTIF(AJ$11:AJ226,AJ226)-1),(RANK(AJ226,AJ$11:AJ$368)+COUNTIF(AJ$11:AJ226,AJ226)-1)))</f>
        <v/>
      </c>
      <c r="AL226" s="29" t="str">
        <f t="shared" si="87"/>
        <v/>
      </c>
      <c r="AM226" s="8" t="str">
        <f t="shared" si="80"/>
        <v/>
      </c>
      <c r="AN226" s="8" t="str">
        <f t="shared" si="88"/>
        <v/>
      </c>
      <c r="AP226" s="38" t="str">
        <f>IF(L226="","",VLOOKUP($L226,classifications!$C:$E,3,FALSE))</f>
        <v/>
      </c>
      <c r="AQ226" s="39" t="str">
        <f t="shared" si="89"/>
        <v/>
      </c>
      <c r="AR226" s="34" t="str">
        <f>IF(AQ226="","",IF(I$8="A",(RANK(AQ226,AQ$11:AQ$368,1)+COUNTIF(AQ$11:AQ226,AQ226)-1),(RANK(AQ226,AQ$11:AQ$368)+COUNTIF(AQ$11:AQ226,AQ226)-1)))</f>
        <v/>
      </c>
      <c r="AS226" s="29" t="str">
        <f t="shared" si="90"/>
        <v/>
      </c>
      <c r="AT226" s="34" t="str">
        <f t="shared" si="81"/>
        <v/>
      </c>
      <c r="AU226" s="39" t="str">
        <f t="shared" si="94"/>
        <v/>
      </c>
      <c r="AX226" s="21">
        <f>HLOOKUP($AX$9&amp;$AX$10,Data!$A$1:$ZZ$2000,(MATCH($C226,Data!$A$1:$A$2000,0)),FALSE)</f>
        <v>14.816758078670947</v>
      </c>
      <c r="AY226" s="103"/>
      <c r="AZ226" s="21"/>
    </row>
    <row r="227" spans="1:52">
      <c r="A227" s="56" t="str">
        <f>$D$1&amp;217</f>
        <v>SC217</v>
      </c>
      <c r="B227" s="57">
        <f>IF(ISERROR(VLOOKUP(A227,classifications!A:C,3,FALSE)),0,VLOOKUP(A227,classifications!A:C,3,FALSE))</f>
        <v>0</v>
      </c>
      <c r="C227" s="8" t="s">
        <v>239</v>
      </c>
      <c r="D227" s="26" t="str">
        <f>VLOOKUP($C227,classifications!$C:$J,4,FALSE)</f>
        <v>MD</v>
      </c>
      <c r="E227" s="26">
        <f>VLOOKUP(C227,classifications!C:K,9,FALSE)</f>
        <v>0</v>
      </c>
      <c r="F227" s="36">
        <f t="shared" si="73"/>
        <v>6.4708728367164721</v>
      </c>
      <c r="G227" s="71"/>
      <c r="H227" s="37" t="str">
        <f t="shared" si="74"/>
        <v/>
      </c>
      <c r="I227" s="77" t="str">
        <f>IF(H227="","",IF($I$8="A",(RANK(H227,H$11:H$368,1)+COUNTIF(H$11:H227,H227)-1),(RANK(H227,H$11:H$368)+COUNTIF(H$11:H227,H227)-1)))</f>
        <v/>
      </c>
      <c r="J227" s="35"/>
      <c r="K227" s="28" t="str">
        <f t="shared" si="82"/>
        <v/>
      </c>
      <c r="L227" s="36" t="str">
        <f t="shared" si="75"/>
        <v/>
      </c>
      <c r="M227" s="102" t="str">
        <f t="shared" si="83"/>
        <v/>
      </c>
      <c r="N227" s="101" t="str">
        <f t="shared" si="84"/>
        <v/>
      </c>
      <c r="O227" s="94" t="str">
        <f t="shared" si="76"/>
        <v/>
      </c>
      <c r="P227" s="94" t="str">
        <f t="shared" si="91"/>
        <v/>
      </c>
      <c r="Q227" s="94" t="str">
        <f t="shared" si="92"/>
        <v/>
      </c>
      <c r="R227" s="90" t="str">
        <f t="shared" si="93"/>
        <v/>
      </c>
      <c r="S227" s="37" t="str">
        <f t="shared" si="85"/>
        <v/>
      </c>
      <c r="T227" s="176" t="str">
        <f>IF(L227="","",VLOOKUP(L227,classifications!C:K,9,FALSE))</f>
        <v/>
      </c>
      <c r="U227" s="183" t="str">
        <f t="shared" si="77"/>
        <v/>
      </c>
      <c r="V227" s="184" t="str">
        <f>IF(U227="","",IF($I$8="A",(RANK(U227,U$11:U$368)+COUNTIF(U$11:U227,U227)-1),(RANK(U227,U$11:U$368,1)+COUNTIF(U$11:U227,U227)-1)))</f>
        <v/>
      </c>
      <c r="W227" s="185"/>
      <c r="X227" s="38" t="str">
        <f>IF(L227="","",VLOOKUP($L227,classifications!$C:$J,6,FALSE))</f>
        <v/>
      </c>
      <c r="Y227" s="26" t="b">
        <f t="shared" si="78"/>
        <v>0</v>
      </c>
      <c r="Z227" s="34" t="e">
        <f>IF(Y227="","",IF(I$8="A",(RANK(Y227,Y$11:Y$368,1)+COUNTIF(Y$11:Y227,Y227)-1),(RANK(Y227,Y$11:Y$368)+COUNTIF(Y$11:Y227,Y227)-1)))</f>
        <v>#N/A</v>
      </c>
      <c r="AA227" s="188" t="str">
        <f>IF(L227="","",VLOOKUP($L227,classifications!C:I,7,FALSE))</f>
        <v/>
      </c>
      <c r="AB227" s="184" t="str">
        <f t="shared" si="86"/>
        <v/>
      </c>
      <c r="AC227" s="184" t="str">
        <f>IF(AB227="","",IF($I$8="A",(RANK(AB227,AB$11:AB$368)+COUNTIF(AB$11:AB227,AB227)-1),(RANK(AB227,AB$11:AB$368,1)+COUNTIF(AB$11:AB227,AB227)-1)))</f>
        <v/>
      </c>
      <c r="AD227" s="184"/>
      <c r="AE227" s="28" t="str">
        <f t="shared" ref="AE227:AE290" si="96">IF(AE226="","",IF(AE226+1&gt;(COUNT(AG:AG)),"",AE226+1))</f>
        <v/>
      </c>
      <c r="AG227" s="96"/>
      <c r="AH227" s="29"/>
      <c r="AI227" s="38" t="str">
        <f>IF(L227="","",VLOOKUP($L227,classifications!$C:$J,8,FALSE))</f>
        <v/>
      </c>
      <c r="AJ227" s="39" t="str">
        <f t="shared" si="79"/>
        <v/>
      </c>
      <c r="AK227" s="34" t="str">
        <f>IF(AJ227="","",IF(I$8="A",(RANK(AJ227,AJ$11:AJ$368,1)+COUNTIF(AJ$11:AJ227,AJ227)-1),(RANK(AJ227,AJ$11:AJ$368)+COUNTIF(AJ$11:AJ227,AJ227)-1)))</f>
        <v/>
      </c>
      <c r="AL227" s="29" t="str">
        <f t="shared" si="87"/>
        <v/>
      </c>
      <c r="AM227" s="8" t="str">
        <f t="shared" si="80"/>
        <v/>
      </c>
      <c r="AN227" s="8" t="str">
        <f t="shared" si="88"/>
        <v/>
      </c>
      <c r="AP227" s="38" t="str">
        <f>IF(L227="","",VLOOKUP($L227,classifications!$C:$E,3,FALSE))</f>
        <v/>
      </c>
      <c r="AQ227" s="39" t="str">
        <f t="shared" si="89"/>
        <v/>
      </c>
      <c r="AR227" s="34" t="str">
        <f>IF(AQ227="","",IF(I$8="A",(RANK(AQ227,AQ$11:AQ$368,1)+COUNTIF(AQ$11:AQ227,AQ227)-1),(RANK(AQ227,AQ$11:AQ$368)+COUNTIF(AQ$11:AQ227,AQ227)-1)))</f>
        <v/>
      </c>
      <c r="AS227" s="29" t="str">
        <f t="shared" si="90"/>
        <v/>
      </c>
      <c r="AT227" s="34" t="str">
        <f t="shared" si="81"/>
        <v/>
      </c>
      <c r="AU227" s="39" t="str">
        <f t="shared" si="94"/>
        <v/>
      </c>
      <c r="AX227" s="21">
        <f>HLOOKUP($AX$9&amp;$AX$10,Data!$A$1:$ZZ$2000,(MATCH($C227,Data!$A$1:$A$2000,0)),FALSE)</f>
        <v>6.4708728367164721</v>
      </c>
      <c r="AY227" s="103"/>
      <c r="AZ227" s="21"/>
    </row>
    <row r="228" spans="1:52">
      <c r="A228" s="56" t="str">
        <f>$D$1&amp;218</f>
        <v>SC218</v>
      </c>
      <c r="B228" s="57">
        <f>IF(ISERROR(VLOOKUP(A228,classifications!A:C,3,FALSE)),0,VLOOKUP(A228,classifications!A:C,3,FALSE))</f>
        <v>0</v>
      </c>
      <c r="C228" s="8" t="s">
        <v>118</v>
      </c>
      <c r="D228" s="26" t="str">
        <f>VLOOKUP($C228,classifications!$C:$J,4,FALSE)</f>
        <v>SD</v>
      </c>
      <c r="E228" s="26">
        <f>VLOOKUP(C228,classifications!C:K,9,FALSE)</f>
        <v>0</v>
      </c>
      <c r="F228" s="36">
        <f t="shared" si="73"/>
        <v>44.655988715456523</v>
      </c>
      <c r="G228" s="71"/>
      <c r="H228" s="37" t="str">
        <f t="shared" si="74"/>
        <v/>
      </c>
      <c r="I228" s="77" t="str">
        <f>IF(H228="","",IF($I$8="A",(RANK(H228,H$11:H$368,1)+COUNTIF(H$11:H228,H228)-1),(RANK(H228,H$11:H$368)+COUNTIF(H$11:H228,H228)-1)))</f>
        <v/>
      </c>
      <c r="J228" s="35"/>
      <c r="K228" s="28" t="str">
        <f t="shared" si="82"/>
        <v/>
      </c>
      <c r="L228" s="36" t="str">
        <f t="shared" si="75"/>
        <v/>
      </c>
      <c r="M228" s="102" t="str">
        <f t="shared" si="83"/>
        <v/>
      </c>
      <c r="N228" s="101" t="str">
        <f t="shared" si="84"/>
        <v/>
      </c>
      <c r="O228" s="94" t="str">
        <f t="shared" si="76"/>
        <v/>
      </c>
      <c r="P228" s="94" t="str">
        <f t="shared" si="91"/>
        <v/>
      </c>
      <c r="Q228" s="94" t="str">
        <f t="shared" si="92"/>
        <v/>
      </c>
      <c r="R228" s="90" t="str">
        <f t="shared" si="93"/>
        <v/>
      </c>
      <c r="S228" s="37" t="str">
        <f t="shared" si="85"/>
        <v/>
      </c>
      <c r="T228" s="176" t="str">
        <f>IF(L228="","",VLOOKUP(L228,classifications!C:K,9,FALSE))</f>
        <v/>
      </c>
      <c r="U228" s="183" t="str">
        <f t="shared" si="77"/>
        <v/>
      </c>
      <c r="V228" s="184" t="str">
        <f>IF(U228="","",IF($I$8="A",(RANK(U228,U$11:U$368)+COUNTIF(U$11:U228,U228)-1),(RANK(U228,U$11:U$368,1)+COUNTIF(U$11:U228,U228)-1)))</f>
        <v/>
      </c>
      <c r="W228" s="185"/>
      <c r="X228" s="38" t="str">
        <f>IF(L228="","",VLOOKUP($L228,classifications!$C:$J,6,FALSE))</f>
        <v/>
      </c>
      <c r="Y228" s="26" t="b">
        <f t="shared" si="78"/>
        <v>0</v>
      </c>
      <c r="Z228" s="34" t="e">
        <f>IF(Y228="","",IF(I$8="A",(RANK(Y228,Y$11:Y$368,1)+COUNTIF(Y$11:Y228,Y228)-1),(RANK(Y228,Y$11:Y$368)+COUNTIF(Y$11:Y228,Y228)-1)))</f>
        <v>#N/A</v>
      </c>
      <c r="AA228" s="188" t="str">
        <f>IF(L228="","",VLOOKUP($L228,classifications!C:I,7,FALSE))</f>
        <v/>
      </c>
      <c r="AB228" s="184" t="str">
        <f t="shared" si="86"/>
        <v/>
      </c>
      <c r="AC228" s="184" t="str">
        <f>IF(AB228="","",IF($I$8="A",(RANK(AB228,AB$11:AB$368)+COUNTIF(AB$11:AB228,AB228)-1),(RANK(AB228,AB$11:AB$368,1)+COUNTIF(AB$11:AB228,AB228)-1)))</f>
        <v/>
      </c>
      <c r="AD228" s="184"/>
      <c r="AE228" s="28" t="str">
        <f t="shared" si="96"/>
        <v/>
      </c>
      <c r="AG228" s="96"/>
      <c r="AH228" s="29"/>
      <c r="AI228" s="38" t="str">
        <f>IF(L228="","",VLOOKUP($L228,classifications!$C:$J,8,FALSE))</f>
        <v/>
      </c>
      <c r="AJ228" s="39" t="str">
        <f t="shared" si="79"/>
        <v/>
      </c>
      <c r="AK228" s="34" t="str">
        <f>IF(AJ228="","",IF(I$8="A",(RANK(AJ228,AJ$11:AJ$368,1)+COUNTIF(AJ$11:AJ228,AJ228)-1),(RANK(AJ228,AJ$11:AJ$368)+COUNTIF(AJ$11:AJ228,AJ228)-1)))</f>
        <v/>
      </c>
      <c r="AL228" s="29" t="str">
        <f t="shared" si="87"/>
        <v/>
      </c>
      <c r="AM228" s="8" t="str">
        <f t="shared" si="80"/>
        <v/>
      </c>
      <c r="AN228" s="8" t="str">
        <f t="shared" si="88"/>
        <v/>
      </c>
      <c r="AP228" s="38" t="str">
        <f>IF(L228="","",VLOOKUP($L228,classifications!$C:$E,3,FALSE))</f>
        <v/>
      </c>
      <c r="AQ228" s="39" t="str">
        <f t="shared" si="89"/>
        <v/>
      </c>
      <c r="AR228" s="34" t="str">
        <f>IF(AQ228="","",IF(I$8="A",(RANK(AQ228,AQ$11:AQ$368,1)+COUNTIF(AQ$11:AQ228,AQ228)-1),(RANK(AQ228,AQ$11:AQ$368)+COUNTIF(AQ$11:AQ228,AQ228)-1)))</f>
        <v/>
      </c>
      <c r="AS228" s="29" t="str">
        <f t="shared" si="90"/>
        <v/>
      </c>
      <c r="AT228" s="34" t="str">
        <f t="shared" si="81"/>
        <v/>
      </c>
      <c r="AU228" s="39" t="str">
        <f t="shared" si="94"/>
        <v/>
      </c>
      <c r="AX228" s="21">
        <f>HLOOKUP($AX$9&amp;$AX$10,Data!$A$1:$ZZ$2000,(MATCH($C228,Data!$A$1:$A$2000,0)),FALSE)</f>
        <v>44.655988715456523</v>
      </c>
      <c r="AY228" s="103"/>
      <c r="AZ228" s="21"/>
    </row>
    <row r="229" spans="1:52">
      <c r="A229" s="56" t="str">
        <f>$D$1&amp;219</f>
        <v>SC219</v>
      </c>
      <c r="B229" s="57">
        <f>IF(ISERROR(VLOOKUP(A229,classifications!A:C,3,FALSE)),0,VLOOKUP(A229,classifications!A:C,3,FALSE))</f>
        <v>0</v>
      </c>
      <c r="C229" s="8" t="s">
        <v>324</v>
      </c>
      <c r="D229" s="26" t="str">
        <f>VLOOKUP($C229,classifications!$C:$J,4,FALSE)</f>
        <v>SC</v>
      </c>
      <c r="E229" s="26">
        <f>VLOOKUP(C229,classifications!C:K,9,FALSE)</f>
        <v>0</v>
      </c>
      <c r="F229" s="36">
        <f t="shared" si="73"/>
        <v>27.360615780317239</v>
      </c>
      <c r="G229" s="71"/>
      <c r="H229" s="37">
        <f t="shared" si="74"/>
        <v>27.360615780317239</v>
      </c>
      <c r="I229" s="77">
        <f>IF(H229="","",IF($I$8="A",(RANK(H229,H$11:H$368,1)+COUNTIF(H$11:H229,H229)-1),(RANK(H229,H$11:H$368)+COUNTIF(H$11:H229,H229)-1)))</f>
        <v>2</v>
      </c>
      <c r="J229" s="35"/>
      <c r="K229" s="28" t="str">
        <f t="shared" si="82"/>
        <v/>
      </c>
      <c r="L229" s="36" t="str">
        <f t="shared" si="75"/>
        <v/>
      </c>
      <c r="M229" s="102" t="str">
        <f t="shared" si="83"/>
        <v/>
      </c>
      <c r="N229" s="101" t="str">
        <f t="shared" si="84"/>
        <v/>
      </c>
      <c r="O229" s="94" t="str">
        <f t="shared" si="76"/>
        <v/>
      </c>
      <c r="P229" s="94" t="str">
        <f t="shared" si="91"/>
        <v/>
      </c>
      <c r="Q229" s="94" t="str">
        <f t="shared" si="92"/>
        <v/>
      </c>
      <c r="R229" s="90" t="str">
        <f t="shared" si="93"/>
        <v/>
      </c>
      <c r="S229" s="37" t="str">
        <f t="shared" si="85"/>
        <v/>
      </c>
      <c r="T229" s="176" t="str">
        <f>IF(L229="","",VLOOKUP(L229,classifications!C:K,9,FALSE))</f>
        <v/>
      </c>
      <c r="U229" s="183" t="str">
        <f t="shared" si="77"/>
        <v/>
      </c>
      <c r="V229" s="184" t="str">
        <f>IF(U229="","",IF($I$8="A",(RANK(U229,U$11:U$368)+COUNTIF(U$11:U229,U229)-1),(RANK(U229,U$11:U$368,1)+COUNTIF(U$11:U229,U229)-1)))</f>
        <v/>
      </c>
      <c r="W229" s="185"/>
      <c r="X229" s="38" t="str">
        <f>IF(L229="","",VLOOKUP($L229,classifications!$C:$J,6,FALSE))</f>
        <v/>
      </c>
      <c r="Y229" s="26" t="b">
        <f t="shared" si="78"/>
        <v>0</v>
      </c>
      <c r="Z229" s="34" t="e">
        <f>IF(Y229="","",IF(I$8="A",(RANK(Y229,Y$11:Y$368,1)+COUNTIF(Y$11:Y229,Y229)-1),(RANK(Y229,Y$11:Y$368)+COUNTIF(Y$11:Y229,Y229)-1)))</f>
        <v>#N/A</v>
      </c>
      <c r="AA229" s="188" t="str">
        <f>IF(L229="","",VLOOKUP($L229,classifications!C:I,7,FALSE))</f>
        <v/>
      </c>
      <c r="AB229" s="184" t="str">
        <f t="shared" si="86"/>
        <v/>
      </c>
      <c r="AC229" s="184" t="str">
        <f>IF(AB229="","",IF($I$8="A",(RANK(AB229,AB$11:AB$368)+COUNTIF(AB$11:AB229,AB229)-1),(RANK(AB229,AB$11:AB$368,1)+COUNTIF(AB$11:AB229,AB229)-1)))</f>
        <v/>
      </c>
      <c r="AD229" s="184"/>
      <c r="AE229" s="28" t="str">
        <f t="shared" si="96"/>
        <v/>
      </c>
      <c r="AG229" s="96"/>
      <c r="AH229" s="29"/>
      <c r="AI229" s="38" t="str">
        <f>IF(L229="","",VLOOKUP($L229,classifications!$C:$J,8,FALSE))</f>
        <v/>
      </c>
      <c r="AJ229" s="39" t="str">
        <f t="shared" si="79"/>
        <v/>
      </c>
      <c r="AK229" s="34" t="str">
        <f>IF(AJ229="","",IF(I$8="A",(RANK(AJ229,AJ$11:AJ$368,1)+COUNTIF(AJ$11:AJ229,AJ229)-1),(RANK(AJ229,AJ$11:AJ$368)+COUNTIF(AJ$11:AJ229,AJ229)-1)))</f>
        <v/>
      </c>
      <c r="AL229" s="29" t="str">
        <f t="shared" si="87"/>
        <v/>
      </c>
      <c r="AM229" s="8" t="str">
        <f t="shared" si="80"/>
        <v/>
      </c>
      <c r="AN229" s="8" t="str">
        <f t="shared" si="88"/>
        <v/>
      </c>
      <c r="AP229" s="38" t="str">
        <f>IF(L229="","",VLOOKUP($L229,classifications!$C:$E,3,FALSE))</f>
        <v/>
      </c>
      <c r="AQ229" s="39" t="str">
        <f t="shared" si="89"/>
        <v/>
      </c>
      <c r="AR229" s="34" t="str">
        <f>IF(AQ229="","",IF(I$8="A",(RANK(AQ229,AQ$11:AQ$368,1)+COUNTIF(AQ$11:AQ229,AQ229)-1),(RANK(AQ229,AQ$11:AQ$368)+COUNTIF(AQ$11:AQ229,AQ229)-1)))</f>
        <v/>
      </c>
      <c r="AS229" s="29" t="str">
        <f t="shared" si="90"/>
        <v/>
      </c>
      <c r="AT229" s="34" t="str">
        <f t="shared" si="81"/>
        <v/>
      </c>
      <c r="AU229" s="39" t="str">
        <f t="shared" si="94"/>
        <v/>
      </c>
      <c r="AX229" s="21">
        <f>HLOOKUP($AX$9&amp;$AX$10,Data!$A$1:$ZZ$2000,(MATCH($C229,Data!$A$1:$A$2000,0)),FALSE)</f>
        <v>27.360615780317239</v>
      </c>
      <c r="AY229" s="103"/>
      <c r="AZ229" s="21"/>
    </row>
    <row r="230" spans="1:52">
      <c r="A230" s="56" t="str">
        <f>$D$1&amp;220</f>
        <v>SC220</v>
      </c>
      <c r="B230" s="57">
        <f>IF(ISERROR(VLOOKUP(A230,classifications!A:C,3,FALSE)),0,VLOOKUP(A230,classifications!A:C,3,FALSE))</f>
        <v>0</v>
      </c>
      <c r="C230" s="8" t="s">
        <v>119</v>
      </c>
      <c r="D230" s="26" t="str">
        <f>VLOOKUP($C230,classifications!$C:$J,4,FALSE)</f>
        <v>SD</v>
      </c>
      <c r="E230" s="26">
        <f>VLOOKUP(C230,classifications!C:K,9,FALSE)</f>
        <v>0</v>
      </c>
      <c r="F230" s="36">
        <f t="shared" si="73"/>
        <v>11.507243468785996</v>
      </c>
      <c r="G230" s="71"/>
      <c r="H230" s="37" t="str">
        <f t="shared" si="74"/>
        <v/>
      </c>
      <c r="I230" s="77" t="str">
        <f>IF(H230="","",IF($I$8="A",(RANK(H230,H$11:H$368,1)+COUNTIF(H$11:H230,H230)-1),(RANK(H230,H$11:H$368)+COUNTIF(H$11:H230,H230)-1)))</f>
        <v/>
      </c>
      <c r="J230" s="35"/>
      <c r="K230" s="28" t="str">
        <f t="shared" si="82"/>
        <v/>
      </c>
      <c r="L230" s="36" t="str">
        <f t="shared" si="75"/>
        <v/>
      </c>
      <c r="M230" s="102" t="str">
        <f t="shared" si="83"/>
        <v/>
      </c>
      <c r="N230" s="101" t="str">
        <f t="shared" si="84"/>
        <v/>
      </c>
      <c r="O230" s="94" t="str">
        <f t="shared" si="76"/>
        <v/>
      </c>
      <c r="P230" s="94" t="str">
        <f t="shared" si="91"/>
        <v/>
      </c>
      <c r="Q230" s="94" t="str">
        <f t="shared" si="92"/>
        <v/>
      </c>
      <c r="R230" s="90" t="str">
        <f t="shared" si="93"/>
        <v/>
      </c>
      <c r="S230" s="37" t="str">
        <f t="shared" si="85"/>
        <v/>
      </c>
      <c r="T230" s="176" t="str">
        <f>IF(L230="","",VLOOKUP(L230,classifications!C:K,9,FALSE))</f>
        <v/>
      </c>
      <c r="U230" s="183" t="str">
        <f t="shared" si="77"/>
        <v/>
      </c>
      <c r="V230" s="184" t="str">
        <f>IF(U230="","",IF($I$8="A",(RANK(U230,U$11:U$368)+COUNTIF(U$11:U230,U230)-1),(RANK(U230,U$11:U$368,1)+COUNTIF(U$11:U230,U230)-1)))</f>
        <v/>
      </c>
      <c r="W230" s="185"/>
      <c r="X230" s="38" t="str">
        <f>IF(L230="","",VLOOKUP($L230,classifications!$C:$J,6,FALSE))</f>
        <v/>
      </c>
      <c r="Y230" s="26" t="b">
        <f t="shared" si="78"/>
        <v>0</v>
      </c>
      <c r="Z230" s="34" t="e">
        <f>IF(Y230="","",IF(I$8="A",(RANK(Y230,Y$11:Y$368,1)+COUNTIF(Y$11:Y230,Y230)-1),(RANK(Y230,Y$11:Y$368)+COUNTIF(Y$11:Y230,Y230)-1)))</f>
        <v>#N/A</v>
      </c>
      <c r="AA230" s="188" t="str">
        <f>IF(L230="","",VLOOKUP($L230,classifications!C:I,7,FALSE))</f>
        <v/>
      </c>
      <c r="AB230" s="184" t="str">
        <f t="shared" si="86"/>
        <v/>
      </c>
      <c r="AC230" s="184" t="str">
        <f>IF(AB230="","",IF($I$8="A",(RANK(AB230,AB$11:AB$368)+COUNTIF(AB$11:AB230,AB230)-1),(RANK(AB230,AB$11:AB$368,1)+COUNTIF(AB$11:AB230,AB230)-1)))</f>
        <v/>
      </c>
      <c r="AD230" s="184"/>
      <c r="AE230" s="28" t="str">
        <f t="shared" si="96"/>
        <v/>
      </c>
      <c r="AG230" s="96"/>
      <c r="AH230" s="29"/>
      <c r="AI230" s="38" t="str">
        <f>IF(L230="","",VLOOKUP($L230,classifications!$C:$J,8,FALSE))</f>
        <v/>
      </c>
      <c r="AJ230" s="39" t="str">
        <f t="shared" si="79"/>
        <v/>
      </c>
      <c r="AK230" s="34" t="str">
        <f>IF(AJ230="","",IF(I$8="A",(RANK(AJ230,AJ$11:AJ$368,1)+COUNTIF(AJ$11:AJ230,AJ230)-1),(RANK(AJ230,AJ$11:AJ$368)+COUNTIF(AJ$11:AJ230,AJ230)-1)))</f>
        <v/>
      </c>
      <c r="AL230" s="29" t="str">
        <f t="shared" si="87"/>
        <v/>
      </c>
      <c r="AM230" s="8" t="str">
        <f t="shared" si="80"/>
        <v/>
      </c>
      <c r="AN230" s="8" t="str">
        <f t="shared" si="88"/>
        <v/>
      </c>
      <c r="AP230" s="38" t="str">
        <f>IF(L230="","",VLOOKUP($L230,classifications!$C:$E,3,FALSE))</f>
        <v/>
      </c>
      <c r="AQ230" s="39" t="str">
        <f t="shared" si="89"/>
        <v/>
      </c>
      <c r="AR230" s="34" t="str">
        <f>IF(AQ230="","",IF(I$8="A",(RANK(AQ230,AQ$11:AQ$368,1)+COUNTIF(AQ$11:AQ230,AQ230)-1),(RANK(AQ230,AQ$11:AQ$368)+COUNTIF(AQ$11:AQ230,AQ230)-1)))</f>
        <v/>
      </c>
      <c r="AS230" s="29" t="str">
        <f t="shared" si="90"/>
        <v/>
      </c>
      <c r="AT230" s="34" t="str">
        <f t="shared" si="81"/>
        <v/>
      </c>
      <c r="AU230" s="39" t="str">
        <f t="shared" si="94"/>
        <v/>
      </c>
      <c r="AX230" s="21">
        <f>HLOOKUP($AX$9&amp;$AX$10,Data!$A$1:$ZZ$2000,(MATCH($C230,Data!$A$1:$A$2000,0)),FALSE)</f>
        <v>11.507243468785996</v>
      </c>
      <c r="AY230" s="103"/>
      <c r="AZ230" s="21"/>
    </row>
    <row r="231" spans="1:52">
      <c r="A231" s="56" t="str">
        <f>$D$1&amp;221</f>
        <v>SC221</v>
      </c>
      <c r="B231" s="57">
        <f>IF(ISERROR(VLOOKUP(A231,classifications!A:C,3,FALSE)),0,VLOOKUP(A231,classifications!A:C,3,FALSE))</f>
        <v>0</v>
      </c>
      <c r="C231" s="8" t="s">
        <v>280</v>
      </c>
      <c r="D231" s="26" t="str">
        <f>VLOOKUP($C231,classifications!$C:$J,4,FALSE)</f>
        <v>UA</v>
      </c>
      <c r="E231" s="26">
        <f>VLOOKUP(C231,classifications!C:K,9,FALSE)</f>
        <v>0</v>
      </c>
      <c r="F231" s="36">
        <f t="shared" si="73"/>
        <v>21.239125621584083</v>
      </c>
      <c r="G231" s="71"/>
      <c r="H231" s="37" t="str">
        <f t="shared" si="74"/>
        <v/>
      </c>
      <c r="I231" s="77" t="str">
        <f>IF(H231="","",IF($I$8="A",(RANK(H231,H$11:H$368,1)+COUNTIF(H$11:H231,H231)-1),(RANK(H231,H$11:H$368)+COUNTIF(H$11:H231,H231)-1)))</f>
        <v/>
      </c>
      <c r="J231" s="35"/>
      <c r="K231" s="28" t="str">
        <f t="shared" si="82"/>
        <v/>
      </c>
      <c r="L231" s="36" t="str">
        <f t="shared" si="75"/>
        <v/>
      </c>
      <c r="M231" s="102" t="str">
        <f t="shared" si="83"/>
        <v/>
      </c>
      <c r="N231" s="101" t="str">
        <f t="shared" si="84"/>
        <v/>
      </c>
      <c r="O231" s="94" t="str">
        <f t="shared" si="76"/>
        <v/>
      </c>
      <c r="P231" s="94" t="str">
        <f t="shared" si="91"/>
        <v/>
      </c>
      <c r="Q231" s="94" t="str">
        <f t="shared" si="92"/>
        <v/>
      </c>
      <c r="R231" s="90" t="str">
        <f t="shared" si="93"/>
        <v/>
      </c>
      <c r="S231" s="37" t="str">
        <f t="shared" si="85"/>
        <v/>
      </c>
      <c r="T231" s="176" t="str">
        <f>IF(L231="","",VLOOKUP(L231,classifications!C:K,9,FALSE))</f>
        <v/>
      </c>
      <c r="U231" s="183" t="str">
        <f t="shared" si="77"/>
        <v/>
      </c>
      <c r="V231" s="184" t="str">
        <f>IF(U231="","",IF($I$8="A",(RANK(U231,U$11:U$368)+COUNTIF(U$11:U231,U231)-1),(RANK(U231,U$11:U$368,1)+COUNTIF(U$11:U231,U231)-1)))</f>
        <v/>
      </c>
      <c r="W231" s="185"/>
      <c r="X231" s="38" t="str">
        <f>IF(L231="","",VLOOKUP($L231,classifications!$C:$J,6,FALSE))</f>
        <v/>
      </c>
      <c r="Y231" s="26" t="b">
        <f t="shared" si="78"/>
        <v>0</v>
      </c>
      <c r="Z231" s="34" t="e">
        <f>IF(Y231="","",IF(I$8="A",(RANK(Y231,Y$11:Y$368,1)+COUNTIF(Y$11:Y231,Y231)-1),(RANK(Y231,Y$11:Y$368)+COUNTIF(Y$11:Y231,Y231)-1)))</f>
        <v>#N/A</v>
      </c>
      <c r="AA231" s="188" t="str">
        <f>IF(L231="","",VLOOKUP($L231,classifications!C:I,7,FALSE))</f>
        <v/>
      </c>
      <c r="AB231" s="184" t="str">
        <f t="shared" si="86"/>
        <v/>
      </c>
      <c r="AC231" s="184" t="str">
        <f>IF(AB231="","",IF($I$8="A",(RANK(AB231,AB$11:AB$368)+COUNTIF(AB$11:AB231,AB231)-1),(RANK(AB231,AB$11:AB$368,1)+COUNTIF(AB$11:AB231,AB231)-1)))</f>
        <v/>
      </c>
      <c r="AD231" s="184"/>
      <c r="AE231" s="28" t="str">
        <f t="shared" si="96"/>
        <v/>
      </c>
      <c r="AG231" s="96"/>
      <c r="AH231" s="29"/>
      <c r="AI231" s="38" t="str">
        <f>IF(L231="","",VLOOKUP($L231,classifications!$C:$J,8,FALSE))</f>
        <v/>
      </c>
      <c r="AJ231" s="39" t="str">
        <f t="shared" si="79"/>
        <v/>
      </c>
      <c r="AK231" s="34" t="str">
        <f>IF(AJ231="","",IF(I$8="A",(RANK(AJ231,AJ$11:AJ$368,1)+COUNTIF(AJ$11:AJ231,AJ231)-1),(RANK(AJ231,AJ$11:AJ$368)+COUNTIF(AJ$11:AJ231,AJ231)-1)))</f>
        <v/>
      </c>
      <c r="AL231" s="29" t="str">
        <f t="shared" si="87"/>
        <v/>
      </c>
      <c r="AM231" s="8" t="str">
        <f t="shared" si="80"/>
        <v/>
      </c>
      <c r="AN231" s="8" t="str">
        <f t="shared" si="88"/>
        <v/>
      </c>
      <c r="AP231" s="38" t="str">
        <f>IF(L231="","",VLOOKUP($L231,classifications!$C:$E,3,FALSE))</f>
        <v/>
      </c>
      <c r="AQ231" s="39" t="str">
        <f t="shared" si="89"/>
        <v/>
      </c>
      <c r="AR231" s="34" t="str">
        <f>IF(AQ231="","",IF(I$8="A",(RANK(AQ231,AQ$11:AQ$368,1)+COUNTIF(AQ$11:AQ231,AQ231)-1),(RANK(AQ231,AQ$11:AQ$368)+COUNTIF(AQ$11:AQ231,AQ231)-1)))</f>
        <v/>
      </c>
      <c r="AS231" s="29" t="str">
        <f t="shared" si="90"/>
        <v/>
      </c>
      <c r="AT231" s="34" t="str">
        <f t="shared" si="81"/>
        <v/>
      </c>
      <c r="AU231" s="39" t="str">
        <f t="shared" si="94"/>
        <v/>
      </c>
      <c r="AX231" s="21">
        <f>HLOOKUP($AX$9&amp;$AX$10,Data!$A$1:$ZZ$2000,(MATCH($C231,Data!$A$1:$A$2000,0)),FALSE)</f>
        <v>21.239125621584083</v>
      </c>
      <c r="AY231" s="103"/>
      <c r="AZ231" s="21"/>
    </row>
    <row r="232" spans="1:52">
      <c r="A232" s="56" t="str">
        <f>$D$1&amp;222</f>
        <v>SC222</v>
      </c>
      <c r="B232" s="57">
        <f>IF(ISERROR(VLOOKUP(A232,classifications!A:C,3,FALSE)),0,VLOOKUP(A232,classifications!A:C,3,FALSE))</f>
        <v>0</v>
      </c>
      <c r="C232" s="8" t="s">
        <v>281</v>
      </c>
      <c r="D232" s="26" t="str">
        <f>VLOOKUP($C232,classifications!$C:$J,4,FALSE)</f>
        <v>UA</v>
      </c>
      <c r="E232" s="26">
        <f>VLOOKUP(C232,classifications!C:K,9,FALSE)</f>
        <v>0</v>
      </c>
      <c r="F232" s="36">
        <f t="shared" si="73"/>
        <v>13.24467987064024</v>
      </c>
      <c r="G232" s="71"/>
      <c r="H232" s="37" t="str">
        <f t="shared" si="74"/>
        <v/>
      </c>
      <c r="I232" s="77" t="str">
        <f>IF(H232="","",IF($I$8="A",(RANK(H232,H$11:H$368,1)+COUNTIF(H$11:H232,H232)-1),(RANK(H232,H$11:H$368)+COUNTIF(H$11:H232,H232)-1)))</f>
        <v/>
      </c>
      <c r="J232" s="35"/>
      <c r="K232" s="28" t="str">
        <f t="shared" si="82"/>
        <v/>
      </c>
      <c r="L232" s="36" t="str">
        <f t="shared" si="75"/>
        <v/>
      </c>
      <c r="M232" s="102" t="str">
        <f t="shared" si="83"/>
        <v/>
      </c>
      <c r="N232" s="101" t="str">
        <f t="shared" si="84"/>
        <v/>
      </c>
      <c r="O232" s="94" t="str">
        <f t="shared" si="76"/>
        <v/>
      </c>
      <c r="P232" s="94" t="str">
        <f t="shared" si="91"/>
        <v/>
      </c>
      <c r="Q232" s="94" t="str">
        <f t="shared" si="92"/>
        <v/>
      </c>
      <c r="R232" s="90" t="str">
        <f t="shared" si="93"/>
        <v/>
      </c>
      <c r="S232" s="37" t="str">
        <f t="shared" si="85"/>
        <v/>
      </c>
      <c r="T232" s="176" t="str">
        <f>IF(L232="","",VLOOKUP(L232,classifications!C:K,9,FALSE))</f>
        <v/>
      </c>
      <c r="U232" s="183" t="str">
        <f t="shared" si="77"/>
        <v/>
      </c>
      <c r="V232" s="184" t="str">
        <f>IF(U232="","",IF($I$8="A",(RANK(U232,U$11:U$368)+COUNTIF(U$11:U232,U232)-1),(RANK(U232,U$11:U$368,1)+COUNTIF(U$11:U232,U232)-1)))</f>
        <v/>
      </c>
      <c r="W232" s="185"/>
      <c r="X232" s="38" t="str">
        <f>IF(L232="","",VLOOKUP($L232,classifications!$C:$J,6,FALSE))</f>
        <v/>
      </c>
      <c r="Y232" s="26" t="b">
        <f t="shared" si="78"/>
        <v>0</v>
      </c>
      <c r="Z232" s="34" t="e">
        <f>IF(Y232="","",IF(I$8="A",(RANK(Y232,Y$11:Y$368,1)+COUNTIF(Y$11:Y232,Y232)-1),(RANK(Y232,Y$11:Y$368)+COUNTIF(Y$11:Y232,Y232)-1)))</f>
        <v>#N/A</v>
      </c>
      <c r="AA232" s="188" t="str">
        <f>IF(L232="","",VLOOKUP($L232,classifications!C:I,7,FALSE))</f>
        <v/>
      </c>
      <c r="AB232" s="184" t="str">
        <f t="shared" si="86"/>
        <v/>
      </c>
      <c r="AC232" s="184" t="str">
        <f>IF(AB232="","",IF($I$8="A",(RANK(AB232,AB$11:AB$368)+COUNTIF(AB$11:AB232,AB232)-1),(RANK(AB232,AB$11:AB$368,1)+COUNTIF(AB$11:AB232,AB232)-1)))</f>
        <v/>
      </c>
      <c r="AD232" s="184"/>
      <c r="AE232" s="28" t="str">
        <f t="shared" si="96"/>
        <v/>
      </c>
      <c r="AG232" s="96"/>
      <c r="AH232" s="29"/>
      <c r="AI232" s="38" t="str">
        <f>IF(L232="","",VLOOKUP($L232,classifications!$C:$J,8,FALSE))</f>
        <v/>
      </c>
      <c r="AJ232" s="39" t="str">
        <f t="shared" si="79"/>
        <v/>
      </c>
      <c r="AK232" s="34" t="str">
        <f>IF(AJ232="","",IF(I$8="A",(RANK(AJ232,AJ$11:AJ$368,1)+COUNTIF(AJ$11:AJ232,AJ232)-1),(RANK(AJ232,AJ$11:AJ$368)+COUNTIF(AJ$11:AJ232,AJ232)-1)))</f>
        <v/>
      </c>
      <c r="AL232" s="29" t="str">
        <f t="shared" si="87"/>
        <v/>
      </c>
      <c r="AM232" s="8" t="str">
        <f t="shared" si="80"/>
        <v/>
      </c>
      <c r="AN232" s="8" t="str">
        <f t="shared" si="88"/>
        <v/>
      </c>
      <c r="AP232" s="38" t="str">
        <f>IF(L232="","",VLOOKUP($L232,classifications!$C:$E,3,FALSE))</f>
        <v/>
      </c>
      <c r="AQ232" s="39" t="str">
        <f t="shared" si="89"/>
        <v/>
      </c>
      <c r="AR232" s="34" t="str">
        <f>IF(AQ232="","",IF(I$8="A",(RANK(AQ232,AQ$11:AQ$368,1)+COUNTIF(AQ$11:AQ232,AQ232)-1),(RANK(AQ232,AQ$11:AQ$368)+COUNTIF(AQ$11:AQ232,AQ232)-1)))</f>
        <v/>
      </c>
      <c r="AS232" s="29" t="str">
        <f t="shared" si="90"/>
        <v/>
      </c>
      <c r="AT232" s="34" t="str">
        <f t="shared" si="81"/>
        <v/>
      </c>
      <c r="AU232" s="39" t="str">
        <f t="shared" si="94"/>
        <v/>
      </c>
      <c r="AX232" s="21">
        <f>HLOOKUP($AX$9&amp;$AX$10,Data!$A$1:$ZZ$2000,(MATCH($C232,Data!$A$1:$A$2000,0)),FALSE)</f>
        <v>13.24467987064024</v>
      </c>
      <c r="AY232" s="103"/>
      <c r="AZ232" s="21"/>
    </row>
    <row r="233" spans="1:52">
      <c r="A233" s="56" t="str">
        <f>$D$1&amp;223</f>
        <v>SC223</v>
      </c>
      <c r="B233" s="57">
        <f>IF(ISERROR(VLOOKUP(A233,classifications!A:C,3,FALSE)),0,VLOOKUP(A233,classifications!A:C,3,FALSE))</f>
        <v>0</v>
      </c>
      <c r="C233" s="8" t="s">
        <v>282</v>
      </c>
      <c r="D233" s="26" t="str">
        <f>VLOOKUP($C233,classifications!$C:$J,4,FALSE)</f>
        <v>UA</v>
      </c>
      <c r="E233" s="26">
        <f>VLOOKUP(C233,classifications!C:K,9,FALSE)</f>
        <v>0</v>
      </c>
      <c r="F233" s="36">
        <f t="shared" si="73"/>
        <v>0</v>
      </c>
      <c r="G233" s="71"/>
      <c r="H233" s="37" t="str">
        <f t="shared" si="74"/>
        <v/>
      </c>
      <c r="I233" s="77" t="str">
        <f>IF(H233="","",IF($I$8="A",(RANK(H233,H$11:H$368,1)+COUNTIF(H$11:H233,H233)-1),(RANK(H233,H$11:H$368)+COUNTIF(H$11:H233,H233)-1)))</f>
        <v/>
      </c>
      <c r="J233" s="35"/>
      <c r="K233" s="28" t="str">
        <f t="shared" si="82"/>
        <v/>
      </c>
      <c r="L233" s="36" t="str">
        <f t="shared" si="75"/>
        <v/>
      </c>
      <c r="M233" s="102" t="str">
        <f t="shared" si="83"/>
        <v/>
      </c>
      <c r="N233" s="101" t="str">
        <f t="shared" si="84"/>
        <v/>
      </c>
      <c r="O233" s="94" t="str">
        <f t="shared" si="76"/>
        <v/>
      </c>
      <c r="P233" s="94" t="str">
        <f t="shared" si="91"/>
        <v/>
      </c>
      <c r="Q233" s="94" t="str">
        <f t="shared" si="92"/>
        <v/>
      </c>
      <c r="R233" s="90" t="str">
        <f t="shared" si="93"/>
        <v/>
      </c>
      <c r="S233" s="37" t="str">
        <f t="shared" si="85"/>
        <v/>
      </c>
      <c r="T233" s="176" t="str">
        <f>IF(L233="","",VLOOKUP(L233,classifications!C:K,9,FALSE))</f>
        <v/>
      </c>
      <c r="U233" s="183" t="str">
        <f t="shared" si="77"/>
        <v/>
      </c>
      <c r="V233" s="184" t="str">
        <f>IF(U233="","",IF($I$8="A",(RANK(U233,U$11:U$368)+COUNTIF(U$11:U233,U233)-1),(RANK(U233,U$11:U$368,1)+COUNTIF(U$11:U233,U233)-1)))</f>
        <v/>
      </c>
      <c r="W233" s="185"/>
      <c r="X233" s="38" t="str">
        <f>IF(L233="","",VLOOKUP($L233,classifications!$C:$J,6,FALSE))</f>
        <v/>
      </c>
      <c r="Y233" s="26" t="b">
        <f t="shared" si="78"/>
        <v>0</v>
      </c>
      <c r="Z233" s="34" t="e">
        <f>IF(Y233="","",IF(I$8="A",(RANK(Y233,Y$11:Y$368,1)+COUNTIF(Y$11:Y233,Y233)-1),(RANK(Y233,Y$11:Y$368)+COUNTIF(Y$11:Y233,Y233)-1)))</f>
        <v>#N/A</v>
      </c>
      <c r="AA233" s="188" t="str">
        <f>IF(L233="","",VLOOKUP($L233,classifications!C:I,7,FALSE))</f>
        <v/>
      </c>
      <c r="AB233" s="184" t="str">
        <f t="shared" si="86"/>
        <v/>
      </c>
      <c r="AC233" s="184" t="str">
        <f>IF(AB233="","",IF($I$8="A",(RANK(AB233,AB$11:AB$368)+COUNTIF(AB$11:AB233,AB233)-1),(RANK(AB233,AB$11:AB$368,1)+COUNTIF(AB$11:AB233,AB233)-1)))</f>
        <v/>
      </c>
      <c r="AD233" s="184"/>
      <c r="AE233" s="28" t="str">
        <f t="shared" si="96"/>
        <v/>
      </c>
      <c r="AG233" s="96"/>
      <c r="AH233" s="29"/>
      <c r="AI233" s="38" t="str">
        <f>IF(L233="","",VLOOKUP($L233,classifications!$C:$J,8,FALSE))</f>
        <v/>
      </c>
      <c r="AJ233" s="39" t="str">
        <f t="shared" si="79"/>
        <v/>
      </c>
      <c r="AK233" s="34" t="str">
        <f>IF(AJ233="","",IF(I$8="A",(RANK(AJ233,AJ$11:AJ$368,1)+COUNTIF(AJ$11:AJ233,AJ233)-1),(RANK(AJ233,AJ$11:AJ$368)+COUNTIF(AJ$11:AJ233,AJ233)-1)))</f>
        <v/>
      </c>
      <c r="AL233" s="29" t="str">
        <f t="shared" si="87"/>
        <v/>
      </c>
      <c r="AM233" s="8" t="str">
        <f t="shared" si="80"/>
        <v/>
      </c>
      <c r="AN233" s="8" t="str">
        <f t="shared" si="88"/>
        <v/>
      </c>
      <c r="AP233" s="38" t="str">
        <f>IF(L233="","",VLOOKUP($L233,classifications!$C:$E,3,FALSE))</f>
        <v/>
      </c>
      <c r="AQ233" s="39" t="str">
        <f t="shared" si="89"/>
        <v/>
      </c>
      <c r="AR233" s="34" t="str">
        <f>IF(AQ233="","",IF(I$8="A",(RANK(AQ233,AQ$11:AQ$368,1)+COUNTIF(AQ$11:AQ233,AQ233)-1),(RANK(AQ233,AQ$11:AQ$368)+COUNTIF(AQ$11:AQ233,AQ233)-1)))</f>
        <v/>
      </c>
      <c r="AS233" s="29" t="str">
        <f t="shared" si="90"/>
        <v/>
      </c>
      <c r="AT233" s="34" t="str">
        <f t="shared" si="81"/>
        <v/>
      </c>
      <c r="AU233" s="39" t="str">
        <f t="shared" si="94"/>
        <v/>
      </c>
      <c r="AX233" s="21">
        <f>HLOOKUP($AX$9&amp;$AX$10,Data!$A$1:$ZZ$2000,(MATCH($C233,Data!$A$1:$A$2000,0)),FALSE)</f>
        <v>0</v>
      </c>
      <c r="AY233" s="103"/>
      <c r="AZ233" s="21"/>
    </row>
    <row r="234" spans="1:52">
      <c r="A234" s="56" t="str">
        <f>$D$1&amp;224</f>
        <v>SC224</v>
      </c>
      <c r="B234" s="57">
        <f>IF(ISERROR(VLOOKUP(A234,classifications!A:C,3,FALSE)),0,VLOOKUP(A234,classifications!A:C,3,FALSE))</f>
        <v>0</v>
      </c>
      <c r="C234" s="8" t="s">
        <v>283</v>
      </c>
      <c r="D234" s="26" t="str">
        <f>VLOOKUP($C234,classifications!$C:$J,4,FALSE)</f>
        <v>UA</v>
      </c>
      <c r="E234" s="26">
        <f>VLOOKUP(C234,classifications!C:K,9,FALSE)</f>
        <v>0</v>
      </c>
      <c r="F234" s="36">
        <f t="shared" si="73"/>
        <v>21.447881288821478</v>
      </c>
      <c r="G234" s="71"/>
      <c r="H234" s="37" t="str">
        <f t="shared" si="74"/>
        <v/>
      </c>
      <c r="I234" s="77" t="str">
        <f>IF(H234="","",IF($I$8="A",(RANK(H234,H$11:H$368,1)+COUNTIF(H$11:H234,H234)-1),(RANK(H234,H$11:H$368)+COUNTIF(H$11:H234,H234)-1)))</f>
        <v/>
      </c>
      <c r="J234" s="35"/>
      <c r="K234" s="28" t="str">
        <f t="shared" si="82"/>
        <v/>
      </c>
      <c r="L234" s="36" t="str">
        <f t="shared" si="75"/>
        <v/>
      </c>
      <c r="M234" s="102" t="str">
        <f t="shared" si="83"/>
        <v/>
      </c>
      <c r="N234" s="101" t="str">
        <f t="shared" si="84"/>
        <v/>
      </c>
      <c r="O234" s="94" t="str">
        <f t="shared" si="76"/>
        <v/>
      </c>
      <c r="P234" s="94" t="str">
        <f t="shared" si="91"/>
        <v/>
      </c>
      <c r="Q234" s="94" t="str">
        <f t="shared" si="92"/>
        <v/>
      </c>
      <c r="R234" s="90" t="str">
        <f t="shared" si="93"/>
        <v/>
      </c>
      <c r="S234" s="37" t="str">
        <f t="shared" si="85"/>
        <v/>
      </c>
      <c r="T234" s="176" t="str">
        <f>IF(L234="","",VLOOKUP(L234,classifications!C:K,9,FALSE))</f>
        <v/>
      </c>
      <c r="U234" s="183" t="str">
        <f t="shared" si="77"/>
        <v/>
      </c>
      <c r="V234" s="184" t="str">
        <f>IF(U234="","",IF($I$8="A",(RANK(U234,U$11:U$368)+COUNTIF(U$11:U234,U234)-1),(RANK(U234,U$11:U$368,1)+COUNTIF(U$11:U234,U234)-1)))</f>
        <v/>
      </c>
      <c r="W234" s="185"/>
      <c r="X234" s="38" t="str">
        <f>IF(L234="","",VLOOKUP($L234,classifications!$C:$J,6,FALSE))</f>
        <v/>
      </c>
      <c r="Y234" s="26" t="b">
        <f t="shared" si="78"/>
        <v>0</v>
      </c>
      <c r="Z234" s="34" t="e">
        <f>IF(Y234="","",IF(I$8="A",(RANK(Y234,Y$11:Y$368,1)+COUNTIF(Y$11:Y234,Y234)-1),(RANK(Y234,Y$11:Y$368)+COUNTIF(Y$11:Y234,Y234)-1)))</f>
        <v>#N/A</v>
      </c>
      <c r="AA234" s="188" t="str">
        <f>IF(L234="","",VLOOKUP($L234,classifications!C:I,7,FALSE))</f>
        <v/>
      </c>
      <c r="AB234" s="184" t="str">
        <f t="shared" si="86"/>
        <v/>
      </c>
      <c r="AC234" s="184" t="str">
        <f>IF(AB234="","",IF($I$8="A",(RANK(AB234,AB$11:AB$368)+COUNTIF(AB$11:AB234,AB234)-1),(RANK(AB234,AB$11:AB$368,1)+COUNTIF(AB$11:AB234,AB234)-1)))</f>
        <v/>
      </c>
      <c r="AD234" s="184"/>
      <c r="AE234" s="28" t="str">
        <f t="shared" si="96"/>
        <v/>
      </c>
      <c r="AG234" s="96"/>
      <c r="AH234" s="29"/>
      <c r="AI234" s="38" t="str">
        <f>IF(L234="","",VLOOKUP($L234,classifications!$C:$J,8,FALSE))</f>
        <v/>
      </c>
      <c r="AJ234" s="39" t="str">
        <f t="shared" si="79"/>
        <v/>
      </c>
      <c r="AK234" s="34" t="str">
        <f>IF(AJ234="","",IF(I$8="A",(RANK(AJ234,AJ$11:AJ$368,1)+COUNTIF(AJ$11:AJ234,AJ234)-1),(RANK(AJ234,AJ$11:AJ$368)+COUNTIF(AJ$11:AJ234,AJ234)-1)))</f>
        <v/>
      </c>
      <c r="AL234" s="29" t="str">
        <f t="shared" si="87"/>
        <v/>
      </c>
      <c r="AM234" s="8" t="str">
        <f t="shared" si="80"/>
        <v/>
      </c>
      <c r="AN234" s="8" t="str">
        <f t="shared" si="88"/>
        <v/>
      </c>
      <c r="AP234" s="38" t="str">
        <f>IF(L234="","",VLOOKUP($L234,classifications!$C:$E,3,FALSE))</f>
        <v/>
      </c>
      <c r="AQ234" s="39" t="str">
        <f t="shared" si="89"/>
        <v/>
      </c>
      <c r="AR234" s="34" t="str">
        <f>IF(AQ234="","",IF(I$8="A",(RANK(AQ234,AQ$11:AQ$368,1)+COUNTIF(AQ$11:AQ234,AQ234)-1),(RANK(AQ234,AQ$11:AQ$368)+COUNTIF(AQ$11:AQ234,AQ234)-1)))</f>
        <v/>
      </c>
      <c r="AS234" s="29" t="str">
        <f t="shared" si="90"/>
        <v/>
      </c>
      <c r="AT234" s="34" t="str">
        <f t="shared" si="81"/>
        <v/>
      </c>
      <c r="AU234" s="39" t="str">
        <f t="shared" si="94"/>
        <v/>
      </c>
      <c r="AX234" s="21">
        <f>HLOOKUP($AX$9&amp;$AX$10,Data!$A$1:$ZZ$2000,(MATCH($C234,Data!$A$1:$A$2000,0)),FALSE)</f>
        <v>21.447881288821478</v>
      </c>
      <c r="AY234" s="103"/>
      <c r="AZ234" s="21"/>
    </row>
    <row r="235" spans="1:52">
      <c r="A235" s="56" t="str">
        <f>$D$1&amp;225</f>
        <v>SC225</v>
      </c>
      <c r="B235" s="57">
        <f>IF(ISERROR(VLOOKUP(A235,classifications!A:C,3,FALSE)),0,VLOOKUP(A235,classifications!A:C,3,FALSE))</f>
        <v>0</v>
      </c>
      <c r="C235" s="8" t="s">
        <v>120</v>
      </c>
      <c r="D235" s="26" t="str">
        <f>VLOOKUP($C235,classifications!$C:$J,4,FALSE)</f>
        <v>SD</v>
      </c>
      <c r="E235" s="26">
        <f>VLOOKUP(C235,classifications!C:K,9,FALSE)</f>
        <v>0</v>
      </c>
      <c r="F235" s="36">
        <f t="shared" si="73"/>
        <v>11.850501154014717</v>
      </c>
      <c r="G235" s="71"/>
      <c r="H235" s="37" t="str">
        <f t="shared" si="74"/>
        <v/>
      </c>
      <c r="I235" s="77" t="str">
        <f>IF(H235="","",IF($I$8="A",(RANK(H235,H$11:H$368,1)+COUNTIF(H$11:H235,H235)-1),(RANK(H235,H$11:H$368)+COUNTIF(H$11:H235,H235)-1)))</f>
        <v/>
      </c>
      <c r="J235" s="35"/>
      <c r="K235" s="28" t="str">
        <f t="shared" si="82"/>
        <v/>
      </c>
      <c r="L235" s="36" t="str">
        <f t="shared" si="75"/>
        <v/>
      </c>
      <c r="M235" s="102" t="str">
        <f t="shared" si="83"/>
        <v/>
      </c>
      <c r="N235" s="101" t="str">
        <f t="shared" si="84"/>
        <v/>
      </c>
      <c r="O235" s="94" t="str">
        <f t="shared" si="76"/>
        <v/>
      </c>
      <c r="P235" s="94" t="str">
        <f t="shared" si="91"/>
        <v/>
      </c>
      <c r="Q235" s="94" t="str">
        <f t="shared" si="92"/>
        <v/>
      </c>
      <c r="R235" s="90" t="str">
        <f t="shared" si="93"/>
        <v/>
      </c>
      <c r="S235" s="37" t="str">
        <f t="shared" si="85"/>
        <v/>
      </c>
      <c r="T235" s="176" t="str">
        <f>IF(L235="","",VLOOKUP(L235,classifications!C:K,9,FALSE))</f>
        <v/>
      </c>
      <c r="U235" s="183" t="str">
        <f t="shared" si="77"/>
        <v/>
      </c>
      <c r="V235" s="184" t="str">
        <f>IF(U235="","",IF($I$8="A",(RANK(U235,U$11:U$368)+COUNTIF(U$11:U235,U235)-1),(RANK(U235,U$11:U$368,1)+COUNTIF(U$11:U235,U235)-1)))</f>
        <v/>
      </c>
      <c r="W235" s="185"/>
      <c r="X235" s="38" t="str">
        <f>IF(L235="","",VLOOKUP($L235,classifications!$C:$J,6,FALSE))</f>
        <v/>
      </c>
      <c r="Y235" s="26" t="b">
        <f t="shared" si="78"/>
        <v>0</v>
      </c>
      <c r="Z235" s="34" t="e">
        <f>IF(Y235="","",IF(I$8="A",(RANK(Y235,Y$11:Y$368,1)+COUNTIF(Y$11:Y235,Y235)-1),(RANK(Y235,Y$11:Y$368)+COUNTIF(Y$11:Y235,Y235)-1)))</f>
        <v>#N/A</v>
      </c>
      <c r="AA235" s="188" t="str">
        <f>IF(L235="","",VLOOKUP($L235,classifications!C:I,7,FALSE))</f>
        <v/>
      </c>
      <c r="AB235" s="184" t="str">
        <f t="shared" si="86"/>
        <v/>
      </c>
      <c r="AC235" s="184" t="str">
        <f>IF(AB235="","",IF($I$8="A",(RANK(AB235,AB$11:AB$368)+COUNTIF(AB$11:AB235,AB235)-1),(RANK(AB235,AB$11:AB$368,1)+COUNTIF(AB$11:AB235,AB235)-1)))</f>
        <v/>
      </c>
      <c r="AD235" s="184"/>
      <c r="AE235" s="28" t="str">
        <f t="shared" si="96"/>
        <v/>
      </c>
      <c r="AG235" s="96"/>
      <c r="AH235" s="29"/>
      <c r="AI235" s="38" t="str">
        <f>IF(L235="","",VLOOKUP($L235,classifications!$C:$J,8,FALSE))</f>
        <v/>
      </c>
      <c r="AJ235" s="39" t="str">
        <f t="shared" si="79"/>
        <v/>
      </c>
      <c r="AK235" s="34" t="str">
        <f>IF(AJ235="","",IF(I$8="A",(RANK(AJ235,AJ$11:AJ$368,1)+COUNTIF(AJ$11:AJ235,AJ235)-1),(RANK(AJ235,AJ$11:AJ$368)+COUNTIF(AJ$11:AJ235,AJ235)-1)))</f>
        <v/>
      </c>
      <c r="AL235" s="29" t="str">
        <f t="shared" si="87"/>
        <v/>
      </c>
      <c r="AM235" s="8" t="str">
        <f t="shared" si="80"/>
        <v/>
      </c>
      <c r="AN235" s="8" t="str">
        <f t="shared" si="88"/>
        <v/>
      </c>
      <c r="AP235" s="38" t="str">
        <f>IF(L235="","",VLOOKUP($L235,classifications!$C:$E,3,FALSE))</f>
        <v/>
      </c>
      <c r="AQ235" s="39" t="str">
        <f t="shared" si="89"/>
        <v/>
      </c>
      <c r="AR235" s="34" t="str">
        <f>IF(AQ235="","",IF(I$8="A",(RANK(AQ235,AQ$11:AQ$368,1)+COUNTIF(AQ$11:AQ235,AQ235)-1),(RANK(AQ235,AQ$11:AQ$368)+COUNTIF(AQ$11:AQ235,AQ235)-1)))</f>
        <v/>
      </c>
      <c r="AS235" s="29" t="str">
        <f t="shared" si="90"/>
        <v/>
      </c>
      <c r="AT235" s="34" t="str">
        <f t="shared" si="81"/>
        <v/>
      </c>
      <c r="AU235" s="39" t="str">
        <f t="shared" si="94"/>
        <v/>
      </c>
      <c r="AX235" s="21">
        <f>HLOOKUP($AX$9&amp;$AX$10,Data!$A$1:$ZZ$2000,(MATCH($C235,Data!$A$1:$A$2000,0)),FALSE)</f>
        <v>11.850501154014717</v>
      </c>
      <c r="AY235" s="103"/>
      <c r="AZ235" s="21"/>
    </row>
    <row r="236" spans="1:52">
      <c r="A236" s="56" t="str">
        <f>$D$1&amp;226</f>
        <v>SC226</v>
      </c>
      <c r="B236" s="57">
        <f>IF(ISERROR(VLOOKUP(A236,classifications!A:C,3,FALSE)),0,VLOOKUP(A236,classifications!A:C,3,FALSE))</f>
        <v>0</v>
      </c>
      <c r="C236" s="8" t="s">
        <v>121</v>
      </c>
      <c r="D236" s="26" t="str">
        <f>VLOOKUP($C236,classifications!$C:$J,4,FALSE)</f>
        <v>SD</v>
      </c>
      <c r="E236" s="26">
        <f>VLOOKUP(C236,classifications!C:K,9,FALSE)</f>
        <v>0</v>
      </c>
      <c r="F236" s="36">
        <f t="shared" si="73"/>
        <v>0</v>
      </c>
      <c r="G236" s="71"/>
      <c r="H236" s="37" t="str">
        <f t="shared" si="74"/>
        <v/>
      </c>
      <c r="I236" s="77" t="str">
        <f>IF(H236="","",IF($I$8="A",(RANK(H236,H$11:H$368,1)+COUNTIF(H$11:H236,H236)-1),(RANK(H236,H$11:H$368)+COUNTIF(H$11:H236,H236)-1)))</f>
        <v/>
      </c>
      <c r="J236" s="35"/>
      <c r="K236" s="28" t="str">
        <f t="shared" si="82"/>
        <v/>
      </c>
      <c r="L236" s="36" t="str">
        <f t="shared" si="75"/>
        <v/>
      </c>
      <c r="M236" s="102" t="str">
        <f t="shared" si="83"/>
        <v/>
      </c>
      <c r="N236" s="101" t="str">
        <f t="shared" si="84"/>
        <v/>
      </c>
      <c r="O236" s="94" t="str">
        <f t="shared" si="76"/>
        <v/>
      </c>
      <c r="P236" s="94" t="str">
        <f t="shared" si="91"/>
        <v/>
      </c>
      <c r="Q236" s="94" t="str">
        <f t="shared" si="92"/>
        <v/>
      </c>
      <c r="R236" s="90" t="str">
        <f t="shared" si="93"/>
        <v/>
      </c>
      <c r="S236" s="37" t="str">
        <f t="shared" si="85"/>
        <v/>
      </c>
      <c r="T236" s="176" t="str">
        <f>IF(L236="","",VLOOKUP(L236,classifications!C:K,9,FALSE))</f>
        <v/>
      </c>
      <c r="U236" s="183" t="str">
        <f t="shared" si="77"/>
        <v/>
      </c>
      <c r="V236" s="184" t="str">
        <f>IF(U236="","",IF($I$8="A",(RANK(U236,U$11:U$368)+COUNTIF(U$11:U236,U236)-1),(RANK(U236,U$11:U$368,1)+COUNTIF(U$11:U236,U236)-1)))</f>
        <v/>
      </c>
      <c r="W236" s="185"/>
      <c r="X236" s="38" t="str">
        <f>IF(L236="","",VLOOKUP($L236,classifications!$C:$J,6,FALSE))</f>
        <v/>
      </c>
      <c r="Y236" s="26" t="b">
        <f t="shared" si="78"/>
        <v>0</v>
      </c>
      <c r="Z236" s="34" t="e">
        <f>IF(Y236="","",IF(I$8="A",(RANK(Y236,Y$11:Y$368,1)+COUNTIF(Y$11:Y236,Y236)-1),(RANK(Y236,Y$11:Y$368)+COUNTIF(Y$11:Y236,Y236)-1)))</f>
        <v>#N/A</v>
      </c>
      <c r="AA236" s="188" t="str">
        <f>IF(L236="","",VLOOKUP($L236,classifications!C:I,7,FALSE))</f>
        <v/>
      </c>
      <c r="AB236" s="184" t="str">
        <f t="shared" si="86"/>
        <v/>
      </c>
      <c r="AC236" s="184" t="str">
        <f>IF(AB236="","",IF($I$8="A",(RANK(AB236,AB$11:AB$368)+COUNTIF(AB$11:AB236,AB236)-1),(RANK(AB236,AB$11:AB$368,1)+COUNTIF(AB$11:AB236,AB236)-1)))</f>
        <v/>
      </c>
      <c r="AD236" s="184"/>
      <c r="AE236" s="28" t="str">
        <f t="shared" si="96"/>
        <v/>
      </c>
      <c r="AG236" s="96"/>
      <c r="AH236" s="29"/>
      <c r="AI236" s="38" t="str">
        <f>IF(L236="","",VLOOKUP($L236,classifications!$C:$J,8,FALSE))</f>
        <v/>
      </c>
      <c r="AJ236" s="39" t="str">
        <f t="shared" si="79"/>
        <v/>
      </c>
      <c r="AK236" s="34" t="str">
        <f>IF(AJ236="","",IF(I$8="A",(RANK(AJ236,AJ$11:AJ$368,1)+COUNTIF(AJ$11:AJ236,AJ236)-1),(RANK(AJ236,AJ$11:AJ$368)+COUNTIF(AJ$11:AJ236,AJ236)-1)))</f>
        <v/>
      </c>
      <c r="AL236" s="29" t="str">
        <f t="shared" si="87"/>
        <v/>
      </c>
      <c r="AM236" s="8" t="str">
        <f t="shared" si="80"/>
        <v/>
      </c>
      <c r="AN236" s="8" t="str">
        <f t="shared" si="88"/>
        <v/>
      </c>
      <c r="AP236" s="38" t="str">
        <f>IF(L236="","",VLOOKUP($L236,classifications!$C:$E,3,FALSE))</f>
        <v/>
      </c>
      <c r="AQ236" s="39" t="str">
        <f t="shared" si="89"/>
        <v/>
      </c>
      <c r="AR236" s="34" t="str">
        <f>IF(AQ236="","",IF(I$8="A",(RANK(AQ236,AQ$11:AQ$368,1)+COUNTIF(AQ$11:AQ236,AQ236)-1),(RANK(AQ236,AQ$11:AQ$368)+COUNTIF(AQ$11:AQ236,AQ236)-1)))</f>
        <v/>
      </c>
      <c r="AS236" s="29" t="str">
        <f t="shared" si="90"/>
        <v/>
      </c>
      <c r="AT236" s="34" t="str">
        <f t="shared" si="81"/>
        <v/>
      </c>
      <c r="AU236" s="39" t="str">
        <f t="shared" si="94"/>
        <v/>
      </c>
      <c r="AX236" s="21">
        <f>HLOOKUP($AX$9&amp;$AX$10,Data!$A$1:$ZZ$2000,(MATCH($C236,Data!$A$1:$A$2000,0)),FALSE)</f>
        <v>0</v>
      </c>
      <c r="AY236" s="103"/>
      <c r="AZ236" s="21"/>
    </row>
    <row r="237" spans="1:52">
      <c r="A237" s="56" t="str">
        <f>$D$1&amp;227</f>
        <v>SC227</v>
      </c>
      <c r="B237" s="57">
        <f>IF(ISERROR(VLOOKUP(A237,classifications!A:C,3,FALSE)),0,VLOOKUP(A237,classifications!A:C,3,FALSE))</f>
        <v>0</v>
      </c>
      <c r="C237" s="8" t="s">
        <v>284</v>
      </c>
      <c r="D237" s="26" t="str">
        <f>VLOOKUP($C237,classifications!$C:$J,4,FALSE)</f>
        <v>UA</v>
      </c>
      <c r="E237" s="26">
        <f>VLOOKUP(C237,classifications!C:K,9,FALSE)</f>
        <v>0</v>
      </c>
      <c r="F237" s="36">
        <f t="shared" si="73"/>
        <v>20.609343732176185</v>
      </c>
      <c r="G237" s="71"/>
      <c r="H237" s="37" t="str">
        <f t="shared" si="74"/>
        <v/>
      </c>
      <c r="I237" s="77" t="str">
        <f>IF(H237="","",IF($I$8="A",(RANK(H237,H$11:H$368,1)+COUNTIF(H$11:H237,H237)-1),(RANK(H237,H$11:H$368)+COUNTIF(H$11:H237,H237)-1)))</f>
        <v/>
      </c>
      <c r="J237" s="35"/>
      <c r="K237" s="28" t="str">
        <f t="shared" si="82"/>
        <v/>
      </c>
      <c r="L237" s="36" t="str">
        <f t="shared" si="75"/>
        <v/>
      </c>
      <c r="M237" s="102" t="str">
        <f t="shared" si="83"/>
        <v/>
      </c>
      <c r="N237" s="101" t="str">
        <f t="shared" si="84"/>
        <v/>
      </c>
      <c r="O237" s="94" t="str">
        <f t="shared" si="76"/>
        <v/>
      </c>
      <c r="P237" s="94" t="str">
        <f t="shared" si="91"/>
        <v/>
      </c>
      <c r="Q237" s="94" t="str">
        <f t="shared" si="92"/>
        <v/>
      </c>
      <c r="R237" s="90" t="str">
        <f t="shared" si="93"/>
        <v/>
      </c>
      <c r="S237" s="37" t="str">
        <f t="shared" si="85"/>
        <v/>
      </c>
      <c r="T237" s="176" t="str">
        <f>IF(L237="","",VLOOKUP(L237,classifications!C:K,9,FALSE))</f>
        <v/>
      </c>
      <c r="U237" s="183" t="str">
        <f t="shared" si="77"/>
        <v/>
      </c>
      <c r="V237" s="184" t="str">
        <f>IF(U237="","",IF($I$8="A",(RANK(U237,U$11:U$368)+COUNTIF(U$11:U237,U237)-1),(RANK(U237,U$11:U$368,1)+COUNTIF(U$11:U237,U237)-1)))</f>
        <v/>
      </c>
      <c r="W237" s="185"/>
      <c r="X237" s="38" t="str">
        <f>IF(L237="","",VLOOKUP($L237,classifications!$C:$J,6,FALSE))</f>
        <v/>
      </c>
      <c r="Y237" s="26" t="b">
        <f t="shared" si="78"/>
        <v>0</v>
      </c>
      <c r="Z237" s="34" t="e">
        <f>IF(Y237="","",IF(I$8="A",(RANK(Y237,Y$11:Y$368,1)+COUNTIF(Y$11:Y237,Y237)-1),(RANK(Y237,Y$11:Y$368)+COUNTIF(Y$11:Y237,Y237)-1)))</f>
        <v>#N/A</v>
      </c>
      <c r="AA237" s="188" t="str">
        <f>IF(L237="","",VLOOKUP($L237,classifications!C:I,7,FALSE))</f>
        <v/>
      </c>
      <c r="AB237" s="184" t="str">
        <f t="shared" si="86"/>
        <v/>
      </c>
      <c r="AC237" s="184" t="str">
        <f>IF(AB237="","",IF($I$8="A",(RANK(AB237,AB$11:AB$368)+COUNTIF(AB$11:AB237,AB237)-1),(RANK(AB237,AB$11:AB$368,1)+COUNTIF(AB$11:AB237,AB237)-1)))</f>
        <v/>
      </c>
      <c r="AD237" s="184"/>
      <c r="AE237" s="28" t="str">
        <f t="shared" si="96"/>
        <v/>
      </c>
      <c r="AG237" s="96"/>
      <c r="AH237" s="29"/>
      <c r="AI237" s="38" t="str">
        <f>IF(L237="","",VLOOKUP($L237,classifications!$C:$J,8,FALSE))</f>
        <v/>
      </c>
      <c r="AJ237" s="39" t="str">
        <f t="shared" si="79"/>
        <v/>
      </c>
      <c r="AK237" s="34" t="str">
        <f>IF(AJ237="","",IF(I$8="A",(RANK(AJ237,AJ$11:AJ$368,1)+COUNTIF(AJ$11:AJ237,AJ237)-1),(RANK(AJ237,AJ$11:AJ$368)+COUNTIF(AJ$11:AJ237,AJ237)-1)))</f>
        <v/>
      </c>
      <c r="AL237" s="29" t="str">
        <f t="shared" si="87"/>
        <v/>
      </c>
      <c r="AM237" s="8" t="str">
        <f t="shared" si="80"/>
        <v/>
      </c>
      <c r="AN237" s="8" t="str">
        <f t="shared" si="88"/>
        <v/>
      </c>
      <c r="AP237" s="38" t="str">
        <f>IF(L237="","",VLOOKUP($L237,classifications!$C:$E,3,FALSE))</f>
        <v/>
      </c>
      <c r="AQ237" s="39" t="str">
        <f t="shared" si="89"/>
        <v/>
      </c>
      <c r="AR237" s="34" t="str">
        <f>IF(AQ237="","",IF(I$8="A",(RANK(AQ237,AQ$11:AQ$368,1)+COUNTIF(AQ$11:AQ237,AQ237)-1),(RANK(AQ237,AQ$11:AQ$368)+COUNTIF(AQ$11:AQ237,AQ237)-1)))</f>
        <v/>
      </c>
      <c r="AS237" s="29" t="str">
        <f t="shared" si="90"/>
        <v/>
      </c>
      <c r="AT237" s="34" t="str">
        <f t="shared" si="81"/>
        <v/>
      </c>
      <c r="AU237" s="39" t="str">
        <f t="shared" si="94"/>
        <v/>
      </c>
      <c r="AX237" s="21">
        <f>HLOOKUP($AX$9&amp;$AX$10,Data!$A$1:$ZZ$2000,(MATCH($C237,Data!$A$1:$A$2000,0)),FALSE)</f>
        <v>20.609343732176185</v>
      </c>
      <c r="AY237" s="103"/>
      <c r="AZ237" s="21"/>
    </row>
    <row r="238" spans="1:52">
      <c r="A238" s="56" t="str">
        <f>$D$1&amp;228</f>
        <v>SC228</v>
      </c>
      <c r="B238" s="57">
        <f>IF(ISERROR(VLOOKUP(A238,classifications!A:C,3,FALSE)),0,VLOOKUP(A238,classifications!A:C,3,FALSE))</f>
        <v>0</v>
      </c>
      <c r="C238" s="8" t="s">
        <v>216</v>
      </c>
      <c r="D238" s="26" t="str">
        <f>VLOOKUP($C238,classifications!$C:$J,4,FALSE)</f>
        <v>L</v>
      </c>
      <c r="E238" s="26">
        <f>VLOOKUP(C238,classifications!C:K,9,FALSE)</f>
        <v>0</v>
      </c>
      <c r="F238" s="36">
        <f t="shared" si="73"/>
        <v>9.3640252878705414</v>
      </c>
      <c r="G238" s="71"/>
      <c r="H238" s="37" t="str">
        <f t="shared" si="74"/>
        <v/>
      </c>
      <c r="I238" s="77" t="str">
        <f>IF(H238="","",IF($I$8="A",(RANK(H238,H$11:H$368,1)+COUNTIF(H$11:H238,H238)-1),(RANK(H238,H$11:H$368)+COUNTIF(H$11:H238,H238)-1)))</f>
        <v/>
      </c>
      <c r="J238" s="35"/>
      <c r="K238" s="28" t="str">
        <f t="shared" si="82"/>
        <v/>
      </c>
      <c r="L238" s="36" t="str">
        <f t="shared" si="75"/>
        <v/>
      </c>
      <c r="M238" s="102" t="str">
        <f t="shared" si="83"/>
        <v/>
      </c>
      <c r="N238" s="101" t="str">
        <f t="shared" si="84"/>
        <v/>
      </c>
      <c r="O238" s="94" t="str">
        <f t="shared" si="76"/>
        <v/>
      </c>
      <c r="P238" s="94" t="str">
        <f t="shared" si="91"/>
        <v/>
      </c>
      <c r="Q238" s="94" t="str">
        <f t="shared" si="92"/>
        <v/>
      </c>
      <c r="R238" s="90" t="str">
        <f t="shared" si="93"/>
        <v/>
      </c>
      <c r="S238" s="37" t="str">
        <f t="shared" si="85"/>
        <v/>
      </c>
      <c r="T238" s="176" t="str">
        <f>IF(L238="","",VLOOKUP(L238,classifications!C:K,9,FALSE))</f>
        <v/>
      </c>
      <c r="U238" s="183" t="str">
        <f t="shared" si="77"/>
        <v/>
      </c>
      <c r="V238" s="184" t="str">
        <f>IF(U238="","",IF($I$8="A",(RANK(U238,U$11:U$368)+COUNTIF(U$11:U238,U238)-1),(RANK(U238,U$11:U$368,1)+COUNTIF(U$11:U238,U238)-1)))</f>
        <v/>
      </c>
      <c r="W238" s="185"/>
      <c r="X238" s="38" t="str">
        <f>IF(L238="","",VLOOKUP($L238,classifications!$C:$J,6,FALSE))</f>
        <v/>
      </c>
      <c r="Y238" s="26" t="b">
        <f t="shared" si="78"/>
        <v>0</v>
      </c>
      <c r="Z238" s="34" t="e">
        <f>IF(Y238="","",IF(I$8="A",(RANK(Y238,Y$11:Y$368,1)+COUNTIF(Y$11:Y238,Y238)-1),(RANK(Y238,Y$11:Y$368)+COUNTIF(Y$11:Y238,Y238)-1)))</f>
        <v>#N/A</v>
      </c>
      <c r="AA238" s="188" t="str">
        <f>IF(L238="","",VLOOKUP($L238,classifications!C:I,7,FALSE))</f>
        <v/>
      </c>
      <c r="AB238" s="184" t="str">
        <f t="shared" si="86"/>
        <v/>
      </c>
      <c r="AC238" s="184" t="str">
        <f>IF(AB238="","",IF($I$8="A",(RANK(AB238,AB$11:AB$368)+COUNTIF(AB$11:AB238,AB238)-1),(RANK(AB238,AB$11:AB$368,1)+COUNTIF(AB$11:AB238,AB238)-1)))</f>
        <v/>
      </c>
      <c r="AD238" s="184"/>
      <c r="AE238" s="28" t="str">
        <f t="shared" si="96"/>
        <v/>
      </c>
      <c r="AG238" s="96"/>
      <c r="AH238" s="29"/>
      <c r="AI238" s="38" t="str">
        <f>IF(L238="","",VLOOKUP($L238,classifications!$C:$J,8,FALSE))</f>
        <v/>
      </c>
      <c r="AJ238" s="39" t="str">
        <f t="shared" si="79"/>
        <v/>
      </c>
      <c r="AK238" s="34" t="str">
        <f>IF(AJ238="","",IF(I$8="A",(RANK(AJ238,AJ$11:AJ$368,1)+COUNTIF(AJ$11:AJ238,AJ238)-1),(RANK(AJ238,AJ$11:AJ$368)+COUNTIF(AJ$11:AJ238,AJ238)-1)))</f>
        <v/>
      </c>
      <c r="AL238" s="29" t="str">
        <f t="shared" si="87"/>
        <v/>
      </c>
      <c r="AM238" s="8" t="str">
        <f t="shared" si="80"/>
        <v/>
      </c>
      <c r="AN238" s="8" t="str">
        <f t="shared" si="88"/>
        <v/>
      </c>
      <c r="AP238" s="38" t="str">
        <f>IF(L238="","",VLOOKUP($L238,classifications!$C:$E,3,FALSE))</f>
        <v/>
      </c>
      <c r="AQ238" s="39" t="str">
        <f t="shared" si="89"/>
        <v/>
      </c>
      <c r="AR238" s="34" t="str">
        <f>IF(AQ238="","",IF(I$8="A",(RANK(AQ238,AQ$11:AQ$368,1)+COUNTIF(AQ$11:AQ238,AQ238)-1),(RANK(AQ238,AQ$11:AQ$368)+COUNTIF(AQ$11:AQ238,AQ238)-1)))</f>
        <v/>
      </c>
      <c r="AS238" s="29" t="str">
        <f t="shared" si="90"/>
        <v/>
      </c>
      <c r="AT238" s="34" t="str">
        <f t="shared" si="81"/>
        <v/>
      </c>
      <c r="AU238" s="39" t="str">
        <f t="shared" si="94"/>
        <v/>
      </c>
      <c r="AX238" s="21">
        <f>HLOOKUP($AX$9&amp;$AX$10,Data!$A$1:$ZZ$2000,(MATCH($C238,Data!$A$1:$A$2000,0)),FALSE)</f>
        <v>9.3640252878705414</v>
      </c>
      <c r="AY238" s="103"/>
      <c r="AZ238" s="21"/>
    </row>
    <row r="239" spans="1:52">
      <c r="A239" s="56" t="str">
        <f>$D$1&amp;229</f>
        <v>SC229</v>
      </c>
      <c r="B239" s="57">
        <f>IF(ISERROR(VLOOKUP(A239,classifications!A:C,3,FALSE)),0,VLOOKUP(A239,classifications!A:C,3,FALSE))</f>
        <v>0</v>
      </c>
      <c r="C239" s="8" t="s">
        <v>809</v>
      </c>
      <c r="D239" s="26" t="str">
        <f>VLOOKUP($C239,classifications!$C:$J,4,FALSE)</f>
        <v>UA</v>
      </c>
      <c r="E239" s="26">
        <f>VLOOKUP(C239,classifications!C:K,9,FALSE)</f>
        <v>0</v>
      </c>
      <c r="F239" s="36">
        <f t="shared" si="73"/>
        <v>17.638914822674185</v>
      </c>
      <c r="G239" s="71"/>
      <c r="H239" s="37" t="str">
        <f t="shared" si="74"/>
        <v/>
      </c>
      <c r="I239" s="77" t="str">
        <f>IF(H239="","",IF($I$8="A",(RANK(H239,H$11:H$368,1)+COUNTIF(H$11:H239,H239)-1),(RANK(H239,H$11:H$368)+COUNTIF(H$11:H239,H239)-1)))</f>
        <v/>
      </c>
      <c r="J239" s="35"/>
      <c r="K239" s="28" t="str">
        <f t="shared" si="82"/>
        <v/>
      </c>
      <c r="L239" s="36" t="str">
        <f t="shared" si="75"/>
        <v/>
      </c>
      <c r="M239" s="102" t="str">
        <f t="shared" si="83"/>
        <v/>
      </c>
      <c r="N239" s="101" t="str">
        <f t="shared" si="84"/>
        <v/>
      </c>
      <c r="O239" s="94" t="str">
        <f t="shared" si="76"/>
        <v/>
      </c>
      <c r="P239" s="94" t="str">
        <f t="shared" si="91"/>
        <v/>
      </c>
      <c r="Q239" s="94" t="str">
        <f t="shared" si="92"/>
        <v/>
      </c>
      <c r="R239" s="90" t="str">
        <f t="shared" si="93"/>
        <v/>
      </c>
      <c r="S239" s="37" t="str">
        <f t="shared" si="85"/>
        <v/>
      </c>
      <c r="T239" s="176" t="str">
        <f>IF(L239="","",VLOOKUP(L239,classifications!C:K,9,FALSE))</f>
        <v/>
      </c>
      <c r="U239" s="183" t="str">
        <f t="shared" si="77"/>
        <v/>
      </c>
      <c r="V239" s="184" t="str">
        <f>IF(U239="","",IF($I$8="A",(RANK(U239,U$11:U$368)+COUNTIF(U$11:U239,U239)-1),(RANK(U239,U$11:U$368,1)+COUNTIF(U$11:U239,U239)-1)))</f>
        <v/>
      </c>
      <c r="W239" s="185"/>
      <c r="X239" s="38" t="str">
        <f>IF(L239="","",VLOOKUP($L239,classifications!$C:$J,6,FALSE))</f>
        <v/>
      </c>
      <c r="Y239" s="26" t="b">
        <f t="shared" si="78"/>
        <v>0</v>
      </c>
      <c r="Z239" s="34" t="e">
        <f>IF(Y239="","",IF(I$8="A",(RANK(Y239,Y$11:Y$368,1)+COUNTIF(Y$11:Y239,Y239)-1),(RANK(Y239,Y$11:Y$368)+COUNTIF(Y$11:Y239,Y239)-1)))</f>
        <v>#N/A</v>
      </c>
      <c r="AA239" s="188" t="str">
        <f>IF(L239="","",VLOOKUP($L239,classifications!C:I,7,FALSE))</f>
        <v/>
      </c>
      <c r="AB239" s="184" t="str">
        <f t="shared" si="86"/>
        <v/>
      </c>
      <c r="AC239" s="184" t="str">
        <f>IF(AB239="","",IF($I$8="A",(RANK(AB239,AB$11:AB$368)+COUNTIF(AB$11:AB239,AB239)-1),(RANK(AB239,AB$11:AB$368,1)+COUNTIF(AB$11:AB239,AB239)-1)))</f>
        <v/>
      </c>
      <c r="AD239" s="184"/>
      <c r="AE239" s="28" t="str">
        <f t="shared" si="96"/>
        <v/>
      </c>
      <c r="AG239" s="96"/>
      <c r="AH239" s="29"/>
      <c r="AI239" s="38" t="str">
        <f>IF(L239="","",VLOOKUP($L239,classifications!$C:$J,8,FALSE))</f>
        <v/>
      </c>
      <c r="AJ239" s="39" t="str">
        <f t="shared" si="79"/>
        <v/>
      </c>
      <c r="AK239" s="34" t="str">
        <f>IF(AJ239="","",IF(I$8="A",(RANK(AJ239,AJ$11:AJ$368,1)+COUNTIF(AJ$11:AJ239,AJ239)-1),(RANK(AJ239,AJ$11:AJ$368)+COUNTIF(AJ$11:AJ239,AJ239)-1)))</f>
        <v/>
      </c>
      <c r="AL239" s="29" t="str">
        <f t="shared" si="87"/>
        <v/>
      </c>
      <c r="AM239" s="8" t="str">
        <f t="shared" si="80"/>
        <v/>
      </c>
      <c r="AN239" s="8" t="str">
        <f t="shared" si="88"/>
        <v/>
      </c>
      <c r="AP239" s="38" t="str">
        <f>IF(L239="","",VLOOKUP($L239,classifications!$C:$E,3,FALSE))</f>
        <v/>
      </c>
      <c r="AQ239" s="39" t="str">
        <f t="shared" si="89"/>
        <v/>
      </c>
      <c r="AR239" s="34" t="str">
        <f>IF(AQ239="","",IF(I$8="A",(RANK(AQ239,AQ$11:AQ$368,1)+COUNTIF(AQ$11:AQ239,AQ239)-1),(RANK(AQ239,AQ$11:AQ$368)+COUNTIF(AQ$11:AQ239,AQ239)-1)))</f>
        <v/>
      </c>
      <c r="AS239" s="29" t="str">
        <f t="shared" si="90"/>
        <v/>
      </c>
      <c r="AT239" s="34" t="str">
        <f t="shared" si="81"/>
        <v/>
      </c>
      <c r="AU239" s="39" t="str">
        <f t="shared" si="94"/>
        <v/>
      </c>
      <c r="AX239" s="21">
        <f>HLOOKUP($AX$9&amp;$AX$10,Data!$A$1:$ZZ$2000,(MATCH($C239,Data!$A$1:$A$2000,0)),FALSE)</f>
        <v>17.638914822674185</v>
      </c>
      <c r="AY239" s="103"/>
      <c r="AZ239" s="21"/>
    </row>
    <row r="240" spans="1:52">
      <c r="A240" s="56" t="str">
        <f>$D$1&amp;230</f>
        <v>SC230</v>
      </c>
      <c r="B240" s="57">
        <f>IF(ISERROR(VLOOKUP(A240,classifications!A:C,3,FALSE)),0,VLOOKUP(A240,classifications!A:C,3,FALSE))</f>
        <v>0</v>
      </c>
      <c r="C240" s="8" t="s">
        <v>122</v>
      </c>
      <c r="D240" s="26" t="str">
        <f>VLOOKUP($C240,classifications!$C:$J,4,FALSE)</f>
        <v>SD</v>
      </c>
      <c r="E240" s="26">
        <f>VLOOKUP(C240,classifications!C:K,9,FALSE)</f>
        <v>0</v>
      </c>
      <c r="F240" s="36">
        <f t="shared" si="73"/>
        <v>12.205825836819791</v>
      </c>
      <c r="G240" s="71"/>
      <c r="H240" s="37" t="str">
        <f t="shared" si="74"/>
        <v/>
      </c>
      <c r="I240" s="77" t="str">
        <f>IF(H240="","",IF($I$8="A",(RANK(H240,H$11:H$368,1)+COUNTIF(H$11:H240,H240)-1),(RANK(H240,H$11:H$368)+COUNTIF(H$11:H240,H240)-1)))</f>
        <v/>
      </c>
      <c r="J240" s="35"/>
      <c r="K240" s="28" t="str">
        <f t="shared" si="82"/>
        <v/>
      </c>
      <c r="L240" s="36" t="str">
        <f t="shared" si="75"/>
        <v/>
      </c>
      <c r="M240" s="102" t="str">
        <f t="shared" si="83"/>
        <v/>
      </c>
      <c r="N240" s="101" t="str">
        <f t="shared" si="84"/>
        <v/>
      </c>
      <c r="O240" s="94" t="str">
        <f t="shared" si="76"/>
        <v/>
      </c>
      <c r="P240" s="94" t="str">
        <f t="shared" si="91"/>
        <v/>
      </c>
      <c r="Q240" s="94" t="str">
        <f t="shared" si="92"/>
        <v/>
      </c>
      <c r="R240" s="90" t="str">
        <f t="shared" si="93"/>
        <v/>
      </c>
      <c r="S240" s="37" t="str">
        <f t="shared" si="85"/>
        <v/>
      </c>
      <c r="T240" s="176" t="str">
        <f>IF(L240="","",VLOOKUP(L240,classifications!C:K,9,FALSE))</f>
        <v/>
      </c>
      <c r="U240" s="183" t="str">
        <f t="shared" si="77"/>
        <v/>
      </c>
      <c r="V240" s="184" t="str">
        <f>IF(U240="","",IF($I$8="A",(RANK(U240,U$11:U$368)+COUNTIF(U$11:U240,U240)-1),(RANK(U240,U$11:U$368,1)+COUNTIF(U$11:U240,U240)-1)))</f>
        <v/>
      </c>
      <c r="W240" s="185"/>
      <c r="X240" s="38" t="str">
        <f>IF(L240="","",VLOOKUP($L240,classifications!$C:$J,6,FALSE))</f>
        <v/>
      </c>
      <c r="Y240" s="26" t="b">
        <f t="shared" si="78"/>
        <v>0</v>
      </c>
      <c r="Z240" s="34" t="e">
        <f>IF(Y240="","",IF(I$8="A",(RANK(Y240,Y$11:Y$368,1)+COUNTIF(Y$11:Y240,Y240)-1),(RANK(Y240,Y$11:Y$368)+COUNTIF(Y$11:Y240,Y240)-1)))</f>
        <v>#N/A</v>
      </c>
      <c r="AA240" s="188" t="str">
        <f>IF(L240="","",VLOOKUP($L240,classifications!C:I,7,FALSE))</f>
        <v/>
      </c>
      <c r="AB240" s="184" t="str">
        <f t="shared" si="86"/>
        <v/>
      </c>
      <c r="AC240" s="184" t="str">
        <f>IF(AB240="","",IF($I$8="A",(RANK(AB240,AB$11:AB$368)+COUNTIF(AB$11:AB240,AB240)-1),(RANK(AB240,AB$11:AB$368,1)+COUNTIF(AB$11:AB240,AB240)-1)))</f>
        <v/>
      </c>
      <c r="AD240" s="184"/>
      <c r="AE240" s="28" t="str">
        <f t="shared" si="96"/>
        <v/>
      </c>
      <c r="AG240" s="96"/>
      <c r="AH240" s="29"/>
      <c r="AI240" s="38" t="str">
        <f>IF(L240="","",VLOOKUP($L240,classifications!$C:$J,8,FALSE))</f>
        <v/>
      </c>
      <c r="AJ240" s="39" t="str">
        <f t="shared" si="79"/>
        <v/>
      </c>
      <c r="AK240" s="34" t="str">
        <f>IF(AJ240="","",IF(I$8="A",(RANK(AJ240,AJ$11:AJ$368,1)+COUNTIF(AJ$11:AJ240,AJ240)-1),(RANK(AJ240,AJ$11:AJ$368)+COUNTIF(AJ$11:AJ240,AJ240)-1)))</f>
        <v/>
      </c>
      <c r="AL240" s="29" t="str">
        <f t="shared" si="87"/>
        <v/>
      </c>
      <c r="AM240" s="8" t="str">
        <f t="shared" si="80"/>
        <v/>
      </c>
      <c r="AN240" s="8" t="str">
        <f t="shared" si="88"/>
        <v/>
      </c>
      <c r="AP240" s="38" t="str">
        <f>IF(L240="","",VLOOKUP($L240,classifications!$C:$E,3,FALSE))</f>
        <v/>
      </c>
      <c r="AQ240" s="39" t="str">
        <f t="shared" si="89"/>
        <v/>
      </c>
      <c r="AR240" s="34" t="str">
        <f>IF(AQ240="","",IF(I$8="A",(RANK(AQ240,AQ$11:AQ$368,1)+COUNTIF(AQ$11:AQ240,AQ240)-1),(RANK(AQ240,AQ$11:AQ$368)+COUNTIF(AQ$11:AQ240,AQ240)-1)))</f>
        <v/>
      </c>
      <c r="AS240" s="29" t="str">
        <f t="shared" si="90"/>
        <v/>
      </c>
      <c r="AT240" s="34" t="str">
        <f t="shared" si="81"/>
        <v/>
      </c>
      <c r="AU240" s="39" t="str">
        <f t="shared" si="94"/>
        <v/>
      </c>
      <c r="AX240" s="21">
        <f>HLOOKUP($AX$9&amp;$AX$10,Data!$A$1:$ZZ$2000,(MATCH($C240,Data!$A$1:$A$2000,0)),FALSE)</f>
        <v>12.205825836819791</v>
      </c>
      <c r="AY240" s="103"/>
      <c r="AZ240" s="21"/>
    </row>
    <row r="241" spans="1:52">
      <c r="A241" s="56" t="str">
        <f>$D$1&amp;231</f>
        <v>SC231</v>
      </c>
      <c r="B241" s="57">
        <f>IF(ISERROR(VLOOKUP(A241,classifications!A:C,3,FALSE)),0,VLOOKUP(A241,classifications!A:C,3,FALSE))</f>
        <v>0</v>
      </c>
      <c r="C241" s="8" t="s">
        <v>349</v>
      </c>
      <c r="D241" s="26" t="str">
        <f>VLOOKUP($C241,classifications!$C:$J,4,FALSE)</f>
        <v>SD</v>
      </c>
      <c r="E241" s="26">
        <f>VLOOKUP(C241,classifications!C:K,9,FALSE)</f>
        <v>0</v>
      </c>
      <c r="F241" s="36">
        <f t="shared" si="73"/>
        <v>18.772847434650188</v>
      </c>
      <c r="G241" s="71"/>
      <c r="H241" s="37" t="str">
        <f t="shared" si="74"/>
        <v/>
      </c>
      <c r="I241" s="77" t="str">
        <f>IF(H241="","",IF($I$8="A",(RANK(H241,H$11:H$368,1)+COUNTIF(H$11:H241,H241)-1),(RANK(H241,H$11:H$368)+COUNTIF(H$11:H241,H241)-1)))</f>
        <v/>
      </c>
      <c r="J241" s="35"/>
      <c r="K241" s="28" t="str">
        <f t="shared" si="82"/>
        <v/>
      </c>
      <c r="L241" s="36" t="str">
        <f t="shared" si="75"/>
        <v/>
      </c>
      <c r="M241" s="102" t="str">
        <f t="shared" si="83"/>
        <v/>
      </c>
      <c r="N241" s="101" t="str">
        <f t="shared" si="84"/>
        <v/>
      </c>
      <c r="O241" s="94" t="str">
        <f t="shared" si="76"/>
        <v/>
      </c>
      <c r="P241" s="94" t="str">
        <f t="shared" si="91"/>
        <v/>
      </c>
      <c r="Q241" s="94" t="str">
        <f t="shared" si="92"/>
        <v/>
      </c>
      <c r="R241" s="90" t="str">
        <f t="shared" si="93"/>
        <v/>
      </c>
      <c r="S241" s="37" t="str">
        <f t="shared" si="85"/>
        <v/>
      </c>
      <c r="T241" s="176" t="str">
        <f>IF(L241="","",VLOOKUP(L241,classifications!C:K,9,FALSE))</f>
        <v/>
      </c>
      <c r="U241" s="183" t="str">
        <f t="shared" si="77"/>
        <v/>
      </c>
      <c r="V241" s="184" t="str">
        <f>IF(U241="","",IF($I$8="A",(RANK(U241,U$11:U$368)+COUNTIF(U$11:U241,U241)-1),(RANK(U241,U$11:U$368,1)+COUNTIF(U$11:U241,U241)-1)))</f>
        <v/>
      </c>
      <c r="W241" s="185"/>
      <c r="X241" s="38" t="str">
        <f>IF(L241="","",VLOOKUP($L241,classifications!$C:$J,6,FALSE))</f>
        <v/>
      </c>
      <c r="Y241" s="26" t="b">
        <f t="shared" si="78"/>
        <v>0</v>
      </c>
      <c r="Z241" s="34" t="e">
        <f>IF(Y241="","",IF(I$8="A",(RANK(Y241,Y$11:Y$368,1)+COUNTIF(Y$11:Y241,Y241)-1),(RANK(Y241,Y$11:Y$368)+COUNTIF(Y$11:Y241,Y241)-1)))</f>
        <v>#N/A</v>
      </c>
      <c r="AA241" s="188" t="str">
        <f>IF(L241="","",VLOOKUP($L241,classifications!C:I,7,FALSE))</f>
        <v/>
      </c>
      <c r="AB241" s="184" t="str">
        <f t="shared" si="86"/>
        <v/>
      </c>
      <c r="AC241" s="184" t="str">
        <f>IF(AB241="","",IF($I$8="A",(RANK(AB241,AB$11:AB$368)+COUNTIF(AB$11:AB241,AB241)-1),(RANK(AB241,AB$11:AB$368,1)+COUNTIF(AB$11:AB241,AB241)-1)))</f>
        <v/>
      </c>
      <c r="AD241" s="184"/>
      <c r="AE241" s="28" t="str">
        <f t="shared" si="96"/>
        <v/>
      </c>
      <c r="AG241" s="96"/>
      <c r="AH241" s="29"/>
      <c r="AI241" s="38" t="str">
        <f>IF(L241="","",VLOOKUP($L241,classifications!$C:$J,8,FALSE))</f>
        <v/>
      </c>
      <c r="AJ241" s="39" t="str">
        <f t="shared" si="79"/>
        <v/>
      </c>
      <c r="AK241" s="34" t="str">
        <f>IF(AJ241="","",IF(I$8="A",(RANK(AJ241,AJ$11:AJ$368,1)+COUNTIF(AJ$11:AJ241,AJ241)-1),(RANK(AJ241,AJ$11:AJ$368)+COUNTIF(AJ$11:AJ241,AJ241)-1)))</f>
        <v/>
      </c>
      <c r="AL241" s="29" t="str">
        <f t="shared" si="87"/>
        <v/>
      </c>
      <c r="AM241" s="8" t="str">
        <f t="shared" si="80"/>
        <v/>
      </c>
      <c r="AN241" s="8" t="str">
        <f t="shared" si="88"/>
        <v/>
      </c>
      <c r="AP241" s="38" t="str">
        <f>IF(L241="","",VLOOKUP($L241,classifications!$C:$E,3,FALSE))</f>
        <v/>
      </c>
      <c r="AQ241" s="39" t="str">
        <f t="shared" si="89"/>
        <v/>
      </c>
      <c r="AR241" s="34" t="str">
        <f>IF(AQ241="","",IF(I$8="A",(RANK(AQ241,AQ$11:AQ$368,1)+COUNTIF(AQ$11:AQ241,AQ241)-1),(RANK(AQ241,AQ$11:AQ$368)+COUNTIF(AQ$11:AQ241,AQ241)-1)))</f>
        <v/>
      </c>
      <c r="AS241" s="29" t="str">
        <f t="shared" si="90"/>
        <v/>
      </c>
      <c r="AT241" s="34" t="str">
        <f t="shared" si="81"/>
        <v/>
      </c>
      <c r="AU241" s="39" t="str">
        <f t="shared" si="94"/>
        <v/>
      </c>
      <c r="AX241" s="21">
        <f>HLOOKUP($AX$9&amp;$AX$10,Data!$A$1:$ZZ$2000,(MATCH($C241,Data!$A$1:$A$2000,0)),FALSE)</f>
        <v>18.772847434650188</v>
      </c>
      <c r="AY241" s="103"/>
      <c r="AZ241" s="21"/>
    </row>
    <row r="242" spans="1:52">
      <c r="A242" s="56" t="str">
        <f>$D$1&amp;232</f>
        <v>SC232</v>
      </c>
      <c r="B242" s="57">
        <f>IF(ISERROR(VLOOKUP(A242,classifications!A:C,3,FALSE)),0,VLOOKUP(A242,classifications!A:C,3,FALSE))</f>
        <v>0</v>
      </c>
      <c r="C242" s="8" t="s">
        <v>123</v>
      </c>
      <c r="D242" s="26" t="str">
        <f>VLOOKUP($C242,classifications!$C:$J,4,FALSE)</f>
        <v>SD</v>
      </c>
      <c r="E242" s="26" t="str">
        <f>VLOOKUP(C242,classifications!C:K,9,FALSE)</f>
        <v>Sparse</v>
      </c>
      <c r="F242" s="36">
        <f t="shared" si="73"/>
        <v>15.668652755814627</v>
      </c>
      <c r="G242" s="71"/>
      <c r="H242" s="37" t="str">
        <f t="shared" si="74"/>
        <v/>
      </c>
      <c r="I242" s="77" t="str">
        <f>IF(H242="","",IF($I$8="A",(RANK(H242,H$11:H$368,1)+COUNTIF(H$11:H242,H242)-1),(RANK(H242,H$11:H$368)+COUNTIF(H$11:H242,H242)-1)))</f>
        <v/>
      </c>
      <c r="J242" s="35"/>
      <c r="K242" s="28" t="str">
        <f t="shared" si="82"/>
        <v/>
      </c>
      <c r="L242" s="36" t="str">
        <f t="shared" si="75"/>
        <v/>
      </c>
      <c r="M242" s="102" t="str">
        <f t="shared" si="83"/>
        <v/>
      </c>
      <c r="N242" s="101" t="str">
        <f t="shared" si="84"/>
        <v/>
      </c>
      <c r="O242" s="94" t="str">
        <f t="shared" si="76"/>
        <v/>
      </c>
      <c r="P242" s="94" t="str">
        <f t="shared" si="91"/>
        <v/>
      </c>
      <c r="Q242" s="94" t="str">
        <f t="shared" si="92"/>
        <v/>
      </c>
      <c r="R242" s="90" t="str">
        <f t="shared" si="93"/>
        <v/>
      </c>
      <c r="S242" s="37" t="str">
        <f t="shared" si="85"/>
        <v/>
      </c>
      <c r="T242" s="176" t="str">
        <f>IF(L242="","",VLOOKUP(L242,classifications!C:K,9,FALSE))</f>
        <v/>
      </c>
      <c r="U242" s="183" t="str">
        <f t="shared" si="77"/>
        <v/>
      </c>
      <c r="V242" s="184" t="str">
        <f>IF(U242="","",IF($I$8="A",(RANK(U242,U$11:U$368)+COUNTIF(U$11:U242,U242)-1),(RANK(U242,U$11:U$368,1)+COUNTIF(U$11:U242,U242)-1)))</f>
        <v/>
      </c>
      <c r="W242" s="185"/>
      <c r="X242" s="38" t="str">
        <f>IF(L242="","",VLOOKUP($L242,classifications!$C:$J,6,FALSE))</f>
        <v/>
      </c>
      <c r="Y242" s="26" t="b">
        <f t="shared" si="78"/>
        <v>0</v>
      </c>
      <c r="Z242" s="34" t="e">
        <f>IF(Y242="","",IF(I$8="A",(RANK(Y242,Y$11:Y$368,1)+COUNTIF(Y$11:Y242,Y242)-1),(RANK(Y242,Y$11:Y$368)+COUNTIF(Y$11:Y242,Y242)-1)))</f>
        <v>#N/A</v>
      </c>
      <c r="AA242" s="188" t="str">
        <f>IF(L242="","",VLOOKUP($L242,classifications!C:I,7,FALSE))</f>
        <v/>
      </c>
      <c r="AB242" s="184" t="str">
        <f t="shared" si="86"/>
        <v/>
      </c>
      <c r="AC242" s="184" t="str">
        <f>IF(AB242="","",IF($I$8="A",(RANK(AB242,AB$11:AB$368)+COUNTIF(AB$11:AB242,AB242)-1),(RANK(AB242,AB$11:AB$368,1)+COUNTIF(AB$11:AB242,AB242)-1)))</f>
        <v/>
      </c>
      <c r="AD242" s="184"/>
      <c r="AE242" s="28" t="str">
        <f t="shared" si="96"/>
        <v/>
      </c>
      <c r="AG242" s="96"/>
      <c r="AH242" s="29"/>
      <c r="AI242" s="38" t="str">
        <f>IF(L242="","",VLOOKUP($L242,classifications!$C:$J,8,FALSE))</f>
        <v/>
      </c>
      <c r="AJ242" s="39" t="str">
        <f t="shared" si="79"/>
        <v/>
      </c>
      <c r="AK242" s="34" t="str">
        <f>IF(AJ242="","",IF(I$8="A",(RANK(AJ242,AJ$11:AJ$368,1)+COUNTIF(AJ$11:AJ242,AJ242)-1),(RANK(AJ242,AJ$11:AJ$368)+COUNTIF(AJ$11:AJ242,AJ242)-1)))</f>
        <v/>
      </c>
      <c r="AL242" s="29" t="str">
        <f t="shared" si="87"/>
        <v/>
      </c>
      <c r="AM242" s="8" t="str">
        <f t="shared" si="80"/>
        <v/>
      </c>
      <c r="AN242" s="8" t="str">
        <f t="shared" si="88"/>
        <v/>
      </c>
      <c r="AP242" s="38" t="str">
        <f>IF(L242="","",VLOOKUP($L242,classifications!$C:$E,3,FALSE))</f>
        <v/>
      </c>
      <c r="AQ242" s="39" t="str">
        <f t="shared" si="89"/>
        <v/>
      </c>
      <c r="AR242" s="34" t="str">
        <f>IF(AQ242="","",IF(I$8="A",(RANK(AQ242,AQ$11:AQ$368,1)+COUNTIF(AQ$11:AQ242,AQ242)-1),(RANK(AQ242,AQ$11:AQ$368)+COUNTIF(AQ$11:AQ242,AQ242)-1)))</f>
        <v/>
      </c>
      <c r="AS242" s="29" t="str">
        <f t="shared" si="90"/>
        <v/>
      </c>
      <c r="AT242" s="34" t="str">
        <f t="shared" si="81"/>
        <v/>
      </c>
      <c r="AU242" s="39" t="str">
        <f t="shared" si="94"/>
        <v/>
      </c>
      <c r="AX242" s="21">
        <f>HLOOKUP($AX$9&amp;$AX$10,Data!$A$1:$ZZ$2000,(MATCH($C242,Data!$A$1:$A$2000,0)),FALSE)</f>
        <v>15.668652755814627</v>
      </c>
      <c r="AY242" s="103"/>
      <c r="AZ242" s="21"/>
    </row>
    <row r="243" spans="1:52">
      <c r="A243" s="56" t="str">
        <f>$D$1&amp;233</f>
        <v>SC233</v>
      </c>
      <c r="B243" s="57">
        <f>IF(ISERROR(VLOOKUP(A243,classifications!A:C,3,FALSE)),0,VLOOKUP(A243,classifications!A:C,3,FALSE))</f>
        <v>0</v>
      </c>
      <c r="C243" s="8" t="s">
        <v>394</v>
      </c>
      <c r="D243" s="26" t="str">
        <f>VLOOKUP($C243,classifications!$C:$J,4,FALSE)</f>
        <v>L</v>
      </c>
      <c r="E243" s="26">
        <f>VLOOKUP(C243,classifications!C:K,9,FALSE)</f>
        <v>0</v>
      </c>
      <c r="F243" s="36">
        <f t="shared" si="73"/>
        <v>36.33106038912409</v>
      </c>
      <c r="G243" s="71"/>
      <c r="H243" s="37" t="str">
        <f t="shared" si="74"/>
        <v/>
      </c>
      <c r="I243" s="77" t="str">
        <f>IF(H243="","",IF($I$8="A",(RANK(H243,H$11:H$368,1)+COUNTIF(H$11:H243,H243)-1),(RANK(H243,H$11:H$368)+COUNTIF(H$11:H243,H243)-1)))</f>
        <v/>
      </c>
      <c r="J243" s="35"/>
      <c r="K243" s="28" t="str">
        <f t="shared" si="82"/>
        <v/>
      </c>
      <c r="L243" s="36" t="str">
        <f t="shared" si="75"/>
        <v/>
      </c>
      <c r="M243" s="102" t="str">
        <f t="shared" si="83"/>
        <v/>
      </c>
      <c r="N243" s="101" t="str">
        <f t="shared" si="84"/>
        <v/>
      </c>
      <c r="O243" s="94" t="str">
        <f t="shared" si="76"/>
        <v/>
      </c>
      <c r="P243" s="94" t="str">
        <f t="shared" si="91"/>
        <v/>
      </c>
      <c r="Q243" s="94" t="str">
        <f t="shared" si="92"/>
        <v/>
      </c>
      <c r="R243" s="90" t="str">
        <f t="shared" si="93"/>
        <v/>
      </c>
      <c r="S243" s="37" t="str">
        <f t="shared" si="85"/>
        <v/>
      </c>
      <c r="T243" s="176" t="str">
        <f>IF(L243="","",VLOOKUP(L243,classifications!C:K,9,FALSE))</f>
        <v/>
      </c>
      <c r="U243" s="183" t="str">
        <f t="shared" si="77"/>
        <v/>
      </c>
      <c r="V243" s="184" t="str">
        <f>IF(U243="","",IF($I$8="A",(RANK(U243,U$11:U$368)+COUNTIF(U$11:U243,U243)-1),(RANK(U243,U$11:U$368,1)+COUNTIF(U$11:U243,U243)-1)))</f>
        <v/>
      </c>
      <c r="W243" s="185"/>
      <c r="X243" s="38" t="str">
        <f>IF(L243="","",VLOOKUP($L243,classifications!$C:$J,6,FALSE))</f>
        <v/>
      </c>
      <c r="Y243" s="26" t="b">
        <f t="shared" si="78"/>
        <v>0</v>
      </c>
      <c r="Z243" s="34" t="e">
        <f>IF(Y243="","",IF(I$8="A",(RANK(Y243,Y$11:Y$368,1)+COUNTIF(Y$11:Y243,Y243)-1),(RANK(Y243,Y$11:Y$368)+COUNTIF(Y$11:Y243,Y243)-1)))</f>
        <v>#N/A</v>
      </c>
      <c r="AA243" s="188" t="str">
        <f>IF(L243="","",VLOOKUP($L243,classifications!C:I,7,FALSE))</f>
        <v/>
      </c>
      <c r="AB243" s="184" t="str">
        <f t="shared" si="86"/>
        <v/>
      </c>
      <c r="AC243" s="184" t="str">
        <f>IF(AB243="","",IF($I$8="A",(RANK(AB243,AB$11:AB$368)+COUNTIF(AB$11:AB243,AB243)-1),(RANK(AB243,AB$11:AB$368,1)+COUNTIF(AB$11:AB243,AB243)-1)))</f>
        <v/>
      </c>
      <c r="AD243" s="184"/>
      <c r="AE243" s="28" t="str">
        <f t="shared" si="96"/>
        <v/>
      </c>
      <c r="AG243" s="96"/>
      <c r="AH243" s="29"/>
      <c r="AI243" s="38" t="str">
        <f>IF(L243="","",VLOOKUP($L243,classifications!$C:$J,8,FALSE))</f>
        <v/>
      </c>
      <c r="AJ243" s="39" t="str">
        <f t="shared" si="79"/>
        <v/>
      </c>
      <c r="AK243" s="34" t="str">
        <f>IF(AJ243="","",IF(I$8="A",(RANK(AJ243,AJ$11:AJ$368,1)+COUNTIF(AJ$11:AJ243,AJ243)-1),(RANK(AJ243,AJ$11:AJ$368)+COUNTIF(AJ$11:AJ243,AJ243)-1)))</f>
        <v/>
      </c>
      <c r="AL243" s="29" t="str">
        <f t="shared" si="87"/>
        <v/>
      </c>
      <c r="AM243" s="8" t="str">
        <f t="shared" si="80"/>
        <v/>
      </c>
      <c r="AN243" s="8" t="str">
        <f t="shared" si="88"/>
        <v/>
      </c>
      <c r="AP243" s="38" t="str">
        <f>IF(L243="","",VLOOKUP($L243,classifications!$C:$E,3,FALSE))</f>
        <v/>
      </c>
      <c r="AQ243" s="39" t="str">
        <f t="shared" si="89"/>
        <v/>
      </c>
      <c r="AR243" s="34" t="str">
        <f>IF(AQ243="","",IF(I$8="A",(RANK(AQ243,AQ$11:AQ$368,1)+COUNTIF(AQ$11:AQ243,AQ243)-1),(RANK(AQ243,AQ$11:AQ$368)+COUNTIF(AQ$11:AQ243,AQ243)-1)))</f>
        <v/>
      </c>
      <c r="AS243" s="29" t="str">
        <f t="shared" si="90"/>
        <v/>
      </c>
      <c r="AT243" s="34" t="str">
        <f t="shared" si="81"/>
        <v/>
      </c>
      <c r="AU243" s="39" t="str">
        <f t="shared" si="94"/>
        <v/>
      </c>
      <c r="AX243" s="21">
        <f>HLOOKUP($AX$9&amp;$AX$10,Data!$A$1:$ZZ$2000,(MATCH($C243,Data!$A$1:$A$2000,0)),FALSE)</f>
        <v>36.33106038912409</v>
      </c>
      <c r="AY243" s="103"/>
      <c r="AZ243" s="21"/>
    </row>
    <row r="244" spans="1:52">
      <c r="A244" s="56" t="str">
        <f>$D$1&amp;234</f>
        <v>SC234</v>
      </c>
      <c r="B244" s="57">
        <f>IF(ISERROR(VLOOKUP(A244,classifications!A:C,3,FALSE)),0,VLOOKUP(A244,classifications!A:C,3,FALSE))</f>
        <v>0</v>
      </c>
      <c r="C244" s="8" t="s">
        <v>124</v>
      </c>
      <c r="D244" s="26" t="str">
        <f>VLOOKUP($C244,classifications!$C:$J,4,FALSE)</f>
        <v>SD</v>
      </c>
      <c r="E244" s="26" t="str">
        <f>VLOOKUP(C244,classifications!C:K,9,FALSE)</f>
        <v>Sparse</v>
      </c>
      <c r="F244" s="36">
        <f t="shared" si="73"/>
        <v>16.035130753519304</v>
      </c>
      <c r="G244" s="71"/>
      <c r="H244" s="37" t="str">
        <f t="shared" si="74"/>
        <v/>
      </c>
      <c r="I244" s="77" t="str">
        <f>IF(H244="","",IF($I$8="A",(RANK(H244,H$11:H$368,1)+COUNTIF(H$11:H244,H244)-1),(RANK(H244,H$11:H$368)+COUNTIF(H$11:H244,H244)-1)))</f>
        <v/>
      </c>
      <c r="J244" s="35"/>
      <c r="K244" s="28" t="str">
        <f t="shared" si="82"/>
        <v/>
      </c>
      <c r="L244" s="36" t="str">
        <f t="shared" si="75"/>
        <v/>
      </c>
      <c r="M244" s="102" t="str">
        <f t="shared" si="83"/>
        <v/>
      </c>
      <c r="N244" s="101" t="str">
        <f t="shared" si="84"/>
        <v/>
      </c>
      <c r="O244" s="94" t="str">
        <f t="shared" si="76"/>
        <v/>
      </c>
      <c r="P244" s="94" t="str">
        <f t="shared" si="91"/>
        <v/>
      </c>
      <c r="Q244" s="94" t="str">
        <f t="shared" si="92"/>
        <v/>
      </c>
      <c r="R244" s="90" t="str">
        <f t="shared" si="93"/>
        <v/>
      </c>
      <c r="S244" s="37" t="str">
        <f t="shared" si="85"/>
        <v/>
      </c>
      <c r="T244" s="176" t="str">
        <f>IF(L244="","",VLOOKUP(L244,classifications!C:K,9,FALSE))</f>
        <v/>
      </c>
      <c r="U244" s="183" t="str">
        <f t="shared" si="77"/>
        <v/>
      </c>
      <c r="V244" s="184" t="str">
        <f>IF(U244="","",IF($I$8="A",(RANK(U244,U$11:U$368)+COUNTIF(U$11:U244,U244)-1),(RANK(U244,U$11:U$368,1)+COUNTIF(U$11:U244,U244)-1)))</f>
        <v/>
      </c>
      <c r="W244" s="185"/>
      <c r="X244" s="38" t="str">
        <f>IF(L244="","",VLOOKUP($L244,classifications!$C:$J,6,FALSE))</f>
        <v/>
      </c>
      <c r="Y244" s="26" t="b">
        <f t="shared" si="78"/>
        <v>0</v>
      </c>
      <c r="Z244" s="34" t="e">
        <f>IF(Y244="","",IF(I$8="A",(RANK(Y244,Y$11:Y$368,1)+COUNTIF(Y$11:Y244,Y244)-1),(RANK(Y244,Y$11:Y$368)+COUNTIF(Y$11:Y244,Y244)-1)))</f>
        <v>#N/A</v>
      </c>
      <c r="AA244" s="188" t="str">
        <f>IF(L244="","",VLOOKUP($L244,classifications!C:I,7,FALSE))</f>
        <v/>
      </c>
      <c r="AB244" s="184" t="str">
        <f t="shared" si="86"/>
        <v/>
      </c>
      <c r="AC244" s="184" t="str">
        <f>IF(AB244="","",IF($I$8="A",(RANK(AB244,AB$11:AB$368)+COUNTIF(AB$11:AB244,AB244)-1),(RANK(AB244,AB$11:AB$368,1)+COUNTIF(AB$11:AB244,AB244)-1)))</f>
        <v/>
      </c>
      <c r="AD244" s="184"/>
      <c r="AE244" s="28" t="str">
        <f t="shared" si="96"/>
        <v/>
      </c>
      <c r="AG244" s="96"/>
      <c r="AH244" s="29"/>
      <c r="AI244" s="38" t="str">
        <f>IF(L244="","",VLOOKUP($L244,classifications!$C:$J,8,FALSE))</f>
        <v/>
      </c>
      <c r="AJ244" s="39" t="str">
        <f t="shared" si="79"/>
        <v/>
      </c>
      <c r="AK244" s="34" t="str">
        <f>IF(AJ244="","",IF(I$8="A",(RANK(AJ244,AJ$11:AJ$368,1)+COUNTIF(AJ$11:AJ244,AJ244)-1),(RANK(AJ244,AJ$11:AJ$368)+COUNTIF(AJ$11:AJ244,AJ244)-1)))</f>
        <v/>
      </c>
      <c r="AL244" s="29" t="str">
        <f t="shared" si="87"/>
        <v/>
      </c>
      <c r="AM244" s="8" t="str">
        <f t="shared" si="80"/>
        <v/>
      </c>
      <c r="AN244" s="8" t="str">
        <f t="shared" si="88"/>
        <v/>
      </c>
      <c r="AP244" s="38" t="str">
        <f>IF(L244="","",VLOOKUP($L244,classifications!$C:$E,3,FALSE))</f>
        <v/>
      </c>
      <c r="AQ244" s="39" t="str">
        <f t="shared" si="89"/>
        <v/>
      </c>
      <c r="AR244" s="34" t="str">
        <f>IF(AQ244="","",IF(I$8="A",(RANK(AQ244,AQ$11:AQ$368,1)+COUNTIF(AQ$11:AQ244,AQ244)-1),(RANK(AQ244,AQ$11:AQ$368)+COUNTIF(AQ$11:AQ244,AQ244)-1)))</f>
        <v/>
      </c>
      <c r="AS244" s="29" t="str">
        <f t="shared" si="90"/>
        <v/>
      </c>
      <c r="AT244" s="34" t="str">
        <f t="shared" si="81"/>
        <v/>
      </c>
      <c r="AU244" s="39" t="str">
        <f t="shared" si="94"/>
        <v/>
      </c>
      <c r="AX244" s="21">
        <f>HLOOKUP($AX$9&amp;$AX$10,Data!$A$1:$ZZ$2000,(MATCH($C244,Data!$A$1:$A$2000,0)),FALSE)</f>
        <v>16.035130753519304</v>
      </c>
      <c r="AY244" s="103"/>
      <c r="AZ244" s="21"/>
    </row>
    <row r="245" spans="1:52">
      <c r="A245" s="56" t="str">
        <f>$D$1&amp;235</f>
        <v>SC235</v>
      </c>
      <c r="B245" s="57">
        <f>IF(ISERROR(VLOOKUP(A245,classifications!A:C,3,FALSE)),0,VLOOKUP(A245,classifications!A:C,3,FALSE))</f>
        <v>0</v>
      </c>
      <c r="C245" s="8" t="s">
        <v>240</v>
      </c>
      <c r="D245" s="26" t="str">
        <f>VLOOKUP($C245,classifications!$C:$J,4,FALSE)</f>
        <v>MD</v>
      </c>
      <c r="E245" s="26">
        <f>VLOOKUP(C245,classifications!C:K,9,FALSE)</f>
        <v>0</v>
      </c>
      <c r="F245" s="36">
        <f t="shared" si="73"/>
        <v>10.12925233246307</v>
      </c>
      <c r="G245" s="71"/>
      <c r="H245" s="37" t="str">
        <f t="shared" si="74"/>
        <v/>
      </c>
      <c r="I245" s="77" t="str">
        <f>IF(H245="","",IF($I$8="A",(RANK(H245,H$11:H$368,1)+COUNTIF(H$11:H245,H245)-1),(RANK(H245,H$11:H$368)+COUNTIF(H$11:H245,H245)-1)))</f>
        <v/>
      </c>
      <c r="J245" s="35"/>
      <c r="K245" s="28" t="str">
        <f t="shared" si="82"/>
        <v/>
      </c>
      <c r="L245" s="36" t="str">
        <f t="shared" si="75"/>
        <v/>
      </c>
      <c r="M245" s="102" t="str">
        <f t="shared" si="83"/>
        <v/>
      </c>
      <c r="N245" s="101" t="str">
        <f t="shared" si="84"/>
        <v/>
      </c>
      <c r="O245" s="94" t="str">
        <f t="shared" si="76"/>
        <v/>
      </c>
      <c r="P245" s="94" t="str">
        <f t="shared" si="91"/>
        <v/>
      </c>
      <c r="Q245" s="94" t="str">
        <f t="shared" si="92"/>
        <v/>
      </c>
      <c r="R245" s="90" t="str">
        <f t="shared" si="93"/>
        <v/>
      </c>
      <c r="S245" s="37" t="str">
        <f t="shared" si="85"/>
        <v/>
      </c>
      <c r="T245" s="176" t="str">
        <f>IF(L245="","",VLOOKUP(L245,classifications!C:K,9,FALSE))</f>
        <v/>
      </c>
      <c r="U245" s="183" t="str">
        <f t="shared" si="77"/>
        <v/>
      </c>
      <c r="V245" s="184" t="str">
        <f>IF(U245="","",IF($I$8="A",(RANK(U245,U$11:U$368)+COUNTIF(U$11:U245,U245)-1),(RANK(U245,U$11:U$368,1)+COUNTIF(U$11:U245,U245)-1)))</f>
        <v/>
      </c>
      <c r="W245" s="185"/>
      <c r="X245" s="38" t="str">
        <f>IF(L245="","",VLOOKUP($L245,classifications!$C:$J,6,FALSE))</f>
        <v/>
      </c>
      <c r="Y245" s="26" t="b">
        <f t="shared" si="78"/>
        <v>0</v>
      </c>
      <c r="Z245" s="34" t="e">
        <f>IF(Y245="","",IF(I$8="A",(RANK(Y245,Y$11:Y$368,1)+COUNTIF(Y$11:Y245,Y245)-1),(RANK(Y245,Y$11:Y$368)+COUNTIF(Y$11:Y245,Y245)-1)))</f>
        <v>#N/A</v>
      </c>
      <c r="AA245" s="188" t="str">
        <f>IF(L245="","",VLOOKUP($L245,classifications!C:I,7,FALSE))</f>
        <v/>
      </c>
      <c r="AB245" s="184" t="str">
        <f t="shared" si="86"/>
        <v/>
      </c>
      <c r="AC245" s="184" t="str">
        <f>IF(AB245="","",IF($I$8="A",(RANK(AB245,AB$11:AB$368)+COUNTIF(AB$11:AB245,AB245)-1),(RANK(AB245,AB$11:AB$368,1)+COUNTIF(AB$11:AB245,AB245)-1)))</f>
        <v/>
      </c>
      <c r="AD245" s="184"/>
      <c r="AE245" s="28" t="str">
        <f t="shared" si="96"/>
        <v/>
      </c>
      <c r="AG245" s="96"/>
      <c r="AH245" s="29"/>
      <c r="AI245" s="38" t="str">
        <f>IF(L245="","",VLOOKUP($L245,classifications!$C:$J,8,FALSE))</f>
        <v/>
      </c>
      <c r="AJ245" s="39" t="str">
        <f t="shared" si="79"/>
        <v/>
      </c>
      <c r="AK245" s="34" t="str">
        <f>IF(AJ245="","",IF(I$8="A",(RANK(AJ245,AJ$11:AJ$368,1)+COUNTIF(AJ$11:AJ245,AJ245)-1),(RANK(AJ245,AJ$11:AJ$368)+COUNTIF(AJ$11:AJ245,AJ245)-1)))</f>
        <v/>
      </c>
      <c r="AL245" s="29" t="str">
        <f t="shared" si="87"/>
        <v/>
      </c>
      <c r="AM245" s="8" t="str">
        <f t="shared" si="80"/>
        <v/>
      </c>
      <c r="AN245" s="8" t="str">
        <f t="shared" si="88"/>
        <v/>
      </c>
      <c r="AP245" s="38" t="str">
        <f>IF(L245="","",VLOOKUP($L245,classifications!$C:$E,3,FALSE))</f>
        <v/>
      </c>
      <c r="AQ245" s="39" t="str">
        <f t="shared" si="89"/>
        <v/>
      </c>
      <c r="AR245" s="34" t="str">
        <f>IF(AQ245="","",IF(I$8="A",(RANK(AQ245,AQ$11:AQ$368,1)+COUNTIF(AQ$11:AQ245,AQ245)-1),(RANK(AQ245,AQ$11:AQ$368)+COUNTIF(AQ$11:AQ245,AQ245)-1)))</f>
        <v/>
      </c>
      <c r="AS245" s="29" t="str">
        <f t="shared" si="90"/>
        <v/>
      </c>
      <c r="AT245" s="34" t="str">
        <f t="shared" si="81"/>
        <v/>
      </c>
      <c r="AU245" s="39" t="str">
        <f t="shared" si="94"/>
        <v/>
      </c>
      <c r="AX245" s="21">
        <f>HLOOKUP($AX$9&amp;$AX$10,Data!$A$1:$ZZ$2000,(MATCH($C245,Data!$A$1:$A$2000,0)),FALSE)</f>
        <v>10.12925233246307</v>
      </c>
      <c r="AY245" s="103"/>
      <c r="AZ245" s="21"/>
    </row>
    <row r="246" spans="1:52">
      <c r="A246" s="56" t="str">
        <f>$D$1&amp;236</f>
        <v>SC236</v>
      </c>
      <c r="B246" s="57">
        <f>IF(ISERROR(VLOOKUP(A246,classifications!A:C,3,FALSE)),0,VLOOKUP(A246,classifications!A:C,3,FALSE))</f>
        <v>0</v>
      </c>
      <c r="C246" s="8" t="s">
        <v>125</v>
      </c>
      <c r="D246" s="26" t="str">
        <f>VLOOKUP($C246,classifications!$C:$J,4,FALSE)</f>
        <v>SD</v>
      </c>
      <c r="E246" s="26">
        <f>VLOOKUP(C246,classifications!C:K,9,FALSE)</f>
        <v>0</v>
      </c>
      <c r="F246" s="36">
        <f t="shared" si="73"/>
        <v>15.692539888921086</v>
      </c>
      <c r="G246" s="71"/>
      <c r="H246" s="37" t="str">
        <f t="shared" si="74"/>
        <v/>
      </c>
      <c r="I246" s="77" t="str">
        <f>IF(H246="","",IF($I$8="A",(RANK(H246,H$11:H$368,1)+COUNTIF(H$11:H246,H246)-1),(RANK(H246,H$11:H$368)+COUNTIF(H$11:H246,H246)-1)))</f>
        <v/>
      </c>
      <c r="J246" s="35"/>
      <c r="K246" s="28" t="str">
        <f t="shared" si="82"/>
        <v/>
      </c>
      <c r="L246" s="36" t="str">
        <f t="shared" si="75"/>
        <v/>
      </c>
      <c r="M246" s="102" t="str">
        <f t="shared" si="83"/>
        <v/>
      </c>
      <c r="N246" s="101" t="str">
        <f t="shared" si="84"/>
        <v/>
      </c>
      <c r="O246" s="94" t="str">
        <f t="shared" si="76"/>
        <v/>
      </c>
      <c r="P246" s="94" t="str">
        <f t="shared" si="91"/>
        <v/>
      </c>
      <c r="Q246" s="94" t="str">
        <f t="shared" si="92"/>
        <v/>
      </c>
      <c r="R246" s="90" t="str">
        <f t="shared" si="93"/>
        <v/>
      </c>
      <c r="S246" s="37" t="str">
        <f t="shared" si="85"/>
        <v/>
      </c>
      <c r="T246" s="176" t="str">
        <f>IF(L246="","",VLOOKUP(L246,classifications!C:K,9,FALSE))</f>
        <v/>
      </c>
      <c r="U246" s="183" t="str">
        <f t="shared" si="77"/>
        <v/>
      </c>
      <c r="V246" s="184" t="str">
        <f>IF(U246="","",IF($I$8="A",(RANK(U246,U$11:U$368)+COUNTIF(U$11:U246,U246)-1),(RANK(U246,U$11:U$368,1)+COUNTIF(U$11:U246,U246)-1)))</f>
        <v/>
      </c>
      <c r="W246" s="185"/>
      <c r="X246" s="38" t="str">
        <f>IF(L246="","",VLOOKUP($L246,classifications!$C:$J,6,FALSE))</f>
        <v/>
      </c>
      <c r="Y246" s="26" t="b">
        <f t="shared" si="78"/>
        <v>0</v>
      </c>
      <c r="Z246" s="34" t="e">
        <f>IF(Y246="","",IF(I$8="A",(RANK(Y246,Y$11:Y$368,1)+COUNTIF(Y$11:Y246,Y246)-1),(RANK(Y246,Y$11:Y$368)+COUNTIF(Y$11:Y246,Y246)-1)))</f>
        <v>#N/A</v>
      </c>
      <c r="AA246" s="188" t="str">
        <f>IF(L246="","",VLOOKUP($L246,classifications!C:I,7,FALSE))</f>
        <v/>
      </c>
      <c r="AB246" s="184" t="str">
        <f t="shared" si="86"/>
        <v/>
      </c>
      <c r="AC246" s="184" t="str">
        <f>IF(AB246="","",IF($I$8="A",(RANK(AB246,AB$11:AB$368)+COUNTIF(AB$11:AB246,AB246)-1),(RANK(AB246,AB$11:AB$368,1)+COUNTIF(AB$11:AB246,AB246)-1)))</f>
        <v/>
      </c>
      <c r="AD246" s="184"/>
      <c r="AE246" s="28" t="str">
        <f t="shared" si="96"/>
        <v/>
      </c>
      <c r="AG246" s="96"/>
      <c r="AH246" s="29"/>
      <c r="AI246" s="38" t="str">
        <f>IF(L246="","",VLOOKUP($L246,classifications!$C:$J,8,FALSE))</f>
        <v/>
      </c>
      <c r="AJ246" s="39" t="str">
        <f t="shared" si="79"/>
        <v/>
      </c>
      <c r="AK246" s="34" t="str">
        <f>IF(AJ246="","",IF(I$8="A",(RANK(AJ246,AJ$11:AJ$368,1)+COUNTIF(AJ$11:AJ246,AJ246)-1),(RANK(AJ246,AJ$11:AJ$368)+COUNTIF(AJ$11:AJ246,AJ246)-1)))</f>
        <v/>
      </c>
      <c r="AL246" s="29" t="str">
        <f t="shared" si="87"/>
        <v/>
      </c>
      <c r="AM246" s="8" t="str">
        <f t="shared" si="80"/>
        <v/>
      </c>
      <c r="AN246" s="8" t="str">
        <f t="shared" si="88"/>
        <v/>
      </c>
      <c r="AP246" s="38" t="str">
        <f>IF(L246="","",VLOOKUP($L246,classifications!$C:$E,3,FALSE))</f>
        <v/>
      </c>
      <c r="AQ246" s="39" t="str">
        <f t="shared" si="89"/>
        <v/>
      </c>
      <c r="AR246" s="34" t="str">
        <f>IF(AQ246="","",IF(I$8="A",(RANK(AQ246,AQ$11:AQ$368,1)+COUNTIF(AQ$11:AQ246,AQ246)-1),(RANK(AQ246,AQ$11:AQ$368)+COUNTIF(AQ$11:AQ246,AQ246)-1)))</f>
        <v/>
      </c>
      <c r="AS246" s="29" t="str">
        <f t="shared" si="90"/>
        <v/>
      </c>
      <c r="AT246" s="34" t="str">
        <f t="shared" si="81"/>
        <v/>
      </c>
      <c r="AU246" s="39" t="str">
        <f t="shared" si="94"/>
        <v/>
      </c>
      <c r="AX246" s="21">
        <f>HLOOKUP($AX$9&amp;$AX$10,Data!$A$1:$ZZ$2000,(MATCH($C246,Data!$A$1:$A$2000,0)),FALSE)</f>
        <v>15.692539888921086</v>
      </c>
      <c r="AY246" s="103"/>
      <c r="AZ246" s="21"/>
    </row>
    <row r="247" spans="1:52">
      <c r="A247" s="56" t="str">
        <f>$D$1&amp;237</f>
        <v>SC237</v>
      </c>
      <c r="B247" s="57">
        <f>IF(ISERROR(VLOOKUP(A247,classifications!A:C,3,FALSE)),0,VLOOKUP(A247,classifications!A:C,3,FALSE))</f>
        <v>0</v>
      </c>
      <c r="C247" s="8" t="s">
        <v>126</v>
      </c>
      <c r="D247" s="26" t="str">
        <f>VLOOKUP($C247,classifications!$C:$J,4,FALSE)</f>
        <v>SD</v>
      </c>
      <c r="E247" s="26">
        <f>VLOOKUP(C247,classifications!C:K,9,FALSE)</f>
        <v>0</v>
      </c>
      <c r="F247" s="36">
        <f t="shared" si="73"/>
        <v>10.366954294495082</v>
      </c>
      <c r="G247" s="71"/>
      <c r="H247" s="37" t="str">
        <f t="shared" si="74"/>
        <v/>
      </c>
      <c r="I247" s="77" t="str">
        <f>IF(H247="","",IF($I$8="A",(RANK(H247,H$11:H$368,1)+COUNTIF(H$11:H247,H247)-1),(RANK(H247,H$11:H$368)+COUNTIF(H$11:H247,H247)-1)))</f>
        <v/>
      </c>
      <c r="J247" s="35"/>
      <c r="K247" s="28" t="str">
        <f t="shared" si="82"/>
        <v/>
      </c>
      <c r="L247" s="36" t="str">
        <f t="shared" si="75"/>
        <v/>
      </c>
      <c r="M247" s="102" t="str">
        <f t="shared" si="83"/>
        <v/>
      </c>
      <c r="N247" s="101" t="str">
        <f t="shared" si="84"/>
        <v/>
      </c>
      <c r="O247" s="94" t="str">
        <f t="shared" si="76"/>
        <v/>
      </c>
      <c r="P247" s="94" t="str">
        <f t="shared" si="91"/>
        <v/>
      </c>
      <c r="Q247" s="94" t="str">
        <f t="shared" si="92"/>
        <v/>
      </c>
      <c r="R247" s="90" t="str">
        <f t="shared" si="93"/>
        <v/>
      </c>
      <c r="S247" s="37" t="str">
        <f t="shared" si="85"/>
        <v/>
      </c>
      <c r="T247" s="176" t="str">
        <f>IF(L247="","",VLOOKUP(L247,classifications!C:K,9,FALSE))</f>
        <v/>
      </c>
      <c r="U247" s="183" t="str">
        <f t="shared" si="77"/>
        <v/>
      </c>
      <c r="V247" s="184" t="str">
        <f>IF(U247="","",IF($I$8="A",(RANK(U247,U$11:U$368)+COUNTIF(U$11:U247,U247)-1),(RANK(U247,U$11:U$368,1)+COUNTIF(U$11:U247,U247)-1)))</f>
        <v/>
      </c>
      <c r="W247" s="185"/>
      <c r="X247" s="38" t="str">
        <f>IF(L247="","",VLOOKUP($L247,classifications!$C:$J,6,FALSE))</f>
        <v/>
      </c>
      <c r="Y247" s="26" t="b">
        <f t="shared" si="78"/>
        <v>0</v>
      </c>
      <c r="Z247" s="34" t="e">
        <f>IF(Y247="","",IF(I$8="A",(RANK(Y247,Y$11:Y$368,1)+COUNTIF(Y$11:Y247,Y247)-1),(RANK(Y247,Y$11:Y$368)+COUNTIF(Y$11:Y247,Y247)-1)))</f>
        <v>#N/A</v>
      </c>
      <c r="AA247" s="188" t="str">
        <f>IF(L247="","",VLOOKUP($L247,classifications!C:I,7,FALSE))</f>
        <v/>
      </c>
      <c r="AB247" s="184" t="str">
        <f t="shared" si="86"/>
        <v/>
      </c>
      <c r="AC247" s="184" t="str">
        <f>IF(AB247="","",IF($I$8="A",(RANK(AB247,AB$11:AB$368)+COUNTIF(AB$11:AB247,AB247)-1),(RANK(AB247,AB$11:AB$368,1)+COUNTIF(AB$11:AB247,AB247)-1)))</f>
        <v/>
      </c>
      <c r="AD247" s="184"/>
      <c r="AE247" s="28" t="str">
        <f t="shared" si="96"/>
        <v/>
      </c>
      <c r="AG247" s="96"/>
      <c r="AH247" s="29"/>
      <c r="AI247" s="38" t="str">
        <f>IF(L247="","",VLOOKUP($L247,classifications!$C:$J,8,FALSE))</f>
        <v/>
      </c>
      <c r="AJ247" s="39" t="str">
        <f t="shared" si="79"/>
        <v/>
      </c>
      <c r="AK247" s="34" t="str">
        <f>IF(AJ247="","",IF(I$8="A",(RANK(AJ247,AJ$11:AJ$368,1)+COUNTIF(AJ$11:AJ247,AJ247)-1),(RANK(AJ247,AJ$11:AJ$368)+COUNTIF(AJ$11:AJ247,AJ247)-1)))</f>
        <v/>
      </c>
      <c r="AL247" s="29" t="str">
        <f t="shared" si="87"/>
        <v/>
      </c>
      <c r="AM247" s="8" t="str">
        <f t="shared" si="80"/>
        <v/>
      </c>
      <c r="AN247" s="8" t="str">
        <f t="shared" si="88"/>
        <v/>
      </c>
      <c r="AP247" s="38" t="str">
        <f>IF(L247="","",VLOOKUP($L247,classifications!$C:$E,3,FALSE))</f>
        <v/>
      </c>
      <c r="AQ247" s="39" t="str">
        <f t="shared" si="89"/>
        <v/>
      </c>
      <c r="AR247" s="34" t="str">
        <f>IF(AQ247="","",IF(I$8="A",(RANK(AQ247,AQ$11:AQ$368,1)+COUNTIF(AQ$11:AQ247,AQ247)-1),(RANK(AQ247,AQ$11:AQ$368)+COUNTIF(AQ$11:AQ247,AQ247)-1)))</f>
        <v/>
      </c>
      <c r="AS247" s="29" t="str">
        <f t="shared" si="90"/>
        <v/>
      </c>
      <c r="AT247" s="34" t="str">
        <f t="shared" si="81"/>
        <v/>
      </c>
      <c r="AU247" s="39" t="str">
        <f t="shared" si="94"/>
        <v/>
      </c>
      <c r="AX247" s="21">
        <f>HLOOKUP($AX$9&amp;$AX$10,Data!$A$1:$ZZ$2000,(MATCH($C247,Data!$A$1:$A$2000,0)),FALSE)</f>
        <v>10.366954294495082</v>
      </c>
      <c r="AY247" s="103"/>
      <c r="AZ247" s="21"/>
    </row>
    <row r="248" spans="1:52">
      <c r="A248" s="56" t="str">
        <f>$D$1&amp;238</f>
        <v>SC238</v>
      </c>
      <c r="B248" s="57">
        <f>IF(ISERROR(VLOOKUP(A248,classifications!A:C,3,FALSE)),0,VLOOKUP(A248,classifications!A:C,3,FALSE))</f>
        <v>0</v>
      </c>
      <c r="C248" s="8" t="s">
        <v>127</v>
      </c>
      <c r="D248" s="26" t="str">
        <f>VLOOKUP($C248,classifications!$C:$J,4,FALSE)</f>
        <v>SD</v>
      </c>
      <c r="E248" s="26" t="str">
        <f>VLOOKUP(C248,classifications!C:K,9,FALSE)</f>
        <v>Sparse</v>
      </c>
      <c r="F248" s="36">
        <f t="shared" si="73"/>
        <v>11.260383953386798</v>
      </c>
      <c r="G248" s="71"/>
      <c r="H248" s="37" t="str">
        <f t="shared" si="74"/>
        <v/>
      </c>
      <c r="I248" s="77" t="str">
        <f>IF(H248="","",IF($I$8="A",(RANK(H248,H$11:H$368,1)+COUNTIF(H$11:H248,H248)-1),(RANK(H248,H$11:H$368)+COUNTIF(H$11:H248,H248)-1)))</f>
        <v/>
      </c>
      <c r="J248" s="35"/>
      <c r="K248" s="28" t="str">
        <f t="shared" si="82"/>
        <v/>
      </c>
      <c r="L248" s="36" t="str">
        <f t="shared" si="75"/>
        <v/>
      </c>
      <c r="M248" s="102" t="str">
        <f t="shared" si="83"/>
        <v/>
      </c>
      <c r="N248" s="101" t="str">
        <f t="shared" si="84"/>
        <v/>
      </c>
      <c r="O248" s="94" t="str">
        <f t="shared" si="76"/>
        <v/>
      </c>
      <c r="P248" s="94" t="str">
        <f t="shared" si="91"/>
        <v/>
      </c>
      <c r="Q248" s="94" t="str">
        <f t="shared" si="92"/>
        <v/>
      </c>
      <c r="R248" s="90" t="str">
        <f t="shared" si="93"/>
        <v/>
      </c>
      <c r="S248" s="37" t="str">
        <f t="shared" si="85"/>
        <v/>
      </c>
      <c r="T248" s="176" t="str">
        <f>IF(L248="","",VLOOKUP(L248,classifications!C:K,9,FALSE))</f>
        <v/>
      </c>
      <c r="U248" s="183" t="str">
        <f t="shared" si="77"/>
        <v/>
      </c>
      <c r="V248" s="184" t="str">
        <f>IF(U248="","",IF($I$8="A",(RANK(U248,U$11:U$368)+COUNTIF(U$11:U248,U248)-1),(RANK(U248,U$11:U$368,1)+COUNTIF(U$11:U248,U248)-1)))</f>
        <v/>
      </c>
      <c r="W248" s="185"/>
      <c r="X248" s="38" t="str">
        <f>IF(L248="","",VLOOKUP($L248,classifications!$C:$J,6,FALSE))</f>
        <v/>
      </c>
      <c r="Y248" s="26" t="b">
        <f t="shared" si="78"/>
        <v>0</v>
      </c>
      <c r="Z248" s="34" t="e">
        <f>IF(Y248="","",IF(I$8="A",(RANK(Y248,Y$11:Y$368,1)+COUNTIF(Y$11:Y248,Y248)-1),(RANK(Y248,Y$11:Y$368)+COUNTIF(Y$11:Y248,Y248)-1)))</f>
        <v>#N/A</v>
      </c>
      <c r="AA248" s="188" t="str">
        <f>IF(L248="","",VLOOKUP($L248,classifications!C:I,7,FALSE))</f>
        <v/>
      </c>
      <c r="AB248" s="184" t="str">
        <f t="shared" si="86"/>
        <v/>
      </c>
      <c r="AC248" s="184" t="str">
        <f>IF(AB248="","",IF($I$8="A",(RANK(AB248,AB$11:AB$368)+COUNTIF(AB$11:AB248,AB248)-1),(RANK(AB248,AB$11:AB$368,1)+COUNTIF(AB$11:AB248,AB248)-1)))</f>
        <v/>
      </c>
      <c r="AD248" s="184"/>
      <c r="AE248" s="28" t="str">
        <f t="shared" si="96"/>
        <v/>
      </c>
      <c r="AG248" s="96"/>
      <c r="AH248" s="29"/>
      <c r="AI248" s="38" t="str">
        <f>IF(L248="","",VLOOKUP($L248,classifications!$C:$J,8,FALSE))</f>
        <v/>
      </c>
      <c r="AJ248" s="39" t="str">
        <f t="shared" si="79"/>
        <v/>
      </c>
      <c r="AK248" s="34" t="str">
        <f>IF(AJ248="","",IF(I$8="A",(RANK(AJ248,AJ$11:AJ$368,1)+COUNTIF(AJ$11:AJ248,AJ248)-1),(RANK(AJ248,AJ$11:AJ$368)+COUNTIF(AJ$11:AJ248,AJ248)-1)))</f>
        <v/>
      </c>
      <c r="AL248" s="29" t="str">
        <f t="shared" si="87"/>
        <v/>
      </c>
      <c r="AM248" s="8" t="str">
        <f t="shared" si="80"/>
        <v/>
      </c>
      <c r="AN248" s="8" t="str">
        <f t="shared" si="88"/>
        <v/>
      </c>
      <c r="AP248" s="38" t="str">
        <f>IF(L248="","",VLOOKUP($L248,classifications!$C:$E,3,FALSE))</f>
        <v/>
      </c>
      <c r="AQ248" s="39" t="str">
        <f t="shared" si="89"/>
        <v/>
      </c>
      <c r="AR248" s="34" t="str">
        <f>IF(AQ248="","",IF(I$8="A",(RANK(AQ248,AQ$11:AQ$368,1)+COUNTIF(AQ$11:AQ248,AQ248)-1),(RANK(AQ248,AQ$11:AQ$368)+COUNTIF(AQ$11:AQ248,AQ248)-1)))</f>
        <v/>
      </c>
      <c r="AS248" s="29" t="str">
        <f t="shared" si="90"/>
        <v/>
      </c>
      <c r="AT248" s="34" t="str">
        <f t="shared" si="81"/>
        <v/>
      </c>
      <c r="AU248" s="39" t="str">
        <f t="shared" si="94"/>
        <v/>
      </c>
      <c r="AX248" s="21">
        <f>HLOOKUP($AX$9&amp;$AX$10,Data!$A$1:$ZZ$2000,(MATCH($C248,Data!$A$1:$A$2000,0)),FALSE)</f>
        <v>11.260383953386798</v>
      </c>
      <c r="AY248" s="103"/>
      <c r="AZ248" s="21"/>
    </row>
    <row r="249" spans="1:52">
      <c r="A249" s="56" t="str">
        <f>$D$1&amp;239</f>
        <v>SC239</v>
      </c>
      <c r="B249" s="57">
        <f>IF(ISERROR(VLOOKUP(A249,classifications!A:C,3,FALSE)),0,VLOOKUP(A249,classifications!A:C,3,FALSE))</f>
        <v>0</v>
      </c>
      <c r="C249" s="8" t="s">
        <v>241</v>
      </c>
      <c r="D249" s="26" t="str">
        <f>VLOOKUP($C249,classifications!$C:$J,4,FALSE)</f>
        <v>MD</v>
      </c>
      <c r="E249" s="26">
        <f>VLOOKUP(C249,classifications!C:K,9,FALSE)</f>
        <v>0</v>
      </c>
      <c r="F249" s="36">
        <f t="shared" si="73"/>
        <v>8.9773420997353046</v>
      </c>
      <c r="G249" s="71"/>
      <c r="H249" s="37" t="str">
        <f t="shared" si="74"/>
        <v/>
      </c>
      <c r="I249" s="77" t="str">
        <f>IF(H249="","",IF($I$8="A",(RANK(H249,H$11:H$368,1)+COUNTIF(H$11:H249,H249)-1),(RANK(H249,H$11:H$368)+COUNTIF(H$11:H249,H249)-1)))</f>
        <v/>
      </c>
      <c r="J249" s="35"/>
      <c r="K249" s="28" t="str">
        <f t="shared" si="82"/>
        <v/>
      </c>
      <c r="L249" s="36" t="str">
        <f t="shared" si="75"/>
        <v/>
      </c>
      <c r="M249" s="102" t="str">
        <f t="shared" si="83"/>
        <v/>
      </c>
      <c r="N249" s="101" t="str">
        <f t="shared" si="84"/>
        <v/>
      </c>
      <c r="O249" s="94" t="str">
        <f t="shared" si="76"/>
        <v/>
      </c>
      <c r="P249" s="94" t="str">
        <f t="shared" si="91"/>
        <v/>
      </c>
      <c r="Q249" s="94" t="str">
        <f t="shared" si="92"/>
        <v/>
      </c>
      <c r="R249" s="90" t="str">
        <f t="shared" si="93"/>
        <v/>
      </c>
      <c r="S249" s="37" t="str">
        <f t="shared" si="85"/>
        <v/>
      </c>
      <c r="T249" s="176" t="str">
        <f>IF(L249="","",VLOOKUP(L249,classifications!C:K,9,FALSE))</f>
        <v/>
      </c>
      <c r="U249" s="183" t="str">
        <f t="shared" si="77"/>
        <v/>
      </c>
      <c r="V249" s="184" t="str">
        <f>IF(U249="","",IF($I$8="A",(RANK(U249,U$11:U$368)+COUNTIF(U$11:U249,U249)-1),(RANK(U249,U$11:U$368,1)+COUNTIF(U$11:U249,U249)-1)))</f>
        <v/>
      </c>
      <c r="W249" s="185"/>
      <c r="X249" s="38" t="str">
        <f>IF(L249="","",VLOOKUP($L249,classifications!$C:$J,6,FALSE))</f>
        <v/>
      </c>
      <c r="Y249" s="26" t="b">
        <f t="shared" si="78"/>
        <v>0</v>
      </c>
      <c r="Z249" s="34" t="e">
        <f>IF(Y249="","",IF(I$8="A",(RANK(Y249,Y$11:Y$368,1)+COUNTIF(Y$11:Y249,Y249)-1),(RANK(Y249,Y$11:Y$368)+COUNTIF(Y$11:Y249,Y249)-1)))</f>
        <v>#N/A</v>
      </c>
      <c r="AA249" s="188" t="str">
        <f>IF(L249="","",VLOOKUP($L249,classifications!C:I,7,FALSE))</f>
        <v/>
      </c>
      <c r="AB249" s="184" t="str">
        <f t="shared" si="86"/>
        <v/>
      </c>
      <c r="AC249" s="184" t="str">
        <f>IF(AB249="","",IF($I$8="A",(RANK(AB249,AB$11:AB$368)+COUNTIF(AB$11:AB249,AB249)-1),(RANK(AB249,AB$11:AB$368,1)+COUNTIF(AB$11:AB249,AB249)-1)))</f>
        <v/>
      </c>
      <c r="AD249" s="184"/>
      <c r="AE249" s="28" t="str">
        <f t="shared" si="96"/>
        <v/>
      </c>
      <c r="AG249" s="96"/>
      <c r="AH249" s="29"/>
      <c r="AI249" s="38" t="str">
        <f>IF(L249="","",VLOOKUP($L249,classifications!$C:$J,8,FALSE))</f>
        <v/>
      </c>
      <c r="AJ249" s="39" t="str">
        <f t="shared" si="79"/>
        <v/>
      </c>
      <c r="AK249" s="34" t="str">
        <f>IF(AJ249="","",IF(I$8="A",(RANK(AJ249,AJ$11:AJ$368,1)+COUNTIF(AJ$11:AJ249,AJ249)-1),(RANK(AJ249,AJ$11:AJ$368)+COUNTIF(AJ$11:AJ249,AJ249)-1)))</f>
        <v/>
      </c>
      <c r="AL249" s="29" t="str">
        <f t="shared" si="87"/>
        <v/>
      </c>
      <c r="AM249" s="8" t="str">
        <f t="shared" si="80"/>
        <v/>
      </c>
      <c r="AN249" s="8" t="str">
        <f t="shared" si="88"/>
        <v/>
      </c>
      <c r="AP249" s="38" t="str">
        <f>IF(L249="","",VLOOKUP($L249,classifications!$C:$E,3,FALSE))</f>
        <v/>
      </c>
      <c r="AQ249" s="39" t="str">
        <f t="shared" si="89"/>
        <v/>
      </c>
      <c r="AR249" s="34" t="str">
        <f>IF(AQ249="","",IF(I$8="A",(RANK(AQ249,AQ$11:AQ$368,1)+COUNTIF(AQ$11:AQ249,AQ249)-1),(RANK(AQ249,AQ$11:AQ$368)+COUNTIF(AQ$11:AQ249,AQ249)-1)))</f>
        <v/>
      </c>
      <c r="AS249" s="29" t="str">
        <f t="shared" si="90"/>
        <v/>
      </c>
      <c r="AT249" s="34" t="str">
        <f t="shared" si="81"/>
        <v/>
      </c>
      <c r="AU249" s="39" t="str">
        <f t="shared" si="94"/>
        <v/>
      </c>
      <c r="AX249" s="21">
        <f>HLOOKUP($AX$9&amp;$AX$10,Data!$A$1:$ZZ$2000,(MATCH($C249,Data!$A$1:$A$2000,0)),FALSE)</f>
        <v>8.9773420997353046</v>
      </c>
      <c r="AY249" s="103"/>
      <c r="AZ249" s="21"/>
    </row>
    <row r="250" spans="1:52">
      <c r="A250" s="56" t="str">
        <f>$D$1&amp;240</f>
        <v>SC240</v>
      </c>
      <c r="B250" s="57">
        <f>IF(ISERROR(VLOOKUP(A250,classifications!A:C,3,FALSE)),0,VLOOKUP(A250,classifications!A:C,3,FALSE))</f>
        <v>0</v>
      </c>
      <c r="C250" s="8" t="s">
        <v>128</v>
      </c>
      <c r="D250" s="26" t="str">
        <f>VLOOKUP($C250,classifications!$C:$J,4,FALSE)</f>
        <v>SD</v>
      </c>
      <c r="E250" s="26" t="str">
        <f>VLOOKUP(C250,classifications!C:K,9,FALSE)</f>
        <v>Sparse</v>
      </c>
      <c r="F250" s="36">
        <f t="shared" si="73"/>
        <v>18.139179739764902</v>
      </c>
      <c r="G250" s="71"/>
      <c r="H250" s="37" t="str">
        <f t="shared" si="74"/>
        <v/>
      </c>
      <c r="I250" s="77" t="str">
        <f>IF(H250="","",IF($I$8="A",(RANK(H250,H$11:H$368,1)+COUNTIF(H$11:H250,H250)-1),(RANK(H250,H$11:H$368)+COUNTIF(H$11:H250,H250)-1)))</f>
        <v/>
      </c>
      <c r="J250" s="35"/>
      <c r="K250" s="28" t="str">
        <f t="shared" si="82"/>
        <v/>
      </c>
      <c r="L250" s="36" t="str">
        <f t="shared" si="75"/>
        <v/>
      </c>
      <c r="M250" s="102" t="str">
        <f t="shared" si="83"/>
        <v/>
      </c>
      <c r="N250" s="101" t="str">
        <f t="shared" si="84"/>
        <v/>
      </c>
      <c r="O250" s="94" t="str">
        <f t="shared" si="76"/>
        <v/>
      </c>
      <c r="P250" s="94" t="str">
        <f t="shared" si="91"/>
        <v/>
      </c>
      <c r="Q250" s="94" t="str">
        <f t="shared" si="92"/>
        <v/>
      </c>
      <c r="R250" s="90" t="str">
        <f t="shared" si="93"/>
        <v/>
      </c>
      <c r="S250" s="37" t="str">
        <f t="shared" si="85"/>
        <v/>
      </c>
      <c r="T250" s="176" t="str">
        <f>IF(L250="","",VLOOKUP(L250,classifications!C:K,9,FALSE))</f>
        <v/>
      </c>
      <c r="U250" s="183" t="str">
        <f t="shared" si="77"/>
        <v/>
      </c>
      <c r="V250" s="184" t="str">
        <f>IF(U250="","",IF($I$8="A",(RANK(U250,U$11:U$368)+COUNTIF(U$11:U250,U250)-1),(RANK(U250,U$11:U$368,1)+COUNTIF(U$11:U250,U250)-1)))</f>
        <v/>
      </c>
      <c r="W250" s="185"/>
      <c r="X250" s="38" t="str">
        <f>IF(L250="","",VLOOKUP($L250,classifications!$C:$J,6,FALSE))</f>
        <v/>
      </c>
      <c r="Y250" s="26" t="b">
        <f t="shared" si="78"/>
        <v>0</v>
      </c>
      <c r="Z250" s="34" t="e">
        <f>IF(Y250="","",IF(I$8="A",(RANK(Y250,Y$11:Y$368,1)+COUNTIF(Y$11:Y250,Y250)-1),(RANK(Y250,Y$11:Y$368)+COUNTIF(Y$11:Y250,Y250)-1)))</f>
        <v>#N/A</v>
      </c>
      <c r="AA250" s="188" t="str">
        <f>IF(L250="","",VLOOKUP($L250,classifications!C:I,7,FALSE))</f>
        <v/>
      </c>
      <c r="AB250" s="184" t="str">
        <f t="shared" si="86"/>
        <v/>
      </c>
      <c r="AC250" s="184" t="str">
        <f>IF(AB250="","",IF($I$8="A",(RANK(AB250,AB$11:AB$368)+COUNTIF(AB$11:AB250,AB250)-1),(RANK(AB250,AB$11:AB$368,1)+COUNTIF(AB$11:AB250,AB250)-1)))</f>
        <v/>
      </c>
      <c r="AD250" s="184"/>
      <c r="AE250" s="28" t="str">
        <f t="shared" si="96"/>
        <v/>
      </c>
      <c r="AG250" s="96"/>
      <c r="AH250" s="29"/>
      <c r="AI250" s="38" t="str">
        <f>IF(L250="","",VLOOKUP($L250,classifications!$C:$J,8,FALSE))</f>
        <v/>
      </c>
      <c r="AJ250" s="39" t="str">
        <f t="shared" si="79"/>
        <v/>
      </c>
      <c r="AK250" s="34" t="str">
        <f>IF(AJ250="","",IF(I$8="A",(RANK(AJ250,AJ$11:AJ$368,1)+COUNTIF(AJ$11:AJ250,AJ250)-1),(RANK(AJ250,AJ$11:AJ$368)+COUNTIF(AJ$11:AJ250,AJ250)-1)))</f>
        <v/>
      </c>
      <c r="AL250" s="29" t="str">
        <f t="shared" si="87"/>
        <v/>
      </c>
      <c r="AM250" s="8" t="str">
        <f t="shared" si="80"/>
        <v/>
      </c>
      <c r="AN250" s="8" t="str">
        <f t="shared" si="88"/>
        <v/>
      </c>
      <c r="AP250" s="38" t="str">
        <f>IF(L250="","",VLOOKUP($L250,classifications!$C:$E,3,FALSE))</f>
        <v/>
      </c>
      <c r="AQ250" s="39" t="str">
        <f t="shared" si="89"/>
        <v/>
      </c>
      <c r="AR250" s="34" t="str">
        <f>IF(AQ250="","",IF(I$8="A",(RANK(AQ250,AQ$11:AQ$368,1)+COUNTIF(AQ$11:AQ250,AQ250)-1),(RANK(AQ250,AQ$11:AQ$368)+COUNTIF(AQ$11:AQ250,AQ250)-1)))</f>
        <v/>
      </c>
      <c r="AS250" s="29" t="str">
        <f t="shared" si="90"/>
        <v/>
      </c>
      <c r="AT250" s="34" t="str">
        <f t="shared" si="81"/>
        <v/>
      </c>
      <c r="AU250" s="39" t="str">
        <f t="shared" si="94"/>
        <v/>
      </c>
      <c r="AX250" s="21">
        <f>HLOOKUP($AX$9&amp;$AX$10,Data!$A$1:$ZZ$2000,(MATCH($C250,Data!$A$1:$A$2000,0)),FALSE)</f>
        <v>18.139179739764902</v>
      </c>
      <c r="AY250" s="103"/>
      <c r="AZ250" s="21"/>
    </row>
    <row r="251" spans="1:52">
      <c r="A251" s="56" t="str">
        <f>$D$1&amp;241</f>
        <v>SC241</v>
      </c>
      <c r="B251" s="57">
        <f>IF(ISERROR(VLOOKUP(A251,classifications!A:C,3,FALSE)),0,VLOOKUP(A251,classifications!A:C,3,FALSE))</f>
        <v>0</v>
      </c>
      <c r="C251" s="8" t="s">
        <v>129</v>
      </c>
      <c r="D251" s="26" t="str">
        <f>VLOOKUP($C251,classifications!$C:$J,4,FALSE)</f>
        <v>SD</v>
      </c>
      <c r="E251" s="26">
        <f>VLOOKUP(C251,classifications!C:K,9,FALSE)</f>
        <v>0</v>
      </c>
      <c r="F251" s="36">
        <f t="shared" si="73"/>
        <v>17.008110645757036</v>
      </c>
      <c r="G251" s="71"/>
      <c r="H251" s="37" t="str">
        <f t="shared" si="74"/>
        <v/>
      </c>
      <c r="I251" s="77" t="str">
        <f>IF(H251="","",IF($I$8="A",(RANK(H251,H$11:H$368,1)+COUNTIF(H$11:H251,H251)-1),(RANK(H251,H$11:H$368)+COUNTIF(H$11:H251,H251)-1)))</f>
        <v/>
      </c>
      <c r="J251" s="35"/>
      <c r="K251" s="28" t="str">
        <f t="shared" si="82"/>
        <v/>
      </c>
      <c r="L251" s="36" t="str">
        <f t="shared" si="75"/>
        <v/>
      </c>
      <c r="M251" s="102" t="str">
        <f t="shared" si="83"/>
        <v/>
      </c>
      <c r="N251" s="101" t="str">
        <f t="shared" si="84"/>
        <v/>
      </c>
      <c r="O251" s="94" t="str">
        <f t="shared" si="76"/>
        <v/>
      </c>
      <c r="P251" s="94" t="str">
        <f t="shared" si="91"/>
        <v/>
      </c>
      <c r="Q251" s="94" t="str">
        <f t="shared" si="92"/>
        <v/>
      </c>
      <c r="R251" s="90" t="str">
        <f t="shared" si="93"/>
        <v/>
      </c>
      <c r="S251" s="37" t="str">
        <f t="shared" si="85"/>
        <v/>
      </c>
      <c r="T251" s="176" t="str">
        <f>IF(L251="","",VLOOKUP(L251,classifications!C:K,9,FALSE))</f>
        <v/>
      </c>
      <c r="U251" s="183" t="str">
        <f t="shared" si="77"/>
        <v/>
      </c>
      <c r="V251" s="184" t="str">
        <f>IF(U251="","",IF($I$8="A",(RANK(U251,U$11:U$368)+COUNTIF(U$11:U251,U251)-1),(RANK(U251,U$11:U$368,1)+COUNTIF(U$11:U251,U251)-1)))</f>
        <v/>
      </c>
      <c r="W251" s="185"/>
      <c r="X251" s="38" t="str">
        <f>IF(L251="","",VLOOKUP($L251,classifications!$C:$J,6,FALSE))</f>
        <v/>
      </c>
      <c r="Y251" s="26" t="b">
        <f t="shared" si="78"/>
        <v>0</v>
      </c>
      <c r="Z251" s="34" t="e">
        <f>IF(Y251="","",IF(I$8="A",(RANK(Y251,Y$11:Y$368,1)+COUNTIF(Y$11:Y251,Y251)-1),(RANK(Y251,Y$11:Y$368)+COUNTIF(Y$11:Y251,Y251)-1)))</f>
        <v>#N/A</v>
      </c>
      <c r="AA251" s="188" t="str">
        <f>IF(L251="","",VLOOKUP($L251,classifications!C:I,7,FALSE))</f>
        <v/>
      </c>
      <c r="AB251" s="184" t="str">
        <f t="shared" si="86"/>
        <v/>
      </c>
      <c r="AC251" s="184" t="str">
        <f>IF(AB251="","",IF($I$8="A",(RANK(AB251,AB$11:AB$368)+COUNTIF(AB$11:AB251,AB251)-1),(RANK(AB251,AB$11:AB$368,1)+COUNTIF(AB$11:AB251,AB251)-1)))</f>
        <v/>
      </c>
      <c r="AD251" s="184"/>
      <c r="AE251" s="28" t="str">
        <f t="shared" si="96"/>
        <v/>
      </c>
      <c r="AG251" s="96"/>
      <c r="AH251" s="29"/>
      <c r="AI251" s="38" t="str">
        <f>IF(L251="","",VLOOKUP($L251,classifications!$C:$J,8,FALSE))</f>
        <v/>
      </c>
      <c r="AJ251" s="39" t="str">
        <f t="shared" si="79"/>
        <v/>
      </c>
      <c r="AK251" s="34" t="str">
        <f>IF(AJ251="","",IF(I$8="A",(RANK(AJ251,AJ$11:AJ$368,1)+COUNTIF(AJ$11:AJ251,AJ251)-1),(RANK(AJ251,AJ$11:AJ$368)+COUNTIF(AJ$11:AJ251,AJ251)-1)))</f>
        <v/>
      </c>
      <c r="AL251" s="29" t="str">
        <f t="shared" si="87"/>
        <v/>
      </c>
      <c r="AM251" s="8" t="str">
        <f t="shared" si="80"/>
        <v/>
      </c>
      <c r="AN251" s="8" t="str">
        <f t="shared" si="88"/>
        <v/>
      </c>
      <c r="AP251" s="38" t="str">
        <f>IF(L251="","",VLOOKUP($L251,classifications!$C:$E,3,FALSE))</f>
        <v/>
      </c>
      <c r="AQ251" s="39" t="str">
        <f t="shared" si="89"/>
        <v/>
      </c>
      <c r="AR251" s="34" t="str">
        <f>IF(AQ251="","",IF(I$8="A",(RANK(AQ251,AQ$11:AQ$368,1)+COUNTIF(AQ$11:AQ251,AQ251)-1),(RANK(AQ251,AQ$11:AQ$368)+COUNTIF(AQ$11:AQ251,AQ251)-1)))</f>
        <v/>
      </c>
      <c r="AS251" s="29" t="str">
        <f t="shared" si="90"/>
        <v/>
      </c>
      <c r="AT251" s="34" t="str">
        <f t="shared" si="81"/>
        <v/>
      </c>
      <c r="AU251" s="39" t="str">
        <f t="shared" si="94"/>
        <v/>
      </c>
      <c r="AX251" s="21">
        <f>HLOOKUP($AX$9&amp;$AX$10,Data!$A$1:$ZZ$2000,(MATCH($C251,Data!$A$1:$A$2000,0)),FALSE)</f>
        <v>17.008110645757036</v>
      </c>
      <c r="AY251" s="103"/>
      <c r="AZ251" s="21"/>
    </row>
    <row r="252" spans="1:52">
      <c r="A252" s="56" t="str">
        <f>$D$1&amp;242</f>
        <v>SC242</v>
      </c>
      <c r="B252" s="57">
        <f>IF(ISERROR(VLOOKUP(A252,classifications!A:C,3,FALSE)),0,VLOOKUP(A252,classifications!A:C,3,FALSE))</f>
        <v>0</v>
      </c>
      <c r="C252" s="8" t="s">
        <v>130</v>
      </c>
      <c r="D252" s="26" t="str">
        <f>VLOOKUP($C252,classifications!$C:$J,4,FALSE)</f>
        <v>SD</v>
      </c>
      <c r="E252" s="26">
        <f>VLOOKUP(C252,classifications!C:K,9,FALSE)</f>
        <v>0</v>
      </c>
      <c r="F252" s="36">
        <f t="shared" si="73"/>
        <v>22.13517042122136</v>
      </c>
      <c r="G252" s="71"/>
      <c r="H252" s="37" t="str">
        <f t="shared" si="74"/>
        <v/>
      </c>
      <c r="I252" s="77" t="str">
        <f>IF(H252="","",IF($I$8="A",(RANK(H252,H$11:H$368,1)+COUNTIF(H$11:H252,H252)-1),(RANK(H252,H$11:H$368)+COUNTIF(H$11:H252,H252)-1)))</f>
        <v/>
      </c>
      <c r="J252" s="35"/>
      <c r="K252" s="28" t="str">
        <f t="shared" si="82"/>
        <v/>
      </c>
      <c r="L252" s="36" t="str">
        <f t="shared" si="75"/>
        <v/>
      </c>
      <c r="M252" s="102" t="str">
        <f t="shared" si="83"/>
        <v/>
      </c>
      <c r="N252" s="101" t="str">
        <f t="shared" si="84"/>
        <v/>
      </c>
      <c r="O252" s="94" t="str">
        <f t="shared" si="76"/>
        <v/>
      </c>
      <c r="P252" s="94" t="str">
        <f t="shared" si="91"/>
        <v/>
      </c>
      <c r="Q252" s="94" t="str">
        <f t="shared" si="92"/>
        <v/>
      </c>
      <c r="R252" s="90" t="str">
        <f t="shared" si="93"/>
        <v/>
      </c>
      <c r="S252" s="37" t="str">
        <f t="shared" si="85"/>
        <v/>
      </c>
      <c r="T252" s="176" t="str">
        <f>IF(L252="","",VLOOKUP(L252,classifications!C:K,9,FALSE))</f>
        <v/>
      </c>
      <c r="U252" s="183" t="str">
        <f t="shared" si="77"/>
        <v/>
      </c>
      <c r="V252" s="184" t="str">
        <f>IF(U252="","",IF($I$8="A",(RANK(U252,U$11:U$368)+COUNTIF(U$11:U252,U252)-1),(RANK(U252,U$11:U$368,1)+COUNTIF(U$11:U252,U252)-1)))</f>
        <v/>
      </c>
      <c r="W252" s="185"/>
      <c r="X252" s="38" t="str">
        <f>IF(L252="","",VLOOKUP($L252,classifications!$C:$J,6,FALSE))</f>
        <v/>
      </c>
      <c r="Y252" s="26" t="b">
        <f t="shared" si="78"/>
        <v>0</v>
      </c>
      <c r="Z252" s="34" t="e">
        <f>IF(Y252="","",IF(I$8="A",(RANK(Y252,Y$11:Y$368,1)+COUNTIF(Y$11:Y252,Y252)-1),(RANK(Y252,Y$11:Y$368)+COUNTIF(Y$11:Y252,Y252)-1)))</f>
        <v>#N/A</v>
      </c>
      <c r="AA252" s="188" t="str">
        <f>IF(L252="","",VLOOKUP($L252,classifications!C:I,7,FALSE))</f>
        <v/>
      </c>
      <c r="AB252" s="184" t="str">
        <f t="shared" si="86"/>
        <v/>
      </c>
      <c r="AC252" s="184" t="str">
        <f>IF(AB252="","",IF($I$8="A",(RANK(AB252,AB$11:AB$368)+COUNTIF(AB$11:AB252,AB252)-1),(RANK(AB252,AB$11:AB$368,1)+COUNTIF(AB$11:AB252,AB252)-1)))</f>
        <v/>
      </c>
      <c r="AD252" s="184"/>
      <c r="AE252" s="28" t="str">
        <f t="shared" si="96"/>
        <v/>
      </c>
      <c r="AG252" s="96"/>
      <c r="AH252" s="29"/>
      <c r="AI252" s="38" t="str">
        <f>IF(L252="","",VLOOKUP($L252,classifications!$C:$J,8,FALSE))</f>
        <v/>
      </c>
      <c r="AJ252" s="39" t="str">
        <f t="shared" si="79"/>
        <v/>
      </c>
      <c r="AK252" s="34" t="str">
        <f>IF(AJ252="","",IF(I$8="A",(RANK(AJ252,AJ$11:AJ$368,1)+COUNTIF(AJ$11:AJ252,AJ252)-1),(RANK(AJ252,AJ$11:AJ$368)+COUNTIF(AJ$11:AJ252,AJ252)-1)))</f>
        <v/>
      </c>
      <c r="AL252" s="29" t="str">
        <f t="shared" si="87"/>
        <v/>
      </c>
      <c r="AM252" s="8" t="str">
        <f t="shared" si="80"/>
        <v/>
      </c>
      <c r="AN252" s="8" t="str">
        <f t="shared" si="88"/>
        <v/>
      </c>
      <c r="AP252" s="38" t="str">
        <f>IF(L252="","",VLOOKUP($L252,classifications!$C:$E,3,FALSE))</f>
        <v/>
      </c>
      <c r="AQ252" s="39" t="str">
        <f t="shared" si="89"/>
        <v/>
      </c>
      <c r="AR252" s="34" t="str">
        <f>IF(AQ252="","",IF(I$8="A",(RANK(AQ252,AQ$11:AQ$368,1)+COUNTIF(AQ$11:AQ252,AQ252)-1),(RANK(AQ252,AQ$11:AQ$368)+COUNTIF(AQ$11:AQ252,AQ252)-1)))</f>
        <v/>
      </c>
      <c r="AS252" s="29" t="str">
        <f t="shared" si="90"/>
        <v/>
      </c>
      <c r="AT252" s="34" t="str">
        <f t="shared" si="81"/>
        <v/>
      </c>
      <c r="AU252" s="39" t="str">
        <f t="shared" si="94"/>
        <v/>
      </c>
      <c r="AX252" s="21">
        <f>HLOOKUP($AX$9&amp;$AX$10,Data!$A$1:$ZZ$2000,(MATCH($C252,Data!$A$1:$A$2000,0)),FALSE)</f>
        <v>22.13517042122136</v>
      </c>
      <c r="AY252" s="103"/>
      <c r="AZ252" s="21"/>
    </row>
    <row r="253" spans="1:52">
      <c r="A253" s="56" t="str">
        <f>$D$1&amp;243</f>
        <v>SC243</v>
      </c>
      <c r="B253" s="57">
        <f>IF(ISERROR(VLOOKUP(A253,classifications!A:C,3,FALSE)),0,VLOOKUP(A253,classifications!A:C,3,FALSE))</f>
        <v>0</v>
      </c>
      <c r="C253" s="8" t="s">
        <v>131</v>
      </c>
      <c r="D253" s="26" t="str">
        <f>VLOOKUP($C253,classifications!$C:$J,4,FALSE)</f>
        <v>SD</v>
      </c>
      <c r="E253" s="26">
        <f>VLOOKUP(C253,classifications!C:K,9,FALSE)</f>
        <v>0</v>
      </c>
      <c r="F253" s="36">
        <f t="shared" si="73"/>
        <v>15.228921148484579</v>
      </c>
      <c r="G253" s="71"/>
      <c r="H253" s="37" t="str">
        <f t="shared" si="74"/>
        <v/>
      </c>
      <c r="I253" s="77" t="str">
        <f>IF(H253="","",IF($I$8="A",(RANK(H253,H$11:H$368,1)+COUNTIF(H$11:H253,H253)-1),(RANK(H253,H$11:H$368)+COUNTIF(H$11:H253,H253)-1)))</f>
        <v/>
      </c>
      <c r="J253" s="35"/>
      <c r="K253" s="28" t="str">
        <f t="shared" si="82"/>
        <v/>
      </c>
      <c r="L253" s="36" t="str">
        <f t="shared" si="75"/>
        <v/>
      </c>
      <c r="M253" s="102" t="str">
        <f t="shared" si="83"/>
        <v/>
      </c>
      <c r="N253" s="101" t="str">
        <f t="shared" si="84"/>
        <v/>
      </c>
      <c r="O253" s="94" t="str">
        <f t="shared" si="76"/>
        <v/>
      </c>
      <c r="P253" s="94" t="str">
        <f t="shared" si="91"/>
        <v/>
      </c>
      <c r="Q253" s="94" t="str">
        <f t="shared" si="92"/>
        <v/>
      </c>
      <c r="R253" s="90" t="str">
        <f t="shared" si="93"/>
        <v/>
      </c>
      <c r="S253" s="37" t="str">
        <f t="shared" si="85"/>
        <v/>
      </c>
      <c r="T253" s="176" t="str">
        <f>IF(L253="","",VLOOKUP(L253,classifications!C:K,9,FALSE))</f>
        <v/>
      </c>
      <c r="U253" s="183" t="str">
        <f t="shared" si="77"/>
        <v/>
      </c>
      <c r="V253" s="184" t="str">
        <f>IF(U253="","",IF($I$8="A",(RANK(U253,U$11:U$368)+COUNTIF(U$11:U253,U253)-1),(RANK(U253,U$11:U$368,1)+COUNTIF(U$11:U253,U253)-1)))</f>
        <v/>
      </c>
      <c r="W253" s="185"/>
      <c r="X253" s="38" t="str">
        <f>IF(L253="","",VLOOKUP($L253,classifications!$C:$J,6,FALSE))</f>
        <v/>
      </c>
      <c r="Y253" s="26" t="b">
        <f t="shared" si="78"/>
        <v>0</v>
      </c>
      <c r="Z253" s="34" t="e">
        <f>IF(Y253="","",IF(I$8="A",(RANK(Y253,Y$11:Y$368,1)+COUNTIF(Y$11:Y253,Y253)-1),(RANK(Y253,Y$11:Y$368)+COUNTIF(Y$11:Y253,Y253)-1)))</f>
        <v>#N/A</v>
      </c>
      <c r="AA253" s="188" t="str">
        <f>IF(L253="","",VLOOKUP($L253,classifications!C:I,7,FALSE))</f>
        <v/>
      </c>
      <c r="AB253" s="184" t="str">
        <f t="shared" si="86"/>
        <v/>
      </c>
      <c r="AC253" s="184" t="str">
        <f>IF(AB253="","",IF($I$8="A",(RANK(AB253,AB$11:AB$368)+COUNTIF(AB$11:AB253,AB253)-1),(RANK(AB253,AB$11:AB$368,1)+COUNTIF(AB$11:AB253,AB253)-1)))</f>
        <v/>
      </c>
      <c r="AD253" s="184"/>
      <c r="AE253" s="28" t="str">
        <f t="shared" si="96"/>
        <v/>
      </c>
      <c r="AG253" s="96"/>
      <c r="AH253" s="29"/>
      <c r="AI253" s="38" t="str">
        <f>IF(L253="","",VLOOKUP($L253,classifications!$C:$J,8,FALSE))</f>
        <v/>
      </c>
      <c r="AJ253" s="39" t="str">
        <f t="shared" si="79"/>
        <v/>
      </c>
      <c r="AK253" s="34" t="str">
        <f>IF(AJ253="","",IF(I$8="A",(RANK(AJ253,AJ$11:AJ$368,1)+COUNTIF(AJ$11:AJ253,AJ253)-1),(RANK(AJ253,AJ$11:AJ$368)+COUNTIF(AJ$11:AJ253,AJ253)-1)))</f>
        <v/>
      </c>
      <c r="AL253" s="29" t="str">
        <f t="shared" si="87"/>
        <v/>
      </c>
      <c r="AM253" s="8" t="str">
        <f t="shared" si="80"/>
        <v/>
      </c>
      <c r="AN253" s="8" t="str">
        <f t="shared" si="88"/>
        <v/>
      </c>
      <c r="AP253" s="38" t="str">
        <f>IF(L253="","",VLOOKUP($L253,classifications!$C:$E,3,FALSE))</f>
        <v/>
      </c>
      <c r="AQ253" s="39" t="str">
        <f t="shared" si="89"/>
        <v/>
      </c>
      <c r="AR253" s="34" t="str">
        <f>IF(AQ253="","",IF(I$8="A",(RANK(AQ253,AQ$11:AQ$368,1)+COUNTIF(AQ$11:AQ253,AQ253)-1),(RANK(AQ253,AQ$11:AQ$368)+COUNTIF(AQ$11:AQ253,AQ253)-1)))</f>
        <v/>
      </c>
      <c r="AS253" s="29" t="str">
        <f t="shared" si="90"/>
        <v/>
      </c>
      <c r="AT253" s="34" t="str">
        <f t="shared" si="81"/>
        <v/>
      </c>
      <c r="AU253" s="39" t="str">
        <f t="shared" si="94"/>
        <v/>
      </c>
      <c r="AX253" s="21">
        <f>HLOOKUP($AX$9&amp;$AX$10,Data!$A$1:$ZZ$2000,(MATCH($C253,Data!$A$1:$A$2000,0)),FALSE)</f>
        <v>15.228921148484579</v>
      </c>
      <c r="AY253" s="103"/>
      <c r="AZ253" s="21"/>
    </row>
    <row r="254" spans="1:52">
      <c r="A254" s="56" t="str">
        <f>$D$1&amp;244</f>
        <v>SC244</v>
      </c>
      <c r="B254" s="57">
        <f>IF(ISERROR(VLOOKUP(A254,classifications!A:C,3,FALSE)),0,VLOOKUP(A254,classifications!A:C,3,FALSE))</f>
        <v>0</v>
      </c>
      <c r="C254" s="8" t="s">
        <v>285</v>
      </c>
      <c r="D254" s="26" t="str">
        <f>VLOOKUP($C254,classifications!$C:$J,4,FALSE)</f>
        <v>UA</v>
      </c>
      <c r="E254" s="26" t="str">
        <f>VLOOKUP(C254,classifications!C:K,9,FALSE)</f>
        <v>Sparse</v>
      </c>
      <c r="F254" s="36">
        <f t="shared" si="73"/>
        <v>16.056198714101892</v>
      </c>
      <c r="G254" s="71"/>
      <c r="H254" s="37" t="str">
        <f t="shared" si="74"/>
        <v/>
      </c>
      <c r="I254" s="77" t="str">
        <f>IF(H254="","",IF($I$8="A",(RANK(H254,H$11:H$368,1)+COUNTIF(H$11:H254,H254)-1),(RANK(H254,H$11:H$368)+COUNTIF(H$11:H254,H254)-1)))</f>
        <v/>
      </c>
      <c r="J254" s="35"/>
      <c r="K254" s="28" t="str">
        <f t="shared" si="82"/>
        <v/>
      </c>
      <c r="L254" s="36" t="str">
        <f t="shared" si="75"/>
        <v/>
      </c>
      <c r="M254" s="102" t="str">
        <f t="shared" si="83"/>
        <v/>
      </c>
      <c r="N254" s="101" t="str">
        <f t="shared" si="84"/>
        <v/>
      </c>
      <c r="O254" s="94" t="str">
        <f t="shared" si="76"/>
        <v/>
      </c>
      <c r="P254" s="94" t="str">
        <f t="shared" si="91"/>
        <v/>
      </c>
      <c r="Q254" s="94" t="str">
        <f t="shared" si="92"/>
        <v/>
      </c>
      <c r="R254" s="90" t="str">
        <f t="shared" si="93"/>
        <v/>
      </c>
      <c r="S254" s="37" t="str">
        <f t="shared" si="85"/>
        <v/>
      </c>
      <c r="T254" s="176" t="str">
        <f>IF(L254="","",VLOOKUP(L254,classifications!C:K,9,FALSE))</f>
        <v/>
      </c>
      <c r="U254" s="183" t="str">
        <f t="shared" si="77"/>
        <v/>
      </c>
      <c r="V254" s="184" t="str">
        <f>IF(U254="","",IF($I$8="A",(RANK(U254,U$11:U$368)+COUNTIF(U$11:U254,U254)-1),(RANK(U254,U$11:U$368,1)+COUNTIF(U$11:U254,U254)-1)))</f>
        <v/>
      </c>
      <c r="W254" s="185"/>
      <c r="X254" s="38" t="str">
        <f>IF(L254="","",VLOOKUP($L254,classifications!$C:$J,6,FALSE))</f>
        <v/>
      </c>
      <c r="Y254" s="26" t="b">
        <f t="shared" si="78"/>
        <v>0</v>
      </c>
      <c r="Z254" s="34" t="e">
        <f>IF(Y254="","",IF(I$8="A",(RANK(Y254,Y$11:Y$368,1)+COUNTIF(Y$11:Y254,Y254)-1),(RANK(Y254,Y$11:Y$368)+COUNTIF(Y$11:Y254,Y254)-1)))</f>
        <v>#N/A</v>
      </c>
      <c r="AA254" s="188" t="str">
        <f>IF(L254="","",VLOOKUP($L254,classifications!C:I,7,FALSE))</f>
        <v/>
      </c>
      <c r="AB254" s="184" t="str">
        <f t="shared" si="86"/>
        <v/>
      </c>
      <c r="AC254" s="184" t="str">
        <f>IF(AB254="","",IF($I$8="A",(RANK(AB254,AB$11:AB$368)+COUNTIF(AB$11:AB254,AB254)-1),(RANK(AB254,AB$11:AB$368,1)+COUNTIF(AB$11:AB254,AB254)-1)))</f>
        <v/>
      </c>
      <c r="AD254" s="184"/>
      <c r="AE254" s="28" t="str">
        <f t="shared" si="96"/>
        <v/>
      </c>
      <c r="AG254" s="96"/>
      <c r="AH254" s="29"/>
      <c r="AI254" s="38" t="str">
        <f>IF(L254="","",VLOOKUP($L254,classifications!$C:$J,8,FALSE))</f>
        <v/>
      </c>
      <c r="AJ254" s="39" t="str">
        <f t="shared" si="79"/>
        <v/>
      </c>
      <c r="AK254" s="34" t="str">
        <f>IF(AJ254="","",IF(I$8="A",(RANK(AJ254,AJ$11:AJ$368,1)+COUNTIF(AJ$11:AJ254,AJ254)-1),(RANK(AJ254,AJ$11:AJ$368)+COUNTIF(AJ$11:AJ254,AJ254)-1)))</f>
        <v/>
      </c>
      <c r="AL254" s="29" t="str">
        <f t="shared" si="87"/>
        <v/>
      </c>
      <c r="AM254" s="8" t="str">
        <f t="shared" si="80"/>
        <v/>
      </c>
      <c r="AN254" s="8" t="str">
        <f t="shared" si="88"/>
        <v/>
      </c>
      <c r="AP254" s="38" t="str">
        <f>IF(L254="","",VLOOKUP($L254,classifications!$C:$E,3,FALSE))</f>
        <v/>
      </c>
      <c r="AQ254" s="39" t="str">
        <f t="shared" si="89"/>
        <v/>
      </c>
      <c r="AR254" s="34" t="str">
        <f>IF(AQ254="","",IF(I$8="A",(RANK(AQ254,AQ$11:AQ$368,1)+COUNTIF(AQ$11:AQ254,AQ254)-1),(RANK(AQ254,AQ$11:AQ$368)+COUNTIF(AQ$11:AQ254,AQ254)-1)))</f>
        <v/>
      </c>
      <c r="AS254" s="29" t="str">
        <f t="shared" si="90"/>
        <v/>
      </c>
      <c r="AT254" s="34" t="str">
        <f t="shared" si="81"/>
        <v/>
      </c>
      <c r="AU254" s="39" t="str">
        <f t="shared" si="94"/>
        <v/>
      </c>
      <c r="AX254" s="21">
        <f>HLOOKUP($AX$9&amp;$AX$10,Data!$A$1:$ZZ$2000,(MATCH($C254,Data!$A$1:$A$2000,0)),FALSE)</f>
        <v>16.056198714101892</v>
      </c>
      <c r="AY254" s="103"/>
      <c r="AZ254" s="21"/>
    </row>
    <row r="255" spans="1:52">
      <c r="A255" s="56" t="str">
        <f>$D$1&amp;245</f>
        <v>SC245</v>
      </c>
      <c r="B255" s="57">
        <f>IF(ISERROR(VLOOKUP(A255,classifications!A:C,3,FALSE)),0,VLOOKUP(A255,classifications!A:C,3,FALSE))</f>
        <v>0</v>
      </c>
      <c r="C255" s="8" t="s">
        <v>132</v>
      </c>
      <c r="D255" s="26" t="str">
        <f>VLOOKUP($C255,classifications!$C:$J,4,FALSE)</f>
        <v>SD</v>
      </c>
      <c r="E255" s="26" t="str">
        <f>VLOOKUP(C255,classifications!C:K,9,FALSE)</f>
        <v>Sparse</v>
      </c>
      <c r="F255" s="36">
        <f t="shared" si="73"/>
        <v>20.001733580378843</v>
      </c>
      <c r="G255" s="71"/>
      <c r="H255" s="37" t="str">
        <f t="shared" si="74"/>
        <v/>
      </c>
      <c r="I255" s="77" t="str">
        <f>IF(H255="","",IF($I$8="A",(RANK(H255,H$11:H$368,1)+COUNTIF(H$11:H255,H255)-1),(RANK(H255,H$11:H$368)+COUNTIF(H$11:H255,H255)-1)))</f>
        <v/>
      </c>
      <c r="J255" s="35"/>
      <c r="K255" s="28" t="str">
        <f t="shared" si="82"/>
        <v/>
      </c>
      <c r="L255" s="36" t="str">
        <f t="shared" si="75"/>
        <v/>
      </c>
      <c r="M255" s="102" t="str">
        <f t="shared" si="83"/>
        <v/>
      </c>
      <c r="N255" s="101" t="str">
        <f t="shared" si="84"/>
        <v/>
      </c>
      <c r="O255" s="94" t="str">
        <f t="shared" si="76"/>
        <v/>
      </c>
      <c r="P255" s="94" t="str">
        <f t="shared" si="91"/>
        <v/>
      </c>
      <c r="Q255" s="94" t="str">
        <f t="shared" si="92"/>
        <v/>
      </c>
      <c r="R255" s="90" t="str">
        <f t="shared" si="93"/>
        <v/>
      </c>
      <c r="S255" s="37" t="str">
        <f t="shared" si="85"/>
        <v/>
      </c>
      <c r="T255" s="176" t="str">
        <f>IF(L255="","",VLOOKUP(L255,classifications!C:K,9,FALSE))</f>
        <v/>
      </c>
      <c r="U255" s="183" t="str">
        <f t="shared" si="77"/>
        <v/>
      </c>
      <c r="V255" s="184" t="str">
        <f>IF(U255="","",IF($I$8="A",(RANK(U255,U$11:U$368)+COUNTIF(U$11:U255,U255)-1),(RANK(U255,U$11:U$368,1)+COUNTIF(U$11:U255,U255)-1)))</f>
        <v/>
      </c>
      <c r="W255" s="185"/>
      <c r="X255" s="38" t="str">
        <f>IF(L255="","",VLOOKUP($L255,classifications!$C:$J,6,FALSE))</f>
        <v/>
      </c>
      <c r="Y255" s="26" t="b">
        <f t="shared" si="78"/>
        <v>0</v>
      </c>
      <c r="Z255" s="34" t="e">
        <f>IF(Y255="","",IF(I$8="A",(RANK(Y255,Y$11:Y$368,1)+COUNTIF(Y$11:Y255,Y255)-1),(RANK(Y255,Y$11:Y$368)+COUNTIF(Y$11:Y255,Y255)-1)))</f>
        <v>#N/A</v>
      </c>
      <c r="AA255" s="188" t="str">
        <f>IF(L255="","",VLOOKUP($L255,classifications!C:I,7,FALSE))</f>
        <v/>
      </c>
      <c r="AB255" s="184" t="str">
        <f t="shared" si="86"/>
        <v/>
      </c>
      <c r="AC255" s="184" t="str">
        <f>IF(AB255="","",IF($I$8="A",(RANK(AB255,AB$11:AB$368)+COUNTIF(AB$11:AB255,AB255)-1),(RANK(AB255,AB$11:AB$368,1)+COUNTIF(AB$11:AB255,AB255)-1)))</f>
        <v/>
      </c>
      <c r="AD255" s="184"/>
      <c r="AE255" s="28" t="str">
        <f t="shared" si="96"/>
        <v/>
      </c>
      <c r="AG255" s="96"/>
      <c r="AH255" s="29"/>
      <c r="AI255" s="38" t="str">
        <f>IF(L255="","",VLOOKUP($L255,classifications!$C:$J,8,FALSE))</f>
        <v/>
      </c>
      <c r="AJ255" s="39" t="str">
        <f t="shared" si="79"/>
        <v/>
      </c>
      <c r="AK255" s="34" t="str">
        <f>IF(AJ255="","",IF(I$8="A",(RANK(AJ255,AJ$11:AJ$368,1)+COUNTIF(AJ$11:AJ255,AJ255)-1),(RANK(AJ255,AJ$11:AJ$368)+COUNTIF(AJ$11:AJ255,AJ255)-1)))</f>
        <v/>
      </c>
      <c r="AL255" s="29" t="str">
        <f t="shared" si="87"/>
        <v/>
      </c>
      <c r="AM255" s="8" t="str">
        <f t="shared" si="80"/>
        <v/>
      </c>
      <c r="AN255" s="8" t="str">
        <f t="shared" si="88"/>
        <v/>
      </c>
      <c r="AP255" s="38" t="str">
        <f>IF(L255="","",VLOOKUP($L255,classifications!$C:$E,3,FALSE))</f>
        <v/>
      </c>
      <c r="AQ255" s="39" t="str">
        <f t="shared" si="89"/>
        <v/>
      </c>
      <c r="AR255" s="34" t="str">
        <f>IF(AQ255="","",IF(I$8="A",(RANK(AQ255,AQ$11:AQ$368,1)+COUNTIF(AQ$11:AQ255,AQ255)-1),(RANK(AQ255,AQ$11:AQ$368)+COUNTIF(AQ$11:AQ255,AQ255)-1)))</f>
        <v/>
      </c>
      <c r="AS255" s="29" t="str">
        <f t="shared" si="90"/>
        <v/>
      </c>
      <c r="AT255" s="34" t="str">
        <f t="shared" si="81"/>
        <v/>
      </c>
      <c r="AU255" s="39" t="str">
        <f t="shared" si="94"/>
        <v/>
      </c>
      <c r="AX255" s="21">
        <f>HLOOKUP($AX$9&amp;$AX$10,Data!$A$1:$ZZ$2000,(MATCH($C255,Data!$A$1:$A$2000,0)),FALSE)</f>
        <v>20.001733580378843</v>
      </c>
      <c r="AY255" s="103"/>
      <c r="AZ255" s="21"/>
    </row>
    <row r="256" spans="1:52">
      <c r="A256" s="56" t="str">
        <f>$D$1&amp;246</f>
        <v>SC246</v>
      </c>
      <c r="B256" s="57">
        <f>IF(ISERROR(VLOOKUP(A256,classifications!A:C,3,FALSE)),0,VLOOKUP(A256,classifications!A:C,3,FALSE))</f>
        <v>0</v>
      </c>
      <c r="C256" s="8" t="s">
        <v>242</v>
      </c>
      <c r="D256" s="26" t="str">
        <f>VLOOKUP($C256,classifications!$C:$J,4,FALSE)</f>
        <v>MD</v>
      </c>
      <c r="E256" s="26">
        <f>VLOOKUP(C256,classifications!C:K,9,FALSE)</f>
        <v>0</v>
      </c>
      <c r="F256" s="36">
        <f t="shared" si="73"/>
        <v>11.912127904228349</v>
      </c>
      <c r="G256" s="71"/>
      <c r="H256" s="37" t="str">
        <f t="shared" si="74"/>
        <v/>
      </c>
      <c r="I256" s="77" t="str">
        <f>IF(H256="","",IF($I$8="A",(RANK(H256,H$11:H$368,1)+COUNTIF(H$11:H256,H256)-1),(RANK(H256,H$11:H$368)+COUNTIF(H$11:H256,H256)-1)))</f>
        <v/>
      </c>
      <c r="J256" s="35"/>
      <c r="K256" s="28" t="str">
        <f t="shared" si="82"/>
        <v/>
      </c>
      <c r="L256" s="36" t="str">
        <f t="shared" si="75"/>
        <v/>
      </c>
      <c r="M256" s="102" t="str">
        <f t="shared" si="83"/>
        <v/>
      </c>
      <c r="N256" s="101" t="str">
        <f t="shared" si="84"/>
        <v/>
      </c>
      <c r="O256" s="94" t="str">
        <f t="shared" si="76"/>
        <v/>
      </c>
      <c r="P256" s="94" t="str">
        <f t="shared" si="91"/>
        <v/>
      </c>
      <c r="Q256" s="94" t="str">
        <f t="shared" si="92"/>
        <v/>
      </c>
      <c r="R256" s="90" t="str">
        <f t="shared" si="93"/>
        <v/>
      </c>
      <c r="S256" s="37" t="str">
        <f t="shared" si="85"/>
        <v/>
      </c>
      <c r="T256" s="176" t="str">
        <f>IF(L256="","",VLOOKUP(L256,classifications!C:K,9,FALSE))</f>
        <v/>
      </c>
      <c r="U256" s="183" t="str">
        <f t="shared" si="77"/>
        <v/>
      </c>
      <c r="V256" s="184" t="str">
        <f>IF(U256="","",IF($I$8="A",(RANK(U256,U$11:U$368)+COUNTIF(U$11:U256,U256)-1),(RANK(U256,U$11:U$368,1)+COUNTIF(U$11:U256,U256)-1)))</f>
        <v/>
      </c>
      <c r="W256" s="185"/>
      <c r="X256" s="38" t="str">
        <f>IF(L256="","",VLOOKUP($L256,classifications!$C:$J,6,FALSE))</f>
        <v/>
      </c>
      <c r="Y256" s="26" t="b">
        <f t="shared" si="78"/>
        <v>0</v>
      </c>
      <c r="Z256" s="34" t="e">
        <f>IF(Y256="","",IF(I$8="A",(RANK(Y256,Y$11:Y$368,1)+COUNTIF(Y$11:Y256,Y256)-1),(RANK(Y256,Y$11:Y$368)+COUNTIF(Y$11:Y256,Y256)-1)))</f>
        <v>#N/A</v>
      </c>
      <c r="AA256" s="188" t="str">
        <f>IF(L256="","",VLOOKUP($L256,classifications!C:I,7,FALSE))</f>
        <v/>
      </c>
      <c r="AB256" s="184" t="str">
        <f t="shared" si="86"/>
        <v/>
      </c>
      <c r="AC256" s="184" t="str">
        <f>IF(AB256="","",IF($I$8="A",(RANK(AB256,AB$11:AB$368)+COUNTIF(AB$11:AB256,AB256)-1),(RANK(AB256,AB$11:AB$368,1)+COUNTIF(AB$11:AB256,AB256)-1)))</f>
        <v/>
      </c>
      <c r="AD256" s="184"/>
      <c r="AE256" s="28" t="str">
        <f t="shared" si="96"/>
        <v/>
      </c>
      <c r="AG256" s="96"/>
      <c r="AH256" s="29"/>
      <c r="AI256" s="38" t="str">
        <f>IF(L256="","",VLOOKUP($L256,classifications!$C:$J,8,FALSE))</f>
        <v/>
      </c>
      <c r="AJ256" s="39" t="str">
        <f t="shared" si="79"/>
        <v/>
      </c>
      <c r="AK256" s="34" t="str">
        <f>IF(AJ256="","",IF(I$8="A",(RANK(AJ256,AJ$11:AJ$368,1)+COUNTIF(AJ$11:AJ256,AJ256)-1),(RANK(AJ256,AJ$11:AJ$368)+COUNTIF(AJ$11:AJ256,AJ256)-1)))</f>
        <v/>
      </c>
      <c r="AL256" s="29" t="str">
        <f t="shared" si="87"/>
        <v/>
      </c>
      <c r="AM256" s="8" t="str">
        <f t="shared" si="80"/>
        <v/>
      </c>
      <c r="AN256" s="8" t="str">
        <f t="shared" si="88"/>
        <v/>
      </c>
      <c r="AP256" s="38" t="str">
        <f>IF(L256="","",VLOOKUP($L256,classifications!$C:$E,3,FALSE))</f>
        <v/>
      </c>
      <c r="AQ256" s="39" t="str">
        <f t="shared" si="89"/>
        <v/>
      </c>
      <c r="AR256" s="34" t="str">
        <f>IF(AQ256="","",IF(I$8="A",(RANK(AQ256,AQ$11:AQ$368,1)+COUNTIF(AQ$11:AQ256,AQ256)-1),(RANK(AQ256,AQ$11:AQ$368)+COUNTIF(AQ$11:AQ256,AQ256)-1)))</f>
        <v/>
      </c>
      <c r="AS256" s="29" t="str">
        <f t="shared" si="90"/>
        <v/>
      </c>
      <c r="AT256" s="34" t="str">
        <f t="shared" si="81"/>
        <v/>
      </c>
      <c r="AU256" s="39" t="str">
        <f t="shared" si="94"/>
        <v/>
      </c>
      <c r="AX256" s="21">
        <f>HLOOKUP($AX$9&amp;$AX$10,Data!$A$1:$ZZ$2000,(MATCH($C256,Data!$A$1:$A$2000,0)),FALSE)</f>
        <v>11.912127904228349</v>
      </c>
      <c r="AY256" s="103"/>
      <c r="AZ256" s="21"/>
    </row>
    <row r="257" spans="1:52">
      <c r="A257" s="56" t="str">
        <f>$D$1&amp;247</f>
        <v>SC247</v>
      </c>
      <c r="B257" s="57">
        <f>IF(ISERROR(VLOOKUP(A257,classifications!A:C,3,FALSE)),0,VLOOKUP(A257,classifications!A:C,3,FALSE))</f>
        <v>0</v>
      </c>
      <c r="C257" s="8" t="s">
        <v>243</v>
      </c>
      <c r="D257" s="26" t="str">
        <f>VLOOKUP($C257,classifications!$C:$J,4,FALSE)</f>
        <v>MD</v>
      </c>
      <c r="E257" s="26">
        <f>VLOOKUP(C257,classifications!C:K,9,FALSE)</f>
        <v>0</v>
      </c>
      <c r="F257" s="36">
        <f t="shared" si="73"/>
        <v>5.9172121937359528</v>
      </c>
      <c r="G257" s="71"/>
      <c r="H257" s="37" t="str">
        <f t="shared" si="74"/>
        <v/>
      </c>
      <c r="I257" s="77" t="str">
        <f>IF(H257="","",IF($I$8="A",(RANK(H257,H$11:H$368,1)+COUNTIF(H$11:H257,H257)-1),(RANK(H257,H$11:H$368)+COUNTIF(H$11:H257,H257)-1)))</f>
        <v/>
      </c>
      <c r="J257" s="35"/>
      <c r="K257" s="28" t="str">
        <f t="shared" si="82"/>
        <v/>
      </c>
      <c r="L257" s="36" t="str">
        <f t="shared" si="75"/>
        <v/>
      </c>
      <c r="M257" s="102" t="str">
        <f t="shared" si="83"/>
        <v/>
      </c>
      <c r="N257" s="101" t="str">
        <f t="shared" si="84"/>
        <v/>
      </c>
      <c r="O257" s="94" t="str">
        <f t="shared" si="76"/>
        <v/>
      </c>
      <c r="P257" s="94" t="str">
        <f t="shared" si="91"/>
        <v/>
      </c>
      <c r="Q257" s="94" t="str">
        <f t="shared" si="92"/>
        <v/>
      </c>
      <c r="R257" s="90" t="str">
        <f t="shared" si="93"/>
        <v/>
      </c>
      <c r="S257" s="37" t="str">
        <f t="shared" si="85"/>
        <v/>
      </c>
      <c r="T257" s="176" t="str">
        <f>IF(L257="","",VLOOKUP(L257,classifications!C:K,9,FALSE))</f>
        <v/>
      </c>
      <c r="U257" s="183" t="str">
        <f t="shared" si="77"/>
        <v/>
      </c>
      <c r="V257" s="184" t="str">
        <f>IF(U257="","",IF($I$8="A",(RANK(U257,U$11:U$368)+COUNTIF(U$11:U257,U257)-1),(RANK(U257,U$11:U$368,1)+COUNTIF(U$11:U257,U257)-1)))</f>
        <v/>
      </c>
      <c r="W257" s="185"/>
      <c r="X257" s="38" t="str">
        <f>IF(L257="","",VLOOKUP($L257,classifications!$C:$J,6,FALSE))</f>
        <v/>
      </c>
      <c r="Y257" s="26" t="b">
        <f t="shared" si="78"/>
        <v>0</v>
      </c>
      <c r="Z257" s="34" t="e">
        <f>IF(Y257="","",IF(I$8="A",(RANK(Y257,Y$11:Y$368,1)+COUNTIF(Y$11:Y257,Y257)-1),(RANK(Y257,Y$11:Y$368)+COUNTIF(Y$11:Y257,Y257)-1)))</f>
        <v>#N/A</v>
      </c>
      <c r="AA257" s="188" t="str">
        <f>IF(L257="","",VLOOKUP($L257,classifications!C:I,7,FALSE))</f>
        <v/>
      </c>
      <c r="AB257" s="184" t="str">
        <f t="shared" si="86"/>
        <v/>
      </c>
      <c r="AC257" s="184" t="str">
        <f>IF(AB257="","",IF($I$8="A",(RANK(AB257,AB$11:AB$368)+COUNTIF(AB$11:AB257,AB257)-1),(RANK(AB257,AB$11:AB$368,1)+COUNTIF(AB$11:AB257,AB257)-1)))</f>
        <v/>
      </c>
      <c r="AD257" s="184"/>
      <c r="AE257" s="28" t="str">
        <f t="shared" si="96"/>
        <v/>
      </c>
      <c r="AG257" s="96"/>
      <c r="AH257" s="29"/>
      <c r="AI257" s="38" t="str">
        <f>IF(L257="","",VLOOKUP($L257,classifications!$C:$J,8,FALSE))</f>
        <v/>
      </c>
      <c r="AJ257" s="39" t="str">
        <f t="shared" si="79"/>
        <v/>
      </c>
      <c r="AK257" s="34" t="str">
        <f>IF(AJ257="","",IF(I$8="A",(RANK(AJ257,AJ$11:AJ$368,1)+COUNTIF(AJ$11:AJ257,AJ257)-1),(RANK(AJ257,AJ$11:AJ$368)+COUNTIF(AJ$11:AJ257,AJ257)-1)))</f>
        <v/>
      </c>
      <c r="AL257" s="29" t="str">
        <f t="shared" si="87"/>
        <v/>
      </c>
      <c r="AM257" s="8" t="str">
        <f t="shared" si="80"/>
        <v/>
      </c>
      <c r="AN257" s="8" t="str">
        <f t="shared" si="88"/>
        <v/>
      </c>
      <c r="AP257" s="38" t="str">
        <f>IF(L257="","",VLOOKUP($L257,classifications!$C:$E,3,FALSE))</f>
        <v/>
      </c>
      <c r="AQ257" s="39" t="str">
        <f t="shared" si="89"/>
        <v/>
      </c>
      <c r="AR257" s="34" t="str">
        <f>IF(AQ257="","",IF(I$8="A",(RANK(AQ257,AQ$11:AQ$368,1)+COUNTIF(AQ$11:AQ257,AQ257)-1),(RANK(AQ257,AQ$11:AQ$368)+COUNTIF(AQ$11:AQ257,AQ257)-1)))</f>
        <v/>
      </c>
      <c r="AS257" s="29" t="str">
        <f t="shared" si="90"/>
        <v/>
      </c>
      <c r="AT257" s="34" t="str">
        <f t="shared" si="81"/>
        <v/>
      </c>
      <c r="AU257" s="39" t="str">
        <f t="shared" si="94"/>
        <v/>
      </c>
      <c r="AX257" s="21">
        <f>HLOOKUP($AX$9&amp;$AX$10,Data!$A$1:$ZZ$2000,(MATCH($C257,Data!$A$1:$A$2000,0)),FALSE)</f>
        <v>5.9172121937359528</v>
      </c>
      <c r="AY257" s="103"/>
      <c r="AZ257" s="21"/>
    </row>
    <row r="258" spans="1:52">
      <c r="A258" s="56" t="str">
        <f>$D$1&amp;248</f>
        <v>SC248</v>
      </c>
      <c r="B258" s="57">
        <f>IF(ISERROR(VLOOKUP(A258,classifications!A:C,3,FALSE)),0,VLOOKUP(A258,classifications!A:C,3,FALSE))</f>
        <v>0</v>
      </c>
      <c r="C258" s="8" t="s">
        <v>133</v>
      </c>
      <c r="D258" s="26" t="str">
        <f>VLOOKUP($C258,classifications!$C:$J,4,FALSE)</f>
        <v>SD</v>
      </c>
      <c r="E258" s="26" t="str">
        <f>VLOOKUP(C258,classifications!C:K,9,FALSE)</f>
        <v>Sparse</v>
      </c>
      <c r="F258" s="36">
        <f t="shared" si="73"/>
        <v>16.2676909527001</v>
      </c>
      <c r="G258" s="71"/>
      <c r="H258" s="37" t="str">
        <f t="shared" si="74"/>
        <v/>
      </c>
      <c r="I258" s="77" t="str">
        <f>IF(H258="","",IF($I$8="A",(RANK(H258,H$11:H$368,1)+COUNTIF(H$11:H258,H258)-1),(RANK(H258,H$11:H$368)+COUNTIF(H$11:H258,H258)-1)))</f>
        <v/>
      </c>
      <c r="J258" s="35"/>
      <c r="K258" s="28" t="str">
        <f t="shared" si="82"/>
        <v/>
      </c>
      <c r="L258" s="36" t="str">
        <f t="shared" si="75"/>
        <v/>
      </c>
      <c r="M258" s="102" t="str">
        <f t="shared" si="83"/>
        <v/>
      </c>
      <c r="N258" s="101" t="str">
        <f t="shared" si="84"/>
        <v/>
      </c>
      <c r="O258" s="94" t="str">
        <f t="shared" si="76"/>
        <v/>
      </c>
      <c r="P258" s="94" t="str">
        <f t="shared" si="91"/>
        <v/>
      </c>
      <c r="Q258" s="94" t="str">
        <f t="shared" si="92"/>
        <v/>
      </c>
      <c r="R258" s="90" t="str">
        <f t="shared" si="93"/>
        <v/>
      </c>
      <c r="S258" s="37" t="str">
        <f t="shared" si="85"/>
        <v/>
      </c>
      <c r="T258" s="176" t="str">
        <f>IF(L258="","",VLOOKUP(L258,classifications!C:K,9,FALSE))</f>
        <v/>
      </c>
      <c r="U258" s="183" t="str">
        <f t="shared" si="77"/>
        <v/>
      </c>
      <c r="V258" s="184" t="str">
        <f>IF(U258="","",IF($I$8="A",(RANK(U258,U$11:U$368)+COUNTIF(U$11:U258,U258)-1),(RANK(U258,U$11:U$368,1)+COUNTIF(U$11:U258,U258)-1)))</f>
        <v/>
      </c>
      <c r="W258" s="185"/>
      <c r="X258" s="38" t="str">
        <f>IF(L258="","",VLOOKUP($L258,classifications!$C:$J,6,FALSE))</f>
        <v/>
      </c>
      <c r="Y258" s="26" t="b">
        <f t="shared" si="78"/>
        <v>0</v>
      </c>
      <c r="Z258" s="34" t="e">
        <f>IF(Y258="","",IF(I$8="A",(RANK(Y258,Y$11:Y$368,1)+COUNTIF(Y$11:Y258,Y258)-1),(RANK(Y258,Y$11:Y$368)+COUNTIF(Y$11:Y258,Y258)-1)))</f>
        <v>#N/A</v>
      </c>
      <c r="AA258" s="188" t="str">
        <f>IF(L258="","",VLOOKUP($L258,classifications!C:I,7,FALSE))</f>
        <v/>
      </c>
      <c r="AB258" s="184" t="str">
        <f t="shared" si="86"/>
        <v/>
      </c>
      <c r="AC258" s="184" t="str">
        <f>IF(AB258="","",IF($I$8="A",(RANK(AB258,AB$11:AB$368)+COUNTIF(AB$11:AB258,AB258)-1),(RANK(AB258,AB$11:AB$368,1)+COUNTIF(AB$11:AB258,AB258)-1)))</f>
        <v/>
      </c>
      <c r="AD258" s="184"/>
      <c r="AE258" s="28" t="str">
        <f t="shared" si="96"/>
        <v/>
      </c>
      <c r="AG258" s="96"/>
      <c r="AH258" s="29"/>
      <c r="AI258" s="38" t="str">
        <f>IF(L258="","",VLOOKUP($L258,classifications!$C:$J,8,FALSE))</f>
        <v/>
      </c>
      <c r="AJ258" s="39" t="str">
        <f t="shared" si="79"/>
        <v/>
      </c>
      <c r="AK258" s="34" t="str">
        <f>IF(AJ258="","",IF(I$8="A",(RANK(AJ258,AJ$11:AJ$368,1)+COUNTIF(AJ$11:AJ258,AJ258)-1),(RANK(AJ258,AJ$11:AJ$368)+COUNTIF(AJ$11:AJ258,AJ258)-1)))</f>
        <v/>
      </c>
      <c r="AL258" s="29" t="str">
        <f t="shared" si="87"/>
        <v/>
      </c>
      <c r="AM258" s="8" t="str">
        <f t="shared" si="80"/>
        <v/>
      </c>
      <c r="AN258" s="8" t="str">
        <f t="shared" si="88"/>
        <v/>
      </c>
      <c r="AP258" s="38" t="str">
        <f>IF(L258="","",VLOOKUP($L258,classifications!$C:$E,3,FALSE))</f>
        <v/>
      </c>
      <c r="AQ258" s="39" t="str">
        <f t="shared" si="89"/>
        <v/>
      </c>
      <c r="AR258" s="34" t="str">
        <f>IF(AQ258="","",IF(I$8="A",(RANK(AQ258,AQ$11:AQ$368,1)+COUNTIF(AQ$11:AQ258,AQ258)-1),(RANK(AQ258,AQ$11:AQ$368)+COUNTIF(AQ$11:AQ258,AQ258)-1)))</f>
        <v/>
      </c>
      <c r="AS258" s="29" t="str">
        <f t="shared" si="90"/>
        <v/>
      </c>
      <c r="AT258" s="34" t="str">
        <f t="shared" si="81"/>
        <v/>
      </c>
      <c r="AU258" s="39" t="str">
        <f t="shared" si="94"/>
        <v/>
      </c>
      <c r="AX258" s="21">
        <f>HLOOKUP($AX$9&amp;$AX$10,Data!$A$1:$ZZ$2000,(MATCH($C258,Data!$A$1:$A$2000,0)),FALSE)</f>
        <v>16.2676909527001</v>
      </c>
      <c r="AY258" s="103"/>
      <c r="AZ258" s="21"/>
    </row>
    <row r="259" spans="1:52">
      <c r="A259" s="56" t="str">
        <f>$D$1&amp;249</f>
        <v>SC249</v>
      </c>
      <c r="B259" s="57">
        <f>IF(ISERROR(VLOOKUP(A259,classifications!A:C,3,FALSE)),0,VLOOKUP(A259,classifications!A:C,3,FALSE))</f>
        <v>0</v>
      </c>
      <c r="C259" s="8" t="s">
        <v>134</v>
      </c>
      <c r="D259" s="26" t="str">
        <f>VLOOKUP($C259,classifications!$C:$J,4,FALSE)</f>
        <v>SD</v>
      </c>
      <c r="E259" s="26" t="str">
        <f>VLOOKUP(C259,classifications!C:K,9,FALSE)</f>
        <v>Sparse</v>
      </c>
      <c r="F259" s="36">
        <f t="shared" si="73"/>
        <v>17.991095759650065</v>
      </c>
      <c r="G259" s="71"/>
      <c r="H259" s="37" t="str">
        <f t="shared" si="74"/>
        <v/>
      </c>
      <c r="I259" s="77" t="str">
        <f>IF(H259="","",IF($I$8="A",(RANK(H259,H$11:H$368,1)+COUNTIF(H$11:H259,H259)-1),(RANK(H259,H$11:H$368)+COUNTIF(H$11:H259,H259)-1)))</f>
        <v/>
      </c>
      <c r="J259" s="35"/>
      <c r="K259" s="28" t="str">
        <f t="shared" si="82"/>
        <v/>
      </c>
      <c r="L259" s="36" t="str">
        <f t="shared" si="75"/>
        <v/>
      </c>
      <c r="M259" s="102" t="str">
        <f t="shared" si="83"/>
        <v/>
      </c>
      <c r="N259" s="101" t="str">
        <f t="shared" si="84"/>
        <v/>
      </c>
      <c r="O259" s="94" t="str">
        <f t="shared" si="76"/>
        <v/>
      </c>
      <c r="P259" s="94" t="str">
        <f t="shared" si="91"/>
        <v/>
      </c>
      <c r="Q259" s="94" t="str">
        <f t="shared" si="92"/>
        <v/>
      </c>
      <c r="R259" s="90" t="str">
        <f t="shared" si="93"/>
        <v/>
      </c>
      <c r="S259" s="37" t="str">
        <f t="shared" si="85"/>
        <v/>
      </c>
      <c r="T259" s="176" t="str">
        <f>IF(L259="","",VLOOKUP(L259,classifications!C:K,9,FALSE))</f>
        <v/>
      </c>
      <c r="U259" s="183" t="str">
        <f t="shared" si="77"/>
        <v/>
      </c>
      <c r="V259" s="184" t="str">
        <f>IF(U259="","",IF($I$8="A",(RANK(U259,U$11:U$368)+COUNTIF(U$11:U259,U259)-1),(RANK(U259,U$11:U$368,1)+COUNTIF(U$11:U259,U259)-1)))</f>
        <v/>
      </c>
      <c r="W259" s="185"/>
      <c r="X259" s="38" t="str">
        <f>IF(L259="","",VLOOKUP($L259,classifications!$C:$J,6,FALSE))</f>
        <v/>
      </c>
      <c r="Y259" s="26" t="b">
        <f t="shared" si="78"/>
        <v>0</v>
      </c>
      <c r="Z259" s="34" t="e">
        <f>IF(Y259="","",IF(I$8="A",(RANK(Y259,Y$11:Y$368,1)+COUNTIF(Y$11:Y259,Y259)-1),(RANK(Y259,Y$11:Y$368)+COUNTIF(Y$11:Y259,Y259)-1)))</f>
        <v>#N/A</v>
      </c>
      <c r="AA259" s="188" t="str">
        <f>IF(L259="","",VLOOKUP($L259,classifications!C:I,7,FALSE))</f>
        <v/>
      </c>
      <c r="AB259" s="184" t="str">
        <f t="shared" si="86"/>
        <v/>
      </c>
      <c r="AC259" s="184" t="str">
        <f>IF(AB259="","",IF($I$8="A",(RANK(AB259,AB$11:AB$368)+COUNTIF(AB$11:AB259,AB259)-1),(RANK(AB259,AB$11:AB$368,1)+COUNTIF(AB$11:AB259,AB259)-1)))</f>
        <v/>
      </c>
      <c r="AD259" s="184"/>
      <c r="AE259" s="28" t="str">
        <f t="shared" si="96"/>
        <v/>
      </c>
      <c r="AG259" s="96"/>
      <c r="AH259" s="29"/>
      <c r="AI259" s="38" t="str">
        <f>IF(L259="","",VLOOKUP($L259,classifications!$C:$J,8,FALSE))</f>
        <v/>
      </c>
      <c r="AJ259" s="39" t="str">
        <f t="shared" si="79"/>
        <v/>
      </c>
      <c r="AK259" s="34" t="str">
        <f>IF(AJ259="","",IF(I$8="A",(RANK(AJ259,AJ$11:AJ$368,1)+COUNTIF(AJ$11:AJ259,AJ259)-1),(RANK(AJ259,AJ$11:AJ$368)+COUNTIF(AJ$11:AJ259,AJ259)-1)))</f>
        <v/>
      </c>
      <c r="AL259" s="29" t="str">
        <f t="shared" si="87"/>
        <v/>
      </c>
      <c r="AM259" s="8" t="str">
        <f t="shared" si="80"/>
        <v/>
      </c>
      <c r="AN259" s="8" t="str">
        <f t="shared" si="88"/>
        <v/>
      </c>
      <c r="AP259" s="38" t="str">
        <f>IF(L259="","",VLOOKUP($L259,classifications!$C:$E,3,FALSE))</f>
        <v/>
      </c>
      <c r="AQ259" s="39" t="str">
        <f t="shared" si="89"/>
        <v/>
      </c>
      <c r="AR259" s="34" t="str">
        <f>IF(AQ259="","",IF(I$8="A",(RANK(AQ259,AQ$11:AQ$368,1)+COUNTIF(AQ$11:AQ259,AQ259)-1),(RANK(AQ259,AQ$11:AQ$368)+COUNTIF(AQ$11:AQ259,AQ259)-1)))</f>
        <v/>
      </c>
      <c r="AS259" s="29" t="str">
        <f t="shared" si="90"/>
        <v/>
      </c>
      <c r="AT259" s="34" t="str">
        <f t="shared" si="81"/>
        <v/>
      </c>
      <c r="AU259" s="39" t="str">
        <f t="shared" si="94"/>
        <v/>
      </c>
      <c r="AX259" s="21">
        <f>HLOOKUP($AX$9&amp;$AX$10,Data!$A$1:$ZZ$2000,(MATCH($C259,Data!$A$1:$A$2000,0)),FALSE)</f>
        <v>17.991095759650065</v>
      </c>
      <c r="AY259" s="103"/>
      <c r="AZ259" s="21"/>
    </row>
    <row r="260" spans="1:52">
      <c r="A260" s="56" t="str">
        <f>$D$1&amp;250</f>
        <v>SC250</v>
      </c>
      <c r="B260" s="57">
        <f>IF(ISERROR(VLOOKUP(A260,classifications!A:C,3,FALSE)),0,VLOOKUP(A260,classifications!A:C,3,FALSE))</f>
        <v>0</v>
      </c>
      <c r="C260" s="8" t="s">
        <v>244</v>
      </c>
      <c r="D260" s="26" t="str">
        <f>VLOOKUP($C260,classifications!$C:$J,4,FALSE)</f>
        <v>MD</v>
      </c>
      <c r="E260" s="26">
        <f>VLOOKUP(C260,classifications!C:K,9,FALSE)</f>
        <v>0</v>
      </c>
      <c r="F260" s="36">
        <f t="shared" si="73"/>
        <v>16.558685379432227</v>
      </c>
      <c r="G260" s="71"/>
      <c r="H260" s="37" t="str">
        <f t="shared" si="74"/>
        <v/>
      </c>
      <c r="I260" s="77" t="str">
        <f>IF(H260="","",IF($I$8="A",(RANK(H260,H$11:H$368,1)+COUNTIF(H$11:H260,H260)-1),(RANK(H260,H$11:H$368)+COUNTIF(H$11:H260,H260)-1)))</f>
        <v/>
      </c>
      <c r="J260" s="35"/>
      <c r="K260" s="28" t="str">
        <f t="shared" si="82"/>
        <v/>
      </c>
      <c r="L260" s="36" t="str">
        <f t="shared" si="75"/>
        <v/>
      </c>
      <c r="M260" s="102" t="str">
        <f t="shared" si="83"/>
        <v/>
      </c>
      <c r="N260" s="101" t="str">
        <f t="shared" si="84"/>
        <v/>
      </c>
      <c r="O260" s="94" t="str">
        <f t="shared" si="76"/>
        <v/>
      </c>
      <c r="P260" s="94" t="str">
        <f t="shared" si="91"/>
        <v/>
      </c>
      <c r="Q260" s="94" t="str">
        <f t="shared" si="92"/>
        <v/>
      </c>
      <c r="R260" s="90" t="str">
        <f t="shared" si="93"/>
        <v/>
      </c>
      <c r="S260" s="37" t="str">
        <f t="shared" si="85"/>
        <v/>
      </c>
      <c r="T260" s="176" t="str">
        <f>IF(L260="","",VLOOKUP(L260,classifications!C:K,9,FALSE))</f>
        <v/>
      </c>
      <c r="U260" s="183" t="str">
        <f t="shared" si="77"/>
        <v/>
      </c>
      <c r="V260" s="184" t="str">
        <f>IF(U260="","",IF($I$8="A",(RANK(U260,U$11:U$368)+COUNTIF(U$11:U260,U260)-1),(RANK(U260,U$11:U$368,1)+COUNTIF(U$11:U260,U260)-1)))</f>
        <v/>
      </c>
      <c r="W260" s="185"/>
      <c r="X260" s="38" t="str">
        <f>IF(L260="","",VLOOKUP($L260,classifications!$C:$J,6,FALSE))</f>
        <v/>
      </c>
      <c r="Y260" s="26" t="b">
        <f t="shared" si="78"/>
        <v>0</v>
      </c>
      <c r="Z260" s="34" t="e">
        <f>IF(Y260="","",IF(I$8="A",(RANK(Y260,Y$11:Y$368,1)+COUNTIF(Y$11:Y260,Y260)-1),(RANK(Y260,Y$11:Y$368)+COUNTIF(Y$11:Y260,Y260)-1)))</f>
        <v>#N/A</v>
      </c>
      <c r="AA260" s="188" t="str">
        <f>IF(L260="","",VLOOKUP($L260,classifications!C:I,7,FALSE))</f>
        <v/>
      </c>
      <c r="AB260" s="184" t="str">
        <f t="shared" si="86"/>
        <v/>
      </c>
      <c r="AC260" s="184" t="str">
        <f>IF(AB260="","",IF($I$8="A",(RANK(AB260,AB$11:AB$368)+COUNTIF(AB$11:AB260,AB260)-1),(RANK(AB260,AB$11:AB$368,1)+COUNTIF(AB$11:AB260,AB260)-1)))</f>
        <v/>
      </c>
      <c r="AD260" s="184"/>
      <c r="AE260" s="28" t="str">
        <f t="shared" si="96"/>
        <v/>
      </c>
      <c r="AG260" s="96"/>
      <c r="AH260" s="29"/>
      <c r="AI260" s="38" t="str">
        <f>IF(L260="","",VLOOKUP($L260,classifications!$C:$J,8,FALSE))</f>
        <v/>
      </c>
      <c r="AJ260" s="39" t="str">
        <f t="shared" si="79"/>
        <v/>
      </c>
      <c r="AK260" s="34" t="str">
        <f>IF(AJ260="","",IF(I$8="A",(RANK(AJ260,AJ$11:AJ$368,1)+COUNTIF(AJ$11:AJ260,AJ260)-1),(RANK(AJ260,AJ$11:AJ$368)+COUNTIF(AJ$11:AJ260,AJ260)-1)))</f>
        <v/>
      </c>
      <c r="AL260" s="29" t="str">
        <f t="shared" si="87"/>
        <v/>
      </c>
      <c r="AM260" s="8" t="str">
        <f t="shared" si="80"/>
        <v/>
      </c>
      <c r="AN260" s="8" t="str">
        <f t="shared" si="88"/>
        <v/>
      </c>
      <c r="AP260" s="38" t="str">
        <f>IF(L260="","",VLOOKUP($L260,classifications!$C:$E,3,FALSE))</f>
        <v/>
      </c>
      <c r="AQ260" s="39" t="str">
        <f t="shared" si="89"/>
        <v/>
      </c>
      <c r="AR260" s="34" t="str">
        <f>IF(AQ260="","",IF(I$8="A",(RANK(AQ260,AQ$11:AQ$368,1)+COUNTIF(AQ$11:AQ260,AQ260)-1),(RANK(AQ260,AQ$11:AQ$368)+COUNTIF(AQ$11:AQ260,AQ260)-1)))</f>
        <v/>
      </c>
      <c r="AS260" s="29" t="str">
        <f t="shared" si="90"/>
        <v/>
      </c>
      <c r="AT260" s="34" t="str">
        <f t="shared" si="81"/>
        <v/>
      </c>
      <c r="AU260" s="39" t="str">
        <f t="shared" si="94"/>
        <v/>
      </c>
      <c r="AX260" s="21">
        <f>HLOOKUP($AX$9&amp;$AX$10,Data!$A$1:$ZZ$2000,(MATCH($C260,Data!$A$1:$A$2000,0)),FALSE)</f>
        <v>16.558685379432227</v>
      </c>
      <c r="AY260" s="103"/>
      <c r="AZ260" s="21"/>
    </row>
    <row r="261" spans="1:52">
      <c r="A261" s="56" t="str">
        <f>$D$1&amp;251</f>
        <v>SC251</v>
      </c>
      <c r="B261" s="57">
        <f>IF(ISERROR(VLOOKUP(A261,classifications!A:C,3,FALSE)),0,VLOOKUP(A261,classifications!A:C,3,FALSE))</f>
        <v>0</v>
      </c>
      <c r="C261" s="8" t="s">
        <v>135</v>
      </c>
      <c r="D261" s="26" t="str">
        <f>VLOOKUP($C261,classifications!$C:$J,4,FALSE)</f>
        <v>SD</v>
      </c>
      <c r="E261" s="26" t="str">
        <f>VLOOKUP(C261,classifications!C:K,9,FALSE)</f>
        <v>Sparse</v>
      </c>
      <c r="F261" s="36">
        <f t="shared" si="73"/>
        <v>22.607385121615465</v>
      </c>
      <c r="G261" s="71"/>
      <c r="H261" s="37" t="str">
        <f t="shared" si="74"/>
        <v/>
      </c>
      <c r="I261" s="77" t="str">
        <f>IF(H261="","",IF($I$8="A",(RANK(H261,H$11:H$368,1)+COUNTIF(H$11:H261,H261)-1),(RANK(H261,H$11:H$368)+COUNTIF(H$11:H261,H261)-1)))</f>
        <v/>
      </c>
      <c r="J261" s="35"/>
      <c r="K261" s="28" t="str">
        <f t="shared" si="82"/>
        <v/>
      </c>
      <c r="L261" s="36" t="str">
        <f t="shared" si="75"/>
        <v/>
      </c>
      <c r="M261" s="102" t="str">
        <f t="shared" si="83"/>
        <v/>
      </c>
      <c r="N261" s="101" t="str">
        <f t="shared" si="84"/>
        <v/>
      </c>
      <c r="O261" s="94" t="str">
        <f t="shared" si="76"/>
        <v/>
      </c>
      <c r="P261" s="94" t="str">
        <f t="shared" si="91"/>
        <v/>
      </c>
      <c r="Q261" s="94" t="str">
        <f t="shared" si="92"/>
        <v/>
      </c>
      <c r="R261" s="90" t="str">
        <f t="shared" si="93"/>
        <v/>
      </c>
      <c r="S261" s="37" t="str">
        <f t="shared" si="85"/>
        <v/>
      </c>
      <c r="T261" s="176" t="str">
        <f>IF(L261="","",VLOOKUP(L261,classifications!C:K,9,FALSE))</f>
        <v/>
      </c>
      <c r="U261" s="183" t="str">
        <f t="shared" si="77"/>
        <v/>
      </c>
      <c r="V261" s="184" t="str">
        <f>IF(U261="","",IF($I$8="A",(RANK(U261,U$11:U$368)+COUNTIF(U$11:U261,U261)-1),(RANK(U261,U$11:U$368,1)+COUNTIF(U$11:U261,U261)-1)))</f>
        <v/>
      </c>
      <c r="W261" s="185"/>
      <c r="X261" s="38" t="str">
        <f>IF(L261="","",VLOOKUP($L261,classifications!$C:$J,6,FALSE))</f>
        <v/>
      </c>
      <c r="Y261" s="26" t="b">
        <f t="shared" si="78"/>
        <v>0</v>
      </c>
      <c r="Z261" s="34" t="e">
        <f>IF(Y261="","",IF(I$8="A",(RANK(Y261,Y$11:Y$368,1)+COUNTIF(Y$11:Y261,Y261)-1),(RANK(Y261,Y$11:Y$368)+COUNTIF(Y$11:Y261,Y261)-1)))</f>
        <v>#N/A</v>
      </c>
      <c r="AA261" s="188" t="str">
        <f>IF(L261="","",VLOOKUP($L261,classifications!C:I,7,FALSE))</f>
        <v/>
      </c>
      <c r="AB261" s="184" t="str">
        <f t="shared" si="86"/>
        <v/>
      </c>
      <c r="AC261" s="184" t="str">
        <f>IF(AB261="","",IF($I$8="A",(RANK(AB261,AB$11:AB$368)+COUNTIF(AB$11:AB261,AB261)-1),(RANK(AB261,AB$11:AB$368,1)+COUNTIF(AB$11:AB261,AB261)-1)))</f>
        <v/>
      </c>
      <c r="AD261" s="184"/>
      <c r="AE261" s="28" t="str">
        <f t="shared" si="96"/>
        <v/>
      </c>
      <c r="AG261" s="96"/>
      <c r="AH261" s="29"/>
      <c r="AI261" s="38" t="str">
        <f>IF(L261="","",VLOOKUP($L261,classifications!$C:$J,8,FALSE))</f>
        <v/>
      </c>
      <c r="AJ261" s="39" t="str">
        <f t="shared" si="79"/>
        <v/>
      </c>
      <c r="AK261" s="34" t="str">
        <f>IF(AJ261="","",IF(I$8="A",(RANK(AJ261,AJ$11:AJ$368,1)+COUNTIF(AJ$11:AJ261,AJ261)-1),(RANK(AJ261,AJ$11:AJ$368)+COUNTIF(AJ$11:AJ261,AJ261)-1)))</f>
        <v/>
      </c>
      <c r="AL261" s="29" t="str">
        <f t="shared" si="87"/>
        <v/>
      </c>
      <c r="AM261" s="8" t="str">
        <f t="shared" si="80"/>
        <v/>
      </c>
      <c r="AN261" s="8" t="str">
        <f t="shared" si="88"/>
        <v/>
      </c>
      <c r="AP261" s="38" t="str">
        <f>IF(L261="","",VLOOKUP($L261,classifications!$C:$E,3,FALSE))</f>
        <v/>
      </c>
      <c r="AQ261" s="39" t="str">
        <f t="shared" si="89"/>
        <v/>
      </c>
      <c r="AR261" s="34" t="str">
        <f>IF(AQ261="","",IF(I$8="A",(RANK(AQ261,AQ$11:AQ$368,1)+COUNTIF(AQ$11:AQ261,AQ261)-1),(RANK(AQ261,AQ$11:AQ$368)+COUNTIF(AQ$11:AQ261,AQ261)-1)))</f>
        <v/>
      </c>
      <c r="AS261" s="29" t="str">
        <f t="shared" si="90"/>
        <v/>
      </c>
      <c r="AT261" s="34" t="str">
        <f t="shared" si="81"/>
        <v/>
      </c>
      <c r="AU261" s="39" t="str">
        <f t="shared" si="94"/>
        <v/>
      </c>
      <c r="AX261" s="21">
        <f>HLOOKUP($AX$9&amp;$AX$10,Data!$A$1:$ZZ$2000,(MATCH($C261,Data!$A$1:$A$2000,0)),FALSE)</f>
        <v>22.607385121615465</v>
      </c>
      <c r="AY261" s="103"/>
      <c r="AZ261" s="21"/>
    </row>
    <row r="262" spans="1:52">
      <c r="A262" s="56" t="str">
        <f>$D$1&amp;252</f>
        <v>SC252</v>
      </c>
      <c r="B262" s="57">
        <f>IF(ISERROR(VLOOKUP(A262,classifications!A:C,3,FALSE)),0,VLOOKUP(A262,classifications!A:C,3,FALSE))</f>
        <v>0</v>
      </c>
      <c r="C262" s="8" t="s">
        <v>136</v>
      </c>
      <c r="D262" s="26" t="str">
        <f>VLOOKUP($C262,classifications!$C:$J,4,FALSE)</f>
        <v>SD</v>
      </c>
      <c r="E262" s="26" t="str">
        <f>VLOOKUP(C262,classifications!C:K,9,FALSE)</f>
        <v>Sparse</v>
      </c>
      <c r="F262" s="36">
        <f t="shared" si="73"/>
        <v>17.85209002317049</v>
      </c>
      <c r="G262" s="71"/>
      <c r="H262" s="37" t="str">
        <f t="shared" si="74"/>
        <v/>
      </c>
      <c r="I262" s="77" t="str">
        <f>IF(H262="","",IF($I$8="A",(RANK(H262,H$11:H$368,1)+COUNTIF(H$11:H262,H262)-1),(RANK(H262,H$11:H$368)+COUNTIF(H$11:H262,H262)-1)))</f>
        <v/>
      </c>
      <c r="J262" s="35"/>
      <c r="K262" s="28" t="str">
        <f t="shared" si="82"/>
        <v/>
      </c>
      <c r="L262" s="36" t="str">
        <f t="shared" si="75"/>
        <v/>
      </c>
      <c r="M262" s="102" t="str">
        <f t="shared" si="83"/>
        <v/>
      </c>
      <c r="N262" s="101" t="str">
        <f t="shared" si="84"/>
        <v/>
      </c>
      <c r="O262" s="94" t="str">
        <f t="shared" si="76"/>
        <v/>
      </c>
      <c r="P262" s="94" t="str">
        <f t="shared" si="91"/>
        <v/>
      </c>
      <c r="Q262" s="94" t="str">
        <f t="shared" si="92"/>
        <v/>
      </c>
      <c r="R262" s="90" t="str">
        <f t="shared" si="93"/>
        <v/>
      </c>
      <c r="S262" s="37" t="str">
        <f t="shared" si="85"/>
        <v/>
      </c>
      <c r="T262" s="176" t="str">
        <f>IF(L262="","",VLOOKUP(L262,classifications!C:K,9,FALSE))</f>
        <v/>
      </c>
      <c r="U262" s="183" t="str">
        <f t="shared" si="77"/>
        <v/>
      </c>
      <c r="V262" s="184" t="str">
        <f>IF(U262="","",IF($I$8="A",(RANK(U262,U$11:U$368)+COUNTIF(U$11:U262,U262)-1),(RANK(U262,U$11:U$368,1)+COUNTIF(U$11:U262,U262)-1)))</f>
        <v/>
      </c>
      <c r="W262" s="185"/>
      <c r="X262" s="38" t="str">
        <f>IF(L262="","",VLOOKUP($L262,classifications!$C:$J,6,FALSE))</f>
        <v/>
      </c>
      <c r="Y262" s="26" t="b">
        <f t="shared" si="78"/>
        <v>0</v>
      </c>
      <c r="Z262" s="34" t="e">
        <f>IF(Y262="","",IF(I$8="A",(RANK(Y262,Y$11:Y$368,1)+COUNTIF(Y$11:Y262,Y262)-1),(RANK(Y262,Y$11:Y$368)+COUNTIF(Y$11:Y262,Y262)-1)))</f>
        <v>#N/A</v>
      </c>
      <c r="AA262" s="188" t="str">
        <f>IF(L262="","",VLOOKUP($L262,classifications!C:I,7,FALSE))</f>
        <v/>
      </c>
      <c r="AB262" s="184" t="str">
        <f t="shared" si="86"/>
        <v/>
      </c>
      <c r="AC262" s="184" t="str">
        <f>IF(AB262="","",IF($I$8="A",(RANK(AB262,AB$11:AB$368)+COUNTIF(AB$11:AB262,AB262)-1),(RANK(AB262,AB$11:AB$368,1)+COUNTIF(AB$11:AB262,AB262)-1)))</f>
        <v/>
      </c>
      <c r="AD262" s="184"/>
      <c r="AE262" s="28" t="str">
        <f t="shared" si="96"/>
        <v/>
      </c>
      <c r="AG262" s="96"/>
      <c r="AH262" s="29"/>
      <c r="AI262" s="38" t="str">
        <f>IF(L262="","",VLOOKUP($L262,classifications!$C:$J,8,FALSE))</f>
        <v/>
      </c>
      <c r="AJ262" s="39" t="str">
        <f t="shared" si="79"/>
        <v/>
      </c>
      <c r="AK262" s="34" t="str">
        <f>IF(AJ262="","",IF(I$8="A",(RANK(AJ262,AJ$11:AJ$368,1)+COUNTIF(AJ$11:AJ262,AJ262)-1),(RANK(AJ262,AJ$11:AJ$368)+COUNTIF(AJ$11:AJ262,AJ262)-1)))</f>
        <v/>
      </c>
      <c r="AL262" s="29" t="str">
        <f t="shared" si="87"/>
        <v/>
      </c>
      <c r="AM262" s="8" t="str">
        <f t="shared" si="80"/>
        <v/>
      </c>
      <c r="AN262" s="8" t="str">
        <f t="shared" si="88"/>
        <v/>
      </c>
      <c r="AP262" s="38" t="str">
        <f>IF(L262="","",VLOOKUP($L262,classifications!$C:$E,3,FALSE))</f>
        <v/>
      </c>
      <c r="AQ262" s="39" t="str">
        <f t="shared" si="89"/>
        <v/>
      </c>
      <c r="AR262" s="34" t="str">
        <f>IF(AQ262="","",IF(I$8="A",(RANK(AQ262,AQ$11:AQ$368,1)+COUNTIF(AQ$11:AQ262,AQ262)-1),(RANK(AQ262,AQ$11:AQ$368)+COUNTIF(AQ$11:AQ262,AQ262)-1)))</f>
        <v/>
      </c>
      <c r="AS262" s="29" t="str">
        <f t="shared" si="90"/>
        <v/>
      </c>
      <c r="AT262" s="34" t="str">
        <f t="shared" si="81"/>
        <v/>
      </c>
      <c r="AU262" s="39" t="str">
        <f t="shared" si="94"/>
        <v/>
      </c>
      <c r="AX262" s="21">
        <f>HLOOKUP($AX$9&amp;$AX$10,Data!$A$1:$ZZ$2000,(MATCH($C262,Data!$A$1:$A$2000,0)),FALSE)</f>
        <v>17.85209002317049</v>
      </c>
      <c r="AY262" s="103"/>
      <c r="AZ262" s="21"/>
    </row>
    <row r="263" spans="1:52">
      <c r="A263" s="56" t="str">
        <f>$D$1&amp;253</f>
        <v>SC253</v>
      </c>
      <c r="B263" s="57">
        <f>IF(ISERROR(VLOOKUP(A263,classifications!A:C,3,FALSE)),0,VLOOKUP(A263,classifications!A:C,3,FALSE))</f>
        <v>0</v>
      </c>
      <c r="C263" s="8" t="s">
        <v>245</v>
      </c>
      <c r="D263" s="26" t="str">
        <f>VLOOKUP($C263,classifications!$C:$J,4,FALSE)</f>
        <v>MD</v>
      </c>
      <c r="E263" s="26">
        <f>VLOOKUP(C263,classifications!C:K,9,FALSE)</f>
        <v>0</v>
      </c>
      <c r="F263" s="36">
        <f t="shared" si="73"/>
        <v>12.196818368693197</v>
      </c>
      <c r="G263" s="71"/>
      <c r="H263" s="37" t="str">
        <f t="shared" si="74"/>
        <v/>
      </c>
      <c r="I263" s="77" t="str">
        <f>IF(H263="","",IF($I$8="A",(RANK(H263,H$11:H$368,1)+COUNTIF(H$11:H263,H263)-1),(RANK(H263,H$11:H$368)+COUNTIF(H$11:H263,H263)-1)))</f>
        <v/>
      </c>
      <c r="J263" s="35"/>
      <c r="K263" s="28" t="str">
        <f t="shared" si="82"/>
        <v/>
      </c>
      <c r="L263" s="36" t="str">
        <f t="shared" si="75"/>
        <v/>
      </c>
      <c r="M263" s="102" t="str">
        <f t="shared" si="83"/>
        <v/>
      </c>
      <c r="N263" s="101" t="str">
        <f t="shared" si="84"/>
        <v/>
      </c>
      <c r="O263" s="94" t="str">
        <f t="shared" si="76"/>
        <v/>
      </c>
      <c r="P263" s="94" t="str">
        <f t="shared" si="91"/>
        <v/>
      </c>
      <c r="Q263" s="94" t="str">
        <f t="shared" si="92"/>
        <v/>
      </c>
      <c r="R263" s="90" t="str">
        <f t="shared" si="93"/>
        <v/>
      </c>
      <c r="S263" s="37" t="str">
        <f t="shared" si="85"/>
        <v/>
      </c>
      <c r="T263" s="176" t="str">
        <f>IF(L263="","",VLOOKUP(L263,classifications!C:K,9,FALSE))</f>
        <v/>
      </c>
      <c r="U263" s="183" t="str">
        <f t="shared" si="77"/>
        <v/>
      </c>
      <c r="V263" s="184" t="str">
        <f>IF(U263="","",IF($I$8="A",(RANK(U263,U$11:U$368)+COUNTIF(U$11:U263,U263)-1),(RANK(U263,U$11:U$368,1)+COUNTIF(U$11:U263,U263)-1)))</f>
        <v/>
      </c>
      <c r="W263" s="185"/>
      <c r="X263" s="38" t="str">
        <f>IF(L263="","",VLOOKUP($L263,classifications!$C:$J,6,FALSE))</f>
        <v/>
      </c>
      <c r="Y263" s="26" t="b">
        <f t="shared" si="78"/>
        <v>0</v>
      </c>
      <c r="Z263" s="34" t="e">
        <f>IF(Y263="","",IF(I$8="A",(RANK(Y263,Y$11:Y$368,1)+COUNTIF(Y$11:Y263,Y263)-1),(RANK(Y263,Y$11:Y$368)+COUNTIF(Y$11:Y263,Y263)-1)))</f>
        <v>#N/A</v>
      </c>
      <c r="AA263" s="188" t="str">
        <f>IF(L263="","",VLOOKUP($L263,classifications!C:I,7,FALSE))</f>
        <v/>
      </c>
      <c r="AB263" s="184" t="str">
        <f t="shared" si="86"/>
        <v/>
      </c>
      <c r="AC263" s="184" t="str">
        <f>IF(AB263="","",IF($I$8="A",(RANK(AB263,AB$11:AB$368)+COUNTIF(AB$11:AB263,AB263)-1),(RANK(AB263,AB$11:AB$368,1)+COUNTIF(AB$11:AB263,AB263)-1)))</f>
        <v/>
      </c>
      <c r="AD263" s="184"/>
      <c r="AE263" s="28" t="str">
        <f t="shared" si="96"/>
        <v/>
      </c>
      <c r="AG263" s="96"/>
      <c r="AH263" s="29"/>
      <c r="AI263" s="38" t="str">
        <f>IF(L263="","",VLOOKUP($L263,classifications!$C:$J,8,FALSE))</f>
        <v/>
      </c>
      <c r="AJ263" s="39" t="str">
        <f t="shared" si="79"/>
        <v/>
      </c>
      <c r="AK263" s="34" t="str">
        <f>IF(AJ263="","",IF(I$8="A",(RANK(AJ263,AJ$11:AJ$368,1)+COUNTIF(AJ$11:AJ263,AJ263)-1),(RANK(AJ263,AJ$11:AJ$368)+COUNTIF(AJ$11:AJ263,AJ263)-1)))</f>
        <v/>
      </c>
      <c r="AL263" s="29" t="str">
        <f t="shared" si="87"/>
        <v/>
      </c>
      <c r="AM263" s="8" t="str">
        <f t="shared" si="80"/>
        <v/>
      </c>
      <c r="AN263" s="8" t="str">
        <f t="shared" si="88"/>
        <v/>
      </c>
      <c r="AP263" s="38" t="str">
        <f>IF(L263="","",VLOOKUP($L263,classifications!$C:$E,3,FALSE))</f>
        <v/>
      </c>
      <c r="AQ263" s="39" t="str">
        <f t="shared" si="89"/>
        <v/>
      </c>
      <c r="AR263" s="34" t="str">
        <f>IF(AQ263="","",IF(I$8="A",(RANK(AQ263,AQ$11:AQ$368,1)+COUNTIF(AQ$11:AQ263,AQ263)-1),(RANK(AQ263,AQ$11:AQ$368)+COUNTIF(AQ$11:AQ263,AQ263)-1)))</f>
        <v/>
      </c>
      <c r="AS263" s="29" t="str">
        <f t="shared" si="90"/>
        <v/>
      </c>
      <c r="AT263" s="34" t="str">
        <f t="shared" si="81"/>
        <v/>
      </c>
      <c r="AU263" s="39" t="str">
        <f t="shared" si="94"/>
        <v/>
      </c>
      <c r="AX263" s="21">
        <f>HLOOKUP($AX$9&amp;$AX$10,Data!$A$1:$ZZ$2000,(MATCH($C263,Data!$A$1:$A$2000,0)),FALSE)</f>
        <v>12.196818368693197</v>
      </c>
      <c r="AY263" s="103"/>
      <c r="AZ263" s="21"/>
    </row>
    <row r="264" spans="1:52">
      <c r="A264" s="56" t="str">
        <f>$D$1&amp;254</f>
        <v>SC254</v>
      </c>
      <c r="B264" s="57">
        <f>IF(ISERROR(VLOOKUP(A264,classifications!A:C,3,FALSE)),0,VLOOKUP(A264,classifications!A:C,3,FALSE))</f>
        <v>0</v>
      </c>
      <c r="C264" s="8" t="s">
        <v>901</v>
      </c>
      <c r="D264" s="26" t="str">
        <f>VLOOKUP($C264,classifications!$C:$J,4,FALSE)</f>
        <v>SD</v>
      </c>
      <c r="E264" s="26">
        <f>VLOOKUP(C264,classifications!C:K,9,FALSE)</f>
        <v>0</v>
      </c>
      <c r="F264" s="36">
        <f t="shared" si="73"/>
        <v>15.540950047548899</v>
      </c>
      <c r="G264" s="71"/>
      <c r="H264" s="37" t="str">
        <f t="shared" si="74"/>
        <v/>
      </c>
      <c r="I264" s="77" t="str">
        <f>IF(H264="","",IF($I$8="A",(RANK(H264,H$11:H$368,1)+COUNTIF(H$11:H264,H264)-1),(RANK(H264,H$11:H$368)+COUNTIF(H$11:H264,H264)-1)))</f>
        <v/>
      </c>
      <c r="J264" s="35"/>
      <c r="K264" s="28" t="str">
        <f t="shared" si="82"/>
        <v/>
      </c>
      <c r="L264" s="36" t="str">
        <f t="shared" si="75"/>
        <v/>
      </c>
      <c r="M264" s="102" t="str">
        <f t="shared" si="83"/>
        <v/>
      </c>
      <c r="N264" s="101" t="str">
        <f t="shared" si="84"/>
        <v/>
      </c>
      <c r="O264" s="94" t="str">
        <f t="shared" si="76"/>
        <v/>
      </c>
      <c r="P264" s="94" t="str">
        <f t="shared" si="91"/>
        <v/>
      </c>
      <c r="Q264" s="94" t="str">
        <f t="shared" si="92"/>
        <v/>
      </c>
      <c r="R264" s="90" t="str">
        <f t="shared" si="93"/>
        <v/>
      </c>
      <c r="S264" s="37" t="str">
        <f t="shared" si="85"/>
        <v/>
      </c>
      <c r="T264" s="176" t="str">
        <f>IF(L264="","",VLOOKUP(L264,classifications!C:K,9,FALSE))</f>
        <v/>
      </c>
      <c r="U264" s="183" t="str">
        <f t="shared" si="77"/>
        <v/>
      </c>
      <c r="V264" s="184" t="str">
        <f>IF(U264="","",IF($I$8="A",(RANK(U264,U$11:U$368)+COUNTIF(U$11:U264,U264)-1),(RANK(U264,U$11:U$368,1)+COUNTIF(U$11:U264,U264)-1)))</f>
        <v/>
      </c>
      <c r="W264" s="185"/>
      <c r="X264" s="38" t="str">
        <f>IF(L264="","",VLOOKUP($L264,classifications!$C:$J,6,FALSE))</f>
        <v/>
      </c>
      <c r="Y264" s="26" t="b">
        <f t="shared" si="78"/>
        <v>0</v>
      </c>
      <c r="Z264" s="34" t="e">
        <f>IF(Y264="","",IF(I$8="A",(RANK(Y264,Y$11:Y$368,1)+COUNTIF(Y$11:Y264,Y264)-1),(RANK(Y264,Y$11:Y$368)+COUNTIF(Y$11:Y264,Y264)-1)))</f>
        <v>#N/A</v>
      </c>
      <c r="AA264" s="188" t="str">
        <f>IF(L264="","",VLOOKUP($L264,classifications!C:I,7,FALSE))</f>
        <v/>
      </c>
      <c r="AB264" s="184" t="str">
        <f t="shared" si="86"/>
        <v/>
      </c>
      <c r="AC264" s="184" t="str">
        <f>IF(AB264="","",IF($I$8="A",(RANK(AB264,AB$11:AB$368)+COUNTIF(AB$11:AB264,AB264)-1),(RANK(AB264,AB$11:AB$368,1)+COUNTIF(AB$11:AB264,AB264)-1)))</f>
        <v/>
      </c>
      <c r="AD264" s="184"/>
      <c r="AE264" s="28" t="str">
        <f t="shared" si="96"/>
        <v/>
      </c>
      <c r="AG264" s="96"/>
      <c r="AH264" s="29"/>
      <c r="AI264" s="38" t="str">
        <f>IF(L264="","",VLOOKUP($L264,classifications!$C:$J,8,FALSE))</f>
        <v/>
      </c>
      <c r="AJ264" s="39" t="str">
        <f t="shared" si="79"/>
        <v/>
      </c>
      <c r="AK264" s="34" t="str">
        <f>IF(AJ264="","",IF(I$8="A",(RANK(AJ264,AJ$11:AJ$368,1)+COUNTIF(AJ$11:AJ264,AJ264)-1),(RANK(AJ264,AJ$11:AJ$368)+COUNTIF(AJ$11:AJ264,AJ264)-1)))</f>
        <v/>
      </c>
      <c r="AL264" s="29" t="str">
        <f t="shared" si="87"/>
        <v/>
      </c>
      <c r="AM264" s="8" t="str">
        <f t="shared" si="80"/>
        <v/>
      </c>
      <c r="AN264" s="8" t="str">
        <f t="shared" si="88"/>
        <v/>
      </c>
      <c r="AP264" s="38" t="str">
        <f>IF(L264="","",VLOOKUP($L264,classifications!$C:$E,3,FALSE))</f>
        <v/>
      </c>
      <c r="AQ264" s="39" t="str">
        <f t="shared" si="89"/>
        <v/>
      </c>
      <c r="AR264" s="34" t="str">
        <f>IF(AQ264="","",IF(I$8="A",(RANK(AQ264,AQ$11:AQ$368,1)+COUNTIF(AQ$11:AQ264,AQ264)-1),(RANK(AQ264,AQ$11:AQ$368)+COUNTIF(AQ$11:AQ264,AQ264)-1)))</f>
        <v/>
      </c>
      <c r="AS264" s="29" t="str">
        <f t="shared" si="90"/>
        <v/>
      </c>
      <c r="AT264" s="34" t="str">
        <f t="shared" si="81"/>
        <v/>
      </c>
      <c r="AU264" s="39" t="str">
        <f t="shared" si="94"/>
        <v/>
      </c>
      <c r="AX264" s="21">
        <f>HLOOKUP($AX$9&amp;$AX$10,Data!$A$1:$ZZ$2000,(MATCH($C264,Data!$A$1:$A$2000,0)),FALSE)</f>
        <v>15.540950047548899</v>
      </c>
      <c r="AY264" s="103"/>
      <c r="AZ264" s="21"/>
    </row>
    <row r="265" spans="1:52">
      <c r="A265" s="56" t="str">
        <f>$D$1&amp;255</f>
        <v>SC255</v>
      </c>
      <c r="B265" s="57">
        <f>IF(ISERROR(VLOOKUP(A265,classifications!A:C,3,FALSE)),0,VLOOKUP(A265,classifications!A:C,3,FALSE))</f>
        <v>0</v>
      </c>
      <c r="C265" s="8" t="s">
        <v>325</v>
      </c>
      <c r="D265" s="26" t="str">
        <f>VLOOKUP($C265,classifications!$C:$J,4,FALSE)</f>
        <v>UA</v>
      </c>
      <c r="E265" s="26" t="str">
        <f>VLOOKUP(C265,classifications!C:K,9,FALSE)</f>
        <v>Sparse</v>
      </c>
      <c r="F265" s="36">
        <f t="shared" si="73"/>
        <v>20.382746858262379</v>
      </c>
      <c r="G265" s="71"/>
      <c r="H265" s="37" t="str">
        <f t="shared" si="74"/>
        <v/>
      </c>
      <c r="I265" s="77" t="str">
        <f>IF(H265="","",IF($I$8="A",(RANK(H265,H$11:H$368,1)+COUNTIF(H$11:H265,H265)-1),(RANK(H265,H$11:H$368)+COUNTIF(H$11:H265,H265)-1)))</f>
        <v/>
      </c>
      <c r="J265" s="35"/>
      <c r="K265" s="28" t="str">
        <f t="shared" si="82"/>
        <v/>
      </c>
      <c r="L265" s="36" t="str">
        <f t="shared" si="75"/>
        <v/>
      </c>
      <c r="M265" s="102" t="str">
        <f t="shared" si="83"/>
        <v/>
      </c>
      <c r="N265" s="101" t="str">
        <f t="shared" si="84"/>
        <v/>
      </c>
      <c r="O265" s="94" t="str">
        <f t="shared" si="76"/>
        <v/>
      </c>
      <c r="P265" s="94" t="str">
        <f t="shared" si="91"/>
        <v/>
      </c>
      <c r="Q265" s="94" t="str">
        <f t="shared" si="92"/>
        <v/>
      </c>
      <c r="R265" s="90" t="str">
        <f t="shared" si="93"/>
        <v/>
      </c>
      <c r="S265" s="37" t="str">
        <f t="shared" si="85"/>
        <v/>
      </c>
      <c r="T265" s="176" t="str">
        <f>IF(L265="","",VLOOKUP(L265,classifications!C:K,9,FALSE))</f>
        <v/>
      </c>
      <c r="U265" s="183" t="str">
        <f t="shared" si="77"/>
        <v/>
      </c>
      <c r="V265" s="184" t="str">
        <f>IF(U265="","",IF($I$8="A",(RANK(U265,U$11:U$368)+COUNTIF(U$11:U265,U265)-1),(RANK(U265,U$11:U$368,1)+COUNTIF(U$11:U265,U265)-1)))</f>
        <v/>
      </c>
      <c r="W265" s="185"/>
      <c r="X265" s="38" t="str">
        <f>IF(L265="","",VLOOKUP($L265,classifications!$C:$J,6,FALSE))</f>
        <v/>
      </c>
      <c r="Y265" s="26" t="b">
        <f t="shared" si="78"/>
        <v>0</v>
      </c>
      <c r="Z265" s="34" t="e">
        <f>IF(Y265="","",IF(I$8="A",(RANK(Y265,Y$11:Y$368,1)+COUNTIF(Y$11:Y265,Y265)-1),(RANK(Y265,Y$11:Y$368)+COUNTIF(Y$11:Y265,Y265)-1)))</f>
        <v>#N/A</v>
      </c>
      <c r="AA265" s="188" t="str">
        <f>IF(L265="","",VLOOKUP($L265,classifications!C:I,7,FALSE))</f>
        <v/>
      </c>
      <c r="AB265" s="184" t="str">
        <f t="shared" si="86"/>
        <v/>
      </c>
      <c r="AC265" s="184" t="str">
        <f>IF(AB265="","",IF($I$8="A",(RANK(AB265,AB$11:AB$368)+COUNTIF(AB$11:AB265,AB265)-1),(RANK(AB265,AB$11:AB$368,1)+COUNTIF(AB$11:AB265,AB265)-1)))</f>
        <v/>
      </c>
      <c r="AD265" s="184"/>
      <c r="AE265" s="28" t="str">
        <f t="shared" si="96"/>
        <v/>
      </c>
      <c r="AG265" s="96"/>
      <c r="AH265" s="29"/>
      <c r="AI265" s="38" t="str">
        <f>IF(L265="","",VLOOKUP($L265,classifications!$C:$J,8,FALSE))</f>
        <v/>
      </c>
      <c r="AJ265" s="39" t="str">
        <f t="shared" si="79"/>
        <v/>
      </c>
      <c r="AK265" s="34" t="str">
        <f>IF(AJ265="","",IF(I$8="A",(RANK(AJ265,AJ$11:AJ$368,1)+COUNTIF(AJ$11:AJ265,AJ265)-1),(RANK(AJ265,AJ$11:AJ$368)+COUNTIF(AJ$11:AJ265,AJ265)-1)))</f>
        <v/>
      </c>
      <c r="AL265" s="29" t="str">
        <f t="shared" si="87"/>
        <v/>
      </c>
      <c r="AM265" s="8" t="str">
        <f t="shared" si="80"/>
        <v/>
      </c>
      <c r="AN265" s="8" t="str">
        <f t="shared" si="88"/>
        <v/>
      </c>
      <c r="AP265" s="38" t="str">
        <f>IF(L265="","",VLOOKUP($L265,classifications!$C:$E,3,FALSE))</f>
        <v/>
      </c>
      <c r="AQ265" s="39" t="str">
        <f t="shared" si="89"/>
        <v/>
      </c>
      <c r="AR265" s="34" t="str">
        <f>IF(AQ265="","",IF(I$8="A",(RANK(AQ265,AQ$11:AQ$368,1)+COUNTIF(AQ$11:AQ265,AQ265)-1),(RANK(AQ265,AQ$11:AQ$368)+COUNTIF(AQ$11:AQ265,AQ265)-1)))</f>
        <v/>
      </c>
      <c r="AS265" s="29" t="str">
        <f t="shared" si="90"/>
        <v/>
      </c>
      <c r="AT265" s="34" t="str">
        <f t="shared" si="81"/>
        <v/>
      </c>
      <c r="AU265" s="39" t="str">
        <f t="shared" si="94"/>
        <v/>
      </c>
      <c r="AX265" s="21">
        <f>HLOOKUP($AX$9&amp;$AX$10,Data!$A$1:$ZZ$2000,(MATCH($C265,Data!$A$1:$A$2000,0)),FALSE)</f>
        <v>20.382746858262379</v>
      </c>
      <c r="AY265" s="103"/>
      <c r="AZ265" s="21"/>
    </row>
    <row r="266" spans="1:52">
      <c r="A266" s="56" t="str">
        <f>$D$1&amp;256</f>
        <v>SC256</v>
      </c>
      <c r="B266" s="57">
        <f>IF(ISERROR(VLOOKUP(A266,classifications!A:C,3,FALSE)),0,VLOOKUP(A266,classifications!A:C,3,FALSE))</f>
        <v>0</v>
      </c>
      <c r="C266" s="8" t="s">
        <v>286</v>
      </c>
      <c r="D266" s="26" t="str">
        <f>VLOOKUP($C266,classifications!$C:$J,4,FALSE)</f>
        <v>UA</v>
      </c>
      <c r="E266" s="26">
        <f>VLOOKUP(C266,classifications!C:K,9,FALSE)</f>
        <v>0</v>
      </c>
      <c r="F266" s="36">
        <f t="shared" si="73"/>
        <v>10.600736307263475</v>
      </c>
      <c r="G266" s="71"/>
      <c r="H266" s="37" t="str">
        <f t="shared" si="74"/>
        <v/>
      </c>
      <c r="I266" s="77" t="str">
        <f>IF(H266="","",IF($I$8="A",(RANK(H266,H$11:H$368,1)+COUNTIF(H$11:H266,H266)-1),(RANK(H266,H$11:H$368)+COUNTIF(H$11:H266,H266)-1)))</f>
        <v/>
      </c>
      <c r="J266" s="35"/>
      <c r="K266" s="28" t="str">
        <f t="shared" si="82"/>
        <v/>
      </c>
      <c r="L266" s="36" t="str">
        <f t="shared" si="75"/>
        <v/>
      </c>
      <c r="M266" s="102" t="str">
        <f t="shared" si="83"/>
        <v/>
      </c>
      <c r="N266" s="101" t="str">
        <f t="shared" si="84"/>
        <v/>
      </c>
      <c r="O266" s="94" t="str">
        <f t="shared" si="76"/>
        <v/>
      </c>
      <c r="P266" s="94" t="str">
        <f t="shared" si="91"/>
        <v/>
      </c>
      <c r="Q266" s="94" t="str">
        <f t="shared" si="92"/>
        <v/>
      </c>
      <c r="R266" s="90" t="str">
        <f t="shared" si="93"/>
        <v/>
      </c>
      <c r="S266" s="37" t="str">
        <f t="shared" si="85"/>
        <v/>
      </c>
      <c r="T266" s="176" t="str">
        <f>IF(L266="","",VLOOKUP(L266,classifications!C:K,9,FALSE))</f>
        <v/>
      </c>
      <c r="U266" s="183" t="str">
        <f t="shared" si="77"/>
        <v/>
      </c>
      <c r="V266" s="184" t="str">
        <f>IF(U266="","",IF($I$8="A",(RANK(U266,U$11:U$368)+COUNTIF(U$11:U266,U266)-1),(RANK(U266,U$11:U$368,1)+COUNTIF(U$11:U266,U266)-1)))</f>
        <v/>
      </c>
      <c r="W266" s="185"/>
      <c r="X266" s="38" t="str">
        <f>IF(L266="","",VLOOKUP($L266,classifications!$C:$J,6,FALSE))</f>
        <v/>
      </c>
      <c r="Y266" s="26" t="b">
        <f t="shared" si="78"/>
        <v>0</v>
      </c>
      <c r="Z266" s="34" t="e">
        <f>IF(Y266="","",IF(I$8="A",(RANK(Y266,Y$11:Y$368,1)+COUNTIF(Y$11:Y266,Y266)-1),(RANK(Y266,Y$11:Y$368)+COUNTIF(Y$11:Y266,Y266)-1)))</f>
        <v>#N/A</v>
      </c>
      <c r="AA266" s="188" t="str">
        <f>IF(L266="","",VLOOKUP($L266,classifications!C:I,7,FALSE))</f>
        <v/>
      </c>
      <c r="AB266" s="184" t="str">
        <f t="shared" si="86"/>
        <v/>
      </c>
      <c r="AC266" s="184" t="str">
        <f>IF(AB266="","",IF($I$8="A",(RANK(AB266,AB$11:AB$368)+COUNTIF(AB$11:AB266,AB266)-1),(RANK(AB266,AB$11:AB$368,1)+COUNTIF(AB$11:AB266,AB266)-1)))</f>
        <v/>
      </c>
      <c r="AD266" s="184"/>
      <c r="AE266" s="28" t="str">
        <f t="shared" si="96"/>
        <v/>
      </c>
      <c r="AG266" s="96"/>
      <c r="AH266" s="29"/>
      <c r="AI266" s="38" t="str">
        <f>IF(L266="","",VLOOKUP($L266,classifications!$C:$J,8,FALSE))</f>
        <v/>
      </c>
      <c r="AJ266" s="39" t="str">
        <f t="shared" si="79"/>
        <v/>
      </c>
      <c r="AK266" s="34" t="str">
        <f>IF(AJ266="","",IF(I$8="A",(RANK(AJ266,AJ$11:AJ$368,1)+COUNTIF(AJ$11:AJ266,AJ266)-1),(RANK(AJ266,AJ$11:AJ$368)+COUNTIF(AJ$11:AJ266,AJ266)-1)))</f>
        <v/>
      </c>
      <c r="AL266" s="29" t="str">
        <f t="shared" si="87"/>
        <v/>
      </c>
      <c r="AM266" s="8" t="str">
        <f t="shared" si="80"/>
        <v/>
      </c>
      <c r="AN266" s="8" t="str">
        <f t="shared" si="88"/>
        <v/>
      </c>
      <c r="AP266" s="38" t="str">
        <f>IF(L266="","",VLOOKUP($L266,classifications!$C:$E,3,FALSE))</f>
        <v/>
      </c>
      <c r="AQ266" s="39" t="str">
        <f t="shared" si="89"/>
        <v/>
      </c>
      <c r="AR266" s="34" t="str">
        <f>IF(AQ266="","",IF(I$8="A",(RANK(AQ266,AQ$11:AQ$368,1)+COUNTIF(AQ$11:AQ266,AQ266)-1),(RANK(AQ266,AQ$11:AQ$368)+COUNTIF(AQ$11:AQ266,AQ266)-1)))</f>
        <v/>
      </c>
      <c r="AS266" s="29" t="str">
        <f t="shared" si="90"/>
        <v/>
      </c>
      <c r="AT266" s="34" t="str">
        <f t="shared" si="81"/>
        <v/>
      </c>
      <c r="AU266" s="39" t="str">
        <f t="shared" si="94"/>
        <v/>
      </c>
      <c r="AX266" s="21">
        <f>HLOOKUP($AX$9&amp;$AX$10,Data!$A$1:$ZZ$2000,(MATCH($C266,Data!$A$1:$A$2000,0)),FALSE)</f>
        <v>10.600736307263475</v>
      </c>
      <c r="AY266" s="103"/>
      <c r="AZ266" s="21"/>
    </row>
    <row r="267" spans="1:52">
      <c r="A267" s="56" t="str">
        <f>$D$1&amp;257</f>
        <v>SC257</v>
      </c>
      <c r="B267" s="57">
        <f>IF(ISERROR(VLOOKUP(A267,classifications!A:C,3,FALSE)),0,VLOOKUP(A267,classifications!A:C,3,FALSE))</f>
        <v>0</v>
      </c>
      <c r="C267" s="8" t="s">
        <v>246</v>
      </c>
      <c r="D267" s="26" t="str">
        <f>VLOOKUP($C267,classifications!$C:$J,4,FALSE)</f>
        <v>MD</v>
      </c>
      <c r="E267" s="26">
        <f>VLOOKUP(C267,classifications!C:K,9,FALSE)</f>
        <v>0</v>
      </c>
      <c r="F267" s="36">
        <f t="shared" ref="F267:F330" si="97">HLOOKUP($D$6,AX$10:ZX$368,ROW()-9,FALSE)</f>
        <v>14.185461246527797</v>
      </c>
      <c r="G267" s="71"/>
      <c r="H267" s="37" t="str">
        <f t="shared" ref="H267:H330" si="98">IF(D267=$D$1,HLOOKUP($D$6,$AX$10:$ZZ$368,ROW()-9,FALSE),"")</f>
        <v/>
      </c>
      <c r="I267" s="77" t="str">
        <f>IF(H267="","",IF($I$8="A",(RANK(H267,H$11:H$368,1)+COUNTIF(H$11:H267,H267)-1),(RANK(H267,H$11:H$368)+COUNTIF(H$11:H267,H267)-1)))</f>
        <v/>
      </c>
      <c r="J267" s="35"/>
      <c r="K267" s="28" t="str">
        <f t="shared" si="82"/>
        <v/>
      </c>
      <c r="L267" s="36" t="str">
        <f t="shared" ref="L267:L330" si="99">IF(K267="","",INDEX(C$11:C$368,MATCH(K267,I$11:I$368,0)))</f>
        <v/>
      </c>
      <c r="M267" s="102" t="str">
        <f t="shared" si="83"/>
        <v/>
      </c>
      <c r="N267" s="101" t="str">
        <f t="shared" si="84"/>
        <v/>
      </c>
      <c r="O267" s="94" t="str">
        <f t="shared" ref="O267:O330" si="100">IF(I$8="A",IF(N267&gt;=$P$7,IF(N267&lt;=$O$10,N267,""),""),IF(N267&lt;=$P$7,IF(N267&gt;=$O$10,N267,""),""))</f>
        <v/>
      </c>
      <c r="P267" s="94" t="str">
        <f t="shared" si="91"/>
        <v/>
      </c>
      <c r="Q267" s="94" t="str">
        <f t="shared" si="92"/>
        <v/>
      </c>
      <c r="R267" s="90" t="str">
        <f t="shared" si="93"/>
        <v/>
      </c>
      <c r="S267" s="37" t="str">
        <f t="shared" si="85"/>
        <v/>
      </c>
      <c r="T267" s="176" t="str">
        <f>IF(L267="","",VLOOKUP(L267,classifications!C:K,9,FALSE))</f>
        <v/>
      </c>
      <c r="U267" s="183" t="str">
        <f t="shared" ref="U267:U330" si="101">IF(T267="Sparse",M267,"")</f>
        <v/>
      </c>
      <c r="V267" s="184" t="str">
        <f>IF(U267="","",IF($I$8="A",(RANK(U267,U$11:U$368)+COUNTIF(U$11:U267,U267)-1),(RANK(U267,U$11:U$368,1)+COUNTIF(U$11:U267,U267)-1)))</f>
        <v/>
      </c>
      <c r="W267" s="185"/>
      <c r="X267" s="38" t="str">
        <f>IF(L267="","",VLOOKUP($L267,classifications!$C:$J,6,FALSE))</f>
        <v/>
      </c>
      <c r="Y267" s="26" t="b">
        <f t="shared" ref="Y267:Y330" si="102">IF($D$1="UA",IF(X267="Largely Rural (rural including hub towns 50-79%) ",M267,IF(X267="Mainly Rural (rural including hub towns &gt;=80%) ",M267,IF(X267="Urban with Significant Rural (rural including hub towns 26-49%)",M267,""))),IF($D$1="SD",IF(X267=$H$3,M267,"")))</f>
        <v>0</v>
      </c>
      <c r="Z267" s="34" t="e">
        <f>IF(Y267="","",IF(I$8="A",(RANK(Y267,Y$11:Y$368,1)+COUNTIF(Y$11:Y267,Y267)-1),(RANK(Y267,Y$11:Y$368)+COUNTIF(Y$11:Y267,Y267)-1)))</f>
        <v>#N/A</v>
      </c>
      <c r="AA267" s="188" t="str">
        <f>IF(L267="","",VLOOKUP($L267,classifications!C:I,7,FALSE))</f>
        <v/>
      </c>
      <c r="AB267" s="184" t="str">
        <f t="shared" si="86"/>
        <v/>
      </c>
      <c r="AC267" s="184" t="str">
        <f>IF(AB267="","",IF($I$8="A",(RANK(AB267,AB$11:AB$368)+COUNTIF(AB$11:AB267,AB267)-1),(RANK(AB267,AB$11:AB$368,1)+COUNTIF(AB$11:AB267,AB267)-1)))</f>
        <v/>
      </c>
      <c r="AD267" s="184"/>
      <c r="AE267" s="28" t="str">
        <f t="shared" si="96"/>
        <v/>
      </c>
      <c r="AG267" s="96"/>
      <c r="AH267" s="29"/>
      <c r="AI267" s="38" t="str">
        <f>IF(L267="","",VLOOKUP($L267,classifications!$C:$J,8,FALSE))</f>
        <v/>
      </c>
      <c r="AJ267" s="39" t="str">
        <f t="shared" ref="AJ267:AJ330" si="103">IF(AI267=$I$3,M267,"")</f>
        <v/>
      </c>
      <c r="AK267" s="34" t="str">
        <f>IF(AJ267="","",IF(I$8="A",(RANK(AJ267,AJ$11:AJ$368,1)+COUNTIF(AJ$11:AJ267,AJ267)-1),(RANK(AJ267,AJ$11:AJ$368)+COUNTIF(AJ$11:AJ267,AJ267)-1)))</f>
        <v/>
      </c>
      <c r="AL267" s="29" t="str">
        <f t="shared" si="87"/>
        <v/>
      </c>
      <c r="AM267" s="8" t="str">
        <f t="shared" ref="AM267:AM330" si="104">IF(ISNA(IF(AL267="","",INDEX(L$11:L$368,MATCH(AL267,AK$11:AK$368,0)))),"",(IF(AL267="","",INDEX(L$11:L$368,MATCH(AL267,AK$11:AK$368,0)))))</f>
        <v/>
      </c>
      <c r="AN267" s="8" t="str">
        <f t="shared" si="88"/>
        <v/>
      </c>
      <c r="AP267" s="38" t="str">
        <f>IF(L267="","",VLOOKUP($L267,classifications!$C:$E,3,FALSE))</f>
        <v/>
      </c>
      <c r="AQ267" s="39" t="str">
        <f t="shared" si="89"/>
        <v/>
      </c>
      <c r="AR267" s="34" t="str">
        <f>IF(AQ267="","",IF(I$8="A",(RANK(AQ267,AQ$11:AQ$368,1)+COUNTIF(AQ$11:AQ267,AQ267)-1),(RANK(AQ267,AQ$11:AQ$368)+COUNTIF(AQ$11:AQ267,AQ267)-1)))</f>
        <v/>
      </c>
      <c r="AS267" s="29" t="str">
        <f t="shared" si="90"/>
        <v/>
      </c>
      <c r="AT267" s="34" t="str">
        <f t="shared" ref="AT267:AT330" si="105">IF(AS267="","",INDEX(L$11:L$368,MATCH(AS267,AR$11:AR$368,0)))</f>
        <v/>
      </c>
      <c r="AU267" s="39" t="str">
        <f t="shared" si="94"/>
        <v/>
      </c>
      <c r="AX267" s="21">
        <f>HLOOKUP($AX$9&amp;$AX$10,Data!$A$1:$ZZ$2000,(MATCH($C267,Data!$A$1:$A$2000,0)),FALSE)</f>
        <v>14.185461246527797</v>
      </c>
      <c r="AY267" s="103"/>
      <c r="AZ267" s="21"/>
    </row>
    <row r="268" spans="1:52">
      <c r="A268" s="56" t="str">
        <f>$D$1&amp;258</f>
        <v>SC258</v>
      </c>
      <c r="B268" s="57">
        <f>IF(ISERROR(VLOOKUP(A268,classifications!A:C,3,FALSE)),0,VLOOKUP(A268,classifications!A:C,3,FALSE))</f>
        <v>0</v>
      </c>
      <c r="C268" s="8" t="s">
        <v>326</v>
      </c>
      <c r="D268" s="26" t="str">
        <f>VLOOKUP($C268,classifications!$C:$J,4,FALSE)</f>
        <v>SC</v>
      </c>
      <c r="E268" s="26">
        <f>VLOOKUP(C268,classifications!C:K,9,FALSE)</f>
        <v>0</v>
      </c>
      <c r="F268" s="36">
        <f t="shared" si="97"/>
        <v>18.082494954980437</v>
      </c>
      <c r="G268" s="71"/>
      <c r="H268" s="37">
        <f t="shared" si="98"/>
        <v>18.082494954980437</v>
      </c>
      <c r="I268" s="77">
        <f>IF(H268="","",IF($I$8="A",(RANK(H268,H$11:H$368,1)+COUNTIF(H$11:H268,H268)-1),(RANK(H268,H$11:H$368)+COUNTIF(H$11:H268,H268)-1)))</f>
        <v>10</v>
      </c>
      <c r="J268" s="35"/>
      <c r="K268" s="28" t="str">
        <f t="shared" ref="K268:K331" si="106">IF(K267="","",IF(K267+1&gt;(COUNT(H$11:H$368)),"",K267+1))</f>
        <v/>
      </c>
      <c r="L268" s="36" t="str">
        <f t="shared" si="99"/>
        <v/>
      </c>
      <c r="M268" s="102" t="str">
        <f t="shared" ref="M268:M331" si="107">IF(L268="","",IF(VLOOKUP(L268,C:D,2,FALSE)=$F$3,VLOOKUP(L268,C:H,6,FALSE),""))</f>
        <v/>
      </c>
      <c r="N268" s="101" t="str">
        <f t="shared" ref="N268:N331" si="108">IF(L268="","",IF($H$8="%%",M268*100,M268))</f>
        <v/>
      </c>
      <c r="O268" s="94" t="str">
        <f t="shared" si="100"/>
        <v/>
      </c>
      <c r="P268" s="94" t="str">
        <f t="shared" si="91"/>
        <v/>
      </c>
      <c r="Q268" s="94" t="str">
        <f t="shared" si="92"/>
        <v/>
      </c>
      <c r="R268" s="90" t="str">
        <f t="shared" si="93"/>
        <v/>
      </c>
      <c r="S268" s="37" t="str">
        <f t="shared" ref="S268:S331" si="109">IF(L268=D$3,"u","")</f>
        <v/>
      </c>
      <c r="T268" s="176" t="str">
        <f>IF(L268="","",VLOOKUP(L268,classifications!C:K,9,FALSE))</f>
        <v/>
      </c>
      <c r="U268" s="183" t="str">
        <f t="shared" si="101"/>
        <v/>
      </c>
      <c r="V268" s="184" t="str">
        <f>IF(U268="","",IF($I$8="A",(RANK(U268,U$11:U$368)+COUNTIF(U$11:U268,U268)-1),(RANK(U268,U$11:U$368,1)+COUNTIF(U$11:U268,U268)-1)))</f>
        <v/>
      </c>
      <c r="W268" s="185"/>
      <c r="X268" s="38" t="str">
        <f>IF(L268="","",VLOOKUP($L268,classifications!$C:$J,6,FALSE))</f>
        <v/>
      </c>
      <c r="Y268" s="26" t="b">
        <f t="shared" si="102"/>
        <v>0</v>
      </c>
      <c r="Z268" s="34" t="e">
        <f>IF(Y268="","",IF(I$8="A",(RANK(Y268,Y$11:Y$368,1)+COUNTIF(Y$11:Y268,Y268)-1),(RANK(Y268,Y$11:Y$368)+COUNTIF(Y$11:Y268,Y268)-1)))</f>
        <v>#N/A</v>
      </c>
      <c r="AA268" s="188" t="str">
        <f>IF(L268="","",VLOOKUP($L268,classifications!C:I,7,FALSE))</f>
        <v/>
      </c>
      <c r="AB268" s="184" t="str">
        <f t="shared" ref="AB268:AB331" si="110">IF(AA268=$J$3,M268,"")</f>
        <v/>
      </c>
      <c r="AC268" s="184" t="str">
        <f>IF(AB268="","",IF($I$8="A",(RANK(AB268,AB$11:AB$368)+COUNTIF(AB$11:AB268,AB268)-1),(RANK(AB268,AB$11:AB$368,1)+COUNTIF(AB$11:AB268,AB268)-1)))</f>
        <v/>
      </c>
      <c r="AD268" s="184"/>
      <c r="AE268" s="28" t="str">
        <f t="shared" si="96"/>
        <v/>
      </c>
      <c r="AG268" s="96"/>
      <c r="AH268" s="29"/>
      <c r="AI268" s="38" t="str">
        <f>IF(L268="","",VLOOKUP($L268,classifications!$C:$J,8,FALSE))</f>
        <v/>
      </c>
      <c r="AJ268" s="39" t="str">
        <f t="shared" si="103"/>
        <v/>
      </c>
      <c r="AK268" s="34" t="str">
        <f>IF(AJ268="","",IF(I$8="A",(RANK(AJ268,AJ$11:AJ$368,1)+COUNTIF(AJ$11:AJ268,AJ268)-1),(RANK(AJ268,AJ$11:AJ$368)+COUNTIF(AJ$11:AJ268,AJ268)-1)))</f>
        <v/>
      </c>
      <c r="AL268" s="29" t="str">
        <f t="shared" ref="AL268:AL331" si="111">IF(AL267="","",IF(AL267+1&gt;(COUNT(AJ$11:AJ$368)),"",AL267+1))</f>
        <v/>
      </c>
      <c r="AM268" s="8" t="str">
        <f t="shared" si="104"/>
        <v/>
      </c>
      <c r="AN268" s="8" t="str">
        <f t="shared" ref="AN268:AN331" si="112">(VLOOKUP(AM268,L:M,2,FALSE))</f>
        <v/>
      </c>
      <c r="AP268" s="38" t="str">
        <f>IF(L268="","",VLOOKUP($L268,classifications!$C:$E,3,FALSE))</f>
        <v/>
      </c>
      <c r="AQ268" s="39" t="str">
        <f t="shared" ref="AQ268:AQ331" si="113">IF(AP268=$G$3,$M268,"")</f>
        <v/>
      </c>
      <c r="AR268" s="34" t="str">
        <f>IF(AQ268="","",IF(I$8="A",(RANK(AQ268,AQ$11:AQ$368,1)+COUNTIF(AQ$11:AQ268,AQ268)-1),(RANK(AQ268,AQ$11:AQ$368)+COUNTIF(AQ$11:AQ268,AQ268)-1)))</f>
        <v/>
      </c>
      <c r="AS268" s="29" t="str">
        <f t="shared" ref="AS268:AS331" si="114">IF(AS267="","",IF(AS267+1&gt;(COUNT(AQ$11:AQ$368)),"",AS267+1))</f>
        <v/>
      </c>
      <c r="AT268" s="34" t="str">
        <f t="shared" si="105"/>
        <v/>
      </c>
      <c r="AU268" s="39" t="str">
        <f t="shared" si="94"/>
        <v/>
      </c>
      <c r="AX268" s="21">
        <f>HLOOKUP($AX$9&amp;$AX$10,Data!$A$1:$ZZ$2000,(MATCH($C268,Data!$A$1:$A$2000,0)),FALSE)</f>
        <v>18.082494954980437</v>
      </c>
      <c r="AY268" s="103"/>
      <c r="AZ268" s="21"/>
    </row>
    <row r="269" spans="1:52">
      <c r="A269" s="56" t="str">
        <f>$D$1&amp;259</f>
        <v>SC259</v>
      </c>
      <c r="B269" s="57">
        <f>IF(ISERROR(VLOOKUP(A269,classifications!A:C,3,FALSE)),0,VLOOKUP(A269,classifications!A:C,3,FALSE))</f>
        <v>0</v>
      </c>
      <c r="C269" s="8" t="s">
        <v>913</v>
      </c>
      <c r="D269" s="26" t="str">
        <f>VLOOKUP($C269,classifications!$C:$J,4,FALSE)</f>
        <v>SD</v>
      </c>
      <c r="E269" s="26" t="str">
        <f>VLOOKUP(C269,classifications!C:K,9,FALSE)</f>
        <v>Sparse</v>
      </c>
      <c r="F269" s="36" t="e">
        <f t="shared" si="97"/>
        <v>#N/A</v>
      </c>
      <c r="G269" s="71"/>
      <c r="H269" s="37" t="str">
        <f t="shared" si="98"/>
        <v/>
      </c>
      <c r="I269" s="77" t="str">
        <f>IF(H269="","",IF($I$8="A",(RANK(H269,H$11:H$368,1)+COUNTIF(H$11:H269,H269)-1),(RANK(H269,H$11:H$368)+COUNTIF(H$11:H269,H269)-1)))</f>
        <v/>
      </c>
      <c r="J269" s="35"/>
      <c r="K269" s="28" t="str">
        <f t="shared" si="106"/>
        <v/>
      </c>
      <c r="L269" s="36" t="str">
        <f t="shared" si="99"/>
        <v/>
      </c>
      <c r="M269" s="102" t="str">
        <f t="shared" si="107"/>
        <v/>
      </c>
      <c r="N269" s="101" t="str">
        <f t="shared" si="108"/>
        <v/>
      </c>
      <c r="O269" s="94" t="str">
        <f t="shared" si="100"/>
        <v/>
      </c>
      <c r="P269" s="94" t="str">
        <f t="shared" ref="P269:P332" si="115">IF(I$8="A",IF(N269&gt;$O$10,IF(N269&lt;=$P$10,N269,""),""),IF(N269&lt;$O$10,IF(N269&gt;=$P$10,N269,""),""))</f>
        <v/>
      </c>
      <c r="Q269" s="94" t="str">
        <f t="shared" ref="Q269:Q332" si="116">IF(I$8="A",IF(N269&gt;$P$10,IF(N269&lt;=$Q$10,N269,""),""),IF(N269&lt;$P$10,IF(N269&gt;=$Q$10,N269,""),""))</f>
        <v/>
      </c>
      <c r="R269" s="90" t="str">
        <f t="shared" ref="R269:R332" si="117">IF(I$8="A",IF(N269&gt;$Q$10,N269,""),IF(N269&lt;$Q$10,N269,""))</f>
        <v/>
      </c>
      <c r="S269" s="37" t="str">
        <f t="shared" si="109"/>
        <v/>
      </c>
      <c r="T269" s="176" t="str">
        <f>IF(L269="","",VLOOKUP(L269,classifications!C:K,9,FALSE))</f>
        <v/>
      </c>
      <c r="U269" s="183" t="str">
        <f t="shared" si="101"/>
        <v/>
      </c>
      <c r="V269" s="184" t="str">
        <f>IF(U269="","",IF($I$8="A",(RANK(U269,U$11:U$368)+COUNTIF(U$11:U269,U269)-1),(RANK(U269,U$11:U$368,1)+COUNTIF(U$11:U269,U269)-1)))</f>
        <v/>
      </c>
      <c r="W269" s="185"/>
      <c r="X269" s="38" t="str">
        <f>IF(L269="","",VLOOKUP($L269,classifications!$C:$J,6,FALSE))</f>
        <v/>
      </c>
      <c r="Y269" s="26" t="b">
        <f t="shared" si="102"/>
        <v>0</v>
      </c>
      <c r="Z269" s="34" t="e">
        <f>IF(Y269="","",IF(I$8="A",(RANK(Y269,Y$11:Y$368,1)+COUNTIF(Y$11:Y269,Y269)-1),(RANK(Y269,Y$11:Y$368)+COUNTIF(Y$11:Y269,Y269)-1)))</f>
        <v>#N/A</v>
      </c>
      <c r="AA269" s="188" t="str">
        <f>IF(L269="","",VLOOKUP($L269,classifications!C:I,7,FALSE))</f>
        <v/>
      </c>
      <c r="AB269" s="184" t="str">
        <f t="shared" si="110"/>
        <v/>
      </c>
      <c r="AC269" s="184" t="str">
        <f>IF(AB269="","",IF($I$8="A",(RANK(AB269,AB$11:AB$368)+COUNTIF(AB$11:AB269,AB269)-1),(RANK(AB269,AB$11:AB$368,1)+COUNTIF(AB$11:AB269,AB269)-1)))</f>
        <v/>
      </c>
      <c r="AD269" s="184"/>
      <c r="AE269" s="28" t="str">
        <f t="shared" si="96"/>
        <v/>
      </c>
      <c r="AG269" s="96"/>
      <c r="AH269" s="29"/>
      <c r="AI269" s="38" t="str">
        <f>IF(L269="","",VLOOKUP($L269,classifications!$C:$J,8,FALSE))</f>
        <v/>
      </c>
      <c r="AJ269" s="39" t="str">
        <f t="shared" si="103"/>
        <v/>
      </c>
      <c r="AK269" s="34" t="str">
        <f>IF(AJ269="","",IF(I$8="A",(RANK(AJ269,AJ$11:AJ$368,1)+COUNTIF(AJ$11:AJ269,AJ269)-1),(RANK(AJ269,AJ$11:AJ$368)+COUNTIF(AJ$11:AJ269,AJ269)-1)))</f>
        <v/>
      </c>
      <c r="AL269" s="29" t="str">
        <f t="shared" si="111"/>
        <v/>
      </c>
      <c r="AM269" s="8" t="str">
        <f t="shared" si="104"/>
        <v/>
      </c>
      <c r="AN269" s="8" t="str">
        <f t="shared" si="112"/>
        <v/>
      </c>
      <c r="AP269" s="38" t="str">
        <f>IF(L269="","",VLOOKUP($L269,classifications!$C:$E,3,FALSE))</f>
        <v/>
      </c>
      <c r="AQ269" s="39" t="str">
        <f t="shared" si="113"/>
        <v/>
      </c>
      <c r="AR269" s="34" t="str">
        <f>IF(AQ269="","",IF(I$8="A",(RANK(AQ269,AQ$11:AQ$368,1)+COUNTIF(AQ$11:AQ269,AQ269)-1),(RANK(AQ269,AQ$11:AQ$368)+COUNTIF(AQ$11:AQ269,AQ269)-1)))</f>
        <v/>
      </c>
      <c r="AS269" s="29" t="str">
        <f t="shared" si="114"/>
        <v/>
      </c>
      <c r="AT269" s="34" t="str">
        <f t="shared" si="105"/>
        <v/>
      </c>
      <c r="AU269" s="39" t="str">
        <f t="shared" si="94"/>
        <v/>
      </c>
      <c r="AX269" s="21" t="e">
        <f>HLOOKUP($AX$9&amp;$AX$10,Data!$A$1:$ZZ$2000,(MATCH($C269,Data!$A$1:$A$2000,0)),FALSE)</f>
        <v>#N/A</v>
      </c>
      <c r="AY269" s="103"/>
      <c r="AZ269" s="21"/>
    </row>
    <row r="270" spans="1:52">
      <c r="A270" s="56" t="str">
        <f>$D$1&amp;260</f>
        <v>SC260</v>
      </c>
      <c r="B270" s="57">
        <f>IF(ISERROR(VLOOKUP(A270,classifications!A:C,3,FALSE)),0,VLOOKUP(A270,classifications!A:C,3,FALSE))</f>
        <v>0</v>
      </c>
      <c r="C270" s="8" t="s">
        <v>137</v>
      </c>
      <c r="D270" s="26" t="str">
        <f>VLOOKUP($C270,classifications!$C:$J,4,FALSE)</f>
        <v>SD</v>
      </c>
      <c r="E270" s="26">
        <f>VLOOKUP(C270,classifications!C:K,9,FALSE)</f>
        <v>0</v>
      </c>
      <c r="F270" s="36">
        <f t="shared" si="97"/>
        <v>17.990922254024767</v>
      </c>
      <c r="G270" s="71"/>
      <c r="H270" s="37" t="str">
        <f t="shared" si="98"/>
        <v/>
      </c>
      <c r="I270" s="77" t="str">
        <f>IF(H270="","",IF($I$8="A",(RANK(H270,H$11:H$368,1)+COUNTIF(H$11:H270,H270)-1),(RANK(H270,H$11:H$368)+COUNTIF(H$11:H270,H270)-1)))</f>
        <v/>
      </c>
      <c r="J270" s="35"/>
      <c r="K270" s="28" t="str">
        <f t="shared" si="106"/>
        <v/>
      </c>
      <c r="L270" s="36" t="str">
        <f t="shared" si="99"/>
        <v/>
      </c>
      <c r="M270" s="102" t="str">
        <f t="shared" si="107"/>
        <v/>
      </c>
      <c r="N270" s="101" t="str">
        <f t="shared" si="108"/>
        <v/>
      </c>
      <c r="O270" s="94" t="str">
        <f t="shared" si="100"/>
        <v/>
      </c>
      <c r="P270" s="94" t="str">
        <f t="shared" si="115"/>
        <v/>
      </c>
      <c r="Q270" s="94" t="str">
        <f t="shared" si="116"/>
        <v/>
      </c>
      <c r="R270" s="90" t="str">
        <f t="shared" si="117"/>
        <v/>
      </c>
      <c r="S270" s="37" t="str">
        <f t="shared" si="109"/>
        <v/>
      </c>
      <c r="T270" s="176" t="str">
        <f>IF(L270="","",VLOOKUP(L270,classifications!C:K,9,FALSE))</f>
        <v/>
      </c>
      <c r="U270" s="183" t="str">
        <f t="shared" si="101"/>
        <v/>
      </c>
      <c r="V270" s="184" t="str">
        <f>IF(U270="","",IF($I$8="A",(RANK(U270,U$11:U$368)+COUNTIF(U$11:U270,U270)-1),(RANK(U270,U$11:U$368,1)+COUNTIF(U$11:U270,U270)-1)))</f>
        <v/>
      </c>
      <c r="W270" s="185"/>
      <c r="X270" s="38" t="str">
        <f>IF(L270="","",VLOOKUP($L270,classifications!$C:$J,6,FALSE))</f>
        <v/>
      </c>
      <c r="Y270" s="26" t="b">
        <f t="shared" si="102"/>
        <v>0</v>
      </c>
      <c r="Z270" s="34" t="e">
        <f>IF(Y270="","",IF(I$8="A",(RANK(Y270,Y$11:Y$368,1)+COUNTIF(Y$11:Y270,Y270)-1),(RANK(Y270,Y$11:Y$368)+COUNTIF(Y$11:Y270,Y270)-1)))</f>
        <v>#N/A</v>
      </c>
      <c r="AA270" s="188" t="str">
        <f>IF(L270="","",VLOOKUP($L270,classifications!C:I,7,FALSE))</f>
        <v/>
      </c>
      <c r="AB270" s="184" t="str">
        <f t="shared" si="110"/>
        <v/>
      </c>
      <c r="AC270" s="184" t="str">
        <f>IF(AB270="","",IF($I$8="A",(RANK(AB270,AB$11:AB$368)+COUNTIF(AB$11:AB270,AB270)-1),(RANK(AB270,AB$11:AB$368,1)+COUNTIF(AB$11:AB270,AB270)-1)))</f>
        <v/>
      </c>
      <c r="AD270" s="184"/>
      <c r="AE270" s="28" t="str">
        <f t="shared" si="96"/>
        <v/>
      </c>
      <c r="AG270" s="96"/>
      <c r="AH270" s="29"/>
      <c r="AI270" s="38" t="str">
        <f>IF(L270="","",VLOOKUP($L270,classifications!$C:$J,8,FALSE))</f>
        <v/>
      </c>
      <c r="AJ270" s="39" t="str">
        <f t="shared" si="103"/>
        <v/>
      </c>
      <c r="AK270" s="34" t="str">
        <f>IF(AJ270="","",IF(I$8="A",(RANK(AJ270,AJ$11:AJ$368,1)+COUNTIF(AJ$11:AJ270,AJ270)-1),(RANK(AJ270,AJ$11:AJ$368)+COUNTIF(AJ$11:AJ270,AJ270)-1)))</f>
        <v/>
      </c>
      <c r="AL270" s="29" t="str">
        <f t="shared" si="111"/>
        <v/>
      </c>
      <c r="AM270" s="8" t="str">
        <f t="shared" si="104"/>
        <v/>
      </c>
      <c r="AN270" s="8" t="str">
        <f t="shared" si="112"/>
        <v/>
      </c>
      <c r="AP270" s="38" t="str">
        <f>IF(L270="","",VLOOKUP($L270,classifications!$C:$E,3,FALSE))</f>
        <v/>
      </c>
      <c r="AQ270" s="39" t="str">
        <f t="shared" si="113"/>
        <v/>
      </c>
      <c r="AR270" s="34" t="str">
        <f>IF(AQ270="","",IF(I$8="A",(RANK(AQ270,AQ$11:AQ$368,1)+COUNTIF(AQ$11:AQ270,AQ270)-1),(RANK(AQ270,AQ$11:AQ$368)+COUNTIF(AQ$11:AQ270,AQ270)-1)))</f>
        <v/>
      </c>
      <c r="AS270" s="29" t="str">
        <f t="shared" si="114"/>
        <v/>
      </c>
      <c r="AT270" s="34" t="str">
        <f t="shared" si="105"/>
        <v/>
      </c>
      <c r="AU270" s="39" t="str">
        <f t="shared" si="94"/>
        <v/>
      </c>
      <c r="AX270" s="21">
        <f>HLOOKUP($AX$9&amp;$AX$10,Data!$A$1:$ZZ$2000,(MATCH($C270,Data!$A$1:$A$2000,0)),FALSE)</f>
        <v>17.990922254024767</v>
      </c>
      <c r="AY270" s="103"/>
      <c r="AZ270" s="21"/>
    </row>
    <row r="271" spans="1:52">
      <c r="A271" s="56" t="str">
        <f>$D$1&amp;261</f>
        <v>SC261</v>
      </c>
      <c r="B271" s="57">
        <f>IF(ISERROR(VLOOKUP(A271,classifications!A:C,3,FALSE)),0,VLOOKUP(A271,classifications!A:C,3,FALSE))</f>
        <v>0</v>
      </c>
      <c r="C271" s="8" t="s">
        <v>138</v>
      </c>
      <c r="D271" s="26" t="str">
        <f>VLOOKUP($C271,classifications!$C:$J,4,FALSE)</f>
        <v>SD</v>
      </c>
      <c r="E271" s="26" t="str">
        <f>VLOOKUP(C271,classifications!C:K,9,FALSE)</f>
        <v>Sparse</v>
      </c>
      <c r="F271" s="36">
        <f t="shared" si="97"/>
        <v>30.756684901048708</v>
      </c>
      <c r="G271" s="71"/>
      <c r="H271" s="37" t="str">
        <f t="shared" si="98"/>
        <v/>
      </c>
      <c r="I271" s="77" t="str">
        <f>IF(H271="","",IF($I$8="A",(RANK(H271,H$11:H$368,1)+COUNTIF(H$11:H271,H271)-1),(RANK(H271,H$11:H$368)+COUNTIF(H$11:H271,H271)-1)))</f>
        <v/>
      </c>
      <c r="J271" s="35"/>
      <c r="K271" s="28" t="str">
        <f t="shared" si="106"/>
        <v/>
      </c>
      <c r="L271" s="36" t="str">
        <f t="shared" si="99"/>
        <v/>
      </c>
      <c r="M271" s="102" t="str">
        <f t="shared" si="107"/>
        <v/>
      </c>
      <c r="N271" s="101" t="str">
        <f t="shared" si="108"/>
        <v/>
      </c>
      <c r="O271" s="94" t="str">
        <f t="shared" si="100"/>
        <v/>
      </c>
      <c r="P271" s="94" t="str">
        <f t="shared" si="115"/>
        <v/>
      </c>
      <c r="Q271" s="94" t="str">
        <f t="shared" si="116"/>
        <v/>
      </c>
      <c r="R271" s="90" t="str">
        <f t="shared" si="117"/>
        <v/>
      </c>
      <c r="S271" s="37" t="str">
        <f t="shared" si="109"/>
        <v/>
      </c>
      <c r="T271" s="176" t="str">
        <f>IF(L271="","",VLOOKUP(L271,classifications!C:K,9,FALSE))</f>
        <v/>
      </c>
      <c r="U271" s="183" t="str">
        <f t="shared" si="101"/>
        <v/>
      </c>
      <c r="V271" s="184" t="str">
        <f>IF(U271="","",IF($I$8="A",(RANK(U271,U$11:U$368)+COUNTIF(U$11:U271,U271)-1),(RANK(U271,U$11:U$368,1)+COUNTIF(U$11:U271,U271)-1)))</f>
        <v/>
      </c>
      <c r="W271" s="185"/>
      <c r="X271" s="38" t="str">
        <f>IF(L271="","",VLOOKUP($L271,classifications!$C:$J,6,FALSE))</f>
        <v/>
      </c>
      <c r="Y271" s="26" t="b">
        <f t="shared" si="102"/>
        <v>0</v>
      </c>
      <c r="Z271" s="34" t="e">
        <f>IF(Y271="","",IF(I$8="A",(RANK(Y271,Y$11:Y$368,1)+COUNTIF(Y$11:Y271,Y271)-1),(RANK(Y271,Y$11:Y$368)+COUNTIF(Y$11:Y271,Y271)-1)))</f>
        <v>#N/A</v>
      </c>
      <c r="AA271" s="188" t="str">
        <f>IF(L271="","",VLOOKUP($L271,classifications!C:I,7,FALSE))</f>
        <v/>
      </c>
      <c r="AB271" s="184" t="str">
        <f t="shared" si="110"/>
        <v/>
      </c>
      <c r="AC271" s="184" t="str">
        <f>IF(AB271="","",IF($I$8="A",(RANK(AB271,AB$11:AB$368)+COUNTIF(AB$11:AB271,AB271)-1),(RANK(AB271,AB$11:AB$368,1)+COUNTIF(AB$11:AB271,AB271)-1)))</f>
        <v/>
      </c>
      <c r="AD271" s="184"/>
      <c r="AE271" s="28" t="str">
        <f t="shared" si="96"/>
        <v/>
      </c>
      <c r="AG271" s="96"/>
      <c r="AH271" s="29"/>
      <c r="AI271" s="38" t="str">
        <f>IF(L271="","",VLOOKUP($L271,classifications!$C:$J,8,FALSE))</f>
        <v/>
      </c>
      <c r="AJ271" s="39" t="str">
        <f t="shared" si="103"/>
        <v/>
      </c>
      <c r="AK271" s="34" t="str">
        <f>IF(AJ271="","",IF(I$8="A",(RANK(AJ271,AJ$11:AJ$368,1)+COUNTIF(AJ$11:AJ271,AJ271)-1),(RANK(AJ271,AJ$11:AJ$368)+COUNTIF(AJ$11:AJ271,AJ271)-1)))</f>
        <v/>
      </c>
      <c r="AL271" s="29" t="str">
        <f t="shared" si="111"/>
        <v/>
      </c>
      <c r="AM271" s="8" t="str">
        <f t="shared" si="104"/>
        <v/>
      </c>
      <c r="AN271" s="8" t="str">
        <f t="shared" si="112"/>
        <v/>
      </c>
      <c r="AP271" s="38" t="str">
        <f>IF(L271="","",VLOOKUP($L271,classifications!$C:$E,3,FALSE))</f>
        <v/>
      </c>
      <c r="AQ271" s="39" t="str">
        <f t="shared" si="113"/>
        <v/>
      </c>
      <c r="AR271" s="34" t="str">
        <f>IF(AQ271="","",IF(I$8="A",(RANK(AQ271,AQ$11:AQ$368,1)+COUNTIF(AQ$11:AQ271,AQ271)-1),(RANK(AQ271,AQ$11:AQ$368)+COUNTIF(AQ$11:AQ271,AQ271)-1)))</f>
        <v/>
      </c>
      <c r="AS271" s="29" t="str">
        <f t="shared" si="114"/>
        <v/>
      </c>
      <c r="AT271" s="34" t="str">
        <f t="shared" si="105"/>
        <v/>
      </c>
      <c r="AU271" s="39" t="str">
        <f t="shared" si="94"/>
        <v/>
      </c>
      <c r="AX271" s="21">
        <f>HLOOKUP($AX$9&amp;$AX$10,Data!$A$1:$ZZ$2000,(MATCH($C271,Data!$A$1:$A$2000,0)),FALSE)</f>
        <v>30.756684901048708</v>
      </c>
      <c r="AY271" s="103"/>
      <c r="AZ271" s="21"/>
    </row>
    <row r="272" spans="1:52">
      <c r="A272" s="56" t="str">
        <f>$D$1&amp;262</f>
        <v>SC262</v>
      </c>
      <c r="B272" s="57">
        <f>IF(ISERROR(VLOOKUP(A272,classifications!A:C,3,FALSE)),0,VLOOKUP(A272,classifications!A:C,3,FALSE))</f>
        <v>0</v>
      </c>
      <c r="C272" s="8" t="s">
        <v>139</v>
      </c>
      <c r="D272" s="26" t="str">
        <f>VLOOKUP($C272,classifications!$C:$J,4,FALSE)</f>
        <v>SD</v>
      </c>
      <c r="E272" s="26" t="str">
        <f>VLOOKUP(C272,classifications!C:K,9,FALSE)</f>
        <v>Sparse</v>
      </c>
      <c r="F272" s="36">
        <f t="shared" si="97"/>
        <v>13.559896465817477</v>
      </c>
      <c r="G272" s="71"/>
      <c r="H272" s="37" t="str">
        <f t="shared" si="98"/>
        <v/>
      </c>
      <c r="I272" s="77" t="str">
        <f>IF(H272="","",IF($I$8="A",(RANK(H272,H$11:H$368,1)+COUNTIF(H$11:H272,H272)-1),(RANK(H272,H$11:H$368)+COUNTIF(H$11:H272,H272)-1)))</f>
        <v/>
      </c>
      <c r="J272" s="35"/>
      <c r="K272" s="28" t="str">
        <f t="shared" si="106"/>
        <v/>
      </c>
      <c r="L272" s="36" t="str">
        <f t="shared" si="99"/>
        <v/>
      </c>
      <c r="M272" s="102" t="str">
        <f t="shared" si="107"/>
        <v/>
      </c>
      <c r="N272" s="101" t="str">
        <f t="shared" si="108"/>
        <v/>
      </c>
      <c r="O272" s="94" t="str">
        <f t="shared" si="100"/>
        <v/>
      </c>
      <c r="P272" s="94" t="str">
        <f t="shared" si="115"/>
        <v/>
      </c>
      <c r="Q272" s="94" t="str">
        <f t="shared" si="116"/>
        <v/>
      </c>
      <c r="R272" s="90" t="str">
        <f t="shared" si="117"/>
        <v/>
      </c>
      <c r="S272" s="37" t="str">
        <f t="shared" si="109"/>
        <v/>
      </c>
      <c r="T272" s="176" t="str">
        <f>IF(L272="","",VLOOKUP(L272,classifications!C:K,9,FALSE))</f>
        <v/>
      </c>
      <c r="U272" s="183" t="str">
        <f t="shared" si="101"/>
        <v/>
      </c>
      <c r="V272" s="184" t="str">
        <f>IF(U272="","",IF($I$8="A",(RANK(U272,U$11:U$368)+COUNTIF(U$11:U272,U272)-1),(RANK(U272,U$11:U$368,1)+COUNTIF(U$11:U272,U272)-1)))</f>
        <v/>
      </c>
      <c r="W272" s="185"/>
      <c r="X272" s="38" t="str">
        <f>IF(L272="","",VLOOKUP($L272,classifications!$C:$J,6,FALSE))</f>
        <v/>
      </c>
      <c r="Y272" s="26" t="b">
        <f t="shared" si="102"/>
        <v>0</v>
      </c>
      <c r="Z272" s="34" t="e">
        <f>IF(Y272="","",IF(I$8="A",(RANK(Y272,Y$11:Y$368,1)+COUNTIF(Y$11:Y272,Y272)-1),(RANK(Y272,Y$11:Y$368)+COUNTIF(Y$11:Y272,Y272)-1)))</f>
        <v>#N/A</v>
      </c>
      <c r="AA272" s="188" t="str">
        <f>IF(L272="","",VLOOKUP($L272,classifications!C:I,7,FALSE))</f>
        <v/>
      </c>
      <c r="AB272" s="184" t="str">
        <f t="shared" si="110"/>
        <v/>
      </c>
      <c r="AC272" s="184" t="str">
        <f>IF(AB272="","",IF($I$8="A",(RANK(AB272,AB$11:AB$368)+COUNTIF(AB$11:AB272,AB272)-1),(RANK(AB272,AB$11:AB$368,1)+COUNTIF(AB$11:AB272,AB272)-1)))</f>
        <v/>
      </c>
      <c r="AD272" s="184"/>
      <c r="AE272" s="28" t="str">
        <f t="shared" si="96"/>
        <v/>
      </c>
      <c r="AG272" s="96"/>
      <c r="AH272" s="29"/>
      <c r="AI272" s="38" t="str">
        <f>IF(L272="","",VLOOKUP($L272,classifications!$C:$J,8,FALSE))</f>
        <v/>
      </c>
      <c r="AJ272" s="39" t="str">
        <f t="shared" si="103"/>
        <v/>
      </c>
      <c r="AK272" s="34" t="str">
        <f>IF(AJ272="","",IF(I$8="A",(RANK(AJ272,AJ$11:AJ$368,1)+COUNTIF(AJ$11:AJ272,AJ272)-1),(RANK(AJ272,AJ$11:AJ$368)+COUNTIF(AJ$11:AJ272,AJ272)-1)))</f>
        <v/>
      </c>
      <c r="AL272" s="29" t="str">
        <f t="shared" si="111"/>
        <v/>
      </c>
      <c r="AM272" s="8" t="str">
        <f t="shared" si="104"/>
        <v/>
      </c>
      <c r="AN272" s="8" t="str">
        <f t="shared" si="112"/>
        <v/>
      </c>
      <c r="AP272" s="38" t="str">
        <f>IF(L272="","",VLOOKUP($L272,classifications!$C:$E,3,FALSE))</f>
        <v/>
      </c>
      <c r="AQ272" s="39" t="str">
        <f t="shared" si="113"/>
        <v/>
      </c>
      <c r="AR272" s="34" t="str">
        <f>IF(AQ272="","",IF(I$8="A",(RANK(AQ272,AQ$11:AQ$368,1)+COUNTIF(AQ$11:AQ272,AQ272)-1),(RANK(AQ272,AQ$11:AQ$368)+COUNTIF(AQ$11:AQ272,AQ272)-1)))</f>
        <v/>
      </c>
      <c r="AS272" s="29" t="str">
        <f t="shared" si="114"/>
        <v/>
      </c>
      <c r="AT272" s="34" t="str">
        <f t="shared" si="105"/>
        <v/>
      </c>
      <c r="AU272" s="39" t="str">
        <f t="shared" si="94"/>
        <v/>
      </c>
      <c r="AX272" s="21">
        <f>HLOOKUP($AX$9&amp;$AX$10,Data!$A$1:$ZZ$2000,(MATCH($C272,Data!$A$1:$A$2000,0)),FALSE)</f>
        <v>13.559896465817477</v>
      </c>
      <c r="AY272" s="103"/>
      <c r="AZ272" s="21"/>
    </row>
    <row r="273" spans="1:52">
      <c r="A273" s="56" t="str">
        <f>$D$1&amp;263</f>
        <v>SC263</v>
      </c>
      <c r="B273" s="57">
        <f>IF(ISERROR(VLOOKUP(A273,classifications!A:C,3,FALSE)),0,VLOOKUP(A273,classifications!A:C,3,FALSE))</f>
        <v>0</v>
      </c>
      <c r="C273" s="8" t="s">
        <v>287</v>
      </c>
      <c r="D273" s="26" t="str">
        <f>VLOOKUP($C273,classifications!$C:$J,4,FALSE)</f>
        <v>UA</v>
      </c>
      <c r="E273" s="26">
        <f>VLOOKUP(C273,classifications!C:K,9,FALSE)</f>
        <v>0</v>
      </c>
      <c r="F273" s="36">
        <f t="shared" si="97"/>
        <v>21.924814815145353</v>
      </c>
      <c r="G273" s="71"/>
      <c r="H273" s="37" t="str">
        <f t="shared" si="98"/>
        <v/>
      </c>
      <c r="I273" s="77" t="str">
        <f>IF(H273="","",IF($I$8="A",(RANK(H273,H$11:H$368,1)+COUNTIF(H$11:H273,H273)-1),(RANK(H273,H$11:H$368)+COUNTIF(H$11:H273,H273)-1)))</f>
        <v/>
      </c>
      <c r="J273" s="35"/>
      <c r="K273" s="28" t="str">
        <f t="shared" si="106"/>
        <v/>
      </c>
      <c r="L273" s="36" t="str">
        <f t="shared" si="99"/>
        <v/>
      </c>
      <c r="M273" s="102" t="str">
        <f t="shared" si="107"/>
        <v/>
      </c>
      <c r="N273" s="101" t="str">
        <f t="shared" si="108"/>
        <v/>
      </c>
      <c r="O273" s="94" t="str">
        <f t="shared" si="100"/>
        <v/>
      </c>
      <c r="P273" s="94" t="str">
        <f t="shared" si="115"/>
        <v/>
      </c>
      <c r="Q273" s="94" t="str">
        <f t="shared" si="116"/>
        <v/>
      </c>
      <c r="R273" s="90" t="str">
        <f t="shared" si="117"/>
        <v/>
      </c>
      <c r="S273" s="37" t="str">
        <f t="shared" si="109"/>
        <v/>
      </c>
      <c r="T273" s="176" t="str">
        <f>IF(L273="","",VLOOKUP(L273,classifications!C:K,9,FALSE))</f>
        <v/>
      </c>
      <c r="U273" s="183" t="str">
        <f t="shared" si="101"/>
        <v/>
      </c>
      <c r="V273" s="184" t="str">
        <f>IF(U273="","",IF($I$8="A",(RANK(U273,U$11:U$368)+COUNTIF(U$11:U273,U273)-1),(RANK(U273,U$11:U$368,1)+COUNTIF(U$11:U273,U273)-1)))</f>
        <v/>
      </c>
      <c r="W273" s="185"/>
      <c r="X273" s="38" t="str">
        <f>IF(L273="","",VLOOKUP($L273,classifications!$C:$J,6,FALSE))</f>
        <v/>
      </c>
      <c r="Y273" s="26" t="b">
        <f t="shared" si="102"/>
        <v>0</v>
      </c>
      <c r="Z273" s="34" t="e">
        <f>IF(Y273="","",IF(I$8="A",(RANK(Y273,Y$11:Y$368,1)+COUNTIF(Y$11:Y273,Y273)-1),(RANK(Y273,Y$11:Y$368)+COUNTIF(Y$11:Y273,Y273)-1)))</f>
        <v>#N/A</v>
      </c>
      <c r="AA273" s="188" t="str">
        <f>IF(L273="","",VLOOKUP($L273,classifications!C:I,7,FALSE))</f>
        <v/>
      </c>
      <c r="AB273" s="184" t="str">
        <f t="shared" si="110"/>
        <v/>
      </c>
      <c r="AC273" s="184" t="str">
        <f>IF(AB273="","",IF($I$8="A",(RANK(AB273,AB$11:AB$368)+COUNTIF(AB$11:AB273,AB273)-1),(RANK(AB273,AB$11:AB$368,1)+COUNTIF(AB$11:AB273,AB273)-1)))</f>
        <v/>
      </c>
      <c r="AD273" s="184"/>
      <c r="AE273" s="28" t="str">
        <f t="shared" si="96"/>
        <v/>
      </c>
      <c r="AG273" s="96"/>
      <c r="AH273" s="29"/>
      <c r="AI273" s="38" t="str">
        <f>IF(L273="","",VLOOKUP($L273,classifications!$C:$J,8,FALSE))</f>
        <v/>
      </c>
      <c r="AJ273" s="39" t="str">
        <f t="shared" si="103"/>
        <v/>
      </c>
      <c r="AK273" s="34" t="str">
        <f>IF(AJ273="","",IF(I$8="A",(RANK(AJ273,AJ$11:AJ$368,1)+COUNTIF(AJ$11:AJ273,AJ273)-1),(RANK(AJ273,AJ$11:AJ$368)+COUNTIF(AJ$11:AJ273,AJ273)-1)))</f>
        <v/>
      </c>
      <c r="AL273" s="29" t="str">
        <f t="shared" si="111"/>
        <v/>
      </c>
      <c r="AM273" s="8" t="str">
        <f t="shared" si="104"/>
        <v/>
      </c>
      <c r="AN273" s="8" t="str">
        <f t="shared" si="112"/>
        <v/>
      </c>
      <c r="AP273" s="38" t="str">
        <f>IF(L273="","",VLOOKUP($L273,classifications!$C:$E,3,FALSE))</f>
        <v/>
      </c>
      <c r="AQ273" s="39" t="str">
        <f t="shared" si="113"/>
        <v/>
      </c>
      <c r="AR273" s="34" t="str">
        <f>IF(AQ273="","",IF(I$8="A",(RANK(AQ273,AQ$11:AQ$368,1)+COUNTIF(AQ$11:AQ273,AQ273)-1),(RANK(AQ273,AQ$11:AQ$368)+COUNTIF(AQ$11:AQ273,AQ273)-1)))</f>
        <v/>
      </c>
      <c r="AS273" s="29" t="str">
        <f t="shared" si="114"/>
        <v/>
      </c>
      <c r="AT273" s="34" t="str">
        <f t="shared" si="105"/>
        <v/>
      </c>
      <c r="AU273" s="39" t="str">
        <f t="shared" si="94"/>
        <v/>
      </c>
      <c r="AX273" s="21">
        <f>HLOOKUP($AX$9&amp;$AX$10,Data!$A$1:$ZZ$2000,(MATCH($C273,Data!$A$1:$A$2000,0)),FALSE)</f>
        <v>21.924814815145353</v>
      </c>
      <c r="AY273" s="103"/>
      <c r="AZ273" s="21"/>
    </row>
    <row r="274" spans="1:52">
      <c r="A274" s="56" t="str">
        <f>$D$1&amp;264</f>
        <v>SC264</v>
      </c>
      <c r="B274" s="57">
        <f>IF(ISERROR(VLOOKUP(A274,classifications!A:C,3,FALSE)),0,VLOOKUP(A274,classifications!A:C,3,FALSE))</f>
        <v>0</v>
      </c>
      <c r="C274" s="8" t="s">
        <v>140</v>
      </c>
      <c r="D274" s="26" t="str">
        <f>VLOOKUP($C274,classifications!$C:$J,4,FALSE)</f>
        <v>SD</v>
      </c>
      <c r="E274" s="26" t="str">
        <f>VLOOKUP(C274,classifications!C:K,9,FALSE)</f>
        <v>Sparse</v>
      </c>
      <c r="F274" s="36">
        <f t="shared" si="97"/>
        <v>18.771618260758469</v>
      </c>
      <c r="G274" s="71"/>
      <c r="H274" s="37" t="str">
        <f t="shared" si="98"/>
        <v/>
      </c>
      <c r="I274" s="77" t="str">
        <f>IF(H274="","",IF($I$8="A",(RANK(H274,H$11:H$368,1)+COUNTIF(H$11:H274,H274)-1),(RANK(H274,H$11:H$368)+COUNTIF(H$11:H274,H274)-1)))</f>
        <v/>
      </c>
      <c r="J274" s="35"/>
      <c r="K274" s="28" t="str">
        <f t="shared" si="106"/>
        <v/>
      </c>
      <c r="L274" s="36" t="str">
        <f t="shared" si="99"/>
        <v/>
      </c>
      <c r="M274" s="102" t="str">
        <f t="shared" si="107"/>
        <v/>
      </c>
      <c r="N274" s="101" t="str">
        <f t="shared" si="108"/>
        <v/>
      </c>
      <c r="O274" s="94" t="str">
        <f t="shared" si="100"/>
        <v/>
      </c>
      <c r="P274" s="94" t="str">
        <f t="shared" si="115"/>
        <v/>
      </c>
      <c r="Q274" s="94" t="str">
        <f t="shared" si="116"/>
        <v/>
      </c>
      <c r="R274" s="90" t="str">
        <f t="shared" si="117"/>
        <v/>
      </c>
      <c r="S274" s="37" t="str">
        <f t="shared" si="109"/>
        <v/>
      </c>
      <c r="T274" s="176" t="str">
        <f>IF(L274="","",VLOOKUP(L274,classifications!C:K,9,FALSE))</f>
        <v/>
      </c>
      <c r="U274" s="183" t="str">
        <f t="shared" si="101"/>
        <v/>
      </c>
      <c r="V274" s="184" t="str">
        <f>IF(U274="","",IF($I$8="A",(RANK(U274,U$11:U$368)+COUNTIF(U$11:U274,U274)-1),(RANK(U274,U$11:U$368,1)+COUNTIF(U$11:U274,U274)-1)))</f>
        <v/>
      </c>
      <c r="W274" s="185"/>
      <c r="X274" s="38" t="str">
        <f>IF(L274="","",VLOOKUP($L274,classifications!$C:$J,6,FALSE))</f>
        <v/>
      </c>
      <c r="Y274" s="26" t="b">
        <f t="shared" si="102"/>
        <v>0</v>
      </c>
      <c r="Z274" s="34" t="e">
        <f>IF(Y274="","",IF(I$8="A",(RANK(Y274,Y$11:Y$368,1)+COUNTIF(Y$11:Y274,Y274)-1),(RANK(Y274,Y$11:Y$368)+COUNTIF(Y$11:Y274,Y274)-1)))</f>
        <v>#N/A</v>
      </c>
      <c r="AA274" s="188" t="str">
        <f>IF(L274="","",VLOOKUP($L274,classifications!C:I,7,FALSE))</f>
        <v/>
      </c>
      <c r="AB274" s="184" t="str">
        <f t="shared" si="110"/>
        <v/>
      </c>
      <c r="AC274" s="184" t="str">
        <f>IF(AB274="","",IF($I$8="A",(RANK(AB274,AB$11:AB$368)+COUNTIF(AB$11:AB274,AB274)-1),(RANK(AB274,AB$11:AB$368,1)+COUNTIF(AB$11:AB274,AB274)-1)))</f>
        <v/>
      </c>
      <c r="AD274" s="184"/>
      <c r="AE274" s="28" t="str">
        <f t="shared" si="96"/>
        <v/>
      </c>
      <c r="AG274" s="96"/>
      <c r="AH274" s="29"/>
      <c r="AI274" s="38" t="str">
        <f>IF(L274="","",VLOOKUP($L274,classifications!$C:$J,8,FALSE))</f>
        <v/>
      </c>
      <c r="AJ274" s="39" t="str">
        <f t="shared" si="103"/>
        <v/>
      </c>
      <c r="AK274" s="34" t="str">
        <f>IF(AJ274="","",IF(I$8="A",(RANK(AJ274,AJ$11:AJ$368,1)+COUNTIF(AJ$11:AJ274,AJ274)-1),(RANK(AJ274,AJ$11:AJ$368)+COUNTIF(AJ$11:AJ274,AJ274)-1)))</f>
        <v/>
      </c>
      <c r="AL274" s="29" t="str">
        <f t="shared" si="111"/>
        <v/>
      </c>
      <c r="AM274" s="8" t="str">
        <f t="shared" si="104"/>
        <v/>
      </c>
      <c r="AN274" s="8" t="str">
        <f t="shared" si="112"/>
        <v/>
      </c>
      <c r="AP274" s="38" t="str">
        <f>IF(L274="","",VLOOKUP($L274,classifications!$C:$E,3,FALSE))</f>
        <v/>
      </c>
      <c r="AQ274" s="39" t="str">
        <f t="shared" si="113"/>
        <v/>
      </c>
      <c r="AR274" s="34" t="str">
        <f>IF(AQ274="","",IF(I$8="A",(RANK(AQ274,AQ$11:AQ$368,1)+COUNTIF(AQ$11:AQ274,AQ274)-1),(RANK(AQ274,AQ$11:AQ$368)+COUNTIF(AQ$11:AQ274,AQ274)-1)))</f>
        <v/>
      </c>
      <c r="AS274" s="29" t="str">
        <f t="shared" si="114"/>
        <v/>
      </c>
      <c r="AT274" s="34" t="str">
        <f t="shared" si="105"/>
        <v/>
      </c>
      <c r="AU274" s="39" t="str">
        <f t="shared" ref="AU274:AU337" si="118">IF(AT274="","",VLOOKUP(AT274,L:M,2,FALSE))</f>
        <v/>
      </c>
      <c r="AX274" s="21">
        <f>HLOOKUP($AX$9&amp;$AX$10,Data!$A$1:$ZZ$2000,(MATCH($C274,Data!$A$1:$A$2000,0)),FALSE)</f>
        <v>18.771618260758469</v>
      </c>
      <c r="AY274" s="103"/>
      <c r="AZ274" s="21"/>
    </row>
    <row r="275" spans="1:52">
      <c r="A275" s="56" t="str">
        <f>$D$1&amp;265</f>
        <v>SC265</v>
      </c>
      <c r="B275" s="57">
        <f>IF(ISERROR(VLOOKUP(A275,classifications!A:C,3,FALSE)),0,VLOOKUP(A275,classifications!A:C,3,FALSE))</f>
        <v>0</v>
      </c>
      <c r="C275" s="8" t="s">
        <v>141</v>
      </c>
      <c r="D275" s="26" t="str">
        <f>VLOOKUP($C275,classifications!$C:$J,4,FALSE)</f>
        <v>SD</v>
      </c>
      <c r="E275" s="26" t="str">
        <f>VLOOKUP(C275,classifications!C:K,9,FALSE)</f>
        <v>Sparse</v>
      </c>
      <c r="F275" s="36">
        <f t="shared" si="97"/>
        <v>16.573870906996731</v>
      </c>
      <c r="G275" s="71"/>
      <c r="H275" s="37" t="str">
        <f t="shared" si="98"/>
        <v/>
      </c>
      <c r="I275" s="77" t="str">
        <f>IF(H275="","",IF($I$8="A",(RANK(H275,H$11:H$368,1)+COUNTIF(H$11:H275,H275)-1),(RANK(H275,H$11:H$368)+COUNTIF(H$11:H275,H275)-1)))</f>
        <v/>
      </c>
      <c r="J275" s="35"/>
      <c r="K275" s="28" t="str">
        <f t="shared" si="106"/>
        <v/>
      </c>
      <c r="L275" s="36" t="str">
        <f t="shared" si="99"/>
        <v/>
      </c>
      <c r="M275" s="102" t="str">
        <f t="shared" si="107"/>
        <v/>
      </c>
      <c r="N275" s="101" t="str">
        <f t="shared" si="108"/>
        <v/>
      </c>
      <c r="O275" s="94" t="str">
        <f t="shared" si="100"/>
        <v/>
      </c>
      <c r="P275" s="94" t="str">
        <f t="shared" si="115"/>
        <v/>
      </c>
      <c r="Q275" s="94" t="str">
        <f t="shared" si="116"/>
        <v/>
      </c>
      <c r="R275" s="90" t="str">
        <f t="shared" si="117"/>
        <v/>
      </c>
      <c r="S275" s="37" t="str">
        <f t="shared" si="109"/>
        <v/>
      </c>
      <c r="T275" s="176" t="str">
        <f>IF(L275="","",VLOOKUP(L275,classifications!C:K,9,FALSE))</f>
        <v/>
      </c>
      <c r="U275" s="183" t="str">
        <f t="shared" si="101"/>
        <v/>
      </c>
      <c r="V275" s="184" t="str">
        <f>IF(U275="","",IF($I$8="A",(RANK(U275,U$11:U$368)+COUNTIF(U$11:U275,U275)-1),(RANK(U275,U$11:U$368,1)+COUNTIF(U$11:U275,U275)-1)))</f>
        <v/>
      </c>
      <c r="W275" s="185"/>
      <c r="X275" s="38" t="str">
        <f>IF(L275="","",VLOOKUP($L275,classifications!$C:$J,6,FALSE))</f>
        <v/>
      </c>
      <c r="Y275" s="26" t="b">
        <f t="shared" si="102"/>
        <v>0</v>
      </c>
      <c r="Z275" s="34" t="e">
        <f>IF(Y275="","",IF(I$8="A",(RANK(Y275,Y$11:Y$368,1)+COUNTIF(Y$11:Y275,Y275)-1),(RANK(Y275,Y$11:Y$368)+COUNTIF(Y$11:Y275,Y275)-1)))</f>
        <v>#N/A</v>
      </c>
      <c r="AA275" s="188" t="str">
        <f>IF(L275="","",VLOOKUP($L275,classifications!C:I,7,FALSE))</f>
        <v/>
      </c>
      <c r="AB275" s="184" t="str">
        <f t="shared" si="110"/>
        <v/>
      </c>
      <c r="AC275" s="184" t="str">
        <f>IF(AB275="","",IF($I$8="A",(RANK(AB275,AB$11:AB$368)+COUNTIF(AB$11:AB275,AB275)-1),(RANK(AB275,AB$11:AB$368,1)+COUNTIF(AB$11:AB275,AB275)-1)))</f>
        <v/>
      </c>
      <c r="AD275" s="184"/>
      <c r="AE275" s="28" t="str">
        <f t="shared" si="96"/>
        <v/>
      </c>
      <c r="AG275" s="96"/>
      <c r="AH275" s="29"/>
      <c r="AI275" s="38" t="str">
        <f>IF(L275="","",VLOOKUP($L275,classifications!$C:$J,8,FALSE))</f>
        <v/>
      </c>
      <c r="AJ275" s="39" t="str">
        <f t="shared" si="103"/>
        <v/>
      </c>
      <c r="AK275" s="34" t="str">
        <f>IF(AJ275="","",IF(I$8="A",(RANK(AJ275,AJ$11:AJ$368,1)+COUNTIF(AJ$11:AJ275,AJ275)-1),(RANK(AJ275,AJ$11:AJ$368)+COUNTIF(AJ$11:AJ275,AJ275)-1)))</f>
        <v/>
      </c>
      <c r="AL275" s="29" t="str">
        <f t="shared" si="111"/>
        <v/>
      </c>
      <c r="AM275" s="8" t="str">
        <f t="shared" si="104"/>
        <v/>
      </c>
      <c r="AN275" s="8" t="str">
        <f t="shared" si="112"/>
        <v/>
      </c>
      <c r="AP275" s="38" t="str">
        <f>IF(L275="","",VLOOKUP($L275,classifications!$C:$E,3,FALSE))</f>
        <v/>
      </c>
      <c r="AQ275" s="39" t="str">
        <f t="shared" si="113"/>
        <v/>
      </c>
      <c r="AR275" s="34" t="str">
        <f>IF(AQ275="","",IF(I$8="A",(RANK(AQ275,AQ$11:AQ$368,1)+COUNTIF(AQ$11:AQ275,AQ275)-1),(RANK(AQ275,AQ$11:AQ$368)+COUNTIF(AQ$11:AQ275,AQ275)-1)))</f>
        <v/>
      </c>
      <c r="AS275" s="29" t="str">
        <f t="shared" si="114"/>
        <v/>
      </c>
      <c r="AT275" s="34" t="str">
        <f t="shared" si="105"/>
        <v/>
      </c>
      <c r="AU275" s="39" t="str">
        <f t="shared" si="118"/>
        <v/>
      </c>
      <c r="AX275" s="21">
        <f>HLOOKUP($AX$9&amp;$AX$10,Data!$A$1:$ZZ$2000,(MATCH($C275,Data!$A$1:$A$2000,0)),FALSE)</f>
        <v>16.573870906996731</v>
      </c>
      <c r="AY275" s="103"/>
      <c r="AZ275" s="21"/>
    </row>
    <row r="276" spans="1:52">
      <c r="A276" s="56" t="str">
        <f>$D$1&amp;266</f>
        <v>SC266</v>
      </c>
      <c r="B276" s="57">
        <f>IF(ISERROR(VLOOKUP(A276,classifications!A:C,3,FALSE)),0,VLOOKUP(A276,classifications!A:C,3,FALSE))</f>
        <v>0</v>
      </c>
      <c r="C276" s="8" t="s">
        <v>142</v>
      </c>
      <c r="D276" s="26" t="str">
        <f>VLOOKUP($C276,classifications!$C:$J,4,FALSE)</f>
        <v>SD</v>
      </c>
      <c r="E276" s="26" t="str">
        <f>VLOOKUP(C276,classifications!C:K,9,FALSE)</f>
        <v>Sparse</v>
      </c>
      <c r="F276" s="36">
        <f t="shared" si="97"/>
        <v>11.681914253805605</v>
      </c>
      <c r="G276" s="71"/>
      <c r="H276" s="37" t="str">
        <f t="shared" si="98"/>
        <v/>
      </c>
      <c r="I276" s="77" t="str">
        <f>IF(H276="","",IF($I$8="A",(RANK(H276,H$11:H$368,1)+COUNTIF(H$11:H276,H276)-1),(RANK(H276,H$11:H$368)+COUNTIF(H$11:H276,H276)-1)))</f>
        <v/>
      </c>
      <c r="J276" s="35"/>
      <c r="K276" s="28" t="str">
        <f t="shared" si="106"/>
        <v/>
      </c>
      <c r="L276" s="36" t="str">
        <f t="shared" si="99"/>
        <v/>
      </c>
      <c r="M276" s="102" t="str">
        <f t="shared" si="107"/>
        <v/>
      </c>
      <c r="N276" s="101" t="str">
        <f t="shared" si="108"/>
        <v/>
      </c>
      <c r="O276" s="94" t="str">
        <f t="shared" si="100"/>
        <v/>
      </c>
      <c r="P276" s="94" t="str">
        <f t="shared" si="115"/>
        <v/>
      </c>
      <c r="Q276" s="94" t="str">
        <f t="shared" si="116"/>
        <v/>
      </c>
      <c r="R276" s="90" t="str">
        <f t="shared" si="117"/>
        <v/>
      </c>
      <c r="S276" s="37" t="str">
        <f t="shared" si="109"/>
        <v/>
      </c>
      <c r="T276" s="176" t="str">
        <f>IF(L276="","",VLOOKUP(L276,classifications!C:K,9,FALSE))</f>
        <v/>
      </c>
      <c r="U276" s="183" t="str">
        <f t="shared" si="101"/>
        <v/>
      </c>
      <c r="V276" s="184" t="str">
        <f>IF(U276="","",IF($I$8="A",(RANK(U276,U$11:U$368)+COUNTIF(U$11:U276,U276)-1),(RANK(U276,U$11:U$368,1)+COUNTIF(U$11:U276,U276)-1)))</f>
        <v/>
      </c>
      <c r="W276" s="185"/>
      <c r="X276" s="38" t="str">
        <f>IF(L276="","",VLOOKUP($L276,classifications!$C:$J,6,FALSE))</f>
        <v/>
      </c>
      <c r="Y276" s="26" t="b">
        <f t="shared" si="102"/>
        <v>0</v>
      </c>
      <c r="Z276" s="34" t="e">
        <f>IF(Y276="","",IF(I$8="A",(RANK(Y276,Y$11:Y$368,1)+COUNTIF(Y$11:Y276,Y276)-1),(RANK(Y276,Y$11:Y$368)+COUNTIF(Y$11:Y276,Y276)-1)))</f>
        <v>#N/A</v>
      </c>
      <c r="AA276" s="188" t="str">
        <f>IF(L276="","",VLOOKUP($L276,classifications!C:I,7,FALSE))</f>
        <v/>
      </c>
      <c r="AB276" s="184" t="str">
        <f t="shared" si="110"/>
        <v/>
      </c>
      <c r="AC276" s="184" t="str">
        <f>IF(AB276="","",IF($I$8="A",(RANK(AB276,AB$11:AB$368)+COUNTIF(AB$11:AB276,AB276)-1),(RANK(AB276,AB$11:AB$368,1)+COUNTIF(AB$11:AB276,AB276)-1)))</f>
        <v/>
      </c>
      <c r="AD276" s="184"/>
      <c r="AE276" s="28" t="str">
        <f t="shared" si="96"/>
        <v/>
      </c>
      <c r="AG276" s="96"/>
      <c r="AH276" s="29"/>
      <c r="AI276" s="38" t="str">
        <f>IF(L276="","",VLOOKUP($L276,classifications!$C:$J,8,FALSE))</f>
        <v/>
      </c>
      <c r="AJ276" s="39" t="str">
        <f t="shared" si="103"/>
        <v/>
      </c>
      <c r="AK276" s="34" t="str">
        <f>IF(AJ276="","",IF(I$8="A",(RANK(AJ276,AJ$11:AJ$368,1)+COUNTIF(AJ$11:AJ276,AJ276)-1),(RANK(AJ276,AJ$11:AJ$368)+COUNTIF(AJ$11:AJ276,AJ276)-1)))</f>
        <v/>
      </c>
      <c r="AL276" s="29" t="str">
        <f t="shared" si="111"/>
        <v/>
      </c>
      <c r="AM276" s="8" t="str">
        <f t="shared" si="104"/>
        <v/>
      </c>
      <c r="AN276" s="8" t="str">
        <f t="shared" si="112"/>
        <v/>
      </c>
      <c r="AP276" s="38" t="str">
        <f>IF(L276="","",VLOOKUP($L276,classifications!$C:$E,3,FALSE))</f>
        <v/>
      </c>
      <c r="AQ276" s="39" t="str">
        <f t="shared" si="113"/>
        <v/>
      </c>
      <c r="AR276" s="34" t="str">
        <f>IF(AQ276="","",IF(I$8="A",(RANK(AQ276,AQ$11:AQ$368,1)+COUNTIF(AQ$11:AQ276,AQ276)-1),(RANK(AQ276,AQ$11:AQ$368)+COUNTIF(AQ$11:AQ276,AQ276)-1)))</f>
        <v/>
      </c>
      <c r="AS276" s="29" t="str">
        <f t="shared" si="114"/>
        <v/>
      </c>
      <c r="AT276" s="34" t="str">
        <f t="shared" si="105"/>
        <v/>
      </c>
      <c r="AU276" s="39" t="str">
        <f t="shared" si="118"/>
        <v/>
      </c>
      <c r="AX276" s="21">
        <f>HLOOKUP($AX$9&amp;$AX$10,Data!$A$1:$ZZ$2000,(MATCH($C276,Data!$A$1:$A$2000,0)),FALSE)</f>
        <v>11.681914253805605</v>
      </c>
      <c r="AY276" s="103"/>
      <c r="AZ276" s="21"/>
    </row>
    <row r="277" spans="1:52">
      <c r="A277" s="56" t="str">
        <f>$D$1&amp;267</f>
        <v>SC267</v>
      </c>
      <c r="B277" s="57">
        <f>IF(ISERROR(VLOOKUP(A277,classifications!A:C,3,FALSE)),0,VLOOKUP(A277,classifications!A:C,3,FALSE))</f>
        <v>0</v>
      </c>
      <c r="C277" s="8" t="s">
        <v>143</v>
      </c>
      <c r="D277" s="26" t="str">
        <f>VLOOKUP($C277,classifications!$C:$J,4,FALSE)</f>
        <v>SD</v>
      </c>
      <c r="E277" s="26" t="str">
        <f>VLOOKUP(C277,classifications!C:K,9,FALSE)</f>
        <v>Sparse</v>
      </c>
      <c r="F277" s="36">
        <f t="shared" si="97"/>
        <v>20.416202840872437</v>
      </c>
      <c r="G277" s="71"/>
      <c r="H277" s="37" t="str">
        <f t="shared" si="98"/>
        <v/>
      </c>
      <c r="I277" s="77" t="str">
        <f>IF(H277="","",IF($I$8="A",(RANK(H277,H$11:H$368,1)+COUNTIF(H$11:H277,H277)-1),(RANK(H277,H$11:H$368)+COUNTIF(H$11:H277,H277)-1)))</f>
        <v/>
      </c>
      <c r="J277" s="35"/>
      <c r="K277" s="28" t="str">
        <f t="shared" si="106"/>
        <v/>
      </c>
      <c r="L277" s="36" t="str">
        <f t="shared" si="99"/>
        <v/>
      </c>
      <c r="M277" s="102" t="str">
        <f t="shared" si="107"/>
        <v/>
      </c>
      <c r="N277" s="101" t="str">
        <f t="shared" si="108"/>
        <v/>
      </c>
      <c r="O277" s="94" t="str">
        <f t="shared" si="100"/>
        <v/>
      </c>
      <c r="P277" s="94" t="str">
        <f t="shared" si="115"/>
        <v/>
      </c>
      <c r="Q277" s="94" t="str">
        <f t="shared" si="116"/>
        <v/>
      </c>
      <c r="R277" s="90" t="str">
        <f t="shared" si="117"/>
        <v/>
      </c>
      <c r="S277" s="37" t="str">
        <f t="shared" si="109"/>
        <v/>
      </c>
      <c r="T277" s="176" t="str">
        <f>IF(L277="","",VLOOKUP(L277,classifications!C:K,9,FALSE))</f>
        <v/>
      </c>
      <c r="U277" s="183" t="str">
        <f t="shared" si="101"/>
        <v/>
      </c>
      <c r="V277" s="184" t="str">
        <f>IF(U277="","",IF($I$8="A",(RANK(U277,U$11:U$368)+COUNTIF(U$11:U277,U277)-1),(RANK(U277,U$11:U$368,1)+COUNTIF(U$11:U277,U277)-1)))</f>
        <v/>
      </c>
      <c r="W277" s="185"/>
      <c r="X277" s="38" t="str">
        <f>IF(L277="","",VLOOKUP($L277,classifications!$C:$J,6,FALSE))</f>
        <v/>
      </c>
      <c r="Y277" s="26" t="b">
        <f t="shared" si="102"/>
        <v>0</v>
      </c>
      <c r="Z277" s="34" t="e">
        <f>IF(Y277="","",IF(I$8="A",(RANK(Y277,Y$11:Y$368,1)+COUNTIF(Y$11:Y277,Y277)-1),(RANK(Y277,Y$11:Y$368)+COUNTIF(Y$11:Y277,Y277)-1)))</f>
        <v>#N/A</v>
      </c>
      <c r="AA277" s="188" t="str">
        <f>IF(L277="","",VLOOKUP($L277,classifications!C:I,7,FALSE))</f>
        <v/>
      </c>
      <c r="AB277" s="184" t="str">
        <f t="shared" si="110"/>
        <v/>
      </c>
      <c r="AC277" s="184" t="str">
        <f>IF(AB277="","",IF($I$8="A",(RANK(AB277,AB$11:AB$368)+COUNTIF(AB$11:AB277,AB277)-1),(RANK(AB277,AB$11:AB$368,1)+COUNTIF(AB$11:AB277,AB277)-1)))</f>
        <v/>
      </c>
      <c r="AD277" s="184"/>
      <c r="AE277" s="28" t="str">
        <f t="shared" si="96"/>
        <v/>
      </c>
      <c r="AG277" s="96"/>
      <c r="AH277" s="29"/>
      <c r="AI277" s="38" t="str">
        <f>IF(L277="","",VLOOKUP($L277,classifications!$C:$J,8,FALSE))</f>
        <v/>
      </c>
      <c r="AJ277" s="39" t="str">
        <f t="shared" si="103"/>
        <v/>
      </c>
      <c r="AK277" s="34" t="str">
        <f>IF(AJ277="","",IF(I$8="A",(RANK(AJ277,AJ$11:AJ$368,1)+COUNTIF(AJ$11:AJ277,AJ277)-1),(RANK(AJ277,AJ$11:AJ$368)+COUNTIF(AJ$11:AJ277,AJ277)-1)))</f>
        <v/>
      </c>
      <c r="AL277" s="29" t="str">
        <f t="shared" si="111"/>
        <v/>
      </c>
      <c r="AM277" s="8" t="str">
        <f t="shared" si="104"/>
        <v/>
      </c>
      <c r="AN277" s="8" t="str">
        <f t="shared" si="112"/>
        <v/>
      </c>
      <c r="AP277" s="38" t="str">
        <f>IF(L277="","",VLOOKUP($L277,classifications!$C:$E,3,FALSE))</f>
        <v/>
      </c>
      <c r="AQ277" s="39" t="str">
        <f t="shared" si="113"/>
        <v/>
      </c>
      <c r="AR277" s="34" t="str">
        <f>IF(AQ277="","",IF(I$8="A",(RANK(AQ277,AQ$11:AQ$368,1)+COUNTIF(AQ$11:AQ277,AQ277)-1),(RANK(AQ277,AQ$11:AQ$368)+COUNTIF(AQ$11:AQ277,AQ277)-1)))</f>
        <v/>
      </c>
      <c r="AS277" s="29" t="str">
        <f t="shared" si="114"/>
        <v/>
      </c>
      <c r="AT277" s="34" t="str">
        <f t="shared" si="105"/>
        <v/>
      </c>
      <c r="AU277" s="39" t="str">
        <f t="shared" si="118"/>
        <v/>
      </c>
      <c r="AX277" s="21">
        <f>HLOOKUP($AX$9&amp;$AX$10,Data!$A$1:$ZZ$2000,(MATCH($C277,Data!$A$1:$A$2000,0)),FALSE)</f>
        <v>20.416202840872437</v>
      </c>
      <c r="AY277" s="103"/>
      <c r="AZ277" s="21"/>
    </row>
    <row r="278" spans="1:52">
      <c r="A278" s="56" t="str">
        <f>$D$1&amp;268</f>
        <v>SC268</v>
      </c>
      <c r="B278" s="57">
        <f>IF(ISERROR(VLOOKUP(A278,classifications!A:C,3,FALSE)),0,VLOOKUP(A278,classifications!A:C,3,FALSE))</f>
        <v>0</v>
      </c>
      <c r="C278" s="8" t="s">
        <v>144</v>
      </c>
      <c r="D278" s="26" t="str">
        <f>VLOOKUP($C278,classifications!$C:$J,4,FALSE)</f>
        <v>SD</v>
      </c>
      <c r="E278" s="26" t="str">
        <f>VLOOKUP(C278,classifications!C:K,9,FALSE)</f>
        <v>Sparse</v>
      </c>
      <c r="F278" s="36">
        <f t="shared" si="97"/>
        <v>21.80392823299993</v>
      </c>
      <c r="G278" s="71"/>
      <c r="H278" s="37" t="str">
        <f t="shared" si="98"/>
        <v/>
      </c>
      <c r="I278" s="77" t="str">
        <f>IF(H278="","",IF($I$8="A",(RANK(H278,H$11:H$368,1)+COUNTIF(H$11:H278,H278)-1),(RANK(H278,H$11:H$368)+COUNTIF(H$11:H278,H278)-1)))</f>
        <v/>
      </c>
      <c r="J278" s="35"/>
      <c r="K278" s="28" t="str">
        <f t="shared" si="106"/>
        <v/>
      </c>
      <c r="L278" s="36" t="str">
        <f t="shared" si="99"/>
        <v/>
      </c>
      <c r="M278" s="102" t="str">
        <f t="shared" si="107"/>
        <v/>
      </c>
      <c r="N278" s="101" t="str">
        <f t="shared" si="108"/>
        <v/>
      </c>
      <c r="O278" s="94" t="str">
        <f t="shared" si="100"/>
        <v/>
      </c>
      <c r="P278" s="94" t="str">
        <f t="shared" si="115"/>
        <v/>
      </c>
      <c r="Q278" s="94" t="str">
        <f t="shared" si="116"/>
        <v/>
      </c>
      <c r="R278" s="90" t="str">
        <f t="shared" si="117"/>
        <v/>
      </c>
      <c r="S278" s="37" t="str">
        <f t="shared" si="109"/>
        <v/>
      </c>
      <c r="T278" s="176" t="str">
        <f>IF(L278="","",VLOOKUP(L278,classifications!C:K,9,FALSE))</f>
        <v/>
      </c>
      <c r="U278" s="183" t="str">
        <f t="shared" si="101"/>
        <v/>
      </c>
      <c r="V278" s="184" t="str">
        <f>IF(U278="","",IF($I$8="A",(RANK(U278,U$11:U$368)+COUNTIF(U$11:U278,U278)-1),(RANK(U278,U$11:U$368,1)+COUNTIF(U$11:U278,U278)-1)))</f>
        <v/>
      </c>
      <c r="W278" s="185"/>
      <c r="X278" s="38" t="str">
        <f>IF(L278="","",VLOOKUP($L278,classifications!$C:$J,6,FALSE))</f>
        <v/>
      </c>
      <c r="Y278" s="26" t="b">
        <f t="shared" si="102"/>
        <v>0</v>
      </c>
      <c r="Z278" s="34" t="e">
        <f>IF(Y278="","",IF(I$8="A",(RANK(Y278,Y$11:Y$368,1)+COUNTIF(Y$11:Y278,Y278)-1),(RANK(Y278,Y$11:Y$368)+COUNTIF(Y$11:Y278,Y278)-1)))</f>
        <v>#N/A</v>
      </c>
      <c r="AA278" s="188" t="str">
        <f>IF(L278="","",VLOOKUP($L278,classifications!C:I,7,FALSE))</f>
        <v/>
      </c>
      <c r="AB278" s="184" t="str">
        <f t="shared" si="110"/>
        <v/>
      </c>
      <c r="AC278" s="184" t="str">
        <f>IF(AB278="","",IF($I$8="A",(RANK(AB278,AB$11:AB$368)+COUNTIF(AB$11:AB278,AB278)-1),(RANK(AB278,AB$11:AB$368,1)+COUNTIF(AB$11:AB278,AB278)-1)))</f>
        <v/>
      </c>
      <c r="AD278" s="184"/>
      <c r="AE278" s="28" t="str">
        <f t="shared" si="96"/>
        <v/>
      </c>
      <c r="AG278" s="96"/>
      <c r="AH278" s="29"/>
      <c r="AI278" s="38" t="str">
        <f>IF(L278="","",VLOOKUP($L278,classifications!$C:$J,8,FALSE))</f>
        <v/>
      </c>
      <c r="AJ278" s="39" t="str">
        <f t="shared" si="103"/>
        <v/>
      </c>
      <c r="AK278" s="34" t="str">
        <f>IF(AJ278="","",IF(I$8="A",(RANK(AJ278,AJ$11:AJ$368,1)+COUNTIF(AJ$11:AJ278,AJ278)-1),(RANK(AJ278,AJ$11:AJ$368)+COUNTIF(AJ$11:AJ278,AJ278)-1)))</f>
        <v/>
      </c>
      <c r="AL278" s="29" t="str">
        <f t="shared" si="111"/>
        <v/>
      </c>
      <c r="AM278" s="8" t="str">
        <f t="shared" si="104"/>
        <v/>
      </c>
      <c r="AN278" s="8" t="str">
        <f t="shared" si="112"/>
        <v/>
      </c>
      <c r="AP278" s="38" t="str">
        <f>IF(L278="","",VLOOKUP($L278,classifications!$C:$E,3,FALSE))</f>
        <v/>
      </c>
      <c r="AQ278" s="39" t="str">
        <f t="shared" si="113"/>
        <v/>
      </c>
      <c r="AR278" s="34" t="str">
        <f>IF(AQ278="","",IF(I$8="A",(RANK(AQ278,AQ$11:AQ$368,1)+COUNTIF(AQ$11:AQ278,AQ278)-1),(RANK(AQ278,AQ$11:AQ$368)+COUNTIF(AQ$11:AQ278,AQ278)-1)))</f>
        <v/>
      </c>
      <c r="AS278" s="29" t="str">
        <f t="shared" si="114"/>
        <v/>
      </c>
      <c r="AT278" s="34" t="str">
        <f t="shared" si="105"/>
        <v/>
      </c>
      <c r="AU278" s="39" t="str">
        <f t="shared" si="118"/>
        <v/>
      </c>
      <c r="AX278" s="21">
        <f>HLOOKUP($AX$9&amp;$AX$10,Data!$A$1:$ZZ$2000,(MATCH($C278,Data!$A$1:$A$2000,0)),FALSE)</f>
        <v>21.80392823299993</v>
      </c>
      <c r="AY278" s="103"/>
      <c r="AZ278" s="21"/>
    </row>
    <row r="279" spans="1:52">
      <c r="A279" s="56" t="str">
        <f>$D$1&amp;269</f>
        <v>SC269</v>
      </c>
      <c r="B279" s="57">
        <f>IF(ISERROR(VLOOKUP(A279,classifications!A:C,3,FALSE)),0,VLOOKUP(A279,classifications!A:C,3,FALSE))</f>
        <v>0</v>
      </c>
      <c r="C279" s="8" t="s">
        <v>145</v>
      </c>
      <c r="D279" s="26" t="str">
        <f>VLOOKUP($C279,classifications!$C:$J,4,FALSE)</f>
        <v>SD</v>
      </c>
      <c r="E279" s="26" t="str">
        <f>VLOOKUP(C279,classifications!C:K,9,FALSE)</f>
        <v>Sparse</v>
      </c>
      <c r="F279" s="36">
        <f t="shared" si="97"/>
        <v>15.239366753905493</v>
      </c>
      <c r="G279" s="71"/>
      <c r="H279" s="37" t="str">
        <f t="shared" si="98"/>
        <v/>
      </c>
      <c r="I279" s="77" t="str">
        <f>IF(H279="","",IF($I$8="A",(RANK(H279,H$11:H$368,1)+COUNTIF(H$11:H279,H279)-1),(RANK(H279,H$11:H$368)+COUNTIF(H$11:H279,H279)-1)))</f>
        <v/>
      </c>
      <c r="J279" s="35"/>
      <c r="K279" s="28" t="str">
        <f t="shared" si="106"/>
        <v/>
      </c>
      <c r="L279" s="36" t="str">
        <f t="shared" si="99"/>
        <v/>
      </c>
      <c r="M279" s="102" t="str">
        <f t="shared" si="107"/>
        <v/>
      </c>
      <c r="N279" s="101" t="str">
        <f t="shared" si="108"/>
        <v/>
      </c>
      <c r="O279" s="94" t="str">
        <f t="shared" si="100"/>
        <v/>
      </c>
      <c r="P279" s="94" t="str">
        <f t="shared" si="115"/>
        <v/>
      </c>
      <c r="Q279" s="94" t="str">
        <f t="shared" si="116"/>
        <v/>
      </c>
      <c r="R279" s="90" t="str">
        <f t="shared" si="117"/>
        <v/>
      </c>
      <c r="S279" s="37" t="str">
        <f t="shared" si="109"/>
        <v/>
      </c>
      <c r="T279" s="176" t="str">
        <f>IF(L279="","",VLOOKUP(L279,classifications!C:K,9,FALSE))</f>
        <v/>
      </c>
      <c r="U279" s="183" t="str">
        <f t="shared" si="101"/>
        <v/>
      </c>
      <c r="V279" s="184" t="str">
        <f>IF(U279="","",IF($I$8="A",(RANK(U279,U$11:U$368)+COUNTIF(U$11:U279,U279)-1),(RANK(U279,U$11:U$368,1)+COUNTIF(U$11:U279,U279)-1)))</f>
        <v/>
      </c>
      <c r="W279" s="185"/>
      <c r="X279" s="38" t="str">
        <f>IF(L279="","",VLOOKUP($L279,classifications!$C:$J,6,FALSE))</f>
        <v/>
      </c>
      <c r="Y279" s="26" t="b">
        <f t="shared" si="102"/>
        <v>0</v>
      </c>
      <c r="Z279" s="34" t="e">
        <f>IF(Y279="","",IF(I$8="A",(RANK(Y279,Y$11:Y$368,1)+COUNTIF(Y$11:Y279,Y279)-1),(RANK(Y279,Y$11:Y$368)+COUNTIF(Y$11:Y279,Y279)-1)))</f>
        <v>#N/A</v>
      </c>
      <c r="AA279" s="188" t="str">
        <f>IF(L279="","",VLOOKUP($L279,classifications!C:I,7,FALSE))</f>
        <v/>
      </c>
      <c r="AB279" s="184" t="str">
        <f t="shared" si="110"/>
        <v/>
      </c>
      <c r="AC279" s="184" t="str">
        <f>IF(AB279="","",IF($I$8="A",(RANK(AB279,AB$11:AB$368)+COUNTIF(AB$11:AB279,AB279)-1),(RANK(AB279,AB$11:AB$368,1)+COUNTIF(AB$11:AB279,AB279)-1)))</f>
        <v/>
      </c>
      <c r="AD279" s="184"/>
      <c r="AE279" s="28" t="str">
        <f t="shared" si="96"/>
        <v/>
      </c>
      <c r="AG279" s="96"/>
      <c r="AH279" s="29"/>
      <c r="AI279" s="38" t="str">
        <f>IF(L279="","",VLOOKUP($L279,classifications!$C:$J,8,FALSE))</f>
        <v/>
      </c>
      <c r="AJ279" s="39" t="str">
        <f t="shared" si="103"/>
        <v/>
      </c>
      <c r="AK279" s="34" t="str">
        <f>IF(AJ279="","",IF(I$8="A",(RANK(AJ279,AJ$11:AJ$368,1)+COUNTIF(AJ$11:AJ279,AJ279)-1),(RANK(AJ279,AJ$11:AJ$368)+COUNTIF(AJ$11:AJ279,AJ279)-1)))</f>
        <v/>
      </c>
      <c r="AL279" s="29" t="str">
        <f t="shared" si="111"/>
        <v/>
      </c>
      <c r="AM279" s="8" t="str">
        <f t="shared" si="104"/>
        <v/>
      </c>
      <c r="AN279" s="8" t="str">
        <f t="shared" si="112"/>
        <v/>
      </c>
      <c r="AP279" s="38" t="str">
        <f>IF(L279="","",VLOOKUP($L279,classifications!$C:$E,3,FALSE))</f>
        <v/>
      </c>
      <c r="AQ279" s="39" t="str">
        <f t="shared" si="113"/>
        <v/>
      </c>
      <c r="AR279" s="34" t="str">
        <f>IF(AQ279="","",IF(I$8="A",(RANK(AQ279,AQ$11:AQ$368,1)+COUNTIF(AQ$11:AQ279,AQ279)-1),(RANK(AQ279,AQ$11:AQ$368)+COUNTIF(AQ$11:AQ279,AQ279)-1)))</f>
        <v/>
      </c>
      <c r="AS279" s="29" t="str">
        <f t="shared" si="114"/>
        <v/>
      </c>
      <c r="AT279" s="34" t="str">
        <f t="shared" si="105"/>
        <v/>
      </c>
      <c r="AU279" s="39" t="str">
        <f t="shared" si="118"/>
        <v/>
      </c>
      <c r="AX279" s="21">
        <f>HLOOKUP($AX$9&amp;$AX$10,Data!$A$1:$ZZ$2000,(MATCH($C279,Data!$A$1:$A$2000,0)),FALSE)</f>
        <v>15.239366753905493</v>
      </c>
      <c r="AY279" s="103"/>
      <c r="AZ279" s="21"/>
    </row>
    <row r="280" spans="1:52">
      <c r="A280" s="56" t="str">
        <f>$D$1&amp;270</f>
        <v>SC270</v>
      </c>
      <c r="B280" s="57">
        <f>IF(ISERROR(VLOOKUP(A280,classifications!A:C,3,FALSE)),0,VLOOKUP(A280,classifications!A:C,3,FALSE))</f>
        <v>0</v>
      </c>
      <c r="C280" s="8" t="s">
        <v>146</v>
      </c>
      <c r="D280" s="26" t="str">
        <f>VLOOKUP($C280,classifications!$C:$J,4,FALSE)</f>
        <v>SD</v>
      </c>
      <c r="E280" s="26" t="str">
        <f>VLOOKUP(C280,classifications!C:K,9,FALSE)</f>
        <v>Sparse</v>
      </c>
      <c r="F280" s="36">
        <f t="shared" si="97"/>
        <v>22.920387605543361</v>
      </c>
      <c r="G280" s="71"/>
      <c r="H280" s="37" t="str">
        <f t="shared" si="98"/>
        <v/>
      </c>
      <c r="I280" s="77" t="str">
        <f>IF(H280="","",IF($I$8="A",(RANK(H280,H$11:H$368,1)+COUNTIF(H$11:H280,H280)-1),(RANK(H280,H$11:H$368)+COUNTIF(H$11:H280,H280)-1)))</f>
        <v/>
      </c>
      <c r="J280" s="35"/>
      <c r="K280" s="28" t="str">
        <f t="shared" si="106"/>
        <v/>
      </c>
      <c r="L280" s="36" t="str">
        <f t="shared" si="99"/>
        <v/>
      </c>
      <c r="M280" s="102" t="str">
        <f t="shared" si="107"/>
        <v/>
      </c>
      <c r="N280" s="101" t="str">
        <f t="shared" si="108"/>
        <v/>
      </c>
      <c r="O280" s="94" t="str">
        <f t="shared" si="100"/>
        <v/>
      </c>
      <c r="P280" s="94" t="str">
        <f t="shared" si="115"/>
        <v/>
      </c>
      <c r="Q280" s="94" t="str">
        <f t="shared" si="116"/>
        <v/>
      </c>
      <c r="R280" s="90" t="str">
        <f t="shared" si="117"/>
        <v/>
      </c>
      <c r="S280" s="37" t="str">
        <f t="shared" si="109"/>
        <v/>
      </c>
      <c r="T280" s="176" t="str">
        <f>IF(L280="","",VLOOKUP(L280,classifications!C:K,9,FALSE))</f>
        <v/>
      </c>
      <c r="U280" s="183" t="str">
        <f t="shared" si="101"/>
        <v/>
      </c>
      <c r="V280" s="184" t="str">
        <f>IF(U280="","",IF($I$8="A",(RANK(U280,U$11:U$368)+COUNTIF(U$11:U280,U280)-1),(RANK(U280,U$11:U$368,1)+COUNTIF(U$11:U280,U280)-1)))</f>
        <v/>
      </c>
      <c r="W280" s="185"/>
      <c r="X280" s="38" t="str">
        <f>IF(L280="","",VLOOKUP($L280,classifications!$C:$J,6,FALSE))</f>
        <v/>
      </c>
      <c r="Y280" s="26" t="b">
        <f t="shared" si="102"/>
        <v>0</v>
      </c>
      <c r="Z280" s="34" t="e">
        <f>IF(Y280="","",IF(I$8="A",(RANK(Y280,Y$11:Y$368,1)+COUNTIF(Y$11:Y280,Y280)-1),(RANK(Y280,Y$11:Y$368)+COUNTIF(Y$11:Y280,Y280)-1)))</f>
        <v>#N/A</v>
      </c>
      <c r="AA280" s="188" t="str">
        <f>IF(L280="","",VLOOKUP($L280,classifications!C:I,7,FALSE))</f>
        <v/>
      </c>
      <c r="AB280" s="184" t="str">
        <f t="shared" si="110"/>
        <v/>
      </c>
      <c r="AC280" s="184" t="str">
        <f>IF(AB280="","",IF($I$8="A",(RANK(AB280,AB$11:AB$368)+COUNTIF(AB$11:AB280,AB280)-1),(RANK(AB280,AB$11:AB$368,1)+COUNTIF(AB$11:AB280,AB280)-1)))</f>
        <v/>
      </c>
      <c r="AD280" s="184"/>
      <c r="AE280" s="28" t="str">
        <f t="shared" si="96"/>
        <v/>
      </c>
      <c r="AG280" s="96"/>
      <c r="AH280" s="29"/>
      <c r="AI280" s="38" t="str">
        <f>IF(L280="","",VLOOKUP($L280,classifications!$C:$J,8,FALSE))</f>
        <v/>
      </c>
      <c r="AJ280" s="39" t="str">
        <f t="shared" si="103"/>
        <v/>
      </c>
      <c r="AK280" s="34" t="str">
        <f>IF(AJ280="","",IF(I$8="A",(RANK(AJ280,AJ$11:AJ$368,1)+COUNTIF(AJ$11:AJ280,AJ280)-1),(RANK(AJ280,AJ$11:AJ$368)+COUNTIF(AJ$11:AJ280,AJ280)-1)))</f>
        <v/>
      </c>
      <c r="AL280" s="29" t="str">
        <f t="shared" si="111"/>
        <v/>
      </c>
      <c r="AM280" s="8" t="str">
        <f t="shared" si="104"/>
        <v/>
      </c>
      <c r="AN280" s="8" t="str">
        <f t="shared" si="112"/>
        <v/>
      </c>
      <c r="AP280" s="38" t="str">
        <f>IF(L280="","",VLOOKUP($L280,classifications!$C:$E,3,FALSE))</f>
        <v/>
      </c>
      <c r="AQ280" s="39" t="str">
        <f t="shared" si="113"/>
        <v/>
      </c>
      <c r="AR280" s="34" t="str">
        <f>IF(AQ280="","",IF(I$8="A",(RANK(AQ280,AQ$11:AQ$368,1)+COUNTIF(AQ$11:AQ280,AQ280)-1),(RANK(AQ280,AQ$11:AQ$368)+COUNTIF(AQ$11:AQ280,AQ280)-1)))</f>
        <v/>
      </c>
      <c r="AS280" s="29" t="str">
        <f t="shared" si="114"/>
        <v/>
      </c>
      <c r="AT280" s="34" t="str">
        <f t="shared" si="105"/>
        <v/>
      </c>
      <c r="AU280" s="39" t="str">
        <f t="shared" si="118"/>
        <v/>
      </c>
      <c r="AX280" s="21">
        <f>HLOOKUP($AX$9&amp;$AX$10,Data!$A$1:$ZZ$2000,(MATCH($C280,Data!$A$1:$A$2000,0)),FALSE)</f>
        <v>22.920387605543361</v>
      </c>
      <c r="AY280" s="103"/>
      <c r="AZ280" s="21"/>
    </row>
    <row r="281" spans="1:52">
      <c r="A281" s="56" t="str">
        <f>$D$1&amp;271</f>
        <v>SC271</v>
      </c>
      <c r="B281" s="57">
        <f>IF(ISERROR(VLOOKUP(A281,classifications!A:C,3,FALSE)),0,VLOOKUP(A281,classifications!A:C,3,FALSE))</f>
        <v>0</v>
      </c>
      <c r="C281" s="8" t="s">
        <v>147</v>
      </c>
      <c r="D281" s="26" t="str">
        <f>VLOOKUP($C281,classifications!$C:$J,4,FALSE)</f>
        <v>SD</v>
      </c>
      <c r="E281" s="26">
        <f>VLOOKUP(C281,classifications!C:K,9,FALSE)</f>
        <v>0</v>
      </c>
      <c r="F281" s="36">
        <f t="shared" si="97"/>
        <v>15.958160950921259</v>
      </c>
      <c r="G281" s="71"/>
      <c r="H281" s="37" t="str">
        <f t="shared" si="98"/>
        <v/>
      </c>
      <c r="I281" s="77" t="str">
        <f>IF(H281="","",IF($I$8="A",(RANK(H281,H$11:H$368,1)+COUNTIF(H$11:H281,H281)-1),(RANK(H281,H$11:H$368)+COUNTIF(H$11:H281,H281)-1)))</f>
        <v/>
      </c>
      <c r="J281" s="35"/>
      <c r="K281" s="28" t="str">
        <f t="shared" si="106"/>
        <v/>
      </c>
      <c r="L281" s="36" t="str">
        <f t="shared" si="99"/>
        <v/>
      </c>
      <c r="M281" s="102" t="str">
        <f t="shared" si="107"/>
        <v/>
      </c>
      <c r="N281" s="101" t="str">
        <f t="shared" si="108"/>
        <v/>
      </c>
      <c r="O281" s="94" t="str">
        <f t="shared" si="100"/>
        <v/>
      </c>
      <c r="P281" s="94" t="str">
        <f t="shared" si="115"/>
        <v/>
      </c>
      <c r="Q281" s="94" t="str">
        <f t="shared" si="116"/>
        <v/>
      </c>
      <c r="R281" s="90" t="str">
        <f t="shared" si="117"/>
        <v/>
      </c>
      <c r="S281" s="37" t="str">
        <f t="shared" si="109"/>
        <v/>
      </c>
      <c r="T281" s="176" t="str">
        <f>IF(L281="","",VLOOKUP(L281,classifications!C:K,9,FALSE))</f>
        <v/>
      </c>
      <c r="U281" s="183" t="str">
        <f t="shared" si="101"/>
        <v/>
      </c>
      <c r="V281" s="184" t="str">
        <f>IF(U281="","",IF($I$8="A",(RANK(U281,U$11:U$368)+COUNTIF(U$11:U281,U281)-1),(RANK(U281,U$11:U$368,1)+COUNTIF(U$11:U281,U281)-1)))</f>
        <v/>
      </c>
      <c r="W281" s="185"/>
      <c r="X281" s="38" t="str">
        <f>IF(L281="","",VLOOKUP($L281,classifications!$C:$J,6,FALSE))</f>
        <v/>
      </c>
      <c r="Y281" s="26" t="b">
        <f t="shared" si="102"/>
        <v>0</v>
      </c>
      <c r="Z281" s="34" t="e">
        <f>IF(Y281="","",IF(I$8="A",(RANK(Y281,Y$11:Y$368,1)+COUNTIF(Y$11:Y281,Y281)-1),(RANK(Y281,Y$11:Y$368)+COUNTIF(Y$11:Y281,Y281)-1)))</f>
        <v>#N/A</v>
      </c>
      <c r="AA281" s="188" t="str">
        <f>IF(L281="","",VLOOKUP($L281,classifications!C:I,7,FALSE))</f>
        <v/>
      </c>
      <c r="AB281" s="184" t="str">
        <f t="shared" si="110"/>
        <v/>
      </c>
      <c r="AC281" s="184" t="str">
        <f>IF(AB281="","",IF($I$8="A",(RANK(AB281,AB$11:AB$368)+COUNTIF(AB$11:AB281,AB281)-1),(RANK(AB281,AB$11:AB$368,1)+COUNTIF(AB$11:AB281,AB281)-1)))</f>
        <v/>
      </c>
      <c r="AD281" s="184"/>
      <c r="AE281" s="28" t="str">
        <f t="shared" si="96"/>
        <v/>
      </c>
      <c r="AG281" s="96"/>
      <c r="AH281" s="29"/>
      <c r="AI281" s="38" t="str">
        <f>IF(L281="","",VLOOKUP($L281,classifications!$C:$J,8,FALSE))</f>
        <v/>
      </c>
      <c r="AJ281" s="39" t="str">
        <f t="shared" si="103"/>
        <v/>
      </c>
      <c r="AK281" s="34" t="str">
        <f>IF(AJ281="","",IF(I$8="A",(RANK(AJ281,AJ$11:AJ$368,1)+COUNTIF(AJ$11:AJ281,AJ281)-1),(RANK(AJ281,AJ$11:AJ$368)+COUNTIF(AJ$11:AJ281,AJ281)-1)))</f>
        <v/>
      </c>
      <c r="AL281" s="29" t="str">
        <f t="shared" si="111"/>
        <v/>
      </c>
      <c r="AM281" s="8" t="str">
        <f t="shared" si="104"/>
        <v/>
      </c>
      <c r="AN281" s="8" t="str">
        <f t="shared" si="112"/>
        <v/>
      </c>
      <c r="AP281" s="38" t="str">
        <f>IF(L281="","",VLOOKUP($L281,classifications!$C:$E,3,FALSE))</f>
        <v/>
      </c>
      <c r="AQ281" s="39" t="str">
        <f t="shared" si="113"/>
        <v/>
      </c>
      <c r="AR281" s="34" t="str">
        <f>IF(AQ281="","",IF(I$8="A",(RANK(AQ281,AQ$11:AQ$368,1)+COUNTIF(AQ$11:AQ281,AQ281)-1),(RANK(AQ281,AQ$11:AQ$368)+COUNTIF(AQ$11:AQ281,AQ281)-1)))</f>
        <v/>
      </c>
      <c r="AS281" s="29" t="str">
        <f t="shared" si="114"/>
        <v/>
      </c>
      <c r="AT281" s="34" t="str">
        <f t="shared" si="105"/>
        <v/>
      </c>
      <c r="AU281" s="39" t="str">
        <f t="shared" si="118"/>
        <v/>
      </c>
      <c r="AX281" s="21">
        <f>HLOOKUP($AX$9&amp;$AX$10,Data!$A$1:$ZZ$2000,(MATCH($C281,Data!$A$1:$A$2000,0)),FALSE)</f>
        <v>15.958160950921259</v>
      </c>
      <c r="AY281" s="103"/>
      <c r="AZ281" s="21"/>
    </row>
    <row r="282" spans="1:52">
      <c r="A282" s="56" t="str">
        <f>$D$1&amp;272</f>
        <v>SC272</v>
      </c>
      <c r="B282" s="57">
        <f>IF(ISERROR(VLOOKUP(A282,classifications!A:C,3,FALSE)),0,VLOOKUP(A282,classifications!A:C,3,FALSE))</f>
        <v>0</v>
      </c>
      <c r="C282" s="8" t="s">
        <v>148</v>
      </c>
      <c r="D282" s="26" t="str">
        <f>VLOOKUP($C282,classifications!$C:$J,4,FALSE)</f>
        <v>SD</v>
      </c>
      <c r="E282" s="26" t="str">
        <f>VLOOKUP(C282,classifications!C:K,9,FALSE)</f>
        <v>Sparse</v>
      </c>
      <c r="F282" s="36">
        <f t="shared" si="97"/>
        <v>14.660315827101901</v>
      </c>
      <c r="G282" s="71"/>
      <c r="H282" s="37" t="str">
        <f t="shared" si="98"/>
        <v/>
      </c>
      <c r="I282" s="77" t="str">
        <f>IF(H282="","",IF($I$8="A",(RANK(H282,H$11:H$368,1)+COUNTIF(H$11:H282,H282)-1),(RANK(H282,H$11:H$368)+COUNTIF(H$11:H282,H282)-1)))</f>
        <v/>
      </c>
      <c r="J282" s="35"/>
      <c r="K282" s="28" t="str">
        <f t="shared" si="106"/>
        <v/>
      </c>
      <c r="L282" s="36" t="str">
        <f t="shared" si="99"/>
        <v/>
      </c>
      <c r="M282" s="102" t="str">
        <f t="shared" si="107"/>
        <v/>
      </c>
      <c r="N282" s="101" t="str">
        <f t="shared" si="108"/>
        <v/>
      </c>
      <c r="O282" s="94" t="str">
        <f t="shared" si="100"/>
        <v/>
      </c>
      <c r="P282" s="94" t="str">
        <f t="shared" si="115"/>
        <v/>
      </c>
      <c r="Q282" s="94" t="str">
        <f t="shared" si="116"/>
        <v/>
      </c>
      <c r="R282" s="90" t="str">
        <f t="shared" si="117"/>
        <v/>
      </c>
      <c r="S282" s="37" t="str">
        <f t="shared" si="109"/>
        <v/>
      </c>
      <c r="T282" s="176" t="str">
        <f>IF(L282="","",VLOOKUP(L282,classifications!C:K,9,FALSE))</f>
        <v/>
      </c>
      <c r="U282" s="183" t="str">
        <f t="shared" si="101"/>
        <v/>
      </c>
      <c r="V282" s="184" t="str">
        <f>IF(U282="","",IF($I$8="A",(RANK(U282,U$11:U$368)+COUNTIF(U$11:U282,U282)-1),(RANK(U282,U$11:U$368,1)+COUNTIF(U$11:U282,U282)-1)))</f>
        <v/>
      </c>
      <c r="W282" s="185"/>
      <c r="X282" s="38" t="str">
        <f>IF(L282="","",VLOOKUP($L282,classifications!$C:$J,6,FALSE))</f>
        <v/>
      </c>
      <c r="Y282" s="26" t="b">
        <f t="shared" si="102"/>
        <v>0</v>
      </c>
      <c r="Z282" s="34" t="e">
        <f>IF(Y282="","",IF(I$8="A",(RANK(Y282,Y$11:Y$368,1)+COUNTIF(Y$11:Y282,Y282)-1),(RANK(Y282,Y$11:Y$368)+COUNTIF(Y$11:Y282,Y282)-1)))</f>
        <v>#N/A</v>
      </c>
      <c r="AA282" s="188" t="str">
        <f>IF(L282="","",VLOOKUP($L282,classifications!C:I,7,FALSE))</f>
        <v/>
      </c>
      <c r="AB282" s="184" t="str">
        <f t="shared" si="110"/>
        <v/>
      </c>
      <c r="AC282" s="184" t="str">
        <f>IF(AB282="","",IF($I$8="A",(RANK(AB282,AB$11:AB$368)+COUNTIF(AB$11:AB282,AB282)-1),(RANK(AB282,AB$11:AB$368,1)+COUNTIF(AB$11:AB282,AB282)-1)))</f>
        <v/>
      </c>
      <c r="AD282" s="184"/>
      <c r="AE282" s="28" t="str">
        <f t="shared" si="96"/>
        <v/>
      </c>
      <c r="AG282" s="96"/>
      <c r="AH282" s="29"/>
      <c r="AI282" s="38" t="str">
        <f>IF(L282="","",VLOOKUP($L282,classifications!$C:$J,8,FALSE))</f>
        <v/>
      </c>
      <c r="AJ282" s="39" t="str">
        <f t="shared" si="103"/>
        <v/>
      </c>
      <c r="AK282" s="34" t="str">
        <f>IF(AJ282="","",IF(I$8="A",(RANK(AJ282,AJ$11:AJ$368,1)+COUNTIF(AJ$11:AJ282,AJ282)-1),(RANK(AJ282,AJ$11:AJ$368)+COUNTIF(AJ$11:AJ282,AJ282)-1)))</f>
        <v/>
      </c>
      <c r="AL282" s="29" t="str">
        <f t="shared" si="111"/>
        <v/>
      </c>
      <c r="AM282" s="8" t="str">
        <f t="shared" si="104"/>
        <v/>
      </c>
      <c r="AN282" s="8" t="str">
        <f t="shared" si="112"/>
        <v/>
      </c>
      <c r="AP282" s="38" t="str">
        <f>IF(L282="","",VLOOKUP($L282,classifications!$C:$E,3,FALSE))</f>
        <v/>
      </c>
      <c r="AQ282" s="39" t="str">
        <f t="shared" si="113"/>
        <v/>
      </c>
      <c r="AR282" s="34" t="str">
        <f>IF(AQ282="","",IF(I$8="A",(RANK(AQ282,AQ$11:AQ$368,1)+COUNTIF(AQ$11:AQ282,AQ282)-1),(RANK(AQ282,AQ$11:AQ$368)+COUNTIF(AQ$11:AQ282,AQ282)-1)))</f>
        <v/>
      </c>
      <c r="AS282" s="29" t="str">
        <f t="shared" si="114"/>
        <v/>
      </c>
      <c r="AT282" s="34" t="str">
        <f t="shared" si="105"/>
        <v/>
      </c>
      <c r="AU282" s="39" t="str">
        <f t="shared" si="118"/>
        <v/>
      </c>
      <c r="AX282" s="21">
        <f>HLOOKUP($AX$9&amp;$AX$10,Data!$A$1:$ZZ$2000,(MATCH($C282,Data!$A$1:$A$2000,0)),FALSE)</f>
        <v>14.660315827101901</v>
      </c>
      <c r="AY282" s="103"/>
      <c r="AZ282" s="21"/>
    </row>
    <row r="283" spans="1:52">
      <c r="A283" s="56" t="str">
        <f>$D$1&amp;273</f>
        <v>SC273</v>
      </c>
      <c r="B283" s="57">
        <f>IF(ISERROR(VLOOKUP(A283,classifications!A:C,3,FALSE)),0,VLOOKUP(A283,classifications!A:C,3,FALSE))</f>
        <v>0</v>
      </c>
      <c r="C283" s="8" t="s">
        <v>149</v>
      </c>
      <c r="D283" s="26" t="str">
        <f>VLOOKUP($C283,classifications!$C:$J,4,FALSE)</f>
        <v>SD</v>
      </c>
      <c r="E283" s="26" t="str">
        <f>VLOOKUP(C283,classifications!C:K,9,FALSE)</f>
        <v>Sparse</v>
      </c>
      <c r="F283" s="36">
        <f t="shared" si="97"/>
        <v>9.2782863857842628</v>
      </c>
      <c r="G283" s="71"/>
      <c r="H283" s="37" t="str">
        <f t="shared" si="98"/>
        <v/>
      </c>
      <c r="I283" s="77" t="str">
        <f>IF(H283="","",IF($I$8="A",(RANK(H283,H$11:H$368,1)+COUNTIF(H$11:H283,H283)-1),(RANK(H283,H$11:H$368)+COUNTIF(H$11:H283,H283)-1)))</f>
        <v/>
      </c>
      <c r="J283" s="35"/>
      <c r="K283" s="28" t="str">
        <f t="shared" si="106"/>
        <v/>
      </c>
      <c r="L283" s="36" t="str">
        <f t="shared" si="99"/>
        <v/>
      </c>
      <c r="M283" s="102" t="str">
        <f t="shared" si="107"/>
        <v/>
      </c>
      <c r="N283" s="101" t="str">
        <f t="shared" si="108"/>
        <v/>
      </c>
      <c r="O283" s="94" t="str">
        <f t="shared" si="100"/>
        <v/>
      </c>
      <c r="P283" s="94" t="str">
        <f t="shared" si="115"/>
        <v/>
      </c>
      <c r="Q283" s="94" t="str">
        <f t="shared" si="116"/>
        <v/>
      </c>
      <c r="R283" s="90" t="str">
        <f t="shared" si="117"/>
        <v/>
      </c>
      <c r="S283" s="37" t="str">
        <f t="shared" si="109"/>
        <v/>
      </c>
      <c r="T283" s="176" t="str">
        <f>IF(L283="","",VLOOKUP(L283,classifications!C:K,9,FALSE))</f>
        <v/>
      </c>
      <c r="U283" s="183" t="str">
        <f t="shared" si="101"/>
        <v/>
      </c>
      <c r="V283" s="184" t="str">
        <f>IF(U283="","",IF($I$8="A",(RANK(U283,U$11:U$368)+COUNTIF(U$11:U283,U283)-1),(RANK(U283,U$11:U$368,1)+COUNTIF(U$11:U283,U283)-1)))</f>
        <v/>
      </c>
      <c r="W283" s="185"/>
      <c r="X283" s="38" t="str">
        <f>IF(L283="","",VLOOKUP($L283,classifications!$C:$J,6,FALSE))</f>
        <v/>
      </c>
      <c r="Y283" s="26" t="b">
        <f t="shared" si="102"/>
        <v>0</v>
      </c>
      <c r="Z283" s="34" t="e">
        <f>IF(Y283="","",IF(I$8="A",(RANK(Y283,Y$11:Y$368,1)+COUNTIF(Y$11:Y283,Y283)-1),(RANK(Y283,Y$11:Y$368)+COUNTIF(Y$11:Y283,Y283)-1)))</f>
        <v>#N/A</v>
      </c>
      <c r="AA283" s="188" t="str">
        <f>IF(L283="","",VLOOKUP($L283,classifications!C:I,7,FALSE))</f>
        <v/>
      </c>
      <c r="AB283" s="184" t="str">
        <f t="shared" si="110"/>
        <v/>
      </c>
      <c r="AC283" s="184" t="str">
        <f>IF(AB283="","",IF($I$8="A",(RANK(AB283,AB$11:AB$368)+COUNTIF(AB$11:AB283,AB283)-1),(RANK(AB283,AB$11:AB$368,1)+COUNTIF(AB$11:AB283,AB283)-1)))</f>
        <v/>
      </c>
      <c r="AD283" s="184"/>
      <c r="AE283" s="28" t="str">
        <f t="shared" si="96"/>
        <v/>
      </c>
      <c r="AG283" s="96"/>
      <c r="AH283" s="29"/>
      <c r="AI283" s="38" t="str">
        <f>IF(L283="","",VLOOKUP($L283,classifications!$C:$J,8,FALSE))</f>
        <v/>
      </c>
      <c r="AJ283" s="39" t="str">
        <f t="shared" si="103"/>
        <v/>
      </c>
      <c r="AK283" s="34" t="str">
        <f>IF(AJ283="","",IF(I$8="A",(RANK(AJ283,AJ$11:AJ$368,1)+COUNTIF(AJ$11:AJ283,AJ283)-1),(RANK(AJ283,AJ$11:AJ$368)+COUNTIF(AJ$11:AJ283,AJ283)-1)))</f>
        <v/>
      </c>
      <c r="AL283" s="29" t="str">
        <f t="shared" si="111"/>
        <v/>
      </c>
      <c r="AM283" s="8" t="str">
        <f t="shared" si="104"/>
        <v/>
      </c>
      <c r="AN283" s="8" t="str">
        <f t="shared" si="112"/>
        <v/>
      </c>
      <c r="AP283" s="38" t="str">
        <f>IF(L283="","",VLOOKUP($L283,classifications!$C:$E,3,FALSE))</f>
        <v/>
      </c>
      <c r="AQ283" s="39" t="str">
        <f t="shared" si="113"/>
        <v/>
      </c>
      <c r="AR283" s="34" t="str">
        <f>IF(AQ283="","",IF(I$8="A",(RANK(AQ283,AQ$11:AQ$368,1)+COUNTIF(AQ$11:AQ283,AQ283)-1),(RANK(AQ283,AQ$11:AQ$368)+COUNTIF(AQ$11:AQ283,AQ283)-1)))</f>
        <v/>
      </c>
      <c r="AS283" s="29" t="str">
        <f t="shared" si="114"/>
        <v/>
      </c>
      <c r="AT283" s="34" t="str">
        <f t="shared" si="105"/>
        <v/>
      </c>
      <c r="AU283" s="39" t="str">
        <f t="shared" si="118"/>
        <v/>
      </c>
      <c r="AX283" s="21">
        <f>HLOOKUP($AX$9&amp;$AX$10,Data!$A$1:$ZZ$2000,(MATCH($C283,Data!$A$1:$A$2000,0)),FALSE)</f>
        <v>9.2782863857842628</v>
      </c>
      <c r="AY283" s="103"/>
      <c r="AZ283" s="21"/>
    </row>
    <row r="284" spans="1:52">
      <c r="A284" s="56" t="str">
        <f>$D$1&amp;274</f>
        <v>SC274</v>
      </c>
      <c r="B284" s="57">
        <f>IF(ISERROR(VLOOKUP(A284,classifications!A:C,3,FALSE)),0,VLOOKUP(A284,classifications!A:C,3,FALSE))</f>
        <v>0</v>
      </c>
      <c r="C284" s="8" t="s">
        <v>247</v>
      </c>
      <c r="D284" s="26" t="str">
        <f>VLOOKUP($C284,classifications!$C:$J,4,FALSE)</f>
        <v>MD</v>
      </c>
      <c r="E284" s="26">
        <f>VLOOKUP(C284,classifications!C:K,9,FALSE)</f>
        <v>0</v>
      </c>
      <c r="F284" s="36">
        <f t="shared" si="97"/>
        <v>9.5234725380652705</v>
      </c>
      <c r="G284" s="71"/>
      <c r="H284" s="37" t="str">
        <f t="shared" si="98"/>
        <v/>
      </c>
      <c r="I284" s="77" t="str">
        <f>IF(H284="","",IF($I$8="A",(RANK(H284,H$11:H$368,1)+COUNTIF(H$11:H284,H284)-1),(RANK(H284,H$11:H$368)+COUNTIF(H$11:H284,H284)-1)))</f>
        <v/>
      </c>
      <c r="J284" s="35"/>
      <c r="K284" s="28" t="str">
        <f t="shared" si="106"/>
        <v/>
      </c>
      <c r="L284" s="36" t="str">
        <f t="shared" si="99"/>
        <v/>
      </c>
      <c r="M284" s="102" t="str">
        <f t="shared" si="107"/>
        <v/>
      </c>
      <c r="N284" s="101" t="str">
        <f t="shared" si="108"/>
        <v/>
      </c>
      <c r="O284" s="94" t="str">
        <f t="shared" si="100"/>
        <v/>
      </c>
      <c r="P284" s="94" t="str">
        <f t="shared" si="115"/>
        <v/>
      </c>
      <c r="Q284" s="94" t="str">
        <f t="shared" si="116"/>
        <v/>
      </c>
      <c r="R284" s="90" t="str">
        <f t="shared" si="117"/>
        <v/>
      </c>
      <c r="S284" s="37" t="str">
        <f t="shared" si="109"/>
        <v/>
      </c>
      <c r="T284" s="176" t="str">
        <f>IF(L284="","",VLOOKUP(L284,classifications!C:K,9,FALSE))</f>
        <v/>
      </c>
      <c r="U284" s="183" t="str">
        <f t="shared" si="101"/>
        <v/>
      </c>
      <c r="V284" s="184" t="str">
        <f>IF(U284="","",IF($I$8="A",(RANK(U284,U$11:U$368)+COUNTIF(U$11:U284,U284)-1),(RANK(U284,U$11:U$368,1)+COUNTIF(U$11:U284,U284)-1)))</f>
        <v/>
      </c>
      <c r="W284" s="185"/>
      <c r="X284" s="38" t="str">
        <f>IF(L284="","",VLOOKUP($L284,classifications!$C:$J,6,FALSE))</f>
        <v/>
      </c>
      <c r="Y284" s="26" t="b">
        <f t="shared" si="102"/>
        <v>0</v>
      </c>
      <c r="Z284" s="34" t="e">
        <f>IF(Y284="","",IF(I$8="A",(RANK(Y284,Y$11:Y$368,1)+COUNTIF(Y$11:Y284,Y284)-1),(RANK(Y284,Y$11:Y$368)+COUNTIF(Y$11:Y284,Y284)-1)))</f>
        <v>#N/A</v>
      </c>
      <c r="AA284" s="188" t="str">
        <f>IF(L284="","",VLOOKUP($L284,classifications!C:I,7,FALSE))</f>
        <v/>
      </c>
      <c r="AB284" s="184" t="str">
        <f t="shared" si="110"/>
        <v/>
      </c>
      <c r="AC284" s="184" t="str">
        <f>IF(AB284="","",IF($I$8="A",(RANK(AB284,AB$11:AB$368)+COUNTIF(AB$11:AB284,AB284)-1),(RANK(AB284,AB$11:AB$368,1)+COUNTIF(AB$11:AB284,AB284)-1)))</f>
        <v/>
      </c>
      <c r="AD284" s="184"/>
      <c r="AE284" s="28" t="str">
        <f t="shared" si="96"/>
        <v/>
      </c>
      <c r="AG284" s="96"/>
      <c r="AH284" s="29"/>
      <c r="AI284" s="38" t="str">
        <f>IF(L284="","",VLOOKUP($L284,classifications!$C:$J,8,FALSE))</f>
        <v/>
      </c>
      <c r="AJ284" s="39" t="str">
        <f t="shared" si="103"/>
        <v/>
      </c>
      <c r="AK284" s="34" t="str">
        <f>IF(AJ284="","",IF(I$8="A",(RANK(AJ284,AJ$11:AJ$368,1)+COUNTIF(AJ$11:AJ284,AJ284)-1),(RANK(AJ284,AJ$11:AJ$368)+COUNTIF(AJ$11:AJ284,AJ284)-1)))</f>
        <v/>
      </c>
      <c r="AL284" s="29" t="str">
        <f t="shared" si="111"/>
        <v/>
      </c>
      <c r="AM284" s="8" t="str">
        <f t="shared" si="104"/>
        <v/>
      </c>
      <c r="AN284" s="8" t="str">
        <f t="shared" si="112"/>
        <v/>
      </c>
      <c r="AP284" s="38" t="str">
        <f>IF(L284="","",VLOOKUP($L284,classifications!$C:$E,3,FALSE))</f>
        <v/>
      </c>
      <c r="AQ284" s="39" t="str">
        <f t="shared" si="113"/>
        <v/>
      </c>
      <c r="AR284" s="34" t="str">
        <f>IF(AQ284="","",IF(I$8="A",(RANK(AQ284,AQ$11:AQ$368,1)+COUNTIF(AQ$11:AQ284,AQ284)-1),(RANK(AQ284,AQ$11:AQ$368)+COUNTIF(AQ$11:AQ284,AQ284)-1)))</f>
        <v/>
      </c>
      <c r="AS284" s="29" t="str">
        <f t="shared" si="114"/>
        <v/>
      </c>
      <c r="AT284" s="34" t="str">
        <f t="shared" si="105"/>
        <v/>
      </c>
      <c r="AU284" s="39" t="str">
        <f t="shared" si="118"/>
        <v/>
      </c>
      <c r="AX284" s="21">
        <f>HLOOKUP($AX$9&amp;$AX$10,Data!$A$1:$ZZ$2000,(MATCH($C284,Data!$A$1:$A$2000,0)),FALSE)</f>
        <v>9.5234725380652705</v>
      </c>
      <c r="AY284" s="103"/>
      <c r="AZ284" s="21"/>
    </row>
    <row r="285" spans="1:52">
      <c r="A285" s="56" t="str">
        <f>$D$1&amp;275</f>
        <v>SC275</v>
      </c>
      <c r="B285" s="57">
        <f>IF(ISERROR(VLOOKUP(A285,classifications!A:C,3,FALSE)),0,VLOOKUP(A285,classifications!A:C,3,FALSE))</f>
        <v>0</v>
      </c>
      <c r="C285" s="8" t="s">
        <v>288</v>
      </c>
      <c r="D285" s="26" t="str">
        <f>VLOOKUP($C285,classifications!$C:$J,4,FALSE)</f>
        <v>UA</v>
      </c>
      <c r="E285" s="26">
        <f>VLOOKUP(C285,classifications!C:K,9,FALSE)</f>
        <v>0</v>
      </c>
      <c r="F285" s="36">
        <f t="shared" si="97"/>
        <v>20.777569506915654</v>
      </c>
      <c r="G285" s="71"/>
      <c r="H285" s="37" t="str">
        <f t="shared" si="98"/>
        <v/>
      </c>
      <c r="I285" s="77" t="str">
        <f>IF(H285="","",IF($I$8="A",(RANK(H285,H$11:H$368,1)+COUNTIF(H$11:H285,H285)-1),(RANK(H285,H$11:H$368)+COUNTIF(H$11:H285,H285)-1)))</f>
        <v/>
      </c>
      <c r="J285" s="35"/>
      <c r="K285" s="28" t="str">
        <f t="shared" si="106"/>
        <v/>
      </c>
      <c r="L285" s="36" t="str">
        <f t="shared" si="99"/>
        <v/>
      </c>
      <c r="M285" s="102" t="str">
        <f t="shared" si="107"/>
        <v/>
      </c>
      <c r="N285" s="101" t="str">
        <f t="shared" si="108"/>
        <v/>
      </c>
      <c r="O285" s="94" t="str">
        <f t="shared" si="100"/>
        <v/>
      </c>
      <c r="P285" s="94" t="str">
        <f t="shared" si="115"/>
        <v/>
      </c>
      <c r="Q285" s="94" t="str">
        <f t="shared" si="116"/>
        <v/>
      </c>
      <c r="R285" s="90" t="str">
        <f t="shared" si="117"/>
        <v/>
      </c>
      <c r="S285" s="37" t="str">
        <f t="shared" si="109"/>
        <v/>
      </c>
      <c r="T285" s="176" t="str">
        <f>IF(L285="","",VLOOKUP(L285,classifications!C:K,9,FALSE))</f>
        <v/>
      </c>
      <c r="U285" s="183" t="str">
        <f t="shared" si="101"/>
        <v/>
      </c>
      <c r="V285" s="184" t="str">
        <f>IF(U285="","",IF($I$8="A",(RANK(U285,U$11:U$368)+COUNTIF(U$11:U285,U285)-1),(RANK(U285,U$11:U$368,1)+COUNTIF(U$11:U285,U285)-1)))</f>
        <v/>
      </c>
      <c r="W285" s="185"/>
      <c r="X285" s="38" t="str">
        <f>IF(L285="","",VLOOKUP($L285,classifications!$C:$J,6,FALSE))</f>
        <v/>
      </c>
      <c r="Y285" s="26" t="b">
        <f t="shared" si="102"/>
        <v>0</v>
      </c>
      <c r="Z285" s="34" t="e">
        <f>IF(Y285="","",IF(I$8="A",(RANK(Y285,Y$11:Y$368,1)+COUNTIF(Y$11:Y285,Y285)-1),(RANK(Y285,Y$11:Y$368)+COUNTIF(Y$11:Y285,Y285)-1)))</f>
        <v>#N/A</v>
      </c>
      <c r="AA285" s="188" t="str">
        <f>IF(L285="","",VLOOKUP($L285,classifications!C:I,7,FALSE))</f>
        <v/>
      </c>
      <c r="AB285" s="184" t="str">
        <f t="shared" si="110"/>
        <v/>
      </c>
      <c r="AC285" s="184" t="str">
        <f>IF(AB285="","",IF($I$8="A",(RANK(AB285,AB$11:AB$368)+COUNTIF(AB$11:AB285,AB285)-1),(RANK(AB285,AB$11:AB$368,1)+COUNTIF(AB$11:AB285,AB285)-1)))</f>
        <v/>
      </c>
      <c r="AD285" s="184"/>
      <c r="AE285" s="28" t="str">
        <f t="shared" si="96"/>
        <v/>
      </c>
      <c r="AG285" s="96"/>
      <c r="AH285" s="29"/>
      <c r="AI285" s="38" t="str">
        <f>IF(L285="","",VLOOKUP($L285,classifications!$C:$J,8,FALSE))</f>
        <v/>
      </c>
      <c r="AJ285" s="39" t="str">
        <f t="shared" si="103"/>
        <v/>
      </c>
      <c r="AK285" s="34" t="str">
        <f>IF(AJ285="","",IF(I$8="A",(RANK(AJ285,AJ$11:AJ$368,1)+COUNTIF(AJ$11:AJ285,AJ285)-1),(RANK(AJ285,AJ$11:AJ$368)+COUNTIF(AJ$11:AJ285,AJ285)-1)))</f>
        <v/>
      </c>
      <c r="AL285" s="29" t="str">
        <f t="shared" si="111"/>
        <v/>
      </c>
      <c r="AM285" s="8" t="str">
        <f t="shared" si="104"/>
        <v/>
      </c>
      <c r="AN285" s="8" t="str">
        <f t="shared" si="112"/>
        <v/>
      </c>
      <c r="AP285" s="38" t="str">
        <f>IF(L285="","",VLOOKUP($L285,classifications!$C:$E,3,FALSE))</f>
        <v/>
      </c>
      <c r="AQ285" s="39" t="str">
        <f t="shared" si="113"/>
        <v/>
      </c>
      <c r="AR285" s="34" t="str">
        <f>IF(AQ285="","",IF(I$8="A",(RANK(AQ285,AQ$11:AQ$368,1)+COUNTIF(AQ$11:AQ285,AQ285)-1),(RANK(AQ285,AQ$11:AQ$368)+COUNTIF(AQ$11:AQ285,AQ285)-1)))</f>
        <v/>
      </c>
      <c r="AS285" s="29" t="str">
        <f t="shared" si="114"/>
        <v/>
      </c>
      <c r="AT285" s="34" t="str">
        <f t="shared" si="105"/>
        <v/>
      </c>
      <c r="AU285" s="39" t="str">
        <f t="shared" si="118"/>
        <v/>
      </c>
      <c r="AX285" s="21">
        <f>HLOOKUP($AX$9&amp;$AX$10,Data!$A$1:$ZZ$2000,(MATCH($C285,Data!$A$1:$A$2000,0)),FALSE)</f>
        <v>20.777569506915654</v>
      </c>
      <c r="AY285" s="103"/>
      <c r="AZ285" s="21"/>
    </row>
    <row r="286" spans="1:52">
      <c r="A286" s="56" t="str">
        <f>$D$1&amp;276</f>
        <v>SC276</v>
      </c>
      <c r="B286" s="57">
        <f>IF(ISERROR(VLOOKUP(A286,classifications!A:C,3,FALSE)),0,VLOOKUP(A286,classifications!A:C,3,FALSE))</f>
        <v>0</v>
      </c>
      <c r="C286" s="8" t="s">
        <v>289</v>
      </c>
      <c r="D286" s="26" t="str">
        <f>VLOOKUP($C286,classifications!$C:$J,4,FALSE)</f>
        <v>UA</v>
      </c>
      <c r="E286" s="26">
        <f>VLOOKUP(C286,classifications!C:K,9,FALSE)</f>
        <v>0</v>
      </c>
      <c r="F286" s="36">
        <f t="shared" si="97"/>
        <v>14.983608579520155</v>
      </c>
      <c r="G286" s="71"/>
      <c r="H286" s="37" t="str">
        <f t="shared" si="98"/>
        <v/>
      </c>
      <c r="I286" s="77" t="str">
        <f>IF(H286="","",IF($I$8="A",(RANK(H286,H$11:H$368,1)+COUNTIF(H$11:H286,H286)-1),(RANK(H286,H$11:H$368)+COUNTIF(H$11:H286,H286)-1)))</f>
        <v/>
      </c>
      <c r="J286" s="35"/>
      <c r="K286" s="28" t="str">
        <f t="shared" si="106"/>
        <v/>
      </c>
      <c r="L286" s="36" t="str">
        <f t="shared" si="99"/>
        <v/>
      </c>
      <c r="M286" s="102" t="str">
        <f t="shared" si="107"/>
        <v/>
      </c>
      <c r="N286" s="101" t="str">
        <f t="shared" si="108"/>
        <v/>
      </c>
      <c r="O286" s="94" t="str">
        <f t="shared" si="100"/>
        <v/>
      </c>
      <c r="P286" s="94" t="str">
        <f t="shared" si="115"/>
        <v/>
      </c>
      <c r="Q286" s="94" t="str">
        <f t="shared" si="116"/>
        <v/>
      </c>
      <c r="R286" s="90" t="str">
        <f t="shared" si="117"/>
        <v/>
      </c>
      <c r="S286" s="37" t="str">
        <f t="shared" si="109"/>
        <v/>
      </c>
      <c r="T286" s="176" t="str">
        <f>IF(L286="","",VLOOKUP(L286,classifications!C:K,9,FALSE))</f>
        <v/>
      </c>
      <c r="U286" s="183" t="str">
        <f t="shared" si="101"/>
        <v/>
      </c>
      <c r="V286" s="184" t="str">
        <f>IF(U286="","",IF($I$8="A",(RANK(U286,U$11:U$368)+COUNTIF(U$11:U286,U286)-1),(RANK(U286,U$11:U$368,1)+COUNTIF(U$11:U286,U286)-1)))</f>
        <v/>
      </c>
      <c r="W286" s="185"/>
      <c r="X286" s="38" t="str">
        <f>IF(L286="","",VLOOKUP($L286,classifications!$C:$J,6,FALSE))</f>
        <v/>
      </c>
      <c r="Y286" s="26" t="b">
        <f t="shared" si="102"/>
        <v>0</v>
      </c>
      <c r="Z286" s="34" t="e">
        <f>IF(Y286="","",IF(I$8="A",(RANK(Y286,Y$11:Y$368,1)+COUNTIF(Y$11:Y286,Y286)-1),(RANK(Y286,Y$11:Y$368)+COUNTIF(Y$11:Y286,Y286)-1)))</f>
        <v>#N/A</v>
      </c>
      <c r="AA286" s="188" t="str">
        <f>IF(L286="","",VLOOKUP($L286,classifications!C:I,7,FALSE))</f>
        <v/>
      </c>
      <c r="AB286" s="184" t="str">
        <f t="shared" si="110"/>
        <v/>
      </c>
      <c r="AC286" s="184" t="str">
        <f>IF(AB286="","",IF($I$8="A",(RANK(AB286,AB$11:AB$368)+COUNTIF(AB$11:AB286,AB286)-1),(RANK(AB286,AB$11:AB$368,1)+COUNTIF(AB$11:AB286,AB286)-1)))</f>
        <v/>
      </c>
      <c r="AD286" s="184"/>
      <c r="AE286" s="28" t="str">
        <f t="shared" si="96"/>
        <v/>
      </c>
      <c r="AG286" s="96"/>
      <c r="AH286" s="29"/>
      <c r="AI286" s="38" t="str">
        <f>IF(L286="","",VLOOKUP($L286,classifications!$C:$J,8,FALSE))</f>
        <v/>
      </c>
      <c r="AJ286" s="39" t="str">
        <f t="shared" si="103"/>
        <v/>
      </c>
      <c r="AK286" s="34" t="str">
        <f>IF(AJ286="","",IF(I$8="A",(RANK(AJ286,AJ$11:AJ$368,1)+COUNTIF(AJ$11:AJ286,AJ286)-1),(RANK(AJ286,AJ$11:AJ$368)+COUNTIF(AJ$11:AJ286,AJ286)-1)))</f>
        <v/>
      </c>
      <c r="AL286" s="29" t="str">
        <f t="shared" si="111"/>
        <v/>
      </c>
      <c r="AM286" s="8" t="str">
        <f t="shared" si="104"/>
        <v/>
      </c>
      <c r="AN286" s="8" t="str">
        <f t="shared" si="112"/>
        <v/>
      </c>
      <c r="AP286" s="38" t="str">
        <f>IF(L286="","",VLOOKUP($L286,classifications!$C:$E,3,FALSE))</f>
        <v/>
      </c>
      <c r="AQ286" s="39" t="str">
        <f t="shared" si="113"/>
        <v/>
      </c>
      <c r="AR286" s="34" t="str">
        <f>IF(AQ286="","",IF(I$8="A",(RANK(AQ286,AQ$11:AQ$368,1)+COUNTIF(AQ$11:AQ286,AQ286)-1),(RANK(AQ286,AQ$11:AQ$368)+COUNTIF(AQ$11:AQ286,AQ286)-1)))</f>
        <v/>
      </c>
      <c r="AS286" s="29" t="str">
        <f t="shared" si="114"/>
        <v/>
      </c>
      <c r="AT286" s="34" t="str">
        <f t="shared" si="105"/>
        <v/>
      </c>
      <c r="AU286" s="39" t="str">
        <f t="shared" si="118"/>
        <v/>
      </c>
      <c r="AX286" s="21">
        <f>HLOOKUP($AX$9&amp;$AX$10,Data!$A$1:$ZZ$2000,(MATCH($C286,Data!$A$1:$A$2000,0)),FALSE)</f>
        <v>14.983608579520155</v>
      </c>
      <c r="AY286" s="103"/>
      <c r="AZ286" s="21"/>
    </row>
    <row r="287" spans="1:52">
      <c r="A287" s="56" t="str">
        <f>$D$1&amp;277</f>
        <v>SC277</v>
      </c>
      <c r="B287" s="57">
        <f>IF(ISERROR(VLOOKUP(A287,classifications!A:C,3,FALSE)),0,VLOOKUP(A287,classifications!A:C,3,FALSE))</f>
        <v>0</v>
      </c>
      <c r="C287" s="8" t="s">
        <v>217</v>
      </c>
      <c r="D287" s="26" t="str">
        <f>VLOOKUP($C287,classifications!$C:$J,4,FALSE)</f>
        <v>L</v>
      </c>
      <c r="E287" s="26">
        <f>VLOOKUP(C287,classifications!C:K,9,FALSE)</f>
        <v>0</v>
      </c>
      <c r="F287" s="36">
        <f t="shared" si="97"/>
        <v>25.166803450213209</v>
      </c>
      <c r="G287" s="71"/>
      <c r="H287" s="37" t="str">
        <f t="shared" si="98"/>
        <v/>
      </c>
      <c r="I287" s="77" t="str">
        <f>IF(H287="","",IF($I$8="A",(RANK(H287,H$11:H$368,1)+COUNTIF(H$11:H287,H287)-1),(RANK(H287,H$11:H$368)+COUNTIF(H$11:H287,H287)-1)))</f>
        <v/>
      </c>
      <c r="J287" s="35"/>
      <c r="K287" s="28" t="str">
        <f t="shared" si="106"/>
        <v/>
      </c>
      <c r="L287" s="36" t="str">
        <f t="shared" si="99"/>
        <v/>
      </c>
      <c r="M287" s="102" t="str">
        <f t="shared" si="107"/>
        <v/>
      </c>
      <c r="N287" s="101" t="str">
        <f t="shared" si="108"/>
        <v/>
      </c>
      <c r="O287" s="94" t="str">
        <f t="shared" si="100"/>
        <v/>
      </c>
      <c r="P287" s="94" t="str">
        <f t="shared" si="115"/>
        <v/>
      </c>
      <c r="Q287" s="94" t="str">
        <f t="shared" si="116"/>
        <v/>
      </c>
      <c r="R287" s="90" t="str">
        <f t="shared" si="117"/>
        <v/>
      </c>
      <c r="S287" s="37" t="str">
        <f t="shared" si="109"/>
        <v/>
      </c>
      <c r="T287" s="176" t="str">
        <f>IF(L287="","",VLOOKUP(L287,classifications!C:K,9,FALSE))</f>
        <v/>
      </c>
      <c r="U287" s="183" t="str">
        <f t="shared" si="101"/>
        <v/>
      </c>
      <c r="V287" s="184" t="str">
        <f>IF(U287="","",IF($I$8="A",(RANK(U287,U$11:U$368)+COUNTIF(U$11:U287,U287)-1),(RANK(U287,U$11:U$368,1)+COUNTIF(U$11:U287,U287)-1)))</f>
        <v/>
      </c>
      <c r="W287" s="185"/>
      <c r="X287" s="38" t="str">
        <f>IF(L287="","",VLOOKUP($L287,classifications!$C:$J,6,FALSE))</f>
        <v/>
      </c>
      <c r="Y287" s="26" t="b">
        <f t="shared" si="102"/>
        <v>0</v>
      </c>
      <c r="Z287" s="34" t="e">
        <f>IF(Y287="","",IF(I$8="A",(RANK(Y287,Y$11:Y$368,1)+COUNTIF(Y$11:Y287,Y287)-1),(RANK(Y287,Y$11:Y$368)+COUNTIF(Y$11:Y287,Y287)-1)))</f>
        <v>#N/A</v>
      </c>
      <c r="AA287" s="188" t="str">
        <f>IF(L287="","",VLOOKUP($L287,classifications!C:I,7,FALSE))</f>
        <v/>
      </c>
      <c r="AB287" s="184" t="str">
        <f t="shared" si="110"/>
        <v/>
      </c>
      <c r="AC287" s="184" t="str">
        <f>IF(AB287="","",IF($I$8="A",(RANK(AB287,AB$11:AB$368)+COUNTIF(AB$11:AB287,AB287)-1),(RANK(AB287,AB$11:AB$368,1)+COUNTIF(AB$11:AB287,AB287)-1)))</f>
        <v/>
      </c>
      <c r="AD287" s="184"/>
      <c r="AE287" s="28" t="str">
        <f t="shared" si="96"/>
        <v/>
      </c>
      <c r="AG287" s="96"/>
      <c r="AH287" s="29"/>
      <c r="AI287" s="38" t="str">
        <f>IF(L287="","",VLOOKUP($L287,classifications!$C:$J,8,FALSE))</f>
        <v/>
      </c>
      <c r="AJ287" s="39" t="str">
        <f t="shared" si="103"/>
        <v/>
      </c>
      <c r="AK287" s="34" t="str">
        <f>IF(AJ287="","",IF(I$8="A",(RANK(AJ287,AJ$11:AJ$368,1)+COUNTIF(AJ$11:AJ287,AJ287)-1),(RANK(AJ287,AJ$11:AJ$368)+COUNTIF(AJ$11:AJ287,AJ287)-1)))</f>
        <v/>
      </c>
      <c r="AL287" s="29" t="str">
        <f t="shared" si="111"/>
        <v/>
      </c>
      <c r="AM287" s="8" t="str">
        <f t="shared" si="104"/>
        <v/>
      </c>
      <c r="AN287" s="8" t="str">
        <f t="shared" si="112"/>
        <v/>
      </c>
      <c r="AP287" s="38" t="str">
        <f>IF(L287="","",VLOOKUP($L287,classifications!$C:$E,3,FALSE))</f>
        <v/>
      </c>
      <c r="AQ287" s="39" t="str">
        <f t="shared" si="113"/>
        <v/>
      </c>
      <c r="AR287" s="34" t="str">
        <f>IF(AQ287="","",IF(I$8="A",(RANK(AQ287,AQ$11:AQ$368,1)+COUNTIF(AQ$11:AQ287,AQ287)-1),(RANK(AQ287,AQ$11:AQ$368)+COUNTIF(AQ$11:AQ287,AQ287)-1)))</f>
        <v/>
      </c>
      <c r="AS287" s="29" t="str">
        <f t="shared" si="114"/>
        <v/>
      </c>
      <c r="AT287" s="34" t="str">
        <f t="shared" si="105"/>
        <v/>
      </c>
      <c r="AU287" s="39" t="str">
        <f t="shared" si="118"/>
        <v/>
      </c>
      <c r="AX287" s="21">
        <f>HLOOKUP($AX$9&amp;$AX$10,Data!$A$1:$ZZ$2000,(MATCH($C287,Data!$A$1:$A$2000,0)),FALSE)</f>
        <v>25.166803450213209</v>
      </c>
      <c r="AY287" s="103"/>
      <c r="AZ287" s="21"/>
    </row>
    <row r="288" spans="1:52">
      <c r="A288" s="56" t="str">
        <f>$D$1&amp;278</f>
        <v>SC278</v>
      </c>
      <c r="B288" s="57">
        <f>IF(ISERROR(VLOOKUP(A288,classifications!A:C,3,FALSE)),0,VLOOKUP(A288,classifications!A:C,3,FALSE))</f>
        <v>0</v>
      </c>
      <c r="C288" s="8" t="s">
        <v>150</v>
      </c>
      <c r="D288" s="26" t="str">
        <f>VLOOKUP($C288,classifications!$C:$J,4,FALSE)</f>
        <v>SD</v>
      </c>
      <c r="E288" s="26">
        <f>VLOOKUP(C288,classifications!C:K,9,FALSE)</f>
        <v>0</v>
      </c>
      <c r="F288" s="36">
        <f t="shared" si="97"/>
        <v>15.196960796873856</v>
      </c>
      <c r="G288" s="71"/>
      <c r="H288" s="37" t="str">
        <f t="shared" si="98"/>
        <v/>
      </c>
      <c r="I288" s="77" t="str">
        <f>IF(H288="","",IF($I$8="A",(RANK(H288,H$11:H$368,1)+COUNTIF(H$11:H288,H288)-1),(RANK(H288,H$11:H$368)+COUNTIF(H$11:H288,H288)-1)))</f>
        <v/>
      </c>
      <c r="J288" s="35"/>
      <c r="K288" s="28" t="str">
        <f t="shared" si="106"/>
        <v/>
      </c>
      <c r="L288" s="36" t="str">
        <f t="shared" si="99"/>
        <v/>
      </c>
      <c r="M288" s="102" t="str">
        <f t="shared" si="107"/>
        <v/>
      </c>
      <c r="N288" s="101" t="str">
        <f t="shared" si="108"/>
        <v/>
      </c>
      <c r="O288" s="94" t="str">
        <f t="shared" si="100"/>
        <v/>
      </c>
      <c r="P288" s="94" t="str">
        <f t="shared" si="115"/>
        <v/>
      </c>
      <c r="Q288" s="94" t="str">
        <f t="shared" si="116"/>
        <v/>
      </c>
      <c r="R288" s="90" t="str">
        <f t="shared" si="117"/>
        <v/>
      </c>
      <c r="S288" s="37" t="str">
        <f t="shared" si="109"/>
        <v/>
      </c>
      <c r="T288" s="176" t="str">
        <f>IF(L288="","",VLOOKUP(L288,classifications!C:K,9,FALSE))</f>
        <v/>
      </c>
      <c r="U288" s="183" t="str">
        <f t="shared" si="101"/>
        <v/>
      </c>
      <c r="V288" s="184" t="str">
        <f>IF(U288="","",IF($I$8="A",(RANK(U288,U$11:U$368)+COUNTIF(U$11:U288,U288)-1),(RANK(U288,U$11:U$368,1)+COUNTIF(U$11:U288,U288)-1)))</f>
        <v/>
      </c>
      <c r="W288" s="185"/>
      <c r="X288" s="38" t="str">
        <f>IF(L288="","",VLOOKUP($L288,classifications!$C:$J,6,FALSE))</f>
        <v/>
      </c>
      <c r="Y288" s="26" t="b">
        <f t="shared" si="102"/>
        <v>0</v>
      </c>
      <c r="Z288" s="34" t="e">
        <f>IF(Y288="","",IF(I$8="A",(RANK(Y288,Y$11:Y$368,1)+COUNTIF(Y$11:Y288,Y288)-1),(RANK(Y288,Y$11:Y$368)+COUNTIF(Y$11:Y288,Y288)-1)))</f>
        <v>#N/A</v>
      </c>
      <c r="AA288" s="188" t="str">
        <f>IF(L288="","",VLOOKUP($L288,classifications!C:I,7,FALSE))</f>
        <v/>
      </c>
      <c r="AB288" s="184" t="str">
        <f t="shared" si="110"/>
        <v/>
      </c>
      <c r="AC288" s="184" t="str">
        <f>IF(AB288="","",IF($I$8="A",(RANK(AB288,AB$11:AB$368)+COUNTIF(AB$11:AB288,AB288)-1),(RANK(AB288,AB$11:AB$368,1)+COUNTIF(AB$11:AB288,AB288)-1)))</f>
        <v/>
      </c>
      <c r="AD288" s="184"/>
      <c r="AE288" s="28" t="str">
        <f t="shared" si="96"/>
        <v/>
      </c>
      <c r="AG288" s="96"/>
      <c r="AH288" s="29"/>
      <c r="AI288" s="38" t="str">
        <f>IF(L288="","",VLOOKUP($L288,classifications!$C:$J,8,FALSE))</f>
        <v/>
      </c>
      <c r="AJ288" s="39" t="str">
        <f t="shared" si="103"/>
        <v/>
      </c>
      <c r="AK288" s="34" t="str">
        <f>IF(AJ288="","",IF(I$8="A",(RANK(AJ288,AJ$11:AJ$368,1)+COUNTIF(AJ$11:AJ288,AJ288)-1),(RANK(AJ288,AJ$11:AJ$368)+COUNTIF(AJ$11:AJ288,AJ288)-1)))</f>
        <v/>
      </c>
      <c r="AL288" s="29" t="str">
        <f t="shared" si="111"/>
        <v/>
      </c>
      <c r="AM288" s="8" t="str">
        <f t="shared" si="104"/>
        <v/>
      </c>
      <c r="AN288" s="8" t="str">
        <f t="shared" si="112"/>
        <v/>
      </c>
      <c r="AP288" s="38" t="str">
        <f>IF(L288="","",VLOOKUP($L288,classifications!$C:$E,3,FALSE))</f>
        <v/>
      </c>
      <c r="AQ288" s="39" t="str">
        <f t="shared" si="113"/>
        <v/>
      </c>
      <c r="AR288" s="34" t="str">
        <f>IF(AQ288="","",IF(I$8="A",(RANK(AQ288,AQ$11:AQ$368,1)+COUNTIF(AQ$11:AQ288,AQ288)-1),(RANK(AQ288,AQ$11:AQ$368)+COUNTIF(AQ$11:AQ288,AQ288)-1)))</f>
        <v/>
      </c>
      <c r="AS288" s="29" t="str">
        <f t="shared" si="114"/>
        <v/>
      </c>
      <c r="AT288" s="34" t="str">
        <f t="shared" si="105"/>
        <v/>
      </c>
      <c r="AU288" s="39" t="str">
        <f t="shared" si="118"/>
        <v/>
      </c>
      <c r="AX288" s="21">
        <f>HLOOKUP($AX$9&amp;$AX$10,Data!$A$1:$ZZ$2000,(MATCH($C288,Data!$A$1:$A$2000,0)),FALSE)</f>
        <v>15.196960796873856</v>
      </c>
      <c r="AY288" s="103"/>
      <c r="AZ288" s="21"/>
    </row>
    <row r="289" spans="1:52">
      <c r="A289" s="56" t="str">
        <f>$D$1&amp;279</f>
        <v>SC279</v>
      </c>
      <c r="B289" s="57">
        <f>IF(ISERROR(VLOOKUP(A289,classifications!A:C,3,FALSE)),0,VLOOKUP(A289,classifications!A:C,3,FALSE))</f>
        <v>0</v>
      </c>
      <c r="C289" s="8" t="s">
        <v>151</v>
      </c>
      <c r="D289" s="26" t="str">
        <f>VLOOKUP($C289,classifications!$C:$J,4,FALSE)</f>
        <v>SD</v>
      </c>
      <c r="E289" s="26">
        <f>VLOOKUP(C289,classifications!C:K,9,FALSE)</f>
        <v>0</v>
      </c>
      <c r="F289" s="36">
        <f t="shared" si="97"/>
        <v>19.774526888698318</v>
      </c>
      <c r="G289" s="71"/>
      <c r="H289" s="37" t="str">
        <f t="shared" si="98"/>
        <v/>
      </c>
      <c r="I289" s="77" t="str">
        <f>IF(H289="","",IF($I$8="A",(RANK(H289,H$11:H$368,1)+COUNTIF(H$11:H289,H289)-1),(RANK(H289,H$11:H$368)+COUNTIF(H$11:H289,H289)-1)))</f>
        <v/>
      </c>
      <c r="J289" s="35"/>
      <c r="K289" s="28" t="str">
        <f t="shared" si="106"/>
        <v/>
      </c>
      <c r="L289" s="36" t="str">
        <f t="shared" si="99"/>
        <v/>
      </c>
      <c r="M289" s="102" t="str">
        <f t="shared" si="107"/>
        <v/>
      </c>
      <c r="N289" s="101" t="str">
        <f t="shared" si="108"/>
        <v/>
      </c>
      <c r="O289" s="94" t="str">
        <f t="shared" si="100"/>
        <v/>
      </c>
      <c r="P289" s="94" t="str">
        <f t="shared" si="115"/>
        <v/>
      </c>
      <c r="Q289" s="94" t="str">
        <f t="shared" si="116"/>
        <v/>
      </c>
      <c r="R289" s="90" t="str">
        <f t="shared" si="117"/>
        <v/>
      </c>
      <c r="S289" s="37" t="str">
        <f t="shared" si="109"/>
        <v/>
      </c>
      <c r="T289" s="176" t="str">
        <f>IF(L289="","",VLOOKUP(L289,classifications!C:K,9,FALSE))</f>
        <v/>
      </c>
      <c r="U289" s="183" t="str">
        <f t="shared" si="101"/>
        <v/>
      </c>
      <c r="V289" s="184" t="str">
        <f>IF(U289="","",IF($I$8="A",(RANK(U289,U$11:U$368)+COUNTIF(U$11:U289,U289)-1),(RANK(U289,U$11:U$368,1)+COUNTIF(U$11:U289,U289)-1)))</f>
        <v/>
      </c>
      <c r="W289" s="185"/>
      <c r="X289" s="38" t="str">
        <f>IF(L289="","",VLOOKUP($L289,classifications!$C:$J,6,FALSE))</f>
        <v/>
      </c>
      <c r="Y289" s="26" t="b">
        <f t="shared" si="102"/>
        <v>0</v>
      </c>
      <c r="Z289" s="34" t="e">
        <f>IF(Y289="","",IF(I$8="A",(RANK(Y289,Y$11:Y$368,1)+COUNTIF(Y$11:Y289,Y289)-1),(RANK(Y289,Y$11:Y$368)+COUNTIF(Y$11:Y289,Y289)-1)))</f>
        <v>#N/A</v>
      </c>
      <c r="AA289" s="188" t="str">
        <f>IF(L289="","",VLOOKUP($L289,classifications!C:I,7,FALSE))</f>
        <v/>
      </c>
      <c r="AB289" s="184" t="str">
        <f t="shared" si="110"/>
        <v/>
      </c>
      <c r="AC289" s="184" t="str">
        <f>IF(AB289="","",IF($I$8="A",(RANK(AB289,AB$11:AB$368)+COUNTIF(AB$11:AB289,AB289)-1),(RANK(AB289,AB$11:AB$368,1)+COUNTIF(AB$11:AB289,AB289)-1)))</f>
        <v/>
      </c>
      <c r="AD289" s="184"/>
      <c r="AE289" s="28" t="str">
        <f t="shared" si="96"/>
        <v/>
      </c>
      <c r="AG289" s="96"/>
      <c r="AH289" s="29"/>
      <c r="AI289" s="38" t="str">
        <f>IF(L289="","",VLOOKUP($L289,classifications!$C:$J,8,FALSE))</f>
        <v/>
      </c>
      <c r="AJ289" s="39" t="str">
        <f t="shared" si="103"/>
        <v/>
      </c>
      <c r="AK289" s="34" t="str">
        <f>IF(AJ289="","",IF(I$8="A",(RANK(AJ289,AJ$11:AJ$368,1)+COUNTIF(AJ$11:AJ289,AJ289)-1),(RANK(AJ289,AJ$11:AJ$368)+COUNTIF(AJ$11:AJ289,AJ289)-1)))</f>
        <v/>
      </c>
      <c r="AL289" s="29" t="str">
        <f t="shared" si="111"/>
        <v/>
      </c>
      <c r="AM289" s="8" t="str">
        <f t="shared" si="104"/>
        <v/>
      </c>
      <c r="AN289" s="8" t="str">
        <f t="shared" si="112"/>
        <v/>
      </c>
      <c r="AP289" s="38" t="str">
        <f>IF(L289="","",VLOOKUP($L289,classifications!$C:$E,3,FALSE))</f>
        <v/>
      </c>
      <c r="AQ289" s="39" t="str">
        <f t="shared" si="113"/>
        <v/>
      </c>
      <c r="AR289" s="34" t="str">
        <f>IF(AQ289="","",IF(I$8="A",(RANK(AQ289,AQ$11:AQ$368,1)+COUNTIF(AQ$11:AQ289,AQ289)-1),(RANK(AQ289,AQ$11:AQ$368)+COUNTIF(AQ$11:AQ289,AQ289)-1)))</f>
        <v/>
      </c>
      <c r="AS289" s="29" t="str">
        <f t="shared" si="114"/>
        <v/>
      </c>
      <c r="AT289" s="34" t="str">
        <f t="shared" si="105"/>
        <v/>
      </c>
      <c r="AU289" s="39" t="str">
        <f t="shared" si="118"/>
        <v/>
      </c>
      <c r="AX289" s="21">
        <f>HLOOKUP($AX$9&amp;$AX$10,Data!$A$1:$ZZ$2000,(MATCH($C289,Data!$A$1:$A$2000,0)),FALSE)</f>
        <v>19.774526888698318</v>
      </c>
      <c r="AY289" s="103"/>
      <c r="AZ289" s="21"/>
    </row>
    <row r="290" spans="1:52">
      <c r="A290" s="56" t="str">
        <f>$D$1&amp;280</f>
        <v>SC280</v>
      </c>
      <c r="B290" s="57">
        <f>IF(ISERROR(VLOOKUP(A290,classifications!A:C,3,FALSE)),0,VLOOKUP(A290,classifications!A:C,3,FALSE))</f>
        <v>0</v>
      </c>
      <c r="C290" s="8" t="s">
        <v>152</v>
      </c>
      <c r="D290" s="26" t="str">
        <f>VLOOKUP($C290,classifications!$C:$J,4,FALSE)</f>
        <v>SD</v>
      </c>
      <c r="E290" s="26" t="str">
        <f>VLOOKUP(C290,classifications!C:K,9,FALSE)</f>
        <v>Sparse</v>
      </c>
      <c r="F290" s="36">
        <f t="shared" si="97"/>
        <v>0</v>
      </c>
      <c r="G290" s="71"/>
      <c r="H290" s="37" t="str">
        <f t="shared" si="98"/>
        <v/>
      </c>
      <c r="I290" s="77" t="str">
        <f>IF(H290="","",IF($I$8="A",(RANK(H290,H$11:H$368,1)+COUNTIF(H$11:H290,H290)-1),(RANK(H290,H$11:H$368)+COUNTIF(H$11:H290,H290)-1)))</f>
        <v/>
      </c>
      <c r="J290" s="35"/>
      <c r="K290" s="28" t="str">
        <f t="shared" si="106"/>
        <v/>
      </c>
      <c r="L290" s="36" t="str">
        <f t="shared" si="99"/>
        <v/>
      </c>
      <c r="M290" s="102" t="str">
        <f t="shared" si="107"/>
        <v/>
      </c>
      <c r="N290" s="101" t="str">
        <f t="shared" si="108"/>
        <v/>
      </c>
      <c r="O290" s="94" t="str">
        <f t="shared" si="100"/>
        <v/>
      </c>
      <c r="P290" s="94" t="str">
        <f t="shared" si="115"/>
        <v/>
      </c>
      <c r="Q290" s="94" t="str">
        <f t="shared" si="116"/>
        <v/>
      </c>
      <c r="R290" s="90" t="str">
        <f t="shared" si="117"/>
        <v/>
      </c>
      <c r="S290" s="37" t="str">
        <f t="shared" si="109"/>
        <v/>
      </c>
      <c r="T290" s="176" t="str">
        <f>IF(L290="","",VLOOKUP(L290,classifications!C:K,9,FALSE))</f>
        <v/>
      </c>
      <c r="U290" s="183" t="str">
        <f t="shared" si="101"/>
        <v/>
      </c>
      <c r="V290" s="184" t="str">
        <f>IF(U290="","",IF($I$8="A",(RANK(U290,U$11:U$368)+COUNTIF(U$11:U290,U290)-1),(RANK(U290,U$11:U$368,1)+COUNTIF(U$11:U290,U290)-1)))</f>
        <v/>
      </c>
      <c r="W290" s="185"/>
      <c r="X290" s="38" t="str">
        <f>IF(L290="","",VLOOKUP($L290,classifications!$C:$J,6,FALSE))</f>
        <v/>
      </c>
      <c r="Y290" s="26" t="b">
        <f t="shared" si="102"/>
        <v>0</v>
      </c>
      <c r="Z290" s="34" t="e">
        <f>IF(Y290="","",IF(I$8="A",(RANK(Y290,Y$11:Y$368,1)+COUNTIF(Y$11:Y290,Y290)-1),(RANK(Y290,Y$11:Y$368)+COUNTIF(Y$11:Y290,Y290)-1)))</f>
        <v>#N/A</v>
      </c>
      <c r="AA290" s="188" t="str">
        <f>IF(L290="","",VLOOKUP($L290,classifications!C:I,7,FALSE))</f>
        <v/>
      </c>
      <c r="AB290" s="184" t="str">
        <f t="shared" si="110"/>
        <v/>
      </c>
      <c r="AC290" s="184" t="str">
        <f>IF(AB290="","",IF($I$8="A",(RANK(AB290,AB$11:AB$368)+COUNTIF(AB$11:AB290,AB290)-1),(RANK(AB290,AB$11:AB$368,1)+COUNTIF(AB$11:AB290,AB290)-1)))</f>
        <v/>
      </c>
      <c r="AD290" s="184"/>
      <c r="AE290" s="28" t="str">
        <f t="shared" si="96"/>
        <v/>
      </c>
      <c r="AG290" s="96"/>
      <c r="AH290" s="29"/>
      <c r="AI290" s="38" t="str">
        <f>IF(L290="","",VLOOKUP($L290,classifications!$C:$J,8,FALSE))</f>
        <v/>
      </c>
      <c r="AJ290" s="39" t="str">
        <f t="shared" si="103"/>
        <v/>
      </c>
      <c r="AK290" s="34" t="str">
        <f>IF(AJ290="","",IF(I$8="A",(RANK(AJ290,AJ$11:AJ$368,1)+COUNTIF(AJ$11:AJ290,AJ290)-1),(RANK(AJ290,AJ$11:AJ$368)+COUNTIF(AJ$11:AJ290,AJ290)-1)))</f>
        <v/>
      </c>
      <c r="AL290" s="29" t="str">
        <f t="shared" si="111"/>
        <v/>
      </c>
      <c r="AM290" s="8" t="str">
        <f t="shared" si="104"/>
        <v/>
      </c>
      <c r="AN290" s="8" t="str">
        <f t="shared" si="112"/>
        <v/>
      </c>
      <c r="AP290" s="38" t="str">
        <f>IF(L290="","",VLOOKUP($L290,classifications!$C:$E,3,FALSE))</f>
        <v/>
      </c>
      <c r="AQ290" s="39" t="str">
        <f t="shared" si="113"/>
        <v/>
      </c>
      <c r="AR290" s="34" t="str">
        <f>IF(AQ290="","",IF(I$8="A",(RANK(AQ290,AQ$11:AQ$368,1)+COUNTIF(AQ$11:AQ290,AQ290)-1),(RANK(AQ290,AQ$11:AQ$368)+COUNTIF(AQ$11:AQ290,AQ290)-1)))</f>
        <v/>
      </c>
      <c r="AS290" s="29" t="str">
        <f t="shared" si="114"/>
        <v/>
      </c>
      <c r="AT290" s="34" t="str">
        <f t="shared" si="105"/>
        <v/>
      </c>
      <c r="AU290" s="39" t="str">
        <f t="shared" si="118"/>
        <v/>
      </c>
      <c r="AX290" s="21">
        <f>HLOOKUP($AX$9&amp;$AX$10,Data!$A$1:$ZZ$2000,(MATCH($C290,Data!$A$1:$A$2000,0)),FALSE)</f>
        <v>0</v>
      </c>
      <c r="AY290" s="103"/>
      <c r="AZ290" s="21"/>
    </row>
    <row r="291" spans="1:52">
      <c r="A291" s="56" t="str">
        <f>$D$1&amp;281</f>
        <v>SC281</v>
      </c>
      <c r="B291" s="57">
        <f>IF(ISERROR(VLOOKUP(A291,classifications!A:C,3,FALSE)),0,VLOOKUP(A291,classifications!A:C,3,FALSE))</f>
        <v>0</v>
      </c>
      <c r="C291" s="8" t="s">
        <v>248</v>
      </c>
      <c r="D291" s="26" t="str">
        <f>VLOOKUP($C291,classifications!$C:$J,4,FALSE)</f>
        <v>MD</v>
      </c>
      <c r="E291" s="26">
        <f>VLOOKUP(C291,classifications!C:K,9,FALSE)</f>
        <v>0</v>
      </c>
      <c r="F291" s="36">
        <f t="shared" si="97"/>
        <v>9.7035495759064929</v>
      </c>
      <c r="G291" s="71"/>
      <c r="H291" s="37" t="str">
        <f t="shared" si="98"/>
        <v/>
      </c>
      <c r="I291" s="77" t="str">
        <f>IF(H291="","",IF($I$8="A",(RANK(H291,H$11:H$368,1)+COUNTIF(H$11:H291,H291)-1),(RANK(H291,H$11:H$368)+COUNTIF(H$11:H291,H291)-1)))</f>
        <v/>
      </c>
      <c r="J291" s="35"/>
      <c r="K291" s="28" t="str">
        <f t="shared" si="106"/>
        <v/>
      </c>
      <c r="L291" s="36" t="str">
        <f t="shared" si="99"/>
        <v/>
      </c>
      <c r="M291" s="102" t="str">
        <f t="shared" si="107"/>
        <v/>
      </c>
      <c r="N291" s="101" t="str">
        <f t="shared" si="108"/>
        <v/>
      </c>
      <c r="O291" s="94" t="str">
        <f t="shared" si="100"/>
        <v/>
      </c>
      <c r="P291" s="94" t="str">
        <f t="shared" si="115"/>
        <v/>
      </c>
      <c r="Q291" s="94" t="str">
        <f t="shared" si="116"/>
        <v/>
      </c>
      <c r="R291" s="90" t="str">
        <f t="shared" si="117"/>
        <v/>
      </c>
      <c r="S291" s="37" t="str">
        <f t="shared" si="109"/>
        <v/>
      </c>
      <c r="T291" s="176" t="str">
        <f>IF(L291="","",VLOOKUP(L291,classifications!C:K,9,FALSE))</f>
        <v/>
      </c>
      <c r="U291" s="183" t="str">
        <f t="shared" si="101"/>
        <v/>
      </c>
      <c r="V291" s="184" t="str">
        <f>IF(U291="","",IF($I$8="A",(RANK(U291,U$11:U$368)+COUNTIF(U$11:U291,U291)-1),(RANK(U291,U$11:U$368,1)+COUNTIF(U$11:U291,U291)-1)))</f>
        <v/>
      </c>
      <c r="W291" s="185"/>
      <c r="X291" s="38" t="str">
        <f>IF(L291="","",VLOOKUP($L291,classifications!$C:$J,6,FALSE))</f>
        <v/>
      </c>
      <c r="Y291" s="26" t="b">
        <f t="shared" si="102"/>
        <v>0</v>
      </c>
      <c r="Z291" s="34" t="e">
        <f>IF(Y291="","",IF(I$8="A",(RANK(Y291,Y$11:Y$368,1)+COUNTIF(Y$11:Y291,Y291)-1),(RANK(Y291,Y$11:Y$368)+COUNTIF(Y$11:Y291,Y291)-1)))</f>
        <v>#N/A</v>
      </c>
      <c r="AA291" s="188" t="str">
        <f>IF(L291="","",VLOOKUP($L291,classifications!C:I,7,FALSE))</f>
        <v/>
      </c>
      <c r="AB291" s="184" t="str">
        <f t="shared" si="110"/>
        <v/>
      </c>
      <c r="AC291" s="184" t="str">
        <f>IF(AB291="","",IF($I$8="A",(RANK(AB291,AB$11:AB$368)+COUNTIF(AB$11:AB291,AB291)-1),(RANK(AB291,AB$11:AB$368,1)+COUNTIF(AB$11:AB291,AB291)-1)))</f>
        <v/>
      </c>
      <c r="AD291" s="184"/>
      <c r="AE291" s="28" t="str">
        <f t="shared" ref="AE291:AE354" si="119">IF(AE290="","",IF(AE290+1&gt;(COUNT(AG:AG)),"",AE290+1))</f>
        <v/>
      </c>
      <c r="AG291" s="96"/>
      <c r="AH291" s="29"/>
      <c r="AI291" s="38" t="str">
        <f>IF(L291="","",VLOOKUP($L291,classifications!$C:$J,8,FALSE))</f>
        <v/>
      </c>
      <c r="AJ291" s="39" t="str">
        <f t="shared" si="103"/>
        <v/>
      </c>
      <c r="AK291" s="34" t="str">
        <f>IF(AJ291="","",IF(I$8="A",(RANK(AJ291,AJ$11:AJ$368,1)+COUNTIF(AJ$11:AJ291,AJ291)-1),(RANK(AJ291,AJ$11:AJ$368)+COUNTIF(AJ$11:AJ291,AJ291)-1)))</f>
        <v/>
      </c>
      <c r="AL291" s="29" t="str">
        <f t="shared" si="111"/>
        <v/>
      </c>
      <c r="AM291" s="8" t="str">
        <f t="shared" si="104"/>
        <v/>
      </c>
      <c r="AN291" s="8" t="str">
        <f t="shared" si="112"/>
        <v/>
      </c>
      <c r="AP291" s="38" t="str">
        <f>IF(L291="","",VLOOKUP($L291,classifications!$C:$E,3,FALSE))</f>
        <v/>
      </c>
      <c r="AQ291" s="39" t="str">
        <f t="shared" si="113"/>
        <v/>
      </c>
      <c r="AR291" s="34" t="str">
        <f>IF(AQ291="","",IF(I$8="A",(RANK(AQ291,AQ$11:AQ$368,1)+COUNTIF(AQ$11:AQ291,AQ291)-1),(RANK(AQ291,AQ$11:AQ$368)+COUNTIF(AQ$11:AQ291,AQ291)-1)))</f>
        <v/>
      </c>
      <c r="AS291" s="29" t="str">
        <f t="shared" si="114"/>
        <v/>
      </c>
      <c r="AT291" s="34" t="str">
        <f t="shared" si="105"/>
        <v/>
      </c>
      <c r="AU291" s="39" t="str">
        <f t="shared" si="118"/>
        <v/>
      </c>
      <c r="AX291" s="21">
        <f>HLOOKUP($AX$9&amp;$AX$10,Data!$A$1:$ZZ$2000,(MATCH($C291,Data!$A$1:$A$2000,0)),FALSE)</f>
        <v>9.7035495759064929</v>
      </c>
      <c r="AY291" s="103"/>
      <c r="AZ291" s="21"/>
    </row>
    <row r="292" spans="1:52">
      <c r="A292" s="56" t="str">
        <f>$D$1&amp;282</f>
        <v>SC282</v>
      </c>
      <c r="B292" s="57">
        <f>IF(ISERROR(VLOOKUP(A292,classifications!A:C,3,FALSE)),0,VLOOKUP(A292,classifications!A:C,3,FALSE))</f>
        <v>0</v>
      </c>
      <c r="C292" s="8" t="s">
        <v>153</v>
      </c>
      <c r="D292" s="26" t="str">
        <f>VLOOKUP($C292,classifications!$C:$J,4,FALSE)</f>
        <v>SD</v>
      </c>
      <c r="E292" s="26" t="str">
        <f>VLOOKUP(C292,classifications!C:K,9,FALSE)</f>
        <v>Sparse</v>
      </c>
      <c r="F292" s="36">
        <f t="shared" si="97"/>
        <v>18.610442311559218</v>
      </c>
      <c r="G292" s="71"/>
      <c r="H292" s="37" t="str">
        <f t="shared" si="98"/>
        <v/>
      </c>
      <c r="I292" s="77" t="str">
        <f>IF(H292="","",IF($I$8="A",(RANK(H292,H$11:H$368,1)+COUNTIF(H$11:H292,H292)-1),(RANK(H292,H$11:H$368)+COUNTIF(H$11:H292,H292)-1)))</f>
        <v/>
      </c>
      <c r="J292" s="35"/>
      <c r="K292" s="28" t="str">
        <f t="shared" si="106"/>
        <v/>
      </c>
      <c r="L292" s="36" t="str">
        <f t="shared" si="99"/>
        <v/>
      </c>
      <c r="M292" s="102" t="str">
        <f t="shared" si="107"/>
        <v/>
      </c>
      <c r="N292" s="101" t="str">
        <f t="shared" si="108"/>
        <v/>
      </c>
      <c r="O292" s="94" t="str">
        <f t="shared" si="100"/>
        <v/>
      </c>
      <c r="P292" s="94" t="str">
        <f t="shared" si="115"/>
        <v/>
      </c>
      <c r="Q292" s="94" t="str">
        <f t="shared" si="116"/>
        <v/>
      </c>
      <c r="R292" s="90" t="str">
        <f t="shared" si="117"/>
        <v/>
      </c>
      <c r="S292" s="37" t="str">
        <f t="shared" si="109"/>
        <v/>
      </c>
      <c r="T292" s="176" t="str">
        <f>IF(L292="","",VLOOKUP(L292,classifications!C:K,9,FALSE))</f>
        <v/>
      </c>
      <c r="U292" s="183" t="str">
        <f t="shared" si="101"/>
        <v/>
      </c>
      <c r="V292" s="184" t="str">
        <f>IF(U292="","",IF($I$8="A",(RANK(U292,U$11:U$368)+COUNTIF(U$11:U292,U292)-1),(RANK(U292,U$11:U$368,1)+COUNTIF(U$11:U292,U292)-1)))</f>
        <v/>
      </c>
      <c r="W292" s="185"/>
      <c r="X292" s="38" t="str">
        <f>IF(L292="","",VLOOKUP($L292,classifications!$C:$J,6,FALSE))</f>
        <v/>
      </c>
      <c r="Y292" s="26" t="b">
        <f t="shared" si="102"/>
        <v>0</v>
      </c>
      <c r="Z292" s="34" t="e">
        <f>IF(Y292="","",IF(I$8="A",(RANK(Y292,Y$11:Y$368,1)+COUNTIF(Y$11:Y292,Y292)-1),(RANK(Y292,Y$11:Y$368)+COUNTIF(Y$11:Y292,Y292)-1)))</f>
        <v>#N/A</v>
      </c>
      <c r="AA292" s="188" t="str">
        <f>IF(L292="","",VLOOKUP($L292,classifications!C:I,7,FALSE))</f>
        <v/>
      </c>
      <c r="AB292" s="184" t="str">
        <f t="shared" si="110"/>
        <v/>
      </c>
      <c r="AC292" s="184" t="str">
        <f>IF(AB292="","",IF($I$8="A",(RANK(AB292,AB$11:AB$368)+COUNTIF(AB$11:AB292,AB292)-1),(RANK(AB292,AB$11:AB$368,1)+COUNTIF(AB$11:AB292,AB292)-1)))</f>
        <v/>
      </c>
      <c r="AD292" s="184"/>
      <c r="AE292" s="28" t="str">
        <f t="shared" si="119"/>
        <v/>
      </c>
      <c r="AG292" s="96"/>
      <c r="AH292" s="29"/>
      <c r="AI292" s="38" t="str">
        <f>IF(L292="","",VLOOKUP($L292,classifications!$C:$J,8,FALSE))</f>
        <v/>
      </c>
      <c r="AJ292" s="39" t="str">
        <f t="shared" si="103"/>
        <v/>
      </c>
      <c r="AK292" s="34" t="str">
        <f>IF(AJ292="","",IF(I$8="A",(RANK(AJ292,AJ$11:AJ$368,1)+COUNTIF(AJ$11:AJ292,AJ292)-1),(RANK(AJ292,AJ$11:AJ$368)+COUNTIF(AJ$11:AJ292,AJ292)-1)))</f>
        <v/>
      </c>
      <c r="AL292" s="29" t="str">
        <f t="shared" si="111"/>
        <v/>
      </c>
      <c r="AM292" s="8" t="str">
        <f t="shared" si="104"/>
        <v/>
      </c>
      <c r="AN292" s="8" t="str">
        <f t="shared" si="112"/>
        <v/>
      </c>
      <c r="AP292" s="38" t="str">
        <f>IF(L292="","",VLOOKUP($L292,classifications!$C:$E,3,FALSE))</f>
        <v/>
      </c>
      <c r="AQ292" s="39" t="str">
        <f t="shared" si="113"/>
        <v/>
      </c>
      <c r="AR292" s="34" t="str">
        <f>IF(AQ292="","",IF(I$8="A",(RANK(AQ292,AQ$11:AQ$368,1)+COUNTIF(AQ$11:AQ292,AQ292)-1),(RANK(AQ292,AQ$11:AQ$368)+COUNTIF(AQ$11:AQ292,AQ292)-1)))</f>
        <v/>
      </c>
      <c r="AS292" s="29" t="str">
        <f t="shared" si="114"/>
        <v/>
      </c>
      <c r="AT292" s="34" t="str">
        <f t="shared" si="105"/>
        <v/>
      </c>
      <c r="AU292" s="39" t="str">
        <f t="shared" si="118"/>
        <v/>
      </c>
      <c r="AX292" s="21">
        <f>HLOOKUP($AX$9&amp;$AX$10,Data!$A$1:$ZZ$2000,(MATCH($C292,Data!$A$1:$A$2000,0)),FALSE)</f>
        <v>18.610442311559218</v>
      </c>
      <c r="AY292" s="103"/>
      <c r="AZ292" s="21"/>
    </row>
    <row r="293" spans="1:52">
      <c r="A293" s="56" t="str">
        <f>$D$1&amp;283</f>
        <v>SC283</v>
      </c>
      <c r="B293" s="57">
        <f>IF(ISERROR(VLOOKUP(A293,classifications!A:C,3,FALSE)),0,VLOOKUP(A293,classifications!A:C,3,FALSE))</f>
        <v>0</v>
      </c>
      <c r="C293" s="8" t="s">
        <v>327</v>
      </c>
      <c r="D293" s="26" t="str">
        <f>VLOOKUP($C293,classifications!$C:$J,4,FALSE)</f>
        <v>SC</v>
      </c>
      <c r="E293" s="26" t="str">
        <f>VLOOKUP(C293,classifications!C:K,9,FALSE)</f>
        <v>Sparse</v>
      </c>
      <c r="F293" s="36">
        <f t="shared" si="97"/>
        <v>13.005470928067698</v>
      </c>
      <c r="G293" s="71"/>
      <c r="H293" s="37">
        <f t="shared" si="98"/>
        <v>13.005470928067698</v>
      </c>
      <c r="I293" s="77">
        <f>IF(H293="","",IF($I$8="A",(RANK(H293,H$11:H$368,1)+COUNTIF(H$11:H293,H293)-1),(RANK(H293,H$11:H$368)+COUNTIF(H$11:H293,H293)-1)))</f>
        <v>26</v>
      </c>
      <c r="J293" s="35"/>
      <c r="K293" s="28" t="str">
        <f t="shared" si="106"/>
        <v/>
      </c>
      <c r="L293" s="36" t="str">
        <f t="shared" si="99"/>
        <v/>
      </c>
      <c r="M293" s="102" t="str">
        <f t="shared" si="107"/>
        <v/>
      </c>
      <c r="N293" s="101" t="str">
        <f t="shared" si="108"/>
        <v/>
      </c>
      <c r="O293" s="94" t="str">
        <f t="shared" si="100"/>
        <v/>
      </c>
      <c r="P293" s="94" t="str">
        <f t="shared" si="115"/>
        <v/>
      </c>
      <c r="Q293" s="94" t="str">
        <f t="shared" si="116"/>
        <v/>
      </c>
      <c r="R293" s="90" t="str">
        <f t="shared" si="117"/>
        <v/>
      </c>
      <c r="S293" s="37" t="str">
        <f t="shared" si="109"/>
        <v/>
      </c>
      <c r="T293" s="176" t="str">
        <f>IF(L293="","",VLOOKUP(L293,classifications!C:K,9,FALSE))</f>
        <v/>
      </c>
      <c r="U293" s="183" t="str">
        <f t="shared" si="101"/>
        <v/>
      </c>
      <c r="V293" s="184" t="str">
        <f>IF(U293="","",IF($I$8="A",(RANK(U293,U$11:U$368)+COUNTIF(U$11:U293,U293)-1),(RANK(U293,U$11:U$368,1)+COUNTIF(U$11:U293,U293)-1)))</f>
        <v/>
      </c>
      <c r="W293" s="185"/>
      <c r="X293" s="38" t="str">
        <f>IF(L293="","",VLOOKUP($L293,classifications!$C:$J,6,FALSE))</f>
        <v/>
      </c>
      <c r="Y293" s="26" t="b">
        <f t="shared" si="102"/>
        <v>0</v>
      </c>
      <c r="Z293" s="34" t="e">
        <f>IF(Y293="","",IF(I$8="A",(RANK(Y293,Y$11:Y$368,1)+COUNTIF(Y$11:Y293,Y293)-1),(RANK(Y293,Y$11:Y$368)+COUNTIF(Y$11:Y293,Y293)-1)))</f>
        <v>#N/A</v>
      </c>
      <c r="AA293" s="188" t="str">
        <f>IF(L293="","",VLOOKUP($L293,classifications!C:I,7,FALSE))</f>
        <v/>
      </c>
      <c r="AB293" s="184" t="str">
        <f t="shared" si="110"/>
        <v/>
      </c>
      <c r="AC293" s="184" t="str">
        <f>IF(AB293="","",IF($I$8="A",(RANK(AB293,AB$11:AB$368)+COUNTIF(AB$11:AB293,AB293)-1),(RANK(AB293,AB$11:AB$368,1)+COUNTIF(AB$11:AB293,AB293)-1)))</f>
        <v/>
      </c>
      <c r="AD293" s="184"/>
      <c r="AE293" s="28" t="str">
        <f t="shared" si="119"/>
        <v/>
      </c>
      <c r="AG293" s="96"/>
      <c r="AH293" s="29"/>
      <c r="AI293" s="38" t="str">
        <f>IF(L293="","",VLOOKUP($L293,classifications!$C:$J,8,FALSE))</f>
        <v/>
      </c>
      <c r="AJ293" s="39" t="str">
        <f t="shared" si="103"/>
        <v/>
      </c>
      <c r="AK293" s="34" t="str">
        <f>IF(AJ293="","",IF(I$8="A",(RANK(AJ293,AJ$11:AJ$368,1)+COUNTIF(AJ$11:AJ293,AJ293)-1),(RANK(AJ293,AJ$11:AJ$368)+COUNTIF(AJ$11:AJ293,AJ293)-1)))</f>
        <v/>
      </c>
      <c r="AL293" s="29" t="str">
        <f t="shared" si="111"/>
        <v/>
      </c>
      <c r="AM293" s="8" t="str">
        <f t="shared" si="104"/>
        <v/>
      </c>
      <c r="AN293" s="8" t="str">
        <f t="shared" si="112"/>
        <v/>
      </c>
      <c r="AP293" s="38" t="str">
        <f>IF(L293="","",VLOOKUP($L293,classifications!$C:$E,3,FALSE))</f>
        <v/>
      </c>
      <c r="AQ293" s="39" t="str">
        <f t="shared" si="113"/>
        <v/>
      </c>
      <c r="AR293" s="34" t="str">
        <f>IF(AQ293="","",IF(I$8="A",(RANK(AQ293,AQ$11:AQ$368,1)+COUNTIF(AQ$11:AQ293,AQ293)-1),(RANK(AQ293,AQ$11:AQ$368)+COUNTIF(AQ$11:AQ293,AQ293)-1)))</f>
        <v/>
      </c>
      <c r="AS293" s="29" t="str">
        <f t="shared" si="114"/>
        <v/>
      </c>
      <c r="AT293" s="34" t="str">
        <f t="shared" si="105"/>
        <v/>
      </c>
      <c r="AU293" s="39" t="str">
        <f t="shared" si="118"/>
        <v/>
      </c>
      <c r="AX293" s="21">
        <f>HLOOKUP($AX$9&amp;$AX$10,Data!$A$1:$ZZ$2000,(MATCH($C293,Data!$A$1:$A$2000,0)),FALSE)</f>
        <v>13.005470928067698</v>
      </c>
      <c r="AY293" s="103"/>
      <c r="AZ293" s="21"/>
    </row>
    <row r="294" spans="1:52">
      <c r="A294" s="56" t="str">
        <f>$D$1&amp;284</f>
        <v>SC284</v>
      </c>
      <c r="B294" s="57">
        <f>IF(ISERROR(VLOOKUP(A294,classifications!A:C,3,FALSE)),0,VLOOKUP(A294,classifications!A:C,3,FALSE))</f>
        <v>0</v>
      </c>
      <c r="C294" s="8" t="s">
        <v>154</v>
      </c>
      <c r="D294" s="26" t="str">
        <f>VLOOKUP($C294,classifications!$C:$J,4,FALSE)</f>
        <v>SD</v>
      </c>
      <c r="E294" s="26">
        <f>VLOOKUP(C294,classifications!C:K,9,FALSE)</f>
        <v>0</v>
      </c>
      <c r="F294" s="36">
        <f t="shared" si="97"/>
        <v>9.4539717119367879</v>
      </c>
      <c r="G294" s="71"/>
      <c r="H294" s="37" t="str">
        <f t="shared" si="98"/>
        <v/>
      </c>
      <c r="I294" s="77" t="str">
        <f>IF(H294="","",IF($I$8="A",(RANK(H294,H$11:H$368,1)+COUNTIF(H$11:H294,H294)-1),(RANK(H294,H$11:H$368)+COUNTIF(H$11:H294,H294)-1)))</f>
        <v/>
      </c>
      <c r="J294" s="35"/>
      <c r="K294" s="28" t="str">
        <f t="shared" si="106"/>
        <v/>
      </c>
      <c r="L294" s="36" t="str">
        <f t="shared" si="99"/>
        <v/>
      </c>
      <c r="M294" s="102" t="str">
        <f t="shared" si="107"/>
        <v/>
      </c>
      <c r="N294" s="101" t="str">
        <f t="shared" si="108"/>
        <v/>
      </c>
      <c r="O294" s="94" t="str">
        <f t="shared" si="100"/>
        <v/>
      </c>
      <c r="P294" s="94" t="str">
        <f t="shared" si="115"/>
        <v/>
      </c>
      <c r="Q294" s="94" t="str">
        <f t="shared" si="116"/>
        <v/>
      </c>
      <c r="R294" s="90" t="str">
        <f t="shared" si="117"/>
        <v/>
      </c>
      <c r="S294" s="37" t="str">
        <f t="shared" si="109"/>
        <v/>
      </c>
      <c r="T294" s="176" t="str">
        <f>IF(L294="","",VLOOKUP(L294,classifications!C:K,9,FALSE))</f>
        <v/>
      </c>
      <c r="U294" s="183" t="str">
        <f t="shared" si="101"/>
        <v/>
      </c>
      <c r="V294" s="184" t="str">
        <f>IF(U294="","",IF($I$8="A",(RANK(U294,U$11:U$368)+COUNTIF(U$11:U294,U294)-1),(RANK(U294,U$11:U$368,1)+COUNTIF(U$11:U294,U294)-1)))</f>
        <v/>
      </c>
      <c r="W294" s="185"/>
      <c r="X294" s="38" t="str">
        <f>IF(L294="","",VLOOKUP($L294,classifications!$C:$J,6,FALSE))</f>
        <v/>
      </c>
      <c r="Y294" s="26" t="b">
        <f t="shared" si="102"/>
        <v>0</v>
      </c>
      <c r="Z294" s="34" t="e">
        <f>IF(Y294="","",IF(I$8="A",(RANK(Y294,Y$11:Y$368,1)+COUNTIF(Y$11:Y294,Y294)-1),(RANK(Y294,Y$11:Y$368)+COUNTIF(Y$11:Y294,Y294)-1)))</f>
        <v>#N/A</v>
      </c>
      <c r="AA294" s="188" t="str">
        <f>IF(L294="","",VLOOKUP($L294,classifications!C:I,7,FALSE))</f>
        <v/>
      </c>
      <c r="AB294" s="184" t="str">
        <f t="shared" si="110"/>
        <v/>
      </c>
      <c r="AC294" s="184" t="str">
        <f>IF(AB294="","",IF($I$8="A",(RANK(AB294,AB$11:AB$368)+COUNTIF(AB$11:AB294,AB294)-1),(RANK(AB294,AB$11:AB$368,1)+COUNTIF(AB$11:AB294,AB294)-1)))</f>
        <v/>
      </c>
      <c r="AD294" s="184"/>
      <c r="AE294" s="28" t="str">
        <f t="shared" si="119"/>
        <v/>
      </c>
      <c r="AG294" s="96"/>
      <c r="AH294" s="29"/>
      <c r="AI294" s="38" t="str">
        <f>IF(L294="","",VLOOKUP($L294,classifications!$C:$J,8,FALSE))</f>
        <v/>
      </c>
      <c r="AJ294" s="39" t="str">
        <f t="shared" si="103"/>
        <v/>
      </c>
      <c r="AK294" s="34" t="str">
        <f>IF(AJ294="","",IF(I$8="A",(RANK(AJ294,AJ$11:AJ$368,1)+COUNTIF(AJ$11:AJ294,AJ294)-1),(RANK(AJ294,AJ$11:AJ$368)+COUNTIF(AJ$11:AJ294,AJ294)-1)))</f>
        <v/>
      </c>
      <c r="AL294" s="29" t="str">
        <f t="shared" si="111"/>
        <v/>
      </c>
      <c r="AM294" s="8" t="str">
        <f t="shared" si="104"/>
        <v/>
      </c>
      <c r="AN294" s="8" t="str">
        <f t="shared" si="112"/>
        <v/>
      </c>
      <c r="AP294" s="38" t="str">
        <f>IF(L294="","",VLOOKUP($L294,classifications!$C:$E,3,FALSE))</f>
        <v/>
      </c>
      <c r="AQ294" s="39" t="str">
        <f t="shared" si="113"/>
        <v/>
      </c>
      <c r="AR294" s="34" t="str">
        <f>IF(AQ294="","",IF(I$8="A",(RANK(AQ294,AQ$11:AQ$368,1)+COUNTIF(AQ$11:AQ294,AQ294)-1),(RANK(AQ294,AQ$11:AQ$368)+COUNTIF(AQ$11:AQ294,AQ294)-1)))</f>
        <v/>
      </c>
      <c r="AS294" s="29" t="str">
        <f t="shared" si="114"/>
        <v/>
      </c>
      <c r="AT294" s="34" t="str">
        <f t="shared" si="105"/>
        <v/>
      </c>
      <c r="AU294" s="39" t="str">
        <f t="shared" si="118"/>
        <v/>
      </c>
      <c r="AX294" s="21">
        <f>HLOOKUP($AX$9&amp;$AX$10,Data!$A$1:$ZZ$2000,(MATCH($C294,Data!$A$1:$A$2000,0)),FALSE)</f>
        <v>9.4539717119367879</v>
      </c>
      <c r="AY294" s="103"/>
      <c r="AZ294" s="21"/>
    </row>
    <row r="295" spans="1:52">
      <c r="A295" s="56" t="str">
        <f>$D$1&amp;285</f>
        <v>SC285</v>
      </c>
      <c r="B295" s="57">
        <f>IF(ISERROR(VLOOKUP(A295,classifications!A:C,3,FALSE)),0,VLOOKUP(A295,classifications!A:C,3,FALSE))</f>
        <v>0</v>
      </c>
      <c r="C295" s="8" t="s">
        <v>155</v>
      </c>
      <c r="D295" s="26" t="str">
        <f>VLOOKUP($C295,classifications!$C:$J,4,FALSE)</f>
        <v>SD</v>
      </c>
      <c r="E295" s="26">
        <f>VLOOKUP(C295,classifications!C:K,9,FALSE)</f>
        <v>0</v>
      </c>
      <c r="F295" s="36">
        <f t="shared" si="97"/>
        <v>17.943830152225964</v>
      </c>
      <c r="G295" s="71"/>
      <c r="H295" s="37" t="str">
        <f t="shared" si="98"/>
        <v/>
      </c>
      <c r="I295" s="77" t="str">
        <f>IF(H295="","",IF($I$8="A",(RANK(H295,H$11:H$368,1)+COUNTIF(H$11:H295,H295)-1),(RANK(H295,H$11:H$368)+COUNTIF(H$11:H295,H295)-1)))</f>
        <v/>
      </c>
      <c r="J295" s="35"/>
      <c r="K295" s="28" t="str">
        <f t="shared" si="106"/>
        <v/>
      </c>
      <c r="L295" s="36" t="str">
        <f t="shared" si="99"/>
        <v/>
      </c>
      <c r="M295" s="102" t="str">
        <f t="shared" si="107"/>
        <v/>
      </c>
      <c r="N295" s="101" t="str">
        <f t="shared" si="108"/>
        <v/>
      </c>
      <c r="O295" s="94" t="str">
        <f t="shared" si="100"/>
        <v/>
      </c>
      <c r="P295" s="94" t="str">
        <f t="shared" si="115"/>
        <v/>
      </c>
      <c r="Q295" s="94" t="str">
        <f t="shared" si="116"/>
        <v/>
      </c>
      <c r="R295" s="90" t="str">
        <f t="shared" si="117"/>
        <v/>
      </c>
      <c r="S295" s="37" t="str">
        <f t="shared" si="109"/>
        <v/>
      </c>
      <c r="T295" s="176" t="str">
        <f>IF(L295="","",VLOOKUP(L295,classifications!C:K,9,FALSE))</f>
        <v/>
      </c>
      <c r="U295" s="183" t="str">
        <f t="shared" si="101"/>
        <v/>
      </c>
      <c r="V295" s="184" t="str">
        <f>IF(U295="","",IF($I$8="A",(RANK(U295,U$11:U$368)+COUNTIF(U$11:U295,U295)-1),(RANK(U295,U$11:U$368,1)+COUNTIF(U$11:U295,U295)-1)))</f>
        <v/>
      </c>
      <c r="W295" s="185"/>
      <c r="X295" s="38" t="str">
        <f>IF(L295="","",VLOOKUP($L295,classifications!$C:$J,6,FALSE))</f>
        <v/>
      </c>
      <c r="Y295" s="26" t="b">
        <f t="shared" si="102"/>
        <v>0</v>
      </c>
      <c r="Z295" s="34" t="e">
        <f>IF(Y295="","",IF(I$8="A",(RANK(Y295,Y$11:Y$368,1)+COUNTIF(Y$11:Y295,Y295)-1),(RANK(Y295,Y$11:Y$368)+COUNTIF(Y$11:Y295,Y295)-1)))</f>
        <v>#N/A</v>
      </c>
      <c r="AA295" s="188" t="str">
        <f>IF(L295="","",VLOOKUP($L295,classifications!C:I,7,FALSE))</f>
        <v/>
      </c>
      <c r="AB295" s="184" t="str">
        <f t="shared" si="110"/>
        <v/>
      </c>
      <c r="AC295" s="184" t="str">
        <f>IF(AB295="","",IF($I$8="A",(RANK(AB295,AB$11:AB$368)+COUNTIF(AB$11:AB295,AB295)-1),(RANK(AB295,AB$11:AB$368,1)+COUNTIF(AB$11:AB295,AB295)-1)))</f>
        <v/>
      </c>
      <c r="AD295" s="184"/>
      <c r="AE295" s="28" t="str">
        <f t="shared" si="119"/>
        <v/>
      </c>
      <c r="AG295" s="96"/>
      <c r="AH295" s="29"/>
      <c r="AI295" s="38" t="str">
        <f>IF(L295="","",VLOOKUP($L295,classifications!$C:$J,8,FALSE))</f>
        <v/>
      </c>
      <c r="AJ295" s="39" t="str">
        <f t="shared" si="103"/>
        <v/>
      </c>
      <c r="AK295" s="34" t="str">
        <f>IF(AJ295="","",IF(I$8="A",(RANK(AJ295,AJ$11:AJ$368,1)+COUNTIF(AJ$11:AJ295,AJ295)-1),(RANK(AJ295,AJ$11:AJ$368)+COUNTIF(AJ$11:AJ295,AJ295)-1)))</f>
        <v/>
      </c>
      <c r="AL295" s="29" t="str">
        <f t="shared" si="111"/>
        <v/>
      </c>
      <c r="AM295" s="8" t="str">
        <f t="shared" si="104"/>
        <v/>
      </c>
      <c r="AN295" s="8" t="str">
        <f t="shared" si="112"/>
        <v/>
      </c>
      <c r="AP295" s="38" t="str">
        <f>IF(L295="","",VLOOKUP($L295,classifications!$C:$E,3,FALSE))</f>
        <v/>
      </c>
      <c r="AQ295" s="39" t="str">
        <f t="shared" si="113"/>
        <v/>
      </c>
      <c r="AR295" s="34" t="str">
        <f>IF(AQ295="","",IF(I$8="A",(RANK(AQ295,AQ$11:AQ$368,1)+COUNTIF(AQ$11:AQ295,AQ295)-1),(RANK(AQ295,AQ$11:AQ$368)+COUNTIF(AQ$11:AQ295,AQ295)-1)))</f>
        <v/>
      </c>
      <c r="AS295" s="29" t="str">
        <f t="shared" si="114"/>
        <v/>
      </c>
      <c r="AT295" s="34" t="str">
        <f t="shared" si="105"/>
        <v/>
      </c>
      <c r="AU295" s="39" t="str">
        <f t="shared" si="118"/>
        <v/>
      </c>
      <c r="AX295" s="21">
        <f>HLOOKUP($AX$9&amp;$AX$10,Data!$A$1:$ZZ$2000,(MATCH($C295,Data!$A$1:$A$2000,0)),FALSE)</f>
        <v>17.943830152225964</v>
      </c>
      <c r="AY295" s="103"/>
      <c r="AZ295" s="21"/>
    </row>
    <row r="296" spans="1:52">
      <c r="A296" s="56" t="str">
        <f>$D$1&amp;286</f>
        <v>SC286</v>
      </c>
      <c r="B296" s="57">
        <f>IF(ISERROR(VLOOKUP(A296,classifications!A:C,3,FALSE)),0,VLOOKUP(A296,classifications!A:C,3,FALSE))</f>
        <v>0</v>
      </c>
      <c r="C296" s="8" t="s">
        <v>249</v>
      </c>
      <c r="D296" s="26" t="str">
        <f>VLOOKUP($C296,classifications!$C:$J,4,FALSE)</f>
        <v>MD</v>
      </c>
      <c r="E296" s="26">
        <f>VLOOKUP(C296,classifications!C:K,9,FALSE)</f>
        <v>0</v>
      </c>
      <c r="F296" s="36">
        <f t="shared" si="97"/>
        <v>15.040807772198702</v>
      </c>
      <c r="G296" s="71"/>
      <c r="H296" s="37" t="str">
        <f t="shared" si="98"/>
        <v/>
      </c>
      <c r="I296" s="77" t="str">
        <f>IF(H296="","",IF($I$8="A",(RANK(H296,H$11:H$368,1)+COUNTIF(H$11:H296,H296)-1),(RANK(H296,H$11:H$368)+COUNTIF(H$11:H296,H296)-1)))</f>
        <v/>
      </c>
      <c r="J296" s="35"/>
      <c r="K296" s="28" t="str">
        <f t="shared" si="106"/>
        <v/>
      </c>
      <c r="L296" s="36" t="str">
        <f t="shared" si="99"/>
        <v/>
      </c>
      <c r="M296" s="102" t="str">
        <f t="shared" si="107"/>
        <v/>
      </c>
      <c r="N296" s="101" t="str">
        <f t="shared" si="108"/>
        <v/>
      </c>
      <c r="O296" s="94" t="str">
        <f t="shared" si="100"/>
        <v/>
      </c>
      <c r="P296" s="94" t="str">
        <f t="shared" si="115"/>
        <v/>
      </c>
      <c r="Q296" s="94" t="str">
        <f t="shared" si="116"/>
        <v/>
      </c>
      <c r="R296" s="90" t="str">
        <f t="shared" si="117"/>
        <v/>
      </c>
      <c r="S296" s="37" t="str">
        <f t="shared" si="109"/>
        <v/>
      </c>
      <c r="T296" s="176" t="str">
        <f>IF(L296="","",VLOOKUP(L296,classifications!C:K,9,FALSE))</f>
        <v/>
      </c>
      <c r="U296" s="183" t="str">
        <f t="shared" si="101"/>
        <v/>
      </c>
      <c r="V296" s="184" t="str">
        <f>IF(U296="","",IF($I$8="A",(RANK(U296,U$11:U$368)+COUNTIF(U$11:U296,U296)-1),(RANK(U296,U$11:U$368,1)+COUNTIF(U$11:U296,U296)-1)))</f>
        <v/>
      </c>
      <c r="W296" s="185"/>
      <c r="X296" s="38" t="str">
        <f>IF(L296="","",VLOOKUP($L296,classifications!$C:$J,6,FALSE))</f>
        <v/>
      </c>
      <c r="Y296" s="26" t="b">
        <f t="shared" si="102"/>
        <v>0</v>
      </c>
      <c r="Z296" s="34" t="e">
        <f>IF(Y296="","",IF(I$8="A",(RANK(Y296,Y$11:Y$368,1)+COUNTIF(Y$11:Y296,Y296)-1),(RANK(Y296,Y$11:Y$368)+COUNTIF(Y$11:Y296,Y296)-1)))</f>
        <v>#N/A</v>
      </c>
      <c r="AA296" s="188" t="str">
        <f>IF(L296="","",VLOOKUP($L296,classifications!C:I,7,FALSE))</f>
        <v/>
      </c>
      <c r="AB296" s="184" t="str">
        <f t="shared" si="110"/>
        <v/>
      </c>
      <c r="AC296" s="184" t="str">
        <f>IF(AB296="","",IF($I$8="A",(RANK(AB296,AB$11:AB$368)+COUNTIF(AB$11:AB296,AB296)-1),(RANK(AB296,AB$11:AB$368,1)+COUNTIF(AB$11:AB296,AB296)-1)))</f>
        <v/>
      </c>
      <c r="AD296" s="184"/>
      <c r="AE296" s="28" t="str">
        <f t="shared" si="119"/>
        <v/>
      </c>
      <c r="AG296" s="96"/>
      <c r="AH296" s="29"/>
      <c r="AI296" s="38" t="str">
        <f>IF(L296="","",VLOOKUP($L296,classifications!$C:$J,8,FALSE))</f>
        <v/>
      </c>
      <c r="AJ296" s="39" t="str">
        <f t="shared" si="103"/>
        <v/>
      </c>
      <c r="AK296" s="34" t="str">
        <f>IF(AJ296="","",IF(I$8="A",(RANK(AJ296,AJ$11:AJ$368,1)+COUNTIF(AJ$11:AJ296,AJ296)-1),(RANK(AJ296,AJ$11:AJ$368)+COUNTIF(AJ$11:AJ296,AJ296)-1)))</f>
        <v/>
      </c>
      <c r="AL296" s="29" t="str">
        <f t="shared" si="111"/>
        <v/>
      </c>
      <c r="AM296" s="8" t="str">
        <f t="shared" si="104"/>
        <v/>
      </c>
      <c r="AN296" s="8" t="str">
        <f t="shared" si="112"/>
        <v/>
      </c>
      <c r="AP296" s="38" t="str">
        <f>IF(L296="","",VLOOKUP($L296,classifications!$C:$E,3,FALSE))</f>
        <v/>
      </c>
      <c r="AQ296" s="39" t="str">
        <f t="shared" si="113"/>
        <v/>
      </c>
      <c r="AR296" s="34" t="str">
        <f>IF(AQ296="","",IF(I$8="A",(RANK(AQ296,AQ$11:AQ$368,1)+COUNTIF(AQ$11:AQ296,AQ296)-1),(RANK(AQ296,AQ$11:AQ$368)+COUNTIF(AQ$11:AQ296,AQ296)-1)))</f>
        <v/>
      </c>
      <c r="AS296" s="29" t="str">
        <f t="shared" si="114"/>
        <v/>
      </c>
      <c r="AT296" s="34" t="str">
        <f t="shared" si="105"/>
        <v/>
      </c>
      <c r="AU296" s="39" t="str">
        <f t="shared" si="118"/>
        <v/>
      </c>
      <c r="AX296" s="21">
        <f>HLOOKUP($AX$9&amp;$AX$10,Data!$A$1:$ZZ$2000,(MATCH($C296,Data!$A$1:$A$2000,0)),FALSE)</f>
        <v>15.040807772198702</v>
      </c>
      <c r="AY296" s="103"/>
      <c r="AZ296" s="21"/>
    </row>
    <row r="297" spans="1:52">
      <c r="A297" s="56" t="str">
        <f>$D$1&amp;287</f>
        <v>SC287</v>
      </c>
      <c r="B297" s="57">
        <f>IF(ISERROR(VLOOKUP(A297,classifications!A:C,3,FALSE)),0,VLOOKUP(A297,classifications!A:C,3,FALSE))</f>
        <v>0</v>
      </c>
      <c r="C297" s="8" t="s">
        <v>290</v>
      </c>
      <c r="D297" s="26" t="str">
        <f>VLOOKUP($C297,classifications!$C:$J,4,FALSE)</f>
        <v>UA</v>
      </c>
      <c r="E297" s="26">
        <f>VLOOKUP(C297,classifications!C:K,9,FALSE)</f>
        <v>0</v>
      </c>
      <c r="F297" s="36">
        <f t="shared" si="97"/>
        <v>15.40700811526424</v>
      </c>
      <c r="G297" s="71"/>
      <c r="H297" s="37" t="str">
        <f t="shared" si="98"/>
        <v/>
      </c>
      <c r="I297" s="77" t="str">
        <f>IF(H297="","",IF($I$8="A",(RANK(H297,H$11:H$368,1)+COUNTIF(H$11:H297,H297)-1),(RANK(H297,H$11:H$368)+COUNTIF(H$11:H297,H297)-1)))</f>
        <v/>
      </c>
      <c r="J297" s="35"/>
      <c r="K297" s="28" t="str">
        <f t="shared" si="106"/>
        <v/>
      </c>
      <c r="L297" s="36" t="str">
        <f t="shared" si="99"/>
        <v/>
      </c>
      <c r="M297" s="102" t="str">
        <f t="shared" si="107"/>
        <v/>
      </c>
      <c r="N297" s="101" t="str">
        <f t="shared" si="108"/>
        <v/>
      </c>
      <c r="O297" s="94" t="str">
        <f t="shared" si="100"/>
        <v/>
      </c>
      <c r="P297" s="94" t="str">
        <f t="shared" si="115"/>
        <v/>
      </c>
      <c r="Q297" s="94" t="str">
        <f t="shared" si="116"/>
        <v/>
      </c>
      <c r="R297" s="90" t="str">
        <f t="shared" si="117"/>
        <v/>
      </c>
      <c r="S297" s="37" t="str">
        <f t="shared" si="109"/>
        <v/>
      </c>
      <c r="T297" s="176" t="str">
        <f>IF(L297="","",VLOOKUP(L297,classifications!C:K,9,FALSE))</f>
        <v/>
      </c>
      <c r="U297" s="183" t="str">
        <f t="shared" si="101"/>
        <v/>
      </c>
      <c r="V297" s="184" t="str">
        <f>IF(U297="","",IF($I$8="A",(RANK(U297,U$11:U$368)+COUNTIF(U$11:U297,U297)-1),(RANK(U297,U$11:U$368,1)+COUNTIF(U$11:U297,U297)-1)))</f>
        <v/>
      </c>
      <c r="W297" s="185"/>
      <c r="X297" s="38" t="str">
        <f>IF(L297="","",VLOOKUP($L297,classifications!$C:$J,6,FALSE))</f>
        <v/>
      </c>
      <c r="Y297" s="26" t="b">
        <f t="shared" si="102"/>
        <v>0</v>
      </c>
      <c r="Z297" s="34" t="e">
        <f>IF(Y297="","",IF(I$8="A",(RANK(Y297,Y$11:Y$368,1)+COUNTIF(Y$11:Y297,Y297)-1),(RANK(Y297,Y$11:Y$368)+COUNTIF(Y$11:Y297,Y297)-1)))</f>
        <v>#N/A</v>
      </c>
      <c r="AA297" s="188" t="str">
        <f>IF(L297="","",VLOOKUP($L297,classifications!C:I,7,FALSE))</f>
        <v/>
      </c>
      <c r="AB297" s="184" t="str">
        <f t="shared" si="110"/>
        <v/>
      </c>
      <c r="AC297" s="184" t="str">
        <f>IF(AB297="","",IF($I$8="A",(RANK(AB297,AB$11:AB$368)+COUNTIF(AB$11:AB297,AB297)-1),(RANK(AB297,AB$11:AB$368,1)+COUNTIF(AB$11:AB297,AB297)-1)))</f>
        <v/>
      </c>
      <c r="AD297" s="184"/>
      <c r="AE297" s="28" t="str">
        <f t="shared" si="119"/>
        <v/>
      </c>
      <c r="AG297" s="96"/>
      <c r="AH297" s="29"/>
      <c r="AI297" s="38" t="str">
        <f>IF(L297="","",VLOOKUP($L297,classifications!$C:$J,8,FALSE))</f>
        <v/>
      </c>
      <c r="AJ297" s="39" t="str">
        <f t="shared" si="103"/>
        <v/>
      </c>
      <c r="AK297" s="34" t="str">
        <f>IF(AJ297="","",IF(I$8="A",(RANK(AJ297,AJ$11:AJ$368,1)+COUNTIF(AJ$11:AJ297,AJ297)-1),(RANK(AJ297,AJ$11:AJ$368)+COUNTIF(AJ$11:AJ297,AJ297)-1)))</f>
        <v/>
      </c>
      <c r="AL297" s="29" t="str">
        <f t="shared" si="111"/>
        <v/>
      </c>
      <c r="AM297" s="8" t="str">
        <f t="shared" si="104"/>
        <v/>
      </c>
      <c r="AN297" s="8" t="str">
        <f t="shared" si="112"/>
        <v/>
      </c>
      <c r="AP297" s="38" t="str">
        <f>IF(L297="","",VLOOKUP($L297,classifications!$C:$E,3,FALSE))</f>
        <v/>
      </c>
      <c r="AQ297" s="39" t="str">
        <f t="shared" si="113"/>
        <v/>
      </c>
      <c r="AR297" s="34" t="str">
        <f>IF(AQ297="","",IF(I$8="A",(RANK(AQ297,AQ$11:AQ$368,1)+COUNTIF(AQ$11:AQ297,AQ297)-1),(RANK(AQ297,AQ$11:AQ$368)+COUNTIF(AQ$11:AQ297,AQ297)-1)))</f>
        <v/>
      </c>
      <c r="AS297" s="29" t="str">
        <f t="shared" si="114"/>
        <v/>
      </c>
      <c r="AT297" s="34" t="str">
        <f t="shared" si="105"/>
        <v/>
      </c>
      <c r="AU297" s="39" t="str">
        <f t="shared" si="118"/>
        <v/>
      </c>
      <c r="AX297" s="21">
        <f>HLOOKUP($AX$9&amp;$AX$10,Data!$A$1:$ZZ$2000,(MATCH($C297,Data!$A$1:$A$2000,0)),FALSE)</f>
        <v>15.40700811526424</v>
      </c>
      <c r="AY297" s="103"/>
      <c r="AZ297" s="21"/>
    </row>
    <row r="298" spans="1:52">
      <c r="A298" s="56" t="str">
        <f>$D$1&amp;288</f>
        <v>SC288</v>
      </c>
      <c r="B298" s="57">
        <f>IF(ISERROR(VLOOKUP(A298,classifications!A:C,3,FALSE)),0,VLOOKUP(A298,classifications!A:C,3,FALSE))</f>
        <v>0</v>
      </c>
      <c r="C298" s="8" t="s">
        <v>291</v>
      </c>
      <c r="D298" s="26" t="str">
        <f>VLOOKUP($C298,classifications!$C:$J,4,FALSE)</f>
        <v>UA</v>
      </c>
      <c r="E298" s="26">
        <f>VLOOKUP(C298,classifications!C:K,9,FALSE)</f>
        <v>0</v>
      </c>
      <c r="F298" s="36">
        <f t="shared" si="97"/>
        <v>7.3844827383745137</v>
      </c>
      <c r="G298" s="71"/>
      <c r="H298" s="37" t="str">
        <f t="shared" si="98"/>
        <v/>
      </c>
      <c r="I298" s="77" t="str">
        <f>IF(H298="","",IF($I$8="A",(RANK(H298,H$11:H$368,1)+COUNTIF(H$11:H298,H298)-1),(RANK(H298,H$11:H$368)+COUNTIF(H$11:H298,H298)-1)))</f>
        <v/>
      </c>
      <c r="J298" s="35"/>
      <c r="K298" s="28" t="str">
        <f t="shared" si="106"/>
        <v/>
      </c>
      <c r="L298" s="36" t="str">
        <f t="shared" si="99"/>
        <v/>
      </c>
      <c r="M298" s="102" t="str">
        <f t="shared" si="107"/>
        <v/>
      </c>
      <c r="N298" s="101" t="str">
        <f t="shared" si="108"/>
        <v/>
      </c>
      <c r="O298" s="94" t="str">
        <f t="shared" si="100"/>
        <v/>
      </c>
      <c r="P298" s="94" t="str">
        <f t="shared" si="115"/>
        <v/>
      </c>
      <c r="Q298" s="94" t="str">
        <f t="shared" si="116"/>
        <v/>
      </c>
      <c r="R298" s="90" t="str">
        <f t="shared" si="117"/>
        <v/>
      </c>
      <c r="S298" s="37" t="str">
        <f t="shared" si="109"/>
        <v/>
      </c>
      <c r="T298" s="176" t="str">
        <f>IF(L298="","",VLOOKUP(L298,classifications!C:K,9,FALSE))</f>
        <v/>
      </c>
      <c r="U298" s="183" t="str">
        <f t="shared" si="101"/>
        <v/>
      </c>
      <c r="V298" s="184" t="str">
        <f>IF(U298="","",IF($I$8="A",(RANK(U298,U$11:U$368)+COUNTIF(U$11:U298,U298)-1),(RANK(U298,U$11:U$368,1)+COUNTIF(U$11:U298,U298)-1)))</f>
        <v/>
      </c>
      <c r="W298" s="185"/>
      <c r="X298" s="38" t="str">
        <f>IF(L298="","",VLOOKUP($L298,classifications!$C:$J,6,FALSE))</f>
        <v/>
      </c>
      <c r="Y298" s="26" t="b">
        <f t="shared" si="102"/>
        <v>0</v>
      </c>
      <c r="Z298" s="34" t="e">
        <f>IF(Y298="","",IF(I$8="A",(RANK(Y298,Y$11:Y$368,1)+COUNTIF(Y$11:Y298,Y298)-1),(RANK(Y298,Y$11:Y$368)+COUNTIF(Y$11:Y298,Y298)-1)))</f>
        <v>#N/A</v>
      </c>
      <c r="AA298" s="188" t="str">
        <f>IF(L298="","",VLOOKUP($L298,classifications!C:I,7,FALSE))</f>
        <v/>
      </c>
      <c r="AB298" s="184" t="str">
        <f t="shared" si="110"/>
        <v/>
      </c>
      <c r="AC298" s="184" t="str">
        <f>IF(AB298="","",IF($I$8="A",(RANK(AB298,AB$11:AB$368)+COUNTIF(AB$11:AB298,AB298)-1),(RANK(AB298,AB$11:AB$368,1)+COUNTIF(AB$11:AB298,AB298)-1)))</f>
        <v/>
      </c>
      <c r="AD298" s="184"/>
      <c r="AE298" s="28" t="str">
        <f t="shared" si="119"/>
        <v/>
      </c>
      <c r="AG298" s="96"/>
      <c r="AH298" s="29"/>
      <c r="AI298" s="38" t="str">
        <f>IF(L298="","",VLOOKUP($L298,classifications!$C:$J,8,FALSE))</f>
        <v/>
      </c>
      <c r="AJ298" s="39" t="str">
        <f t="shared" si="103"/>
        <v/>
      </c>
      <c r="AK298" s="34" t="str">
        <f>IF(AJ298="","",IF(I$8="A",(RANK(AJ298,AJ$11:AJ$368,1)+COUNTIF(AJ$11:AJ298,AJ298)-1),(RANK(AJ298,AJ$11:AJ$368)+COUNTIF(AJ$11:AJ298,AJ298)-1)))</f>
        <v/>
      </c>
      <c r="AL298" s="29" t="str">
        <f t="shared" si="111"/>
        <v/>
      </c>
      <c r="AM298" s="8" t="str">
        <f t="shared" si="104"/>
        <v/>
      </c>
      <c r="AN298" s="8" t="str">
        <f t="shared" si="112"/>
        <v/>
      </c>
      <c r="AP298" s="38" t="str">
        <f>IF(L298="","",VLOOKUP($L298,classifications!$C:$E,3,FALSE))</f>
        <v/>
      </c>
      <c r="AQ298" s="39" t="str">
        <f t="shared" si="113"/>
        <v/>
      </c>
      <c r="AR298" s="34" t="str">
        <f>IF(AQ298="","",IF(I$8="A",(RANK(AQ298,AQ$11:AQ$368,1)+COUNTIF(AQ$11:AQ298,AQ298)-1),(RANK(AQ298,AQ$11:AQ$368)+COUNTIF(AQ$11:AQ298,AQ298)-1)))</f>
        <v/>
      </c>
      <c r="AS298" s="29" t="str">
        <f t="shared" si="114"/>
        <v/>
      </c>
      <c r="AT298" s="34" t="str">
        <f t="shared" si="105"/>
        <v/>
      </c>
      <c r="AU298" s="39" t="str">
        <f t="shared" si="118"/>
        <v/>
      </c>
      <c r="AX298" s="21">
        <f>HLOOKUP($AX$9&amp;$AX$10,Data!$A$1:$ZZ$2000,(MATCH($C298,Data!$A$1:$A$2000,0)),FALSE)</f>
        <v>7.3844827383745137</v>
      </c>
      <c r="AY298" s="103"/>
      <c r="AZ298" s="21"/>
    </row>
    <row r="299" spans="1:52">
      <c r="A299" s="56" t="str">
        <f>$D$1&amp;289</f>
        <v>SC289</v>
      </c>
      <c r="B299" s="57">
        <f>IF(ISERROR(VLOOKUP(A299,classifications!A:C,3,FALSE)),0,VLOOKUP(A299,classifications!A:C,3,FALSE))</f>
        <v>0</v>
      </c>
      <c r="C299" s="8" t="s">
        <v>156</v>
      </c>
      <c r="D299" s="26" t="str">
        <f>VLOOKUP($C299,classifications!$C:$J,4,FALSE)</f>
        <v>SD</v>
      </c>
      <c r="E299" s="26" t="str">
        <f>VLOOKUP(C299,classifications!C:K,9,FALSE)</f>
        <v>Sparse</v>
      </c>
      <c r="F299" s="36">
        <f t="shared" si="97"/>
        <v>18.578261442720144</v>
      </c>
      <c r="G299" s="71"/>
      <c r="H299" s="37" t="str">
        <f t="shared" si="98"/>
        <v/>
      </c>
      <c r="I299" s="77" t="str">
        <f>IF(H299="","",IF($I$8="A",(RANK(H299,H$11:H$368,1)+COUNTIF(H$11:H299,H299)-1),(RANK(H299,H$11:H$368)+COUNTIF(H$11:H299,H299)-1)))</f>
        <v/>
      </c>
      <c r="J299" s="35"/>
      <c r="K299" s="28" t="str">
        <f t="shared" si="106"/>
        <v/>
      </c>
      <c r="L299" s="36" t="str">
        <f t="shared" si="99"/>
        <v/>
      </c>
      <c r="M299" s="102" t="str">
        <f t="shared" si="107"/>
        <v/>
      </c>
      <c r="N299" s="101" t="str">
        <f t="shared" si="108"/>
        <v/>
      </c>
      <c r="O299" s="94" t="str">
        <f t="shared" si="100"/>
        <v/>
      </c>
      <c r="P299" s="94" t="str">
        <f t="shared" si="115"/>
        <v/>
      </c>
      <c r="Q299" s="94" t="str">
        <f t="shared" si="116"/>
        <v/>
      </c>
      <c r="R299" s="90" t="str">
        <f t="shared" si="117"/>
        <v/>
      </c>
      <c r="S299" s="37" t="str">
        <f t="shared" si="109"/>
        <v/>
      </c>
      <c r="T299" s="176" t="str">
        <f>IF(L299="","",VLOOKUP(L299,classifications!C:K,9,FALSE))</f>
        <v/>
      </c>
      <c r="U299" s="183" t="str">
        <f t="shared" si="101"/>
        <v/>
      </c>
      <c r="V299" s="184" t="str">
        <f>IF(U299="","",IF($I$8="A",(RANK(U299,U$11:U$368)+COUNTIF(U$11:U299,U299)-1),(RANK(U299,U$11:U$368,1)+COUNTIF(U$11:U299,U299)-1)))</f>
        <v/>
      </c>
      <c r="W299" s="185"/>
      <c r="X299" s="38" t="str">
        <f>IF(L299="","",VLOOKUP($L299,classifications!$C:$J,6,FALSE))</f>
        <v/>
      </c>
      <c r="Y299" s="26" t="b">
        <f t="shared" si="102"/>
        <v>0</v>
      </c>
      <c r="Z299" s="34" t="e">
        <f>IF(Y299="","",IF(I$8="A",(RANK(Y299,Y$11:Y$368,1)+COUNTIF(Y$11:Y299,Y299)-1),(RANK(Y299,Y$11:Y$368)+COUNTIF(Y$11:Y299,Y299)-1)))</f>
        <v>#N/A</v>
      </c>
      <c r="AA299" s="188" t="str">
        <f>IF(L299="","",VLOOKUP($L299,classifications!C:I,7,FALSE))</f>
        <v/>
      </c>
      <c r="AB299" s="184" t="str">
        <f t="shared" si="110"/>
        <v/>
      </c>
      <c r="AC299" s="184" t="str">
        <f>IF(AB299="","",IF($I$8="A",(RANK(AB299,AB$11:AB$368)+COUNTIF(AB$11:AB299,AB299)-1),(RANK(AB299,AB$11:AB$368,1)+COUNTIF(AB$11:AB299,AB299)-1)))</f>
        <v/>
      </c>
      <c r="AD299" s="184"/>
      <c r="AE299" s="28" t="str">
        <f t="shared" si="119"/>
        <v/>
      </c>
      <c r="AG299" s="96"/>
      <c r="AH299" s="29"/>
      <c r="AI299" s="38" t="str">
        <f>IF(L299="","",VLOOKUP($L299,classifications!$C:$J,8,FALSE))</f>
        <v/>
      </c>
      <c r="AJ299" s="39" t="str">
        <f t="shared" si="103"/>
        <v/>
      </c>
      <c r="AK299" s="34" t="str">
        <f>IF(AJ299="","",IF(I$8="A",(RANK(AJ299,AJ$11:AJ$368,1)+COUNTIF(AJ$11:AJ299,AJ299)-1),(RANK(AJ299,AJ$11:AJ$368)+COUNTIF(AJ$11:AJ299,AJ299)-1)))</f>
        <v/>
      </c>
      <c r="AL299" s="29" t="str">
        <f t="shared" si="111"/>
        <v/>
      </c>
      <c r="AM299" s="8" t="str">
        <f t="shared" si="104"/>
        <v/>
      </c>
      <c r="AN299" s="8" t="str">
        <f t="shared" si="112"/>
        <v/>
      </c>
      <c r="AP299" s="38" t="str">
        <f>IF(L299="","",VLOOKUP($L299,classifications!$C:$E,3,FALSE))</f>
        <v/>
      </c>
      <c r="AQ299" s="39" t="str">
        <f t="shared" si="113"/>
        <v/>
      </c>
      <c r="AR299" s="34" t="str">
        <f>IF(AQ299="","",IF(I$8="A",(RANK(AQ299,AQ$11:AQ$368,1)+COUNTIF(AQ$11:AQ299,AQ299)-1),(RANK(AQ299,AQ$11:AQ$368)+COUNTIF(AQ$11:AQ299,AQ299)-1)))</f>
        <v/>
      </c>
      <c r="AS299" s="29" t="str">
        <f t="shared" si="114"/>
        <v/>
      </c>
      <c r="AT299" s="34" t="str">
        <f t="shared" si="105"/>
        <v/>
      </c>
      <c r="AU299" s="39" t="str">
        <f t="shared" si="118"/>
        <v/>
      </c>
      <c r="AX299" s="21">
        <f>HLOOKUP($AX$9&amp;$AX$10,Data!$A$1:$ZZ$2000,(MATCH($C299,Data!$A$1:$A$2000,0)),FALSE)</f>
        <v>18.578261442720144</v>
      </c>
      <c r="AY299" s="103"/>
      <c r="AZ299" s="21"/>
    </row>
    <row r="300" spans="1:52">
      <c r="A300" s="56" t="str">
        <f>$D$1&amp;290</f>
        <v>SC290</v>
      </c>
      <c r="B300" s="57">
        <f>IF(ISERROR(VLOOKUP(A300,classifications!A:C,3,FALSE)),0,VLOOKUP(A300,classifications!A:C,3,FALSE))</f>
        <v>0</v>
      </c>
      <c r="C300" s="8" t="s">
        <v>157</v>
      </c>
      <c r="D300" s="26" t="str">
        <f>VLOOKUP($C300,classifications!$C:$J,4,FALSE)</f>
        <v>SD</v>
      </c>
      <c r="E300" s="26" t="str">
        <f>VLOOKUP(C300,classifications!C:K,9,FALSE)</f>
        <v>Sparse</v>
      </c>
      <c r="F300" s="36">
        <f t="shared" si="97"/>
        <v>17.012967770005989</v>
      </c>
      <c r="G300" s="71"/>
      <c r="H300" s="37" t="str">
        <f t="shared" si="98"/>
        <v/>
      </c>
      <c r="I300" s="77" t="str">
        <f>IF(H300="","",IF($I$8="A",(RANK(H300,H$11:H$368,1)+COUNTIF(H$11:H300,H300)-1),(RANK(H300,H$11:H$368)+COUNTIF(H$11:H300,H300)-1)))</f>
        <v/>
      </c>
      <c r="J300" s="35"/>
      <c r="K300" s="28" t="str">
        <f t="shared" si="106"/>
        <v/>
      </c>
      <c r="L300" s="36" t="str">
        <f t="shared" si="99"/>
        <v/>
      </c>
      <c r="M300" s="102" t="str">
        <f t="shared" si="107"/>
        <v/>
      </c>
      <c r="N300" s="101" t="str">
        <f t="shared" si="108"/>
        <v/>
      </c>
      <c r="O300" s="94" t="str">
        <f t="shared" si="100"/>
        <v/>
      </c>
      <c r="P300" s="94" t="str">
        <f t="shared" si="115"/>
        <v/>
      </c>
      <c r="Q300" s="94" t="str">
        <f t="shared" si="116"/>
        <v/>
      </c>
      <c r="R300" s="90" t="str">
        <f t="shared" si="117"/>
        <v/>
      </c>
      <c r="S300" s="37" t="str">
        <f t="shared" si="109"/>
        <v/>
      </c>
      <c r="T300" s="176" t="str">
        <f>IF(L300="","",VLOOKUP(L300,classifications!C:K,9,FALSE))</f>
        <v/>
      </c>
      <c r="U300" s="183" t="str">
        <f t="shared" si="101"/>
        <v/>
      </c>
      <c r="V300" s="184" t="str">
        <f>IF(U300="","",IF($I$8="A",(RANK(U300,U$11:U$368)+COUNTIF(U$11:U300,U300)-1),(RANK(U300,U$11:U$368,1)+COUNTIF(U$11:U300,U300)-1)))</f>
        <v/>
      </c>
      <c r="W300" s="185"/>
      <c r="X300" s="38" t="str">
        <f>IF(L300="","",VLOOKUP($L300,classifications!$C:$J,6,FALSE))</f>
        <v/>
      </c>
      <c r="Y300" s="26" t="b">
        <f t="shared" si="102"/>
        <v>0</v>
      </c>
      <c r="Z300" s="34" t="e">
        <f>IF(Y300="","",IF(I$8="A",(RANK(Y300,Y$11:Y$368,1)+COUNTIF(Y$11:Y300,Y300)-1),(RANK(Y300,Y$11:Y$368)+COUNTIF(Y$11:Y300,Y300)-1)))</f>
        <v>#N/A</v>
      </c>
      <c r="AA300" s="188" t="str">
        <f>IF(L300="","",VLOOKUP($L300,classifications!C:I,7,FALSE))</f>
        <v/>
      </c>
      <c r="AB300" s="184" t="str">
        <f t="shared" si="110"/>
        <v/>
      </c>
      <c r="AC300" s="184" t="str">
        <f>IF(AB300="","",IF($I$8="A",(RANK(AB300,AB$11:AB$368)+COUNTIF(AB$11:AB300,AB300)-1),(RANK(AB300,AB$11:AB$368,1)+COUNTIF(AB$11:AB300,AB300)-1)))</f>
        <v/>
      </c>
      <c r="AD300" s="184"/>
      <c r="AE300" s="28" t="str">
        <f t="shared" si="119"/>
        <v/>
      </c>
      <c r="AG300" s="96"/>
      <c r="AH300" s="29"/>
      <c r="AI300" s="38" t="str">
        <f>IF(L300="","",VLOOKUP($L300,classifications!$C:$J,8,FALSE))</f>
        <v/>
      </c>
      <c r="AJ300" s="39" t="str">
        <f t="shared" si="103"/>
        <v/>
      </c>
      <c r="AK300" s="34" t="str">
        <f>IF(AJ300="","",IF(I$8="A",(RANK(AJ300,AJ$11:AJ$368,1)+COUNTIF(AJ$11:AJ300,AJ300)-1),(RANK(AJ300,AJ$11:AJ$368)+COUNTIF(AJ$11:AJ300,AJ300)-1)))</f>
        <v/>
      </c>
      <c r="AL300" s="29" t="str">
        <f t="shared" si="111"/>
        <v/>
      </c>
      <c r="AM300" s="8" t="str">
        <f t="shared" si="104"/>
        <v/>
      </c>
      <c r="AN300" s="8" t="str">
        <f t="shared" si="112"/>
        <v/>
      </c>
      <c r="AP300" s="38" t="str">
        <f>IF(L300="","",VLOOKUP($L300,classifications!$C:$E,3,FALSE))</f>
        <v/>
      </c>
      <c r="AQ300" s="39" t="str">
        <f t="shared" si="113"/>
        <v/>
      </c>
      <c r="AR300" s="34" t="str">
        <f>IF(AQ300="","",IF(I$8="A",(RANK(AQ300,AQ$11:AQ$368,1)+COUNTIF(AQ$11:AQ300,AQ300)-1),(RANK(AQ300,AQ$11:AQ$368)+COUNTIF(AQ$11:AQ300,AQ300)-1)))</f>
        <v/>
      </c>
      <c r="AS300" s="29" t="str">
        <f t="shared" si="114"/>
        <v/>
      </c>
      <c r="AT300" s="34" t="str">
        <f t="shared" si="105"/>
        <v/>
      </c>
      <c r="AU300" s="39" t="str">
        <f t="shared" si="118"/>
        <v/>
      </c>
      <c r="AX300" s="21">
        <f>HLOOKUP($AX$9&amp;$AX$10,Data!$A$1:$ZZ$2000,(MATCH($C300,Data!$A$1:$A$2000,0)),FALSE)</f>
        <v>17.012967770005989</v>
      </c>
      <c r="AY300" s="103"/>
      <c r="AZ300" s="21"/>
    </row>
    <row r="301" spans="1:52">
      <c r="A301" s="56" t="str">
        <f>$D$1&amp;291</f>
        <v>SC291</v>
      </c>
      <c r="B301" s="57">
        <f>IF(ISERROR(VLOOKUP(A301,classifications!A:C,3,FALSE)),0,VLOOKUP(A301,classifications!A:C,3,FALSE))</f>
        <v>0</v>
      </c>
      <c r="C301" s="8" t="s">
        <v>328</v>
      </c>
      <c r="D301" s="26" t="str">
        <f>VLOOKUP($C301,classifications!$C:$J,4,FALSE)</f>
        <v>SC</v>
      </c>
      <c r="E301" s="26" t="str">
        <f>VLOOKUP(C301,classifications!C:K,9,FALSE)</f>
        <v>Sparse</v>
      </c>
      <c r="F301" s="36">
        <f t="shared" si="97"/>
        <v>19.764917133210222</v>
      </c>
      <c r="G301" s="71"/>
      <c r="H301" s="37">
        <f t="shared" si="98"/>
        <v>19.764917133210222</v>
      </c>
      <c r="I301" s="77">
        <f>IF(H301="","",IF($I$8="A",(RANK(H301,H$11:H$368,1)+COUNTIF(H$11:H301,H301)-1),(RANK(H301,H$11:H$368)+COUNTIF(H$11:H301,H301)-1)))</f>
        <v>6</v>
      </c>
      <c r="J301" s="35"/>
      <c r="K301" s="28" t="str">
        <f t="shared" si="106"/>
        <v/>
      </c>
      <c r="L301" s="36" t="str">
        <f t="shared" si="99"/>
        <v/>
      </c>
      <c r="M301" s="102" t="str">
        <f t="shared" si="107"/>
        <v/>
      </c>
      <c r="N301" s="101" t="str">
        <f t="shared" si="108"/>
        <v/>
      </c>
      <c r="O301" s="94" t="str">
        <f t="shared" si="100"/>
        <v/>
      </c>
      <c r="P301" s="94" t="str">
        <f t="shared" si="115"/>
        <v/>
      </c>
      <c r="Q301" s="94" t="str">
        <f t="shared" si="116"/>
        <v/>
      </c>
      <c r="R301" s="90" t="str">
        <f t="shared" si="117"/>
        <v/>
      </c>
      <c r="S301" s="37" t="str">
        <f t="shared" si="109"/>
        <v/>
      </c>
      <c r="T301" s="176" t="str">
        <f>IF(L301="","",VLOOKUP(L301,classifications!C:K,9,FALSE))</f>
        <v/>
      </c>
      <c r="U301" s="183" t="str">
        <f t="shared" si="101"/>
        <v/>
      </c>
      <c r="V301" s="184" t="str">
        <f>IF(U301="","",IF($I$8="A",(RANK(U301,U$11:U$368)+COUNTIF(U$11:U301,U301)-1),(RANK(U301,U$11:U$368,1)+COUNTIF(U$11:U301,U301)-1)))</f>
        <v/>
      </c>
      <c r="W301" s="185"/>
      <c r="X301" s="38" t="str">
        <f>IF(L301="","",VLOOKUP($L301,classifications!$C:$J,6,FALSE))</f>
        <v/>
      </c>
      <c r="Y301" s="26" t="b">
        <f t="shared" si="102"/>
        <v>0</v>
      </c>
      <c r="Z301" s="34" t="e">
        <f>IF(Y301="","",IF(I$8="A",(RANK(Y301,Y$11:Y$368,1)+COUNTIF(Y$11:Y301,Y301)-1),(RANK(Y301,Y$11:Y$368)+COUNTIF(Y$11:Y301,Y301)-1)))</f>
        <v>#N/A</v>
      </c>
      <c r="AA301" s="188" t="str">
        <f>IF(L301="","",VLOOKUP($L301,classifications!C:I,7,FALSE))</f>
        <v/>
      </c>
      <c r="AB301" s="184" t="str">
        <f t="shared" si="110"/>
        <v/>
      </c>
      <c r="AC301" s="184" t="str">
        <f>IF(AB301="","",IF($I$8="A",(RANK(AB301,AB$11:AB$368)+COUNTIF(AB$11:AB301,AB301)-1),(RANK(AB301,AB$11:AB$368,1)+COUNTIF(AB$11:AB301,AB301)-1)))</f>
        <v/>
      </c>
      <c r="AD301" s="184"/>
      <c r="AE301" s="28" t="str">
        <f t="shared" si="119"/>
        <v/>
      </c>
      <c r="AG301" s="96"/>
      <c r="AH301" s="29"/>
      <c r="AI301" s="38" t="str">
        <f>IF(L301="","",VLOOKUP($L301,classifications!$C:$J,8,FALSE))</f>
        <v/>
      </c>
      <c r="AJ301" s="39" t="str">
        <f t="shared" si="103"/>
        <v/>
      </c>
      <c r="AK301" s="34" t="str">
        <f>IF(AJ301="","",IF(I$8="A",(RANK(AJ301,AJ$11:AJ$368,1)+COUNTIF(AJ$11:AJ301,AJ301)-1),(RANK(AJ301,AJ$11:AJ$368)+COUNTIF(AJ$11:AJ301,AJ301)-1)))</f>
        <v/>
      </c>
      <c r="AL301" s="29" t="str">
        <f t="shared" si="111"/>
        <v/>
      </c>
      <c r="AM301" s="8" t="str">
        <f t="shared" si="104"/>
        <v/>
      </c>
      <c r="AN301" s="8" t="str">
        <f t="shared" si="112"/>
        <v/>
      </c>
      <c r="AP301" s="38" t="str">
        <f>IF(L301="","",VLOOKUP($L301,classifications!$C:$E,3,FALSE))</f>
        <v/>
      </c>
      <c r="AQ301" s="39" t="str">
        <f t="shared" si="113"/>
        <v/>
      </c>
      <c r="AR301" s="34" t="str">
        <f>IF(AQ301="","",IF(I$8="A",(RANK(AQ301,AQ$11:AQ$368,1)+COUNTIF(AQ$11:AQ301,AQ301)-1),(RANK(AQ301,AQ$11:AQ$368)+COUNTIF(AQ$11:AQ301,AQ301)-1)))</f>
        <v/>
      </c>
      <c r="AS301" s="29" t="str">
        <f t="shared" si="114"/>
        <v/>
      </c>
      <c r="AT301" s="34" t="str">
        <f t="shared" si="105"/>
        <v/>
      </c>
      <c r="AU301" s="39" t="str">
        <f t="shared" si="118"/>
        <v/>
      </c>
      <c r="AX301" s="21">
        <f>HLOOKUP($AX$9&amp;$AX$10,Data!$A$1:$ZZ$2000,(MATCH($C301,Data!$A$1:$A$2000,0)),FALSE)</f>
        <v>19.764917133210222</v>
      </c>
      <c r="AY301" s="103"/>
      <c r="AZ301" s="21"/>
    </row>
    <row r="302" spans="1:52">
      <c r="A302" s="56" t="str">
        <f>$D$1&amp;292</f>
        <v>SC292</v>
      </c>
      <c r="B302" s="57">
        <f>IF(ISERROR(VLOOKUP(A302,classifications!A:C,3,FALSE)),0,VLOOKUP(A302,classifications!A:C,3,FALSE))</f>
        <v>0</v>
      </c>
      <c r="C302" s="8" t="s">
        <v>158</v>
      </c>
      <c r="D302" s="26" t="str">
        <f>VLOOKUP($C302,classifications!$C:$J,4,FALSE)</f>
        <v>SD</v>
      </c>
      <c r="E302" s="26" t="str">
        <f>VLOOKUP(C302,classifications!C:K,9,FALSE)</f>
        <v>Sparse</v>
      </c>
      <c r="F302" s="36">
        <f t="shared" si="97"/>
        <v>0</v>
      </c>
      <c r="G302" s="71"/>
      <c r="H302" s="37" t="str">
        <f t="shared" si="98"/>
        <v/>
      </c>
      <c r="I302" s="77" t="str">
        <f>IF(H302="","",IF($I$8="A",(RANK(H302,H$11:H$368,1)+COUNTIF(H$11:H302,H302)-1),(RANK(H302,H$11:H$368)+COUNTIF(H$11:H302,H302)-1)))</f>
        <v/>
      </c>
      <c r="J302" s="35"/>
      <c r="K302" s="28" t="str">
        <f t="shared" si="106"/>
        <v/>
      </c>
      <c r="L302" s="36" t="str">
        <f t="shared" si="99"/>
        <v/>
      </c>
      <c r="M302" s="102" t="str">
        <f t="shared" si="107"/>
        <v/>
      </c>
      <c r="N302" s="101" t="str">
        <f t="shared" si="108"/>
        <v/>
      </c>
      <c r="O302" s="94" t="str">
        <f t="shared" si="100"/>
        <v/>
      </c>
      <c r="P302" s="94" t="str">
        <f t="shared" si="115"/>
        <v/>
      </c>
      <c r="Q302" s="94" t="str">
        <f t="shared" si="116"/>
        <v/>
      </c>
      <c r="R302" s="90" t="str">
        <f t="shared" si="117"/>
        <v/>
      </c>
      <c r="S302" s="37" t="str">
        <f t="shared" si="109"/>
        <v/>
      </c>
      <c r="T302" s="176" t="str">
        <f>IF(L302="","",VLOOKUP(L302,classifications!C:K,9,FALSE))</f>
        <v/>
      </c>
      <c r="U302" s="183" t="str">
        <f t="shared" si="101"/>
        <v/>
      </c>
      <c r="V302" s="184" t="str">
        <f>IF(U302="","",IF($I$8="A",(RANK(U302,U$11:U$368)+COUNTIF(U$11:U302,U302)-1),(RANK(U302,U$11:U$368,1)+COUNTIF(U$11:U302,U302)-1)))</f>
        <v/>
      </c>
      <c r="W302" s="185"/>
      <c r="X302" s="38" t="str">
        <f>IF(L302="","",VLOOKUP($L302,classifications!$C:$J,6,FALSE))</f>
        <v/>
      </c>
      <c r="Y302" s="26" t="b">
        <f t="shared" si="102"/>
        <v>0</v>
      </c>
      <c r="Z302" s="34" t="e">
        <f>IF(Y302="","",IF(I$8="A",(RANK(Y302,Y$11:Y$368,1)+COUNTIF(Y$11:Y302,Y302)-1),(RANK(Y302,Y$11:Y$368)+COUNTIF(Y$11:Y302,Y302)-1)))</f>
        <v>#N/A</v>
      </c>
      <c r="AA302" s="188" t="str">
        <f>IF(L302="","",VLOOKUP($L302,classifications!C:I,7,FALSE))</f>
        <v/>
      </c>
      <c r="AB302" s="184" t="str">
        <f t="shared" si="110"/>
        <v/>
      </c>
      <c r="AC302" s="184" t="str">
        <f>IF(AB302="","",IF($I$8="A",(RANK(AB302,AB$11:AB$368)+COUNTIF(AB$11:AB302,AB302)-1),(RANK(AB302,AB$11:AB$368,1)+COUNTIF(AB$11:AB302,AB302)-1)))</f>
        <v/>
      </c>
      <c r="AD302" s="184"/>
      <c r="AE302" s="28" t="str">
        <f t="shared" si="119"/>
        <v/>
      </c>
      <c r="AG302" s="96"/>
      <c r="AH302" s="29"/>
      <c r="AI302" s="38" t="str">
        <f>IF(L302="","",VLOOKUP($L302,classifications!$C:$J,8,FALSE))</f>
        <v/>
      </c>
      <c r="AJ302" s="39" t="str">
        <f t="shared" si="103"/>
        <v/>
      </c>
      <c r="AK302" s="34" t="str">
        <f>IF(AJ302="","",IF(I$8="A",(RANK(AJ302,AJ$11:AJ$368,1)+COUNTIF(AJ$11:AJ302,AJ302)-1),(RANK(AJ302,AJ$11:AJ$368)+COUNTIF(AJ$11:AJ302,AJ302)-1)))</f>
        <v/>
      </c>
      <c r="AL302" s="29" t="str">
        <f t="shared" si="111"/>
        <v/>
      </c>
      <c r="AM302" s="8" t="str">
        <f t="shared" si="104"/>
        <v/>
      </c>
      <c r="AN302" s="8" t="str">
        <f t="shared" si="112"/>
        <v/>
      </c>
      <c r="AP302" s="38" t="str">
        <f>IF(L302="","",VLOOKUP($L302,classifications!$C:$E,3,FALSE))</f>
        <v/>
      </c>
      <c r="AQ302" s="39" t="str">
        <f t="shared" si="113"/>
        <v/>
      </c>
      <c r="AR302" s="34" t="str">
        <f>IF(AQ302="","",IF(I$8="A",(RANK(AQ302,AQ$11:AQ$368,1)+COUNTIF(AQ$11:AQ302,AQ302)-1),(RANK(AQ302,AQ$11:AQ$368)+COUNTIF(AQ$11:AQ302,AQ302)-1)))</f>
        <v/>
      </c>
      <c r="AS302" s="29" t="str">
        <f t="shared" si="114"/>
        <v/>
      </c>
      <c r="AT302" s="34" t="str">
        <f t="shared" si="105"/>
        <v/>
      </c>
      <c r="AU302" s="39" t="str">
        <f t="shared" si="118"/>
        <v/>
      </c>
      <c r="AX302" s="21">
        <f>HLOOKUP($AX$9&amp;$AX$10,Data!$A$1:$ZZ$2000,(MATCH($C302,Data!$A$1:$A$2000,0)),FALSE)</f>
        <v>0</v>
      </c>
      <c r="AY302" s="103"/>
      <c r="AZ302" s="21"/>
    </row>
    <row r="303" spans="1:52">
      <c r="A303" s="56" t="str">
        <f>$D$1&amp;293</f>
        <v>SC293</v>
      </c>
      <c r="B303" s="57">
        <f>IF(ISERROR(VLOOKUP(A303,classifications!A:C,3,FALSE)),0,VLOOKUP(A303,classifications!A:C,3,FALSE))</f>
        <v>0</v>
      </c>
      <c r="C303" s="8" t="s">
        <v>250</v>
      </c>
      <c r="D303" s="26" t="str">
        <f>VLOOKUP($C303,classifications!$C:$J,4,FALSE)</f>
        <v>MD</v>
      </c>
      <c r="E303" s="26">
        <f>VLOOKUP(C303,classifications!C:K,9,FALSE)</f>
        <v>0</v>
      </c>
      <c r="F303" s="36">
        <f t="shared" si="97"/>
        <v>9.3041534312813567</v>
      </c>
      <c r="G303" s="71"/>
      <c r="H303" s="37" t="str">
        <f t="shared" si="98"/>
        <v/>
      </c>
      <c r="I303" s="77" t="str">
        <f>IF(H303="","",IF($I$8="A",(RANK(H303,H$11:H$368,1)+COUNTIF(H$11:H303,H303)-1),(RANK(H303,H$11:H$368)+COUNTIF(H$11:H303,H303)-1)))</f>
        <v/>
      </c>
      <c r="J303" s="35"/>
      <c r="K303" s="28" t="str">
        <f t="shared" si="106"/>
        <v/>
      </c>
      <c r="L303" s="36" t="str">
        <f t="shared" si="99"/>
        <v/>
      </c>
      <c r="M303" s="102" t="str">
        <f t="shared" si="107"/>
        <v/>
      </c>
      <c r="N303" s="101" t="str">
        <f t="shared" si="108"/>
        <v/>
      </c>
      <c r="O303" s="94" t="str">
        <f t="shared" si="100"/>
        <v/>
      </c>
      <c r="P303" s="94" t="str">
        <f t="shared" si="115"/>
        <v/>
      </c>
      <c r="Q303" s="94" t="str">
        <f t="shared" si="116"/>
        <v/>
      </c>
      <c r="R303" s="90" t="str">
        <f t="shared" si="117"/>
        <v/>
      </c>
      <c r="S303" s="37" t="str">
        <f t="shared" si="109"/>
        <v/>
      </c>
      <c r="T303" s="176" t="str">
        <f>IF(L303="","",VLOOKUP(L303,classifications!C:K,9,FALSE))</f>
        <v/>
      </c>
      <c r="U303" s="183" t="str">
        <f t="shared" si="101"/>
        <v/>
      </c>
      <c r="V303" s="184" t="str">
        <f>IF(U303="","",IF($I$8="A",(RANK(U303,U$11:U$368)+COUNTIF(U$11:U303,U303)-1),(RANK(U303,U$11:U$368,1)+COUNTIF(U$11:U303,U303)-1)))</f>
        <v/>
      </c>
      <c r="W303" s="185"/>
      <c r="X303" s="38" t="str">
        <f>IF(L303="","",VLOOKUP($L303,classifications!$C:$J,6,FALSE))</f>
        <v/>
      </c>
      <c r="Y303" s="26" t="b">
        <f t="shared" si="102"/>
        <v>0</v>
      </c>
      <c r="Z303" s="34" t="e">
        <f>IF(Y303="","",IF(I$8="A",(RANK(Y303,Y$11:Y$368,1)+COUNTIF(Y$11:Y303,Y303)-1),(RANK(Y303,Y$11:Y$368)+COUNTIF(Y$11:Y303,Y303)-1)))</f>
        <v>#N/A</v>
      </c>
      <c r="AA303" s="188" t="str">
        <f>IF(L303="","",VLOOKUP($L303,classifications!C:I,7,FALSE))</f>
        <v/>
      </c>
      <c r="AB303" s="184" t="str">
        <f t="shared" si="110"/>
        <v/>
      </c>
      <c r="AC303" s="184" t="str">
        <f>IF(AB303="","",IF($I$8="A",(RANK(AB303,AB$11:AB$368)+COUNTIF(AB$11:AB303,AB303)-1),(RANK(AB303,AB$11:AB$368,1)+COUNTIF(AB$11:AB303,AB303)-1)))</f>
        <v/>
      </c>
      <c r="AD303" s="184"/>
      <c r="AE303" s="28" t="str">
        <f t="shared" si="119"/>
        <v/>
      </c>
      <c r="AG303" s="96"/>
      <c r="AH303" s="29"/>
      <c r="AI303" s="38" t="str">
        <f>IF(L303="","",VLOOKUP($L303,classifications!$C:$J,8,FALSE))</f>
        <v/>
      </c>
      <c r="AJ303" s="39" t="str">
        <f t="shared" si="103"/>
        <v/>
      </c>
      <c r="AK303" s="34" t="str">
        <f>IF(AJ303="","",IF(I$8="A",(RANK(AJ303,AJ$11:AJ$368,1)+COUNTIF(AJ$11:AJ303,AJ303)-1),(RANK(AJ303,AJ$11:AJ$368)+COUNTIF(AJ$11:AJ303,AJ303)-1)))</f>
        <v/>
      </c>
      <c r="AL303" s="29" t="str">
        <f t="shared" si="111"/>
        <v/>
      </c>
      <c r="AM303" s="8" t="str">
        <f t="shared" si="104"/>
        <v/>
      </c>
      <c r="AN303" s="8" t="str">
        <f t="shared" si="112"/>
        <v/>
      </c>
      <c r="AP303" s="38" t="str">
        <f>IF(L303="","",VLOOKUP($L303,classifications!$C:$E,3,FALSE))</f>
        <v/>
      </c>
      <c r="AQ303" s="39" t="str">
        <f t="shared" si="113"/>
        <v/>
      </c>
      <c r="AR303" s="34" t="str">
        <f>IF(AQ303="","",IF(I$8="A",(RANK(AQ303,AQ$11:AQ$368,1)+COUNTIF(AQ$11:AQ303,AQ303)-1),(RANK(AQ303,AQ$11:AQ$368)+COUNTIF(AQ$11:AQ303,AQ303)-1)))</f>
        <v/>
      </c>
      <c r="AS303" s="29" t="str">
        <f t="shared" si="114"/>
        <v/>
      </c>
      <c r="AT303" s="34" t="str">
        <f t="shared" si="105"/>
        <v/>
      </c>
      <c r="AU303" s="39" t="str">
        <f t="shared" si="118"/>
        <v/>
      </c>
      <c r="AX303" s="21">
        <f>HLOOKUP($AX$9&amp;$AX$10,Data!$A$1:$ZZ$2000,(MATCH($C303,Data!$A$1:$A$2000,0)),FALSE)</f>
        <v>9.3041534312813567</v>
      </c>
      <c r="AY303" s="103"/>
      <c r="AZ303" s="21"/>
    </row>
    <row r="304" spans="1:52">
      <c r="A304" s="56" t="str">
        <f>$D$1&amp;294</f>
        <v>SC294</v>
      </c>
      <c r="B304" s="57">
        <f>IF(ISERROR(VLOOKUP(A304,classifications!A:C,3,FALSE)),0,VLOOKUP(A304,classifications!A:C,3,FALSE))</f>
        <v>0</v>
      </c>
      <c r="C304" s="8" t="s">
        <v>329</v>
      </c>
      <c r="D304" s="26" t="str">
        <f>VLOOKUP($C304,classifications!$C:$J,4,FALSE)</f>
        <v>SC</v>
      </c>
      <c r="E304" s="26">
        <f>VLOOKUP(C304,classifications!C:K,9,FALSE)</f>
        <v>0</v>
      </c>
      <c r="F304" s="36">
        <f t="shared" si="97"/>
        <v>20.423132463684833</v>
      </c>
      <c r="G304" s="71"/>
      <c r="H304" s="37">
        <f t="shared" si="98"/>
        <v>20.423132463684833</v>
      </c>
      <c r="I304" s="77">
        <f>IF(H304="","",IF($I$8="A",(RANK(H304,H$11:H$368,1)+COUNTIF(H$11:H304,H304)-1),(RANK(H304,H$11:H$368)+COUNTIF(H$11:H304,H304)-1)))</f>
        <v>4</v>
      </c>
      <c r="J304" s="35"/>
      <c r="K304" s="28" t="str">
        <f t="shared" si="106"/>
        <v/>
      </c>
      <c r="L304" s="36" t="str">
        <f t="shared" si="99"/>
        <v/>
      </c>
      <c r="M304" s="102" t="str">
        <f t="shared" si="107"/>
        <v/>
      </c>
      <c r="N304" s="101" t="str">
        <f t="shared" si="108"/>
        <v/>
      </c>
      <c r="O304" s="94" t="str">
        <f t="shared" si="100"/>
        <v/>
      </c>
      <c r="P304" s="94" t="str">
        <f t="shared" si="115"/>
        <v/>
      </c>
      <c r="Q304" s="94" t="str">
        <f t="shared" si="116"/>
        <v/>
      </c>
      <c r="R304" s="90" t="str">
        <f t="shared" si="117"/>
        <v/>
      </c>
      <c r="S304" s="37" t="str">
        <f t="shared" si="109"/>
        <v/>
      </c>
      <c r="T304" s="176" t="str">
        <f>IF(L304="","",VLOOKUP(L304,classifications!C:K,9,FALSE))</f>
        <v/>
      </c>
      <c r="U304" s="183" t="str">
        <f t="shared" si="101"/>
        <v/>
      </c>
      <c r="V304" s="184" t="str">
        <f>IF(U304="","",IF($I$8="A",(RANK(U304,U$11:U$368)+COUNTIF(U$11:U304,U304)-1),(RANK(U304,U$11:U$368,1)+COUNTIF(U$11:U304,U304)-1)))</f>
        <v/>
      </c>
      <c r="W304" s="185"/>
      <c r="X304" s="38" t="str">
        <f>IF(L304="","",VLOOKUP($L304,classifications!$C:$J,6,FALSE))</f>
        <v/>
      </c>
      <c r="Y304" s="26" t="b">
        <f t="shared" si="102"/>
        <v>0</v>
      </c>
      <c r="Z304" s="34" t="e">
        <f>IF(Y304="","",IF(I$8="A",(RANK(Y304,Y$11:Y$368,1)+COUNTIF(Y$11:Y304,Y304)-1),(RANK(Y304,Y$11:Y$368)+COUNTIF(Y$11:Y304,Y304)-1)))</f>
        <v>#N/A</v>
      </c>
      <c r="AA304" s="188" t="str">
        <f>IF(L304="","",VLOOKUP($L304,classifications!C:I,7,FALSE))</f>
        <v/>
      </c>
      <c r="AB304" s="184" t="str">
        <f t="shared" si="110"/>
        <v/>
      </c>
      <c r="AC304" s="184" t="str">
        <f>IF(AB304="","",IF($I$8="A",(RANK(AB304,AB$11:AB$368)+COUNTIF(AB$11:AB304,AB304)-1),(RANK(AB304,AB$11:AB$368,1)+COUNTIF(AB$11:AB304,AB304)-1)))</f>
        <v/>
      </c>
      <c r="AD304" s="184"/>
      <c r="AE304" s="28" t="str">
        <f t="shared" si="119"/>
        <v/>
      </c>
      <c r="AG304" s="96"/>
      <c r="AH304" s="29"/>
      <c r="AI304" s="38" t="str">
        <f>IF(L304="","",VLOOKUP($L304,classifications!$C:$J,8,FALSE))</f>
        <v/>
      </c>
      <c r="AJ304" s="39" t="str">
        <f t="shared" si="103"/>
        <v/>
      </c>
      <c r="AK304" s="34" t="str">
        <f>IF(AJ304="","",IF(I$8="A",(RANK(AJ304,AJ$11:AJ$368,1)+COUNTIF(AJ$11:AJ304,AJ304)-1),(RANK(AJ304,AJ$11:AJ$368)+COUNTIF(AJ$11:AJ304,AJ304)-1)))</f>
        <v/>
      </c>
      <c r="AL304" s="29" t="str">
        <f t="shared" si="111"/>
        <v/>
      </c>
      <c r="AM304" s="8" t="str">
        <f t="shared" si="104"/>
        <v/>
      </c>
      <c r="AN304" s="8" t="str">
        <f t="shared" si="112"/>
        <v/>
      </c>
      <c r="AP304" s="38" t="str">
        <f>IF(L304="","",VLOOKUP($L304,classifications!$C:$E,3,FALSE))</f>
        <v/>
      </c>
      <c r="AQ304" s="39" t="str">
        <f t="shared" si="113"/>
        <v/>
      </c>
      <c r="AR304" s="34" t="str">
        <f>IF(AQ304="","",IF(I$8="A",(RANK(AQ304,AQ$11:AQ$368,1)+COUNTIF(AQ$11:AQ304,AQ304)-1),(RANK(AQ304,AQ$11:AQ$368)+COUNTIF(AQ$11:AQ304,AQ304)-1)))</f>
        <v/>
      </c>
      <c r="AS304" s="29" t="str">
        <f t="shared" si="114"/>
        <v/>
      </c>
      <c r="AT304" s="34" t="str">
        <f t="shared" si="105"/>
        <v/>
      </c>
      <c r="AU304" s="39" t="str">
        <f t="shared" si="118"/>
        <v/>
      </c>
      <c r="AX304" s="21">
        <f>HLOOKUP($AX$9&amp;$AX$10,Data!$A$1:$ZZ$2000,(MATCH($C304,Data!$A$1:$A$2000,0)),FALSE)</f>
        <v>20.423132463684833</v>
      </c>
      <c r="AY304" s="103"/>
      <c r="AZ304" s="21"/>
    </row>
    <row r="305" spans="1:52">
      <c r="A305" s="56" t="str">
        <f>$D$1&amp;295</f>
        <v>SC295</v>
      </c>
      <c r="B305" s="57">
        <f>IF(ISERROR(VLOOKUP(A305,classifications!A:C,3,FALSE)),0,VLOOKUP(A305,classifications!A:C,3,FALSE))</f>
        <v>0</v>
      </c>
      <c r="C305" s="8" t="s">
        <v>159</v>
      </c>
      <c r="D305" s="26" t="str">
        <f>VLOOKUP($C305,classifications!$C:$J,4,FALSE)</f>
        <v>SD</v>
      </c>
      <c r="E305" s="26">
        <f>VLOOKUP(C305,classifications!C:K,9,FALSE)</f>
        <v>0</v>
      </c>
      <c r="F305" s="36">
        <f t="shared" si="97"/>
        <v>17.690280735111973</v>
      </c>
      <c r="G305" s="71"/>
      <c r="H305" s="37" t="str">
        <f t="shared" si="98"/>
        <v/>
      </c>
      <c r="I305" s="77" t="str">
        <f>IF(H305="","",IF($I$8="A",(RANK(H305,H$11:H$368,1)+COUNTIF(H$11:H305,H305)-1),(RANK(H305,H$11:H$368)+COUNTIF(H$11:H305,H305)-1)))</f>
        <v/>
      </c>
      <c r="J305" s="35"/>
      <c r="K305" s="28" t="str">
        <f t="shared" si="106"/>
        <v/>
      </c>
      <c r="L305" s="36" t="str">
        <f t="shared" si="99"/>
        <v/>
      </c>
      <c r="M305" s="102" t="str">
        <f t="shared" si="107"/>
        <v/>
      </c>
      <c r="N305" s="101" t="str">
        <f t="shared" si="108"/>
        <v/>
      </c>
      <c r="O305" s="94" t="str">
        <f t="shared" si="100"/>
        <v/>
      </c>
      <c r="P305" s="94" t="str">
        <f t="shared" si="115"/>
        <v/>
      </c>
      <c r="Q305" s="94" t="str">
        <f t="shared" si="116"/>
        <v/>
      </c>
      <c r="R305" s="90" t="str">
        <f t="shared" si="117"/>
        <v/>
      </c>
      <c r="S305" s="37" t="str">
        <f t="shared" si="109"/>
        <v/>
      </c>
      <c r="T305" s="176" t="str">
        <f>IF(L305="","",VLOOKUP(L305,classifications!C:K,9,FALSE))</f>
        <v/>
      </c>
      <c r="U305" s="183" t="str">
        <f t="shared" si="101"/>
        <v/>
      </c>
      <c r="V305" s="184" t="str">
        <f>IF(U305="","",IF($I$8="A",(RANK(U305,U$11:U$368)+COUNTIF(U$11:U305,U305)-1),(RANK(U305,U$11:U$368,1)+COUNTIF(U$11:U305,U305)-1)))</f>
        <v/>
      </c>
      <c r="W305" s="185"/>
      <c r="X305" s="38" t="str">
        <f>IF(L305="","",VLOOKUP($L305,classifications!$C:$J,6,FALSE))</f>
        <v/>
      </c>
      <c r="Y305" s="26" t="b">
        <f t="shared" si="102"/>
        <v>0</v>
      </c>
      <c r="Z305" s="34" t="e">
        <f>IF(Y305="","",IF(I$8="A",(RANK(Y305,Y$11:Y$368,1)+COUNTIF(Y$11:Y305,Y305)-1),(RANK(Y305,Y$11:Y$368)+COUNTIF(Y$11:Y305,Y305)-1)))</f>
        <v>#N/A</v>
      </c>
      <c r="AA305" s="188" t="str">
        <f>IF(L305="","",VLOOKUP($L305,classifications!C:I,7,FALSE))</f>
        <v/>
      </c>
      <c r="AB305" s="184" t="str">
        <f t="shared" si="110"/>
        <v/>
      </c>
      <c r="AC305" s="184" t="str">
        <f>IF(AB305="","",IF($I$8="A",(RANK(AB305,AB$11:AB$368)+COUNTIF(AB$11:AB305,AB305)-1),(RANK(AB305,AB$11:AB$368,1)+COUNTIF(AB$11:AB305,AB305)-1)))</f>
        <v/>
      </c>
      <c r="AD305" s="184"/>
      <c r="AE305" s="28" t="str">
        <f t="shared" si="119"/>
        <v/>
      </c>
      <c r="AG305" s="96"/>
      <c r="AH305" s="29"/>
      <c r="AI305" s="38" t="str">
        <f>IF(L305="","",VLOOKUP($L305,classifications!$C:$J,8,FALSE))</f>
        <v/>
      </c>
      <c r="AJ305" s="39" t="str">
        <f t="shared" si="103"/>
        <v/>
      </c>
      <c r="AK305" s="34" t="str">
        <f>IF(AJ305="","",IF(I$8="A",(RANK(AJ305,AJ$11:AJ$368,1)+COUNTIF(AJ$11:AJ305,AJ305)-1),(RANK(AJ305,AJ$11:AJ$368)+COUNTIF(AJ$11:AJ305,AJ305)-1)))</f>
        <v/>
      </c>
      <c r="AL305" s="29" t="str">
        <f t="shared" si="111"/>
        <v/>
      </c>
      <c r="AM305" s="8" t="str">
        <f t="shared" si="104"/>
        <v/>
      </c>
      <c r="AN305" s="8" t="str">
        <f t="shared" si="112"/>
        <v/>
      </c>
      <c r="AP305" s="38" t="str">
        <f>IF(L305="","",VLOOKUP($L305,classifications!$C:$E,3,FALSE))</f>
        <v/>
      </c>
      <c r="AQ305" s="39" t="str">
        <f t="shared" si="113"/>
        <v/>
      </c>
      <c r="AR305" s="34" t="str">
        <f>IF(AQ305="","",IF(I$8="A",(RANK(AQ305,AQ$11:AQ$368,1)+COUNTIF(AQ$11:AQ305,AQ305)-1),(RANK(AQ305,AQ$11:AQ$368)+COUNTIF(AQ$11:AQ305,AQ305)-1)))</f>
        <v/>
      </c>
      <c r="AS305" s="29" t="str">
        <f t="shared" si="114"/>
        <v/>
      </c>
      <c r="AT305" s="34" t="str">
        <f t="shared" si="105"/>
        <v/>
      </c>
      <c r="AU305" s="39" t="str">
        <f t="shared" si="118"/>
        <v/>
      </c>
      <c r="AX305" s="21">
        <f>HLOOKUP($AX$9&amp;$AX$10,Data!$A$1:$ZZ$2000,(MATCH($C305,Data!$A$1:$A$2000,0)),FALSE)</f>
        <v>17.690280735111973</v>
      </c>
      <c r="AY305" s="103"/>
      <c r="AZ305" s="21"/>
    </row>
    <row r="306" spans="1:52">
      <c r="A306" s="56" t="str">
        <f>$D$1&amp;296</f>
        <v>SC296</v>
      </c>
      <c r="B306" s="57">
        <f>IF(ISERROR(VLOOKUP(A306,classifications!A:C,3,FALSE)),0,VLOOKUP(A306,classifications!A:C,3,FALSE))</f>
        <v>0</v>
      </c>
      <c r="C306" s="8" t="s">
        <v>218</v>
      </c>
      <c r="D306" s="26" t="str">
        <f>VLOOKUP($C306,classifications!$C:$J,4,FALSE)</f>
        <v>L</v>
      </c>
      <c r="E306" s="26">
        <f>VLOOKUP(C306,classifications!C:K,9,FALSE)</f>
        <v>0</v>
      </c>
      <c r="F306" s="36">
        <f t="shared" si="97"/>
        <v>12.235117032892942</v>
      </c>
      <c r="G306" s="71"/>
      <c r="H306" s="37" t="str">
        <f t="shared" si="98"/>
        <v/>
      </c>
      <c r="I306" s="77" t="str">
        <f>IF(H306="","",IF($I$8="A",(RANK(H306,H$11:H$368,1)+COUNTIF(H$11:H306,H306)-1),(RANK(H306,H$11:H$368)+COUNTIF(H$11:H306,H306)-1)))</f>
        <v/>
      </c>
      <c r="J306" s="35"/>
      <c r="K306" s="28" t="str">
        <f t="shared" si="106"/>
        <v/>
      </c>
      <c r="L306" s="36" t="str">
        <f t="shared" si="99"/>
        <v/>
      </c>
      <c r="M306" s="102" t="str">
        <f t="shared" si="107"/>
        <v/>
      </c>
      <c r="N306" s="101" t="str">
        <f t="shared" si="108"/>
        <v/>
      </c>
      <c r="O306" s="94" t="str">
        <f t="shared" si="100"/>
        <v/>
      </c>
      <c r="P306" s="94" t="str">
        <f t="shared" si="115"/>
        <v/>
      </c>
      <c r="Q306" s="94" t="str">
        <f t="shared" si="116"/>
        <v/>
      </c>
      <c r="R306" s="90" t="str">
        <f t="shared" si="117"/>
        <v/>
      </c>
      <c r="S306" s="37" t="str">
        <f t="shared" si="109"/>
        <v/>
      </c>
      <c r="T306" s="176" t="str">
        <f>IF(L306="","",VLOOKUP(L306,classifications!C:K,9,FALSE))</f>
        <v/>
      </c>
      <c r="U306" s="183" t="str">
        <f t="shared" si="101"/>
        <v/>
      </c>
      <c r="V306" s="184" t="str">
        <f>IF(U306="","",IF($I$8="A",(RANK(U306,U$11:U$368)+COUNTIF(U$11:U306,U306)-1),(RANK(U306,U$11:U$368,1)+COUNTIF(U$11:U306,U306)-1)))</f>
        <v/>
      </c>
      <c r="W306" s="185"/>
      <c r="X306" s="38" t="str">
        <f>IF(L306="","",VLOOKUP($L306,classifications!$C:$J,6,FALSE))</f>
        <v/>
      </c>
      <c r="Y306" s="26" t="b">
        <f t="shared" si="102"/>
        <v>0</v>
      </c>
      <c r="Z306" s="34" t="e">
        <f>IF(Y306="","",IF(I$8="A",(RANK(Y306,Y$11:Y$368,1)+COUNTIF(Y$11:Y306,Y306)-1),(RANK(Y306,Y$11:Y$368)+COUNTIF(Y$11:Y306,Y306)-1)))</f>
        <v>#N/A</v>
      </c>
      <c r="AA306" s="188" t="str">
        <f>IF(L306="","",VLOOKUP($L306,classifications!C:I,7,FALSE))</f>
        <v/>
      </c>
      <c r="AB306" s="184" t="str">
        <f t="shared" si="110"/>
        <v/>
      </c>
      <c r="AC306" s="184" t="str">
        <f>IF(AB306="","",IF($I$8="A",(RANK(AB306,AB$11:AB$368)+COUNTIF(AB$11:AB306,AB306)-1),(RANK(AB306,AB$11:AB$368,1)+COUNTIF(AB$11:AB306,AB306)-1)))</f>
        <v/>
      </c>
      <c r="AD306" s="184"/>
      <c r="AE306" s="28" t="str">
        <f t="shared" si="119"/>
        <v/>
      </c>
      <c r="AG306" s="96"/>
      <c r="AH306" s="29"/>
      <c r="AI306" s="38" t="str">
        <f>IF(L306="","",VLOOKUP($L306,classifications!$C:$J,8,FALSE))</f>
        <v/>
      </c>
      <c r="AJ306" s="39" t="str">
        <f t="shared" si="103"/>
        <v/>
      </c>
      <c r="AK306" s="34" t="str">
        <f>IF(AJ306="","",IF(I$8="A",(RANK(AJ306,AJ$11:AJ$368,1)+COUNTIF(AJ$11:AJ306,AJ306)-1),(RANK(AJ306,AJ$11:AJ$368)+COUNTIF(AJ$11:AJ306,AJ306)-1)))</f>
        <v/>
      </c>
      <c r="AL306" s="29" t="str">
        <f t="shared" si="111"/>
        <v/>
      </c>
      <c r="AM306" s="8" t="str">
        <f t="shared" si="104"/>
        <v/>
      </c>
      <c r="AN306" s="8" t="str">
        <f t="shared" si="112"/>
        <v/>
      </c>
      <c r="AP306" s="38" t="str">
        <f>IF(L306="","",VLOOKUP($L306,classifications!$C:$E,3,FALSE))</f>
        <v/>
      </c>
      <c r="AQ306" s="39" t="str">
        <f t="shared" si="113"/>
        <v/>
      </c>
      <c r="AR306" s="34" t="str">
        <f>IF(AQ306="","",IF(I$8="A",(RANK(AQ306,AQ$11:AQ$368,1)+COUNTIF(AQ$11:AQ306,AQ306)-1),(RANK(AQ306,AQ$11:AQ$368)+COUNTIF(AQ$11:AQ306,AQ306)-1)))</f>
        <v/>
      </c>
      <c r="AS306" s="29" t="str">
        <f t="shared" si="114"/>
        <v/>
      </c>
      <c r="AT306" s="34" t="str">
        <f t="shared" si="105"/>
        <v/>
      </c>
      <c r="AU306" s="39" t="str">
        <f t="shared" si="118"/>
        <v/>
      </c>
      <c r="AX306" s="21">
        <f>HLOOKUP($AX$9&amp;$AX$10,Data!$A$1:$ZZ$2000,(MATCH($C306,Data!$A$1:$A$2000,0)),FALSE)</f>
        <v>12.235117032892942</v>
      </c>
      <c r="AY306" s="103"/>
      <c r="AZ306" s="21"/>
    </row>
    <row r="307" spans="1:52">
      <c r="A307" s="56" t="str">
        <f>$D$1&amp;297</f>
        <v>SC297</v>
      </c>
      <c r="B307" s="57">
        <f>IF(ISERROR(VLOOKUP(A307,classifications!A:C,3,FALSE)),0,VLOOKUP(A307,classifications!A:C,3,FALSE))</f>
        <v>0</v>
      </c>
      <c r="C307" s="8" t="s">
        <v>160</v>
      </c>
      <c r="D307" s="26" t="str">
        <f>VLOOKUP($C307,classifications!$C:$J,4,FALSE)</f>
        <v>SD</v>
      </c>
      <c r="E307" s="26">
        <f>VLOOKUP(C307,classifications!C:K,9,FALSE)</f>
        <v>0</v>
      </c>
      <c r="F307" s="36">
        <f t="shared" si="97"/>
        <v>11.817157080155718</v>
      </c>
      <c r="G307" s="71"/>
      <c r="H307" s="37" t="str">
        <f t="shared" si="98"/>
        <v/>
      </c>
      <c r="I307" s="77" t="str">
        <f>IF(H307="","",IF($I$8="A",(RANK(H307,H$11:H$368,1)+COUNTIF(H$11:H307,H307)-1),(RANK(H307,H$11:H$368)+COUNTIF(H$11:H307,H307)-1)))</f>
        <v/>
      </c>
      <c r="J307" s="35"/>
      <c r="K307" s="28" t="str">
        <f t="shared" si="106"/>
        <v/>
      </c>
      <c r="L307" s="36" t="str">
        <f t="shared" si="99"/>
        <v/>
      </c>
      <c r="M307" s="102" t="str">
        <f t="shared" si="107"/>
        <v/>
      </c>
      <c r="N307" s="101" t="str">
        <f t="shared" si="108"/>
        <v/>
      </c>
      <c r="O307" s="94" t="str">
        <f t="shared" si="100"/>
        <v/>
      </c>
      <c r="P307" s="94" t="str">
        <f t="shared" si="115"/>
        <v/>
      </c>
      <c r="Q307" s="94" t="str">
        <f t="shared" si="116"/>
        <v/>
      </c>
      <c r="R307" s="90" t="str">
        <f t="shared" si="117"/>
        <v/>
      </c>
      <c r="S307" s="37" t="str">
        <f t="shared" si="109"/>
        <v/>
      </c>
      <c r="T307" s="176" t="str">
        <f>IF(L307="","",VLOOKUP(L307,classifications!C:K,9,FALSE))</f>
        <v/>
      </c>
      <c r="U307" s="183" t="str">
        <f t="shared" si="101"/>
        <v/>
      </c>
      <c r="V307" s="184" t="str">
        <f>IF(U307="","",IF($I$8="A",(RANK(U307,U$11:U$368)+COUNTIF(U$11:U307,U307)-1),(RANK(U307,U$11:U$368,1)+COUNTIF(U$11:U307,U307)-1)))</f>
        <v/>
      </c>
      <c r="W307" s="185"/>
      <c r="X307" s="38" t="str">
        <f>IF(L307="","",VLOOKUP($L307,classifications!$C:$J,6,FALSE))</f>
        <v/>
      </c>
      <c r="Y307" s="26" t="b">
        <f t="shared" si="102"/>
        <v>0</v>
      </c>
      <c r="Z307" s="34" t="e">
        <f>IF(Y307="","",IF(I$8="A",(RANK(Y307,Y$11:Y$368,1)+COUNTIF(Y$11:Y307,Y307)-1),(RANK(Y307,Y$11:Y$368)+COUNTIF(Y$11:Y307,Y307)-1)))</f>
        <v>#N/A</v>
      </c>
      <c r="AA307" s="188" t="str">
        <f>IF(L307="","",VLOOKUP($L307,classifications!C:I,7,FALSE))</f>
        <v/>
      </c>
      <c r="AB307" s="184" t="str">
        <f t="shared" si="110"/>
        <v/>
      </c>
      <c r="AC307" s="184" t="str">
        <f>IF(AB307="","",IF($I$8="A",(RANK(AB307,AB$11:AB$368)+COUNTIF(AB$11:AB307,AB307)-1),(RANK(AB307,AB$11:AB$368,1)+COUNTIF(AB$11:AB307,AB307)-1)))</f>
        <v/>
      </c>
      <c r="AD307" s="184"/>
      <c r="AE307" s="28" t="str">
        <f t="shared" si="119"/>
        <v/>
      </c>
      <c r="AG307" s="96"/>
      <c r="AH307" s="29"/>
      <c r="AI307" s="38" t="str">
        <f>IF(L307="","",VLOOKUP($L307,classifications!$C:$J,8,FALSE))</f>
        <v/>
      </c>
      <c r="AJ307" s="39" t="str">
        <f t="shared" si="103"/>
        <v/>
      </c>
      <c r="AK307" s="34" t="str">
        <f>IF(AJ307="","",IF(I$8="A",(RANK(AJ307,AJ$11:AJ$368,1)+COUNTIF(AJ$11:AJ307,AJ307)-1),(RANK(AJ307,AJ$11:AJ$368)+COUNTIF(AJ$11:AJ307,AJ307)-1)))</f>
        <v/>
      </c>
      <c r="AL307" s="29" t="str">
        <f t="shared" si="111"/>
        <v/>
      </c>
      <c r="AM307" s="8" t="str">
        <f t="shared" si="104"/>
        <v/>
      </c>
      <c r="AN307" s="8" t="str">
        <f t="shared" si="112"/>
        <v/>
      </c>
      <c r="AP307" s="38" t="str">
        <f>IF(L307="","",VLOOKUP($L307,classifications!$C:$E,3,FALSE))</f>
        <v/>
      </c>
      <c r="AQ307" s="39" t="str">
        <f t="shared" si="113"/>
        <v/>
      </c>
      <c r="AR307" s="34" t="str">
        <f>IF(AQ307="","",IF(I$8="A",(RANK(AQ307,AQ$11:AQ$368,1)+COUNTIF(AQ$11:AQ307,AQ307)-1),(RANK(AQ307,AQ$11:AQ$368)+COUNTIF(AQ$11:AQ307,AQ307)-1)))</f>
        <v/>
      </c>
      <c r="AS307" s="29" t="str">
        <f t="shared" si="114"/>
        <v/>
      </c>
      <c r="AT307" s="34" t="str">
        <f t="shared" si="105"/>
        <v/>
      </c>
      <c r="AU307" s="39" t="str">
        <f t="shared" si="118"/>
        <v/>
      </c>
      <c r="AX307" s="21">
        <f>HLOOKUP($AX$9&amp;$AX$10,Data!$A$1:$ZZ$2000,(MATCH($C307,Data!$A$1:$A$2000,0)),FALSE)</f>
        <v>11.817157080155718</v>
      </c>
      <c r="AY307" s="103"/>
      <c r="AZ307" s="21"/>
    </row>
    <row r="308" spans="1:52">
      <c r="A308" s="56" t="str">
        <f>$D$1&amp;298</f>
        <v>SC298</v>
      </c>
      <c r="B308" s="57">
        <f>IF(ISERROR(VLOOKUP(A308,classifications!A:C,3,FALSE)),0,VLOOKUP(A308,classifications!A:C,3,FALSE))</f>
        <v>0</v>
      </c>
      <c r="C308" s="8" t="s">
        <v>292</v>
      </c>
      <c r="D308" s="26" t="str">
        <f>VLOOKUP($C308,classifications!$C:$J,4,FALSE)</f>
        <v>UA</v>
      </c>
      <c r="E308" s="26">
        <f>VLOOKUP(C308,classifications!C:K,9,FALSE)</f>
        <v>0</v>
      </c>
      <c r="F308" s="36">
        <f t="shared" si="97"/>
        <v>18.675096713437256</v>
      </c>
      <c r="G308" s="71"/>
      <c r="H308" s="37" t="str">
        <f t="shared" si="98"/>
        <v/>
      </c>
      <c r="I308" s="77" t="str">
        <f>IF(H308="","",IF($I$8="A",(RANK(H308,H$11:H$368,1)+COUNTIF(H$11:H308,H308)-1),(RANK(H308,H$11:H$368)+COUNTIF(H$11:H308,H308)-1)))</f>
        <v/>
      </c>
      <c r="J308" s="35"/>
      <c r="K308" s="28" t="str">
        <f t="shared" si="106"/>
        <v/>
      </c>
      <c r="L308" s="36" t="str">
        <f t="shared" si="99"/>
        <v/>
      </c>
      <c r="M308" s="102" t="str">
        <f t="shared" si="107"/>
        <v/>
      </c>
      <c r="N308" s="101" t="str">
        <f t="shared" si="108"/>
        <v/>
      </c>
      <c r="O308" s="94" t="str">
        <f t="shared" si="100"/>
        <v/>
      </c>
      <c r="P308" s="94" t="str">
        <f t="shared" si="115"/>
        <v/>
      </c>
      <c r="Q308" s="94" t="str">
        <f t="shared" si="116"/>
        <v/>
      </c>
      <c r="R308" s="90" t="str">
        <f t="shared" si="117"/>
        <v/>
      </c>
      <c r="S308" s="37" t="str">
        <f t="shared" si="109"/>
        <v/>
      </c>
      <c r="T308" s="176" t="str">
        <f>IF(L308="","",VLOOKUP(L308,classifications!C:K,9,FALSE))</f>
        <v/>
      </c>
      <c r="U308" s="183" t="str">
        <f t="shared" si="101"/>
        <v/>
      </c>
      <c r="V308" s="184" t="str">
        <f>IF(U308="","",IF($I$8="A",(RANK(U308,U$11:U$368)+COUNTIF(U$11:U308,U308)-1),(RANK(U308,U$11:U$368,1)+COUNTIF(U$11:U308,U308)-1)))</f>
        <v/>
      </c>
      <c r="W308" s="185"/>
      <c r="X308" s="38" t="str">
        <f>IF(L308="","",VLOOKUP($L308,classifications!$C:$J,6,FALSE))</f>
        <v/>
      </c>
      <c r="Y308" s="26" t="b">
        <f t="shared" si="102"/>
        <v>0</v>
      </c>
      <c r="Z308" s="34" t="e">
        <f>IF(Y308="","",IF(I$8="A",(RANK(Y308,Y$11:Y$368,1)+COUNTIF(Y$11:Y308,Y308)-1),(RANK(Y308,Y$11:Y$368)+COUNTIF(Y$11:Y308,Y308)-1)))</f>
        <v>#N/A</v>
      </c>
      <c r="AA308" s="188" t="str">
        <f>IF(L308="","",VLOOKUP($L308,classifications!C:I,7,FALSE))</f>
        <v/>
      </c>
      <c r="AB308" s="184" t="str">
        <f t="shared" si="110"/>
        <v/>
      </c>
      <c r="AC308" s="184" t="str">
        <f>IF(AB308="","",IF($I$8="A",(RANK(AB308,AB$11:AB$368)+COUNTIF(AB$11:AB308,AB308)-1),(RANK(AB308,AB$11:AB$368,1)+COUNTIF(AB$11:AB308,AB308)-1)))</f>
        <v/>
      </c>
      <c r="AD308" s="184"/>
      <c r="AE308" s="28" t="str">
        <f t="shared" si="119"/>
        <v/>
      </c>
      <c r="AG308" s="96"/>
      <c r="AH308" s="29"/>
      <c r="AI308" s="38" t="str">
        <f>IF(L308="","",VLOOKUP($L308,classifications!$C:$J,8,FALSE))</f>
        <v/>
      </c>
      <c r="AJ308" s="39" t="str">
        <f t="shared" si="103"/>
        <v/>
      </c>
      <c r="AK308" s="34" t="str">
        <f>IF(AJ308="","",IF(I$8="A",(RANK(AJ308,AJ$11:AJ$368,1)+COUNTIF(AJ$11:AJ308,AJ308)-1),(RANK(AJ308,AJ$11:AJ$368)+COUNTIF(AJ$11:AJ308,AJ308)-1)))</f>
        <v/>
      </c>
      <c r="AL308" s="29" t="str">
        <f t="shared" si="111"/>
        <v/>
      </c>
      <c r="AM308" s="8" t="str">
        <f t="shared" si="104"/>
        <v/>
      </c>
      <c r="AN308" s="8" t="str">
        <f t="shared" si="112"/>
        <v/>
      </c>
      <c r="AP308" s="38" t="str">
        <f>IF(L308="","",VLOOKUP($L308,classifications!$C:$E,3,FALSE))</f>
        <v/>
      </c>
      <c r="AQ308" s="39" t="str">
        <f t="shared" si="113"/>
        <v/>
      </c>
      <c r="AR308" s="34" t="str">
        <f>IF(AQ308="","",IF(I$8="A",(RANK(AQ308,AQ$11:AQ$368,1)+COUNTIF(AQ$11:AQ308,AQ308)-1),(RANK(AQ308,AQ$11:AQ$368)+COUNTIF(AQ$11:AQ308,AQ308)-1)))</f>
        <v/>
      </c>
      <c r="AS308" s="29" t="str">
        <f t="shared" si="114"/>
        <v/>
      </c>
      <c r="AT308" s="34" t="str">
        <f t="shared" si="105"/>
        <v/>
      </c>
      <c r="AU308" s="39" t="str">
        <f t="shared" si="118"/>
        <v/>
      </c>
      <c r="AX308" s="21">
        <f>HLOOKUP($AX$9&amp;$AX$10,Data!$A$1:$ZZ$2000,(MATCH($C308,Data!$A$1:$A$2000,0)),FALSE)</f>
        <v>18.675096713437256</v>
      </c>
      <c r="AY308" s="103"/>
      <c r="AZ308" s="21"/>
    </row>
    <row r="309" spans="1:52">
      <c r="A309" s="56" t="str">
        <f>$D$1&amp;299</f>
        <v>SC299</v>
      </c>
      <c r="B309" s="57">
        <f>IF(ISERROR(VLOOKUP(A309,classifications!A:C,3,FALSE)),0,VLOOKUP(A309,classifications!A:C,3,FALSE))</f>
        <v>0</v>
      </c>
      <c r="C309" s="8" t="s">
        <v>251</v>
      </c>
      <c r="D309" s="26" t="str">
        <f>VLOOKUP($C309,classifications!$C:$J,4,FALSE)</f>
        <v>MD</v>
      </c>
      <c r="E309" s="26">
        <f>VLOOKUP(C309,classifications!C:K,9,FALSE)</f>
        <v>0</v>
      </c>
      <c r="F309" s="36">
        <f t="shared" si="97"/>
        <v>12.20584559044301</v>
      </c>
      <c r="G309" s="71"/>
      <c r="H309" s="37" t="str">
        <f t="shared" si="98"/>
        <v/>
      </c>
      <c r="I309" s="77" t="str">
        <f>IF(H309="","",IF($I$8="A",(RANK(H309,H$11:H$368,1)+COUNTIF(H$11:H309,H309)-1),(RANK(H309,H$11:H$368)+COUNTIF(H$11:H309,H309)-1)))</f>
        <v/>
      </c>
      <c r="J309" s="35"/>
      <c r="K309" s="28" t="str">
        <f t="shared" si="106"/>
        <v/>
      </c>
      <c r="L309" s="36" t="str">
        <f t="shared" si="99"/>
        <v/>
      </c>
      <c r="M309" s="102" t="str">
        <f t="shared" si="107"/>
        <v/>
      </c>
      <c r="N309" s="101" t="str">
        <f t="shared" si="108"/>
        <v/>
      </c>
      <c r="O309" s="94" t="str">
        <f t="shared" si="100"/>
        <v/>
      </c>
      <c r="P309" s="94" t="str">
        <f t="shared" si="115"/>
        <v/>
      </c>
      <c r="Q309" s="94" t="str">
        <f t="shared" si="116"/>
        <v/>
      </c>
      <c r="R309" s="90" t="str">
        <f t="shared" si="117"/>
        <v/>
      </c>
      <c r="S309" s="37" t="str">
        <f t="shared" si="109"/>
        <v/>
      </c>
      <c r="T309" s="176" t="str">
        <f>IF(L309="","",VLOOKUP(L309,classifications!C:K,9,FALSE))</f>
        <v/>
      </c>
      <c r="U309" s="183" t="str">
        <f t="shared" si="101"/>
        <v/>
      </c>
      <c r="V309" s="184" t="str">
        <f>IF(U309="","",IF($I$8="A",(RANK(U309,U$11:U$368)+COUNTIF(U$11:U309,U309)-1),(RANK(U309,U$11:U$368,1)+COUNTIF(U$11:U309,U309)-1)))</f>
        <v/>
      </c>
      <c r="W309" s="185"/>
      <c r="X309" s="38" t="str">
        <f>IF(L309="","",VLOOKUP($L309,classifications!$C:$J,6,FALSE))</f>
        <v/>
      </c>
      <c r="Y309" s="26" t="b">
        <f t="shared" si="102"/>
        <v>0</v>
      </c>
      <c r="Z309" s="34" t="e">
        <f>IF(Y309="","",IF(I$8="A",(RANK(Y309,Y$11:Y$368,1)+COUNTIF(Y$11:Y309,Y309)-1),(RANK(Y309,Y$11:Y$368)+COUNTIF(Y$11:Y309,Y309)-1)))</f>
        <v>#N/A</v>
      </c>
      <c r="AA309" s="188" t="str">
        <f>IF(L309="","",VLOOKUP($L309,classifications!C:I,7,FALSE))</f>
        <v/>
      </c>
      <c r="AB309" s="184" t="str">
        <f t="shared" si="110"/>
        <v/>
      </c>
      <c r="AC309" s="184" t="str">
        <f>IF(AB309="","",IF($I$8="A",(RANK(AB309,AB$11:AB$368)+COUNTIF(AB$11:AB309,AB309)-1),(RANK(AB309,AB$11:AB$368,1)+COUNTIF(AB$11:AB309,AB309)-1)))</f>
        <v/>
      </c>
      <c r="AD309" s="184"/>
      <c r="AE309" s="28" t="str">
        <f t="shared" si="119"/>
        <v/>
      </c>
      <c r="AG309" s="96"/>
      <c r="AH309" s="29"/>
      <c r="AI309" s="38" t="str">
        <f>IF(L309="","",VLOOKUP($L309,classifications!$C:$J,8,FALSE))</f>
        <v/>
      </c>
      <c r="AJ309" s="39" t="str">
        <f t="shared" si="103"/>
        <v/>
      </c>
      <c r="AK309" s="34" t="str">
        <f>IF(AJ309="","",IF(I$8="A",(RANK(AJ309,AJ$11:AJ$368,1)+COUNTIF(AJ$11:AJ309,AJ309)-1),(RANK(AJ309,AJ$11:AJ$368)+COUNTIF(AJ$11:AJ309,AJ309)-1)))</f>
        <v/>
      </c>
      <c r="AL309" s="29" t="str">
        <f t="shared" si="111"/>
        <v/>
      </c>
      <c r="AM309" s="8" t="str">
        <f t="shared" si="104"/>
        <v/>
      </c>
      <c r="AN309" s="8" t="str">
        <f t="shared" si="112"/>
        <v/>
      </c>
      <c r="AP309" s="38" t="str">
        <f>IF(L309="","",VLOOKUP($L309,classifications!$C:$E,3,FALSE))</f>
        <v/>
      </c>
      <c r="AQ309" s="39" t="str">
        <f t="shared" si="113"/>
        <v/>
      </c>
      <c r="AR309" s="34" t="str">
        <f>IF(AQ309="","",IF(I$8="A",(RANK(AQ309,AQ$11:AQ$368,1)+COUNTIF(AQ$11:AQ309,AQ309)-1),(RANK(AQ309,AQ$11:AQ$368)+COUNTIF(AQ$11:AQ309,AQ309)-1)))</f>
        <v/>
      </c>
      <c r="AS309" s="29" t="str">
        <f t="shared" si="114"/>
        <v/>
      </c>
      <c r="AT309" s="34" t="str">
        <f t="shared" si="105"/>
        <v/>
      </c>
      <c r="AU309" s="39" t="str">
        <f t="shared" si="118"/>
        <v/>
      </c>
      <c r="AX309" s="21">
        <f>HLOOKUP($AX$9&amp;$AX$10,Data!$A$1:$ZZ$2000,(MATCH($C309,Data!$A$1:$A$2000,0)),FALSE)</f>
        <v>12.20584559044301</v>
      </c>
      <c r="AY309" s="103"/>
      <c r="AZ309" s="21"/>
    </row>
    <row r="310" spans="1:52">
      <c r="A310" s="56" t="str">
        <f>$D$1&amp;300</f>
        <v>SC300</v>
      </c>
      <c r="B310" s="57">
        <f>IF(ISERROR(VLOOKUP(A310,classifications!A:C,3,FALSE)),0,VLOOKUP(A310,classifications!A:C,3,FALSE))</f>
        <v>0</v>
      </c>
      <c r="C310" s="8" t="s">
        <v>161</v>
      </c>
      <c r="D310" s="26" t="str">
        <f>VLOOKUP($C310,classifications!$C:$J,4,FALSE)</f>
        <v>SD</v>
      </c>
      <c r="E310" s="26">
        <f>VLOOKUP(C310,classifications!C:K,9,FALSE)</f>
        <v>0</v>
      </c>
      <c r="F310" s="36">
        <f t="shared" si="97"/>
        <v>12.663408474729168</v>
      </c>
      <c r="G310" s="71"/>
      <c r="H310" s="37" t="str">
        <f t="shared" si="98"/>
        <v/>
      </c>
      <c r="I310" s="77" t="str">
        <f>IF(H310="","",IF($I$8="A",(RANK(H310,H$11:H$368,1)+COUNTIF(H$11:H310,H310)-1),(RANK(H310,H$11:H$368)+COUNTIF(H$11:H310,H310)-1)))</f>
        <v/>
      </c>
      <c r="J310" s="35"/>
      <c r="K310" s="28" t="str">
        <f t="shared" si="106"/>
        <v/>
      </c>
      <c r="L310" s="36" t="str">
        <f t="shared" si="99"/>
        <v/>
      </c>
      <c r="M310" s="102" t="str">
        <f t="shared" si="107"/>
        <v/>
      </c>
      <c r="N310" s="101" t="str">
        <f t="shared" si="108"/>
        <v/>
      </c>
      <c r="O310" s="94" t="str">
        <f t="shared" si="100"/>
        <v/>
      </c>
      <c r="P310" s="94" t="str">
        <f t="shared" si="115"/>
        <v/>
      </c>
      <c r="Q310" s="94" t="str">
        <f t="shared" si="116"/>
        <v/>
      </c>
      <c r="R310" s="90" t="str">
        <f t="shared" si="117"/>
        <v/>
      </c>
      <c r="S310" s="37" t="str">
        <f t="shared" si="109"/>
        <v/>
      </c>
      <c r="T310" s="176" t="str">
        <f>IF(L310="","",VLOOKUP(L310,classifications!C:K,9,FALSE))</f>
        <v/>
      </c>
      <c r="U310" s="183" t="str">
        <f t="shared" si="101"/>
        <v/>
      </c>
      <c r="V310" s="184" t="str">
        <f>IF(U310="","",IF($I$8="A",(RANK(U310,U$11:U$368)+COUNTIF(U$11:U310,U310)-1),(RANK(U310,U$11:U$368,1)+COUNTIF(U$11:U310,U310)-1)))</f>
        <v/>
      </c>
      <c r="W310" s="185"/>
      <c r="X310" s="38" t="str">
        <f>IF(L310="","",VLOOKUP($L310,classifications!$C:$J,6,FALSE))</f>
        <v/>
      </c>
      <c r="Y310" s="26" t="b">
        <f t="shared" si="102"/>
        <v>0</v>
      </c>
      <c r="Z310" s="34" t="e">
        <f>IF(Y310="","",IF(I$8="A",(RANK(Y310,Y$11:Y$368,1)+COUNTIF(Y$11:Y310,Y310)-1),(RANK(Y310,Y$11:Y$368)+COUNTIF(Y$11:Y310,Y310)-1)))</f>
        <v>#N/A</v>
      </c>
      <c r="AA310" s="188" t="str">
        <f>IF(L310="","",VLOOKUP($L310,classifications!C:I,7,FALSE))</f>
        <v/>
      </c>
      <c r="AB310" s="184" t="str">
        <f t="shared" si="110"/>
        <v/>
      </c>
      <c r="AC310" s="184" t="str">
        <f>IF(AB310="","",IF($I$8="A",(RANK(AB310,AB$11:AB$368)+COUNTIF(AB$11:AB310,AB310)-1),(RANK(AB310,AB$11:AB$368,1)+COUNTIF(AB$11:AB310,AB310)-1)))</f>
        <v/>
      </c>
      <c r="AD310" s="184"/>
      <c r="AE310" s="28" t="str">
        <f t="shared" si="119"/>
        <v/>
      </c>
      <c r="AG310" s="96"/>
      <c r="AH310" s="29"/>
      <c r="AI310" s="38" t="str">
        <f>IF(L310="","",VLOOKUP($L310,classifications!$C:$J,8,FALSE))</f>
        <v/>
      </c>
      <c r="AJ310" s="39" t="str">
        <f t="shared" si="103"/>
        <v/>
      </c>
      <c r="AK310" s="34" t="str">
        <f>IF(AJ310="","",IF(I$8="A",(RANK(AJ310,AJ$11:AJ$368,1)+COUNTIF(AJ$11:AJ310,AJ310)-1),(RANK(AJ310,AJ$11:AJ$368)+COUNTIF(AJ$11:AJ310,AJ310)-1)))</f>
        <v/>
      </c>
      <c r="AL310" s="29" t="str">
        <f t="shared" si="111"/>
        <v/>
      </c>
      <c r="AM310" s="8" t="str">
        <f t="shared" si="104"/>
        <v/>
      </c>
      <c r="AN310" s="8" t="str">
        <f t="shared" si="112"/>
        <v/>
      </c>
      <c r="AP310" s="38" t="str">
        <f>IF(L310="","",VLOOKUP($L310,classifications!$C:$E,3,FALSE))</f>
        <v/>
      </c>
      <c r="AQ310" s="39" t="str">
        <f t="shared" si="113"/>
        <v/>
      </c>
      <c r="AR310" s="34" t="str">
        <f>IF(AQ310="","",IF(I$8="A",(RANK(AQ310,AQ$11:AQ$368,1)+COUNTIF(AQ$11:AQ310,AQ310)-1),(RANK(AQ310,AQ$11:AQ$368)+COUNTIF(AQ$11:AQ310,AQ310)-1)))</f>
        <v/>
      </c>
      <c r="AS310" s="29" t="str">
        <f t="shared" si="114"/>
        <v/>
      </c>
      <c r="AT310" s="34" t="str">
        <f t="shared" si="105"/>
        <v/>
      </c>
      <c r="AU310" s="39" t="str">
        <f t="shared" si="118"/>
        <v/>
      </c>
      <c r="AX310" s="21">
        <f>HLOOKUP($AX$9&amp;$AX$10,Data!$A$1:$ZZ$2000,(MATCH($C310,Data!$A$1:$A$2000,0)),FALSE)</f>
        <v>12.663408474729168</v>
      </c>
      <c r="AY310" s="103"/>
      <c r="AZ310" s="21"/>
    </row>
    <row r="311" spans="1:52">
      <c r="A311" s="56" t="str">
        <f>$D$1&amp;301</f>
        <v>SC301</v>
      </c>
      <c r="B311" s="57">
        <f>IF(ISERROR(VLOOKUP(A311,classifications!A:C,3,FALSE)),0,VLOOKUP(A311,classifications!A:C,3,FALSE))</f>
        <v>0</v>
      </c>
      <c r="C311" s="8" t="s">
        <v>162</v>
      </c>
      <c r="D311" s="26" t="str">
        <f>VLOOKUP($C311,classifications!$C:$J,4,FALSE)</f>
        <v>SD</v>
      </c>
      <c r="E311" s="26" t="str">
        <f>VLOOKUP(C311,classifications!C:K,9,FALSE)</f>
        <v>Sparse</v>
      </c>
      <c r="F311" s="36">
        <f t="shared" si="97"/>
        <v>9.445777512017397</v>
      </c>
      <c r="G311" s="71"/>
      <c r="H311" s="37" t="str">
        <f t="shared" si="98"/>
        <v/>
      </c>
      <c r="I311" s="77" t="str">
        <f>IF(H311="","",IF($I$8="A",(RANK(H311,H$11:H$368,1)+COUNTIF(H$11:H311,H311)-1),(RANK(H311,H$11:H$368)+COUNTIF(H$11:H311,H311)-1)))</f>
        <v/>
      </c>
      <c r="J311" s="35"/>
      <c r="K311" s="28" t="str">
        <f t="shared" si="106"/>
        <v/>
      </c>
      <c r="L311" s="36" t="str">
        <f t="shared" si="99"/>
        <v/>
      </c>
      <c r="M311" s="102" t="str">
        <f t="shared" si="107"/>
        <v/>
      </c>
      <c r="N311" s="101" t="str">
        <f t="shared" si="108"/>
        <v/>
      </c>
      <c r="O311" s="94" t="str">
        <f t="shared" si="100"/>
        <v/>
      </c>
      <c r="P311" s="94" t="str">
        <f t="shared" si="115"/>
        <v/>
      </c>
      <c r="Q311" s="94" t="str">
        <f t="shared" si="116"/>
        <v/>
      </c>
      <c r="R311" s="90" t="str">
        <f t="shared" si="117"/>
        <v/>
      </c>
      <c r="S311" s="37" t="str">
        <f t="shared" si="109"/>
        <v/>
      </c>
      <c r="T311" s="176" t="str">
        <f>IF(L311="","",VLOOKUP(L311,classifications!C:K,9,FALSE))</f>
        <v/>
      </c>
      <c r="U311" s="183" t="str">
        <f t="shared" si="101"/>
        <v/>
      </c>
      <c r="V311" s="184" t="str">
        <f>IF(U311="","",IF($I$8="A",(RANK(U311,U$11:U$368)+COUNTIF(U$11:U311,U311)-1),(RANK(U311,U$11:U$368,1)+COUNTIF(U$11:U311,U311)-1)))</f>
        <v/>
      </c>
      <c r="W311" s="185"/>
      <c r="X311" s="38" t="str">
        <f>IF(L311="","",VLOOKUP($L311,classifications!$C:$J,6,FALSE))</f>
        <v/>
      </c>
      <c r="Y311" s="26" t="b">
        <f t="shared" si="102"/>
        <v>0</v>
      </c>
      <c r="Z311" s="34" t="e">
        <f>IF(Y311="","",IF(I$8="A",(RANK(Y311,Y$11:Y$368,1)+COUNTIF(Y$11:Y311,Y311)-1),(RANK(Y311,Y$11:Y$368)+COUNTIF(Y$11:Y311,Y311)-1)))</f>
        <v>#N/A</v>
      </c>
      <c r="AA311" s="188" t="str">
        <f>IF(L311="","",VLOOKUP($L311,classifications!C:I,7,FALSE))</f>
        <v/>
      </c>
      <c r="AB311" s="184" t="str">
        <f t="shared" si="110"/>
        <v/>
      </c>
      <c r="AC311" s="184" t="str">
        <f>IF(AB311="","",IF($I$8="A",(RANK(AB311,AB$11:AB$368)+COUNTIF(AB$11:AB311,AB311)-1),(RANK(AB311,AB$11:AB$368,1)+COUNTIF(AB$11:AB311,AB311)-1)))</f>
        <v/>
      </c>
      <c r="AD311" s="184"/>
      <c r="AE311" s="28" t="str">
        <f t="shared" si="119"/>
        <v/>
      </c>
      <c r="AG311" s="96"/>
      <c r="AH311" s="29"/>
      <c r="AI311" s="38" t="str">
        <f>IF(L311="","",VLOOKUP($L311,classifications!$C:$J,8,FALSE))</f>
        <v/>
      </c>
      <c r="AJ311" s="39" t="str">
        <f t="shared" si="103"/>
        <v/>
      </c>
      <c r="AK311" s="34" t="str">
        <f>IF(AJ311="","",IF(I$8="A",(RANK(AJ311,AJ$11:AJ$368,1)+COUNTIF(AJ$11:AJ311,AJ311)-1),(RANK(AJ311,AJ$11:AJ$368)+COUNTIF(AJ$11:AJ311,AJ311)-1)))</f>
        <v/>
      </c>
      <c r="AL311" s="29" t="str">
        <f t="shared" si="111"/>
        <v/>
      </c>
      <c r="AM311" s="8" t="str">
        <f t="shared" si="104"/>
        <v/>
      </c>
      <c r="AN311" s="8" t="str">
        <f t="shared" si="112"/>
        <v/>
      </c>
      <c r="AP311" s="38" t="str">
        <f>IF(L311="","",VLOOKUP($L311,classifications!$C:$E,3,FALSE))</f>
        <v/>
      </c>
      <c r="AQ311" s="39" t="str">
        <f t="shared" si="113"/>
        <v/>
      </c>
      <c r="AR311" s="34" t="str">
        <f>IF(AQ311="","",IF(I$8="A",(RANK(AQ311,AQ$11:AQ$368,1)+COUNTIF(AQ$11:AQ311,AQ311)-1),(RANK(AQ311,AQ$11:AQ$368)+COUNTIF(AQ$11:AQ311,AQ311)-1)))</f>
        <v/>
      </c>
      <c r="AS311" s="29" t="str">
        <f t="shared" si="114"/>
        <v/>
      </c>
      <c r="AT311" s="34" t="str">
        <f t="shared" si="105"/>
        <v/>
      </c>
      <c r="AU311" s="39" t="str">
        <f t="shared" si="118"/>
        <v/>
      </c>
      <c r="AX311" s="21">
        <f>HLOOKUP($AX$9&amp;$AX$10,Data!$A$1:$ZZ$2000,(MATCH($C311,Data!$A$1:$A$2000,0)),FALSE)</f>
        <v>9.445777512017397</v>
      </c>
      <c r="AY311" s="103"/>
      <c r="AZ311" s="21"/>
    </row>
    <row r="312" spans="1:52">
      <c r="A312" s="56" t="str">
        <f>$D$1&amp;302</f>
        <v>SC302</v>
      </c>
      <c r="B312" s="57">
        <f>IF(ISERROR(VLOOKUP(A312,classifications!A:C,3,FALSE)),0,VLOOKUP(A312,classifications!A:C,3,FALSE))</f>
        <v>0</v>
      </c>
      <c r="C312" s="8" t="s">
        <v>163</v>
      </c>
      <c r="D312" s="26" t="str">
        <f>VLOOKUP($C312,classifications!$C:$J,4,FALSE)</f>
        <v>SD</v>
      </c>
      <c r="E312" s="26" t="str">
        <f>VLOOKUP(C312,classifications!C:K,9,FALSE)</f>
        <v>Sparse</v>
      </c>
      <c r="F312" s="36">
        <f t="shared" si="97"/>
        <v>0</v>
      </c>
      <c r="G312" s="71"/>
      <c r="H312" s="37" t="str">
        <f t="shared" si="98"/>
        <v/>
      </c>
      <c r="I312" s="77" t="str">
        <f>IF(H312="","",IF($I$8="A",(RANK(H312,H$11:H$368,1)+COUNTIF(H$11:H312,H312)-1),(RANK(H312,H$11:H$368)+COUNTIF(H$11:H312,H312)-1)))</f>
        <v/>
      </c>
      <c r="J312" s="35"/>
      <c r="K312" s="28" t="str">
        <f t="shared" si="106"/>
        <v/>
      </c>
      <c r="L312" s="36" t="str">
        <f t="shared" si="99"/>
        <v/>
      </c>
      <c r="M312" s="102" t="str">
        <f t="shared" si="107"/>
        <v/>
      </c>
      <c r="N312" s="101" t="str">
        <f t="shared" si="108"/>
        <v/>
      </c>
      <c r="O312" s="94" t="str">
        <f t="shared" si="100"/>
        <v/>
      </c>
      <c r="P312" s="94" t="str">
        <f t="shared" si="115"/>
        <v/>
      </c>
      <c r="Q312" s="94" t="str">
        <f t="shared" si="116"/>
        <v/>
      </c>
      <c r="R312" s="90" t="str">
        <f t="shared" si="117"/>
        <v/>
      </c>
      <c r="S312" s="37" t="str">
        <f t="shared" si="109"/>
        <v/>
      </c>
      <c r="T312" s="176" t="str">
        <f>IF(L312="","",VLOOKUP(L312,classifications!C:K,9,FALSE))</f>
        <v/>
      </c>
      <c r="U312" s="183" t="str">
        <f t="shared" si="101"/>
        <v/>
      </c>
      <c r="V312" s="184" t="str">
        <f>IF(U312="","",IF($I$8="A",(RANK(U312,U$11:U$368)+COUNTIF(U$11:U312,U312)-1),(RANK(U312,U$11:U$368,1)+COUNTIF(U$11:U312,U312)-1)))</f>
        <v/>
      </c>
      <c r="W312" s="185"/>
      <c r="X312" s="38" t="str">
        <f>IF(L312="","",VLOOKUP($L312,classifications!$C:$J,6,FALSE))</f>
        <v/>
      </c>
      <c r="Y312" s="26" t="b">
        <f t="shared" si="102"/>
        <v>0</v>
      </c>
      <c r="Z312" s="34" t="e">
        <f>IF(Y312="","",IF(I$8="A",(RANK(Y312,Y$11:Y$368,1)+COUNTIF(Y$11:Y312,Y312)-1),(RANK(Y312,Y$11:Y$368)+COUNTIF(Y$11:Y312,Y312)-1)))</f>
        <v>#N/A</v>
      </c>
      <c r="AA312" s="188" t="str">
        <f>IF(L312="","",VLOOKUP($L312,classifications!C:I,7,FALSE))</f>
        <v/>
      </c>
      <c r="AB312" s="184" t="str">
        <f t="shared" si="110"/>
        <v/>
      </c>
      <c r="AC312" s="184" t="str">
        <f>IF(AB312="","",IF($I$8="A",(RANK(AB312,AB$11:AB$368)+COUNTIF(AB$11:AB312,AB312)-1),(RANK(AB312,AB$11:AB$368,1)+COUNTIF(AB$11:AB312,AB312)-1)))</f>
        <v/>
      </c>
      <c r="AD312" s="184"/>
      <c r="AE312" s="28" t="str">
        <f t="shared" si="119"/>
        <v/>
      </c>
      <c r="AG312" s="96"/>
      <c r="AH312" s="29"/>
      <c r="AI312" s="38" t="str">
        <f>IF(L312="","",VLOOKUP($L312,classifications!$C:$J,8,FALSE))</f>
        <v/>
      </c>
      <c r="AJ312" s="39" t="str">
        <f t="shared" si="103"/>
        <v/>
      </c>
      <c r="AK312" s="34" t="str">
        <f>IF(AJ312="","",IF(I$8="A",(RANK(AJ312,AJ$11:AJ$368,1)+COUNTIF(AJ$11:AJ312,AJ312)-1),(RANK(AJ312,AJ$11:AJ$368)+COUNTIF(AJ$11:AJ312,AJ312)-1)))</f>
        <v/>
      </c>
      <c r="AL312" s="29" t="str">
        <f t="shared" si="111"/>
        <v/>
      </c>
      <c r="AM312" s="8" t="str">
        <f t="shared" si="104"/>
        <v/>
      </c>
      <c r="AN312" s="8" t="str">
        <f t="shared" si="112"/>
        <v/>
      </c>
      <c r="AP312" s="38" t="str">
        <f>IF(L312="","",VLOOKUP($L312,classifications!$C:$E,3,FALSE))</f>
        <v/>
      </c>
      <c r="AQ312" s="39" t="str">
        <f t="shared" si="113"/>
        <v/>
      </c>
      <c r="AR312" s="34" t="str">
        <f>IF(AQ312="","",IF(I$8="A",(RANK(AQ312,AQ$11:AQ$368,1)+COUNTIF(AQ$11:AQ312,AQ312)-1),(RANK(AQ312,AQ$11:AQ$368)+COUNTIF(AQ$11:AQ312,AQ312)-1)))</f>
        <v/>
      </c>
      <c r="AS312" s="29" t="str">
        <f t="shared" si="114"/>
        <v/>
      </c>
      <c r="AT312" s="34" t="str">
        <f t="shared" si="105"/>
        <v/>
      </c>
      <c r="AU312" s="39" t="str">
        <f t="shared" si="118"/>
        <v/>
      </c>
      <c r="AX312" s="21">
        <f>HLOOKUP($AX$9&amp;$AX$10,Data!$A$1:$ZZ$2000,(MATCH($C312,Data!$A$1:$A$2000,0)),FALSE)</f>
        <v>0</v>
      </c>
      <c r="AY312" s="103"/>
      <c r="AZ312" s="21"/>
    </row>
    <row r="313" spans="1:52">
      <c r="A313" s="56" t="str">
        <f>$D$1&amp;303</f>
        <v>SC303</v>
      </c>
      <c r="B313" s="57">
        <f>IF(ISERROR(VLOOKUP(A313,classifications!A:C,3,FALSE)),0,VLOOKUP(A313,classifications!A:C,3,FALSE))</f>
        <v>0</v>
      </c>
      <c r="C313" s="8" t="s">
        <v>164</v>
      </c>
      <c r="D313" s="26" t="str">
        <f>VLOOKUP($C313,classifications!$C:$J,4,FALSE)</f>
        <v>SD</v>
      </c>
      <c r="E313" s="26" t="str">
        <f>VLOOKUP(C313,classifications!C:K,9,FALSE)</f>
        <v>Sparse</v>
      </c>
      <c r="F313" s="36">
        <f t="shared" si="97"/>
        <v>20.285435107826554</v>
      </c>
      <c r="G313" s="71"/>
      <c r="H313" s="37" t="str">
        <f t="shared" si="98"/>
        <v/>
      </c>
      <c r="I313" s="77" t="str">
        <f>IF(H313="","",IF($I$8="A",(RANK(H313,H$11:H$368,1)+COUNTIF(H$11:H313,H313)-1),(RANK(H313,H$11:H$368)+COUNTIF(H$11:H313,H313)-1)))</f>
        <v/>
      </c>
      <c r="J313" s="35"/>
      <c r="K313" s="28" t="str">
        <f t="shared" si="106"/>
        <v/>
      </c>
      <c r="L313" s="36" t="str">
        <f t="shared" si="99"/>
        <v/>
      </c>
      <c r="M313" s="102" t="str">
        <f t="shared" si="107"/>
        <v/>
      </c>
      <c r="N313" s="101" t="str">
        <f t="shared" si="108"/>
        <v/>
      </c>
      <c r="O313" s="94" t="str">
        <f t="shared" si="100"/>
        <v/>
      </c>
      <c r="P313" s="94" t="str">
        <f t="shared" si="115"/>
        <v/>
      </c>
      <c r="Q313" s="94" t="str">
        <f t="shared" si="116"/>
        <v/>
      </c>
      <c r="R313" s="90" t="str">
        <f t="shared" si="117"/>
        <v/>
      </c>
      <c r="S313" s="37" t="str">
        <f t="shared" si="109"/>
        <v/>
      </c>
      <c r="T313" s="176" t="str">
        <f>IF(L313="","",VLOOKUP(L313,classifications!C:K,9,FALSE))</f>
        <v/>
      </c>
      <c r="U313" s="183" t="str">
        <f t="shared" si="101"/>
        <v/>
      </c>
      <c r="V313" s="184" t="str">
        <f>IF(U313="","",IF($I$8="A",(RANK(U313,U$11:U$368)+COUNTIF(U$11:U313,U313)-1),(RANK(U313,U$11:U$368,1)+COUNTIF(U$11:U313,U313)-1)))</f>
        <v/>
      </c>
      <c r="W313" s="185"/>
      <c r="X313" s="38" t="str">
        <f>IF(L313="","",VLOOKUP($L313,classifications!$C:$J,6,FALSE))</f>
        <v/>
      </c>
      <c r="Y313" s="26" t="b">
        <f t="shared" si="102"/>
        <v>0</v>
      </c>
      <c r="Z313" s="34" t="e">
        <f>IF(Y313="","",IF(I$8="A",(RANK(Y313,Y$11:Y$368,1)+COUNTIF(Y$11:Y313,Y313)-1),(RANK(Y313,Y$11:Y$368)+COUNTIF(Y$11:Y313,Y313)-1)))</f>
        <v>#N/A</v>
      </c>
      <c r="AA313" s="188" t="str">
        <f>IF(L313="","",VLOOKUP($L313,classifications!C:I,7,FALSE))</f>
        <v/>
      </c>
      <c r="AB313" s="184" t="str">
        <f t="shared" si="110"/>
        <v/>
      </c>
      <c r="AC313" s="184" t="str">
        <f>IF(AB313="","",IF($I$8="A",(RANK(AB313,AB$11:AB$368)+COUNTIF(AB$11:AB313,AB313)-1),(RANK(AB313,AB$11:AB$368,1)+COUNTIF(AB$11:AB313,AB313)-1)))</f>
        <v/>
      </c>
      <c r="AD313" s="184"/>
      <c r="AE313" s="28" t="str">
        <f t="shared" si="119"/>
        <v/>
      </c>
      <c r="AG313" s="96"/>
      <c r="AH313" s="29"/>
      <c r="AI313" s="38" t="str">
        <f>IF(L313="","",VLOOKUP($L313,classifications!$C:$J,8,FALSE))</f>
        <v/>
      </c>
      <c r="AJ313" s="39" t="str">
        <f t="shared" si="103"/>
        <v/>
      </c>
      <c r="AK313" s="34" t="str">
        <f>IF(AJ313="","",IF(I$8="A",(RANK(AJ313,AJ$11:AJ$368,1)+COUNTIF(AJ$11:AJ313,AJ313)-1),(RANK(AJ313,AJ$11:AJ$368)+COUNTIF(AJ$11:AJ313,AJ313)-1)))</f>
        <v/>
      </c>
      <c r="AL313" s="29" t="str">
        <f t="shared" si="111"/>
        <v/>
      </c>
      <c r="AM313" s="8" t="str">
        <f t="shared" si="104"/>
        <v/>
      </c>
      <c r="AN313" s="8" t="str">
        <f t="shared" si="112"/>
        <v/>
      </c>
      <c r="AP313" s="38" t="str">
        <f>IF(L313="","",VLOOKUP($L313,classifications!$C:$E,3,FALSE))</f>
        <v/>
      </c>
      <c r="AQ313" s="39" t="str">
        <f t="shared" si="113"/>
        <v/>
      </c>
      <c r="AR313" s="34" t="str">
        <f>IF(AQ313="","",IF(I$8="A",(RANK(AQ313,AQ$11:AQ$368,1)+COUNTIF(AQ$11:AQ313,AQ313)-1),(RANK(AQ313,AQ$11:AQ$368)+COUNTIF(AQ$11:AQ313,AQ313)-1)))</f>
        <v/>
      </c>
      <c r="AS313" s="29" t="str">
        <f t="shared" si="114"/>
        <v/>
      </c>
      <c r="AT313" s="34" t="str">
        <f t="shared" si="105"/>
        <v/>
      </c>
      <c r="AU313" s="39" t="str">
        <f t="shared" si="118"/>
        <v/>
      </c>
      <c r="AX313" s="21">
        <f>HLOOKUP($AX$9&amp;$AX$10,Data!$A$1:$ZZ$2000,(MATCH($C313,Data!$A$1:$A$2000,0)),FALSE)</f>
        <v>20.285435107826554</v>
      </c>
      <c r="AY313" s="103"/>
      <c r="AZ313" s="21"/>
    </row>
    <row r="314" spans="1:52">
      <c r="A314" s="56" t="str">
        <f>$D$1&amp;304</f>
        <v>SC304</v>
      </c>
      <c r="B314" s="57">
        <f>IF(ISERROR(VLOOKUP(A314,classifications!A:C,3,FALSE)),0,VLOOKUP(A314,classifications!A:C,3,FALSE))</f>
        <v>0</v>
      </c>
      <c r="C314" s="8" t="s">
        <v>813</v>
      </c>
      <c r="D314" s="26" t="str">
        <f>VLOOKUP($C314,classifications!$C:$J,4,FALSE)</f>
        <v>UA</v>
      </c>
      <c r="E314" s="26">
        <f>VLOOKUP(C314,classifications!C:K,9,FALSE)</f>
        <v>0</v>
      </c>
      <c r="F314" s="36">
        <f t="shared" si="97"/>
        <v>16.401174799939319</v>
      </c>
      <c r="G314" s="71"/>
      <c r="H314" s="37" t="str">
        <f t="shared" si="98"/>
        <v/>
      </c>
      <c r="I314" s="77" t="str">
        <f>IF(H314="","",IF($I$8="A",(RANK(H314,H$11:H$368,1)+COUNTIF(H$11:H314,H314)-1),(RANK(H314,H$11:H$368)+COUNTIF(H$11:H314,H314)-1)))</f>
        <v/>
      </c>
      <c r="J314" s="35"/>
      <c r="K314" s="28" t="str">
        <f t="shared" si="106"/>
        <v/>
      </c>
      <c r="L314" s="36" t="str">
        <f t="shared" si="99"/>
        <v/>
      </c>
      <c r="M314" s="102" t="str">
        <f t="shared" si="107"/>
        <v/>
      </c>
      <c r="N314" s="101" t="str">
        <f t="shared" si="108"/>
        <v/>
      </c>
      <c r="O314" s="94" t="str">
        <f t="shared" si="100"/>
        <v/>
      </c>
      <c r="P314" s="94" t="str">
        <f t="shared" si="115"/>
        <v/>
      </c>
      <c r="Q314" s="94" t="str">
        <f t="shared" si="116"/>
        <v/>
      </c>
      <c r="R314" s="90" t="str">
        <f t="shared" si="117"/>
        <v/>
      </c>
      <c r="S314" s="37" t="str">
        <f t="shared" si="109"/>
        <v/>
      </c>
      <c r="T314" s="176" t="str">
        <f>IF(L314="","",VLOOKUP(L314,classifications!C:K,9,FALSE))</f>
        <v/>
      </c>
      <c r="U314" s="183" t="str">
        <f t="shared" si="101"/>
        <v/>
      </c>
      <c r="V314" s="184" t="str">
        <f>IF(U314="","",IF($I$8="A",(RANK(U314,U$11:U$368)+COUNTIF(U$11:U314,U314)-1),(RANK(U314,U$11:U$368,1)+COUNTIF(U$11:U314,U314)-1)))</f>
        <v/>
      </c>
      <c r="W314" s="185"/>
      <c r="X314" s="38" t="str">
        <f>IF(L314="","",VLOOKUP($L314,classifications!$C:$J,6,FALSE))</f>
        <v/>
      </c>
      <c r="Y314" s="26" t="b">
        <f t="shared" si="102"/>
        <v>0</v>
      </c>
      <c r="Z314" s="34" t="e">
        <f>IF(Y314="","",IF(I$8="A",(RANK(Y314,Y$11:Y$368,1)+COUNTIF(Y$11:Y314,Y314)-1),(RANK(Y314,Y$11:Y$368)+COUNTIF(Y$11:Y314,Y314)-1)))</f>
        <v>#N/A</v>
      </c>
      <c r="AA314" s="188" t="str">
        <f>IF(L314="","",VLOOKUP($L314,classifications!C:I,7,FALSE))</f>
        <v/>
      </c>
      <c r="AB314" s="184" t="str">
        <f t="shared" si="110"/>
        <v/>
      </c>
      <c r="AC314" s="184" t="str">
        <f>IF(AB314="","",IF($I$8="A",(RANK(AB314,AB$11:AB$368)+COUNTIF(AB$11:AB314,AB314)-1),(RANK(AB314,AB$11:AB$368,1)+COUNTIF(AB$11:AB314,AB314)-1)))</f>
        <v/>
      </c>
      <c r="AD314" s="184"/>
      <c r="AE314" s="28" t="str">
        <f t="shared" si="119"/>
        <v/>
      </c>
      <c r="AG314" s="96"/>
      <c r="AH314" s="29"/>
      <c r="AI314" s="38" t="str">
        <f>IF(L314="","",VLOOKUP($L314,classifications!$C:$J,8,FALSE))</f>
        <v/>
      </c>
      <c r="AJ314" s="39" t="str">
        <f t="shared" si="103"/>
        <v/>
      </c>
      <c r="AK314" s="34" t="str">
        <f>IF(AJ314="","",IF(I$8="A",(RANK(AJ314,AJ$11:AJ$368,1)+COUNTIF(AJ$11:AJ314,AJ314)-1),(RANK(AJ314,AJ$11:AJ$368)+COUNTIF(AJ$11:AJ314,AJ314)-1)))</f>
        <v/>
      </c>
      <c r="AL314" s="29" t="str">
        <f t="shared" si="111"/>
        <v/>
      </c>
      <c r="AM314" s="8" t="str">
        <f t="shared" si="104"/>
        <v/>
      </c>
      <c r="AN314" s="8" t="str">
        <f t="shared" si="112"/>
        <v/>
      </c>
      <c r="AP314" s="38" t="str">
        <f>IF(L314="","",VLOOKUP($L314,classifications!$C:$E,3,FALSE))</f>
        <v/>
      </c>
      <c r="AQ314" s="39" t="str">
        <f t="shared" si="113"/>
        <v/>
      </c>
      <c r="AR314" s="34" t="str">
        <f>IF(AQ314="","",IF(I$8="A",(RANK(AQ314,AQ$11:AQ$368,1)+COUNTIF(AQ$11:AQ314,AQ314)-1),(RANK(AQ314,AQ$11:AQ$368)+COUNTIF(AQ$11:AQ314,AQ314)-1)))</f>
        <v/>
      </c>
      <c r="AS314" s="29" t="str">
        <f t="shared" si="114"/>
        <v/>
      </c>
      <c r="AT314" s="34" t="str">
        <f t="shared" si="105"/>
        <v/>
      </c>
      <c r="AU314" s="39" t="str">
        <f t="shared" si="118"/>
        <v/>
      </c>
      <c r="AX314" s="21">
        <f>HLOOKUP($AX$9&amp;$AX$10,Data!$A$1:$ZZ$2000,(MATCH($C314,Data!$A$1:$A$2000,0)),FALSE)</f>
        <v>16.401174799939319</v>
      </c>
      <c r="AY314" s="103"/>
      <c r="AZ314" s="21"/>
    </row>
    <row r="315" spans="1:52">
      <c r="A315" s="56" t="str">
        <f>$D$1&amp;305</f>
        <v>SC305</v>
      </c>
      <c r="B315" s="57">
        <f>IF(ISERROR(VLOOKUP(A315,classifications!A:C,3,FALSE)),0,VLOOKUP(A315,classifications!A:C,3,FALSE))</f>
        <v>0</v>
      </c>
      <c r="C315" s="8" t="s">
        <v>165</v>
      </c>
      <c r="D315" s="26" t="str">
        <f>VLOOKUP($C315,classifications!$C:$J,4,FALSE)</f>
        <v>SD</v>
      </c>
      <c r="E315" s="26">
        <f>VLOOKUP(C315,classifications!C:K,9,FALSE)</f>
        <v>0</v>
      </c>
      <c r="F315" s="36">
        <f t="shared" si="97"/>
        <v>14.052643515410274</v>
      </c>
      <c r="G315" s="71"/>
      <c r="H315" s="37" t="str">
        <f t="shared" si="98"/>
        <v/>
      </c>
      <c r="I315" s="77" t="str">
        <f>IF(H315="","",IF($I$8="A",(RANK(H315,H$11:H$368,1)+COUNTIF(H$11:H315,H315)-1),(RANK(H315,H$11:H$368)+COUNTIF(H$11:H315,H315)-1)))</f>
        <v/>
      </c>
      <c r="J315" s="35"/>
      <c r="K315" s="28" t="str">
        <f t="shared" si="106"/>
        <v/>
      </c>
      <c r="L315" s="36" t="str">
        <f t="shared" si="99"/>
        <v/>
      </c>
      <c r="M315" s="102" t="str">
        <f t="shared" si="107"/>
        <v/>
      </c>
      <c r="N315" s="101" t="str">
        <f t="shared" si="108"/>
        <v/>
      </c>
      <c r="O315" s="94" t="str">
        <f t="shared" si="100"/>
        <v/>
      </c>
      <c r="P315" s="94" t="str">
        <f t="shared" si="115"/>
        <v/>
      </c>
      <c r="Q315" s="94" t="str">
        <f t="shared" si="116"/>
        <v/>
      </c>
      <c r="R315" s="90" t="str">
        <f t="shared" si="117"/>
        <v/>
      </c>
      <c r="S315" s="37" t="str">
        <f t="shared" si="109"/>
        <v/>
      </c>
      <c r="T315" s="176" t="str">
        <f>IF(L315="","",VLOOKUP(L315,classifications!C:K,9,FALSE))</f>
        <v/>
      </c>
      <c r="U315" s="183" t="str">
        <f t="shared" si="101"/>
        <v/>
      </c>
      <c r="V315" s="184" t="str">
        <f>IF(U315="","",IF($I$8="A",(RANK(U315,U$11:U$368)+COUNTIF(U$11:U315,U315)-1),(RANK(U315,U$11:U$368,1)+COUNTIF(U$11:U315,U315)-1)))</f>
        <v/>
      </c>
      <c r="W315" s="185"/>
      <c r="X315" s="38" t="str">
        <f>IF(L315="","",VLOOKUP($L315,classifications!$C:$J,6,FALSE))</f>
        <v/>
      </c>
      <c r="Y315" s="26" t="b">
        <f t="shared" si="102"/>
        <v>0</v>
      </c>
      <c r="Z315" s="34" t="e">
        <f>IF(Y315="","",IF(I$8="A",(RANK(Y315,Y$11:Y$368,1)+COUNTIF(Y$11:Y315,Y315)-1),(RANK(Y315,Y$11:Y$368)+COUNTIF(Y$11:Y315,Y315)-1)))</f>
        <v>#N/A</v>
      </c>
      <c r="AA315" s="188" t="str">
        <f>IF(L315="","",VLOOKUP($L315,classifications!C:I,7,FALSE))</f>
        <v/>
      </c>
      <c r="AB315" s="184" t="str">
        <f t="shared" si="110"/>
        <v/>
      </c>
      <c r="AC315" s="184" t="str">
        <f>IF(AB315="","",IF($I$8="A",(RANK(AB315,AB$11:AB$368)+COUNTIF(AB$11:AB315,AB315)-1),(RANK(AB315,AB$11:AB$368,1)+COUNTIF(AB$11:AB315,AB315)-1)))</f>
        <v/>
      </c>
      <c r="AD315" s="184"/>
      <c r="AE315" s="28" t="str">
        <f t="shared" si="119"/>
        <v/>
      </c>
      <c r="AG315" s="96"/>
      <c r="AH315" s="29"/>
      <c r="AI315" s="38" t="str">
        <f>IF(L315="","",VLOOKUP($L315,classifications!$C:$J,8,FALSE))</f>
        <v/>
      </c>
      <c r="AJ315" s="39" t="str">
        <f t="shared" si="103"/>
        <v/>
      </c>
      <c r="AK315" s="34" t="str">
        <f>IF(AJ315="","",IF(I$8="A",(RANK(AJ315,AJ$11:AJ$368,1)+COUNTIF(AJ$11:AJ315,AJ315)-1),(RANK(AJ315,AJ$11:AJ$368)+COUNTIF(AJ$11:AJ315,AJ315)-1)))</f>
        <v/>
      </c>
      <c r="AL315" s="29" t="str">
        <f t="shared" si="111"/>
        <v/>
      </c>
      <c r="AM315" s="8" t="str">
        <f t="shared" si="104"/>
        <v/>
      </c>
      <c r="AN315" s="8" t="str">
        <f t="shared" si="112"/>
        <v/>
      </c>
      <c r="AP315" s="38" t="str">
        <f>IF(L315="","",VLOOKUP($L315,classifications!$C:$E,3,FALSE))</f>
        <v/>
      </c>
      <c r="AQ315" s="39" t="str">
        <f t="shared" si="113"/>
        <v/>
      </c>
      <c r="AR315" s="34" t="str">
        <f>IF(AQ315="","",IF(I$8="A",(RANK(AQ315,AQ$11:AQ$368,1)+COUNTIF(AQ$11:AQ315,AQ315)-1),(RANK(AQ315,AQ$11:AQ$368)+COUNTIF(AQ$11:AQ315,AQ315)-1)))</f>
        <v/>
      </c>
      <c r="AS315" s="29" t="str">
        <f t="shared" si="114"/>
        <v/>
      </c>
      <c r="AT315" s="34" t="str">
        <f t="shared" si="105"/>
        <v/>
      </c>
      <c r="AU315" s="39" t="str">
        <f t="shared" si="118"/>
        <v/>
      </c>
      <c r="AX315" s="21">
        <f>HLOOKUP($AX$9&amp;$AX$10,Data!$A$1:$ZZ$2000,(MATCH($C315,Data!$A$1:$A$2000,0)),FALSE)</f>
        <v>14.052643515410274</v>
      </c>
      <c r="AY315" s="103"/>
      <c r="AZ315" s="21"/>
    </row>
    <row r="316" spans="1:52">
      <c r="A316" s="56" t="str">
        <f>$D$1&amp;306</f>
        <v>SC306</v>
      </c>
      <c r="B316" s="57">
        <f>IF(ISERROR(VLOOKUP(A316,classifications!A:C,3,FALSE)),0,VLOOKUP(A316,classifications!A:C,3,FALSE))</f>
        <v>0</v>
      </c>
      <c r="C316" s="8" t="s">
        <v>166</v>
      </c>
      <c r="D316" s="26" t="str">
        <f>VLOOKUP($C316,classifications!$C:$J,4,FALSE)</f>
        <v>SD</v>
      </c>
      <c r="E316" s="26">
        <f>VLOOKUP(C316,classifications!C:K,9,FALSE)</f>
        <v>0</v>
      </c>
      <c r="F316" s="36">
        <f t="shared" si="97"/>
        <v>14.397984359067486</v>
      </c>
      <c r="G316" s="71"/>
      <c r="H316" s="37" t="str">
        <f t="shared" si="98"/>
        <v/>
      </c>
      <c r="I316" s="77" t="str">
        <f>IF(H316="","",IF($I$8="A",(RANK(H316,H$11:H$368,1)+COUNTIF(H$11:H316,H316)-1),(RANK(H316,H$11:H$368)+COUNTIF(H$11:H316,H316)-1)))</f>
        <v/>
      </c>
      <c r="J316" s="35"/>
      <c r="K316" s="28" t="str">
        <f t="shared" si="106"/>
        <v/>
      </c>
      <c r="L316" s="36" t="str">
        <f t="shared" si="99"/>
        <v/>
      </c>
      <c r="M316" s="102" t="str">
        <f t="shared" si="107"/>
        <v/>
      </c>
      <c r="N316" s="101" t="str">
        <f t="shared" si="108"/>
        <v/>
      </c>
      <c r="O316" s="94" t="str">
        <f t="shared" si="100"/>
        <v/>
      </c>
      <c r="P316" s="94" t="str">
        <f t="shared" si="115"/>
        <v/>
      </c>
      <c r="Q316" s="94" t="str">
        <f t="shared" si="116"/>
        <v/>
      </c>
      <c r="R316" s="90" t="str">
        <f t="shared" si="117"/>
        <v/>
      </c>
      <c r="S316" s="37" t="str">
        <f t="shared" si="109"/>
        <v/>
      </c>
      <c r="T316" s="176" t="str">
        <f>IF(L316="","",VLOOKUP(L316,classifications!C:K,9,FALSE))</f>
        <v/>
      </c>
      <c r="U316" s="183" t="str">
        <f t="shared" si="101"/>
        <v/>
      </c>
      <c r="V316" s="184" t="str">
        <f>IF(U316="","",IF($I$8="A",(RANK(U316,U$11:U$368)+COUNTIF(U$11:U316,U316)-1),(RANK(U316,U$11:U$368,1)+COUNTIF(U$11:U316,U316)-1)))</f>
        <v/>
      </c>
      <c r="W316" s="185"/>
      <c r="X316" s="38" t="str">
        <f>IF(L316="","",VLOOKUP($L316,classifications!$C:$J,6,FALSE))</f>
        <v/>
      </c>
      <c r="Y316" s="26" t="b">
        <f t="shared" si="102"/>
        <v>0</v>
      </c>
      <c r="Z316" s="34" t="e">
        <f>IF(Y316="","",IF(I$8="A",(RANK(Y316,Y$11:Y$368,1)+COUNTIF(Y$11:Y316,Y316)-1),(RANK(Y316,Y$11:Y$368)+COUNTIF(Y$11:Y316,Y316)-1)))</f>
        <v>#N/A</v>
      </c>
      <c r="AA316" s="188" t="str">
        <f>IF(L316="","",VLOOKUP($L316,classifications!C:I,7,FALSE))</f>
        <v/>
      </c>
      <c r="AB316" s="184" t="str">
        <f t="shared" si="110"/>
        <v/>
      </c>
      <c r="AC316" s="184" t="str">
        <f>IF(AB316="","",IF($I$8="A",(RANK(AB316,AB$11:AB$368)+COUNTIF(AB$11:AB316,AB316)-1),(RANK(AB316,AB$11:AB$368,1)+COUNTIF(AB$11:AB316,AB316)-1)))</f>
        <v/>
      </c>
      <c r="AD316" s="184"/>
      <c r="AE316" s="28" t="str">
        <f t="shared" si="119"/>
        <v/>
      </c>
      <c r="AG316" s="96"/>
      <c r="AH316" s="29"/>
      <c r="AI316" s="38" t="str">
        <f>IF(L316="","",VLOOKUP($L316,classifications!$C:$J,8,FALSE))</f>
        <v/>
      </c>
      <c r="AJ316" s="39" t="str">
        <f t="shared" si="103"/>
        <v/>
      </c>
      <c r="AK316" s="34" t="str">
        <f>IF(AJ316="","",IF(I$8="A",(RANK(AJ316,AJ$11:AJ$368,1)+COUNTIF(AJ$11:AJ316,AJ316)-1),(RANK(AJ316,AJ$11:AJ$368)+COUNTIF(AJ$11:AJ316,AJ316)-1)))</f>
        <v/>
      </c>
      <c r="AL316" s="29" t="str">
        <f t="shared" si="111"/>
        <v/>
      </c>
      <c r="AM316" s="8" t="str">
        <f t="shared" si="104"/>
        <v/>
      </c>
      <c r="AN316" s="8" t="str">
        <f t="shared" si="112"/>
        <v/>
      </c>
      <c r="AP316" s="38" t="str">
        <f>IF(L316="","",VLOOKUP($L316,classifications!$C:$E,3,FALSE))</f>
        <v/>
      </c>
      <c r="AQ316" s="39" t="str">
        <f t="shared" si="113"/>
        <v/>
      </c>
      <c r="AR316" s="34" t="str">
        <f>IF(AQ316="","",IF(I$8="A",(RANK(AQ316,AQ$11:AQ$368,1)+COUNTIF(AQ$11:AQ316,AQ316)-1),(RANK(AQ316,AQ$11:AQ$368)+COUNTIF(AQ$11:AQ316,AQ316)-1)))</f>
        <v/>
      </c>
      <c r="AS316" s="29" t="str">
        <f t="shared" si="114"/>
        <v/>
      </c>
      <c r="AT316" s="34" t="str">
        <f t="shared" si="105"/>
        <v/>
      </c>
      <c r="AU316" s="39" t="str">
        <f t="shared" si="118"/>
        <v/>
      </c>
      <c r="AX316" s="21">
        <f>HLOOKUP($AX$9&amp;$AX$10,Data!$A$1:$ZZ$2000,(MATCH($C316,Data!$A$1:$A$2000,0)),FALSE)</f>
        <v>14.397984359067486</v>
      </c>
      <c r="AY316" s="103"/>
      <c r="AZ316" s="21"/>
    </row>
    <row r="317" spans="1:52">
      <c r="A317" s="56" t="str">
        <f>$D$1&amp;307</f>
        <v>SC307</v>
      </c>
      <c r="B317" s="57">
        <f>IF(ISERROR(VLOOKUP(A317,classifications!A:C,3,FALSE)),0,VLOOKUP(A317,classifications!A:C,3,FALSE))</f>
        <v>0</v>
      </c>
      <c r="C317" s="8" t="s">
        <v>167</v>
      </c>
      <c r="D317" s="26" t="str">
        <f>VLOOKUP($C317,classifications!$C:$J,4,FALSE)</f>
        <v>SD</v>
      </c>
      <c r="E317" s="26" t="str">
        <f>VLOOKUP(C317,classifications!C:K,9,FALSE)</f>
        <v>Sparse</v>
      </c>
      <c r="F317" s="36">
        <f t="shared" si="97"/>
        <v>16.876143304020886</v>
      </c>
      <c r="G317" s="71"/>
      <c r="H317" s="37" t="str">
        <f t="shared" si="98"/>
        <v/>
      </c>
      <c r="I317" s="77" t="str">
        <f>IF(H317="","",IF($I$8="A",(RANK(H317,H$11:H$368,1)+COUNTIF(H$11:H317,H317)-1),(RANK(H317,H$11:H$368)+COUNTIF(H$11:H317,H317)-1)))</f>
        <v/>
      </c>
      <c r="J317" s="35"/>
      <c r="K317" s="28" t="str">
        <f t="shared" si="106"/>
        <v/>
      </c>
      <c r="L317" s="36" t="str">
        <f t="shared" si="99"/>
        <v/>
      </c>
      <c r="M317" s="102" t="str">
        <f t="shared" si="107"/>
        <v/>
      </c>
      <c r="N317" s="101" t="str">
        <f t="shared" si="108"/>
        <v/>
      </c>
      <c r="O317" s="94" t="str">
        <f t="shared" si="100"/>
        <v/>
      </c>
      <c r="P317" s="94" t="str">
        <f t="shared" si="115"/>
        <v/>
      </c>
      <c r="Q317" s="94" t="str">
        <f t="shared" si="116"/>
        <v/>
      </c>
      <c r="R317" s="90" t="str">
        <f t="shared" si="117"/>
        <v/>
      </c>
      <c r="S317" s="37" t="str">
        <f t="shared" si="109"/>
        <v/>
      </c>
      <c r="T317" s="176" t="str">
        <f>IF(L317="","",VLOOKUP(L317,classifications!C:K,9,FALSE))</f>
        <v/>
      </c>
      <c r="U317" s="183" t="str">
        <f t="shared" si="101"/>
        <v/>
      </c>
      <c r="V317" s="184" t="str">
        <f>IF(U317="","",IF($I$8="A",(RANK(U317,U$11:U$368)+COUNTIF(U$11:U317,U317)-1),(RANK(U317,U$11:U$368,1)+COUNTIF(U$11:U317,U317)-1)))</f>
        <v/>
      </c>
      <c r="W317" s="185"/>
      <c r="X317" s="38" t="str">
        <f>IF(L317="","",VLOOKUP($L317,classifications!$C:$J,6,FALSE))</f>
        <v/>
      </c>
      <c r="Y317" s="26" t="b">
        <f t="shared" si="102"/>
        <v>0</v>
      </c>
      <c r="Z317" s="34" t="e">
        <f>IF(Y317="","",IF(I$8="A",(RANK(Y317,Y$11:Y$368,1)+COUNTIF(Y$11:Y317,Y317)-1),(RANK(Y317,Y$11:Y$368)+COUNTIF(Y$11:Y317,Y317)-1)))</f>
        <v>#N/A</v>
      </c>
      <c r="AA317" s="188" t="str">
        <f>IF(L317="","",VLOOKUP($L317,classifications!C:I,7,FALSE))</f>
        <v/>
      </c>
      <c r="AB317" s="184" t="str">
        <f t="shared" si="110"/>
        <v/>
      </c>
      <c r="AC317" s="184" t="str">
        <f>IF(AB317="","",IF($I$8="A",(RANK(AB317,AB$11:AB$368)+COUNTIF(AB$11:AB317,AB317)-1),(RANK(AB317,AB$11:AB$368,1)+COUNTIF(AB$11:AB317,AB317)-1)))</f>
        <v/>
      </c>
      <c r="AD317" s="184"/>
      <c r="AE317" s="28" t="str">
        <f t="shared" si="119"/>
        <v/>
      </c>
      <c r="AG317" s="96"/>
      <c r="AH317" s="29"/>
      <c r="AI317" s="38" t="str">
        <f>IF(L317="","",VLOOKUP($L317,classifications!$C:$J,8,FALSE))</f>
        <v/>
      </c>
      <c r="AJ317" s="39" t="str">
        <f t="shared" si="103"/>
        <v/>
      </c>
      <c r="AK317" s="34" t="str">
        <f>IF(AJ317="","",IF(I$8="A",(RANK(AJ317,AJ$11:AJ$368,1)+COUNTIF(AJ$11:AJ317,AJ317)-1),(RANK(AJ317,AJ$11:AJ$368)+COUNTIF(AJ$11:AJ317,AJ317)-1)))</f>
        <v/>
      </c>
      <c r="AL317" s="29" t="str">
        <f t="shared" si="111"/>
        <v/>
      </c>
      <c r="AM317" s="8" t="str">
        <f t="shared" si="104"/>
        <v/>
      </c>
      <c r="AN317" s="8" t="str">
        <f t="shared" si="112"/>
        <v/>
      </c>
      <c r="AP317" s="38" t="str">
        <f>IF(L317="","",VLOOKUP($L317,classifications!$C:$E,3,FALSE))</f>
        <v/>
      </c>
      <c r="AQ317" s="39" t="str">
        <f t="shared" si="113"/>
        <v/>
      </c>
      <c r="AR317" s="34" t="str">
        <f>IF(AQ317="","",IF(I$8="A",(RANK(AQ317,AQ$11:AQ$368,1)+COUNTIF(AQ$11:AQ317,AQ317)-1),(RANK(AQ317,AQ$11:AQ$368)+COUNTIF(AQ$11:AQ317,AQ317)-1)))</f>
        <v/>
      </c>
      <c r="AS317" s="29" t="str">
        <f t="shared" si="114"/>
        <v/>
      </c>
      <c r="AT317" s="34" t="str">
        <f t="shared" si="105"/>
        <v/>
      </c>
      <c r="AU317" s="39" t="str">
        <f t="shared" si="118"/>
        <v/>
      </c>
      <c r="AX317" s="21">
        <f>HLOOKUP($AX$9&amp;$AX$10,Data!$A$1:$ZZ$2000,(MATCH($C317,Data!$A$1:$A$2000,0)),FALSE)</f>
        <v>16.876143304020886</v>
      </c>
      <c r="AY317" s="103"/>
      <c r="AZ317" s="21"/>
    </row>
    <row r="318" spans="1:52">
      <c r="A318" s="56" t="str">
        <f>$D$1&amp;308</f>
        <v>SC308</v>
      </c>
      <c r="B318" s="57">
        <f>IF(ISERROR(VLOOKUP(A318,classifications!A:C,3,FALSE)),0,VLOOKUP(A318,classifications!A:C,3,FALSE))</f>
        <v>0</v>
      </c>
      <c r="C318" s="8" t="s">
        <v>168</v>
      </c>
      <c r="D318" s="26" t="str">
        <f>VLOOKUP($C318,classifications!$C:$J,4,FALSE)</f>
        <v>SD</v>
      </c>
      <c r="E318" s="26">
        <f>VLOOKUP(C318,classifications!C:K,9,FALSE)</f>
        <v>0</v>
      </c>
      <c r="F318" s="36">
        <f t="shared" si="97"/>
        <v>14.534249620300505</v>
      </c>
      <c r="G318" s="71"/>
      <c r="H318" s="37" t="str">
        <f t="shared" si="98"/>
        <v/>
      </c>
      <c r="I318" s="77" t="str">
        <f>IF(H318="","",IF($I$8="A",(RANK(H318,H$11:H$368,1)+COUNTIF(H$11:H318,H318)-1),(RANK(H318,H$11:H$368)+COUNTIF(H$11:H318,H318)-1)))</f>
        <v/>
      </c>
      <c r="J318" s="35"/>
      <c r="K318" s="28" t="str">
        <f t="shared" si="106"/>
        <v/>
      </c>
      <c r="L318" s="36" t="str">
        <f t="shared" si="99"/>
        <v/>
      </c>
      <c r="M318" s="102" t="str">
        <f t="shared" si="107"/>
        <v/>
      </c>
      <c r="N318" s="101" t="str">
        <f t="shared" si="108"/>
        <v/>
      </c>
      <c r="O318" s="94" t="str">
        <f t="shared" si="100"/>
        <v/>
      </c>
      <c r="P318" s="94" t="str">
        <f t="shared" si="115"/>
        <v/>
      </c>
      <c r="Q318" s="94" t="str">
        <f t="shared" si="116"/>
        <v/>
      </c>
      <c r="R318" s="90" t="str">
        <f t="shared" si="117"/>
        <v/>
      </c>
      <c r="S318" s="37" t="str">
        <f t="shared" si="109"/>
        <v/>
      </c>
      <c r="T318" s="176" t="str">
        <f>IF(L318="","",VLOOKUP(L318,classifications!C:K,9,FALSE))</f>
        <v/>
      </c>
      <c r="U318" s="183" t="str">
        <f t="shared" si="101"/>
        <v/>
      </c>
      <c r="V318" s="184" t="str">
        <f>IF(U318="","",IF($I$8="A",(RANK(U318,U$11:U$368)+COUNTIF(U$11:U318,U318)-1),(RANK(U318,U$11:U$368,1)+COUNTIF(U$11:U318,U318)-1)))</f>
        <v/>
      </c>
      <c r="W318" s="185"/>
      <c r="X318" s="38" t="str">
        <f>IF(L318="","",VLOOKUP($L318,classifications!$C:$J,6,FALSE))</f>
        <v/>
      </c>
      <c r="Y318" s="26" t="b">
        <f t="shared" si="102"/>
        <v>0</v>
      </c>
      <c r="Z318" s="34" t="e">
        <f>IF(Y318="","",IF(I$8="A",(RANK(Y318,Y$11:Y$368,1)+COUNTIF(Y$11:Y318,Y318)-1),(RANK(Y318,Y$11:Y$368)+COUNTIF(Y$11:Y318,Y318)-1)))</f>
        <v>#N/A</v>
      </c>
      <c r="AA318" s="188" t="str">
        <f>IF(L318="","",VLOOKUP($L318,classifications!C:I,7,FALSE))</f>
        <v/>
      </c>
      <c r="AB318" s="184" t="str">
        <f t="shared" si="110"/>
        <v/>
      </c>
      <c r="AC318" s="184" t="str">
        <f>IF(AB318="","",IF($I$8="A",(RANK(AB318,AB$11:AB$368)+COUNTIF(AB$11:AB318,AB318)-1),(RANK(AB318,AB$11:AB$368,1)+COUNTIF(AB$11:AB318,AB318)-1)))</f>
        <v/>
      </c>
      <c r="AD318" s="184"/>
      <c r="AE318" s="28" t="str">
        <f t="shared" si="119"/>
        <v/>
      </c>
      <c r="AG318" s="96"/>
      <c r="AH318" s="29"/>
      <c r="AI318" s="38" t="str">
        <f>IF(L318="","",VLOOKUP($L318,classifications!$C:$J,8,FALSE))</f>
        <v/>
      </c>
      <c r="AJ318" s="39" t="str">
        <f t="shared" si="103"/>
        <v/>
      </c>
      <c r="AK318" s="34" t="str">
        <f>IF(AJ318="","",IF(I$8="A",(RANK(AJ318,AJ$11:AJ$368,1)+COUNTIF(AJ$11:AJ318,AJ318)-1),(RANK(AJ318,AJ$11:AJ$368)+COUNTIF(AJ$11:AJ318,AJ318)-1)))</f>
        <v/>
      </c>
      <c r="AL318" s="29" t="str">
        <f t="shared" si="111"/>
        <v/>
      </c>
      <c r="AM318" s="8" t="str">
        <f t="shared" si="104"/>
        <v/>
      </c>
      <c r="AN318" s="8" t="str">
        <f t="shared" si="112"/>
        <v/>
      </c>
      <c r="AP318" s="38" t="str">
        <f>IF(L318="","",VLOOKUP($L318,classifications!$C:$E,3,FALSE))</f>
        <v/>
      </c>
      <c r="AQ318" s="39" t="str">
        <f t="shared" si="113"/>
        <v/>
      </c>
      <c r="AR318" s="34" t="str">
        <f>IF(AQ318="","",IF(I$8="A",(RANK(AQ318,AQ$11:AQ$368,1)+COUNTIF(AQ$11:AQ318,AQ318)-1),(RANK(AQ318,AQ$11:AQ$368)+COUNTIF(AQ$11:AQ318,AQ318)-1)))</f>
        <v/>
      </c>
      <c r="AS318" s="29" t="str">
        <f t="shared" si="114"/>
        <v/>
      </c>
      <c r="AT318" s="34" t="str">
        <f t="shared" si="105"/>
        <v/>
      </c>
      <c r="AU318" s="39" t="str">
        <f t="shared" si="118"/>
        <v/>
      </c>
      <c r="AX318" s="21">
        <f>HLOOKUP($AX$9&amp;$AX$10,Data!$A$1:$ZZ$2000,(MATCH($C318,Data!$A$1:$A$2000,0)),FALSE)</f>
        <v>14.534249620300505</v>
      </c>
      <c r="AY318" s="103"/>
      <c r="AZ318" s="21"/>
    </row>
    <row r="319" spans="1:52">
      <c r="A319" s="56" t="str">
        <f>$D$1&amp;309</f>
        <v>SC309</v>
      </c>
      <c r="B319" s="57">
        <f>IF(ISERROR(VLOOKUP(A319,classifications!A:C,3,FALSE)),0,VLOOKUP(A319,classifications!A:C,3,FALSE))</f>
        <v>0</v>
      </c>
      <c r="C319" s="8" t="s">
        <v>169</v>
      </c>
      <c r="D319" s="26" t="str">
        <f>VLOOKUP($C319,classifications!$C:$J,4,FALSE)</f>
        <v>SD</v>
      </c>
      <c r="E319" s="26">
        <f>VLOOKUP(C319,classifications!C:K,9,FALSE)</f>
        <v>0</v>
      </c>
      <c r="F319" s="36">
        <f t="shared" si="97"/>
        <v>10.050487133544655</v>
      </c>
      <c r="G319" s="71"/>
      <c r="H319" s="37" t="str">
        <f t="shared" si="98"/>
        <v/>
      </c>
      <c r="I319" s="77" t="str">
        <f>IF(H319="","",IF($I$8="A",(RANK(H319,H$11:H$368,1)+COUNTIF(H$11:H319,H319)-1),(RANK(H319,H$11:H$368)+COUNTIF(H$11:H319,H319)-1)))</f>
        <v/>
      </c>
      <c r="J319" s="35"/>
      <c r="K319" s="28" t="str">
        <f t="shared" si="106"/>
        <v/>
      </c>
      <c r="L319" s="36" t="str">
        <f t="shared" si="99"/>
        <v/>
      </c>
      <c r="M319" s="102" t="str">
        <f t="shared" si="107"/>
        <v/>
      </c>
      <c r="N319" s="101" t="str">
        <f t="shared" si="108"/>
        <v/>
      </c>
      <c r="O319" s="94" t="str">
        <f t="shared" si="100"/>
        <v/>
      </c>
      <c r="P319" s="94" t="str">
        <f t="shared" si="115"/>
        <v/>
      </c>
      <c r="Q319" s="94" t="str">
        <f t="shared" si="116"/>
        <v/>
      </c>
      <c r="R319" s="90" t="str">
        <f t="shared" si="117"/>
        <v/>
      </c>
      <c r="S319" s="37" t="str">
        <f t="shared" si="109"/>
        <v/>
      </c>
      <c r="T319" s="176" t="str">
        <f>IF(L319="","",VLOOKUP(L319,classifications!C:K,9,FALSE))</f>
        <v/>
      </c>
      <c r="U319" s="183" t="str">
        <f t="shared" si="101"/>
        <v/>
      </c>
      <c r="V319" s="184" t="str">
        <f>IF(U319="","",IF($I$8="A",(RANK(U319,U$11:U$368)+COUNTIF(U$11:U319,U319)-1),(RANK(U319,U$11:U$368,1)+COUNTIF(U$11:U319,U319)-1)))</f>
        <v/>
      </c>
      <c r="W319" s="185"/>
      <c r="X319" s="38" t="str">
        <f>IF(L319="","",VLOOKUP($L319,classifications!$C:$J,6,FALSE))</f>
        <v/>
      </c>
      <c r="Y319" s="26" t="b">
        <f t="shared" si="102"/>
        <v>0</v>
      </c>
      <c r="Z319" s="34" t="e">
        <f>IF(Y319="","",IF(I$8="A",(RANK(Y319,Y$11:Y$368,1)+COUNTIF(Y$11:Y319,Y319)-1),(RANK(Y319,Y$11:Y$368)+COUNTIF(Y$11:Y319,Y319)-1)))</f>
        <v>#N/A</v>
      </c>
      <c r="AA319" s="188" t="str">
        <f>IF(L319="","",VLOOKUP($L319,classifications!C:I,7,FALSE))</f>
        <v/>
      </c>
      <c r="AB319" s="184" t="str">
        <f t="shared" si="110"/>
        <v/>
      </c>
      <c r="AC319" s="184" t="str">
        <f>IF(AB319="","",IF($I$8="A",(RANK(AB319,AB$11:AB$368)+COUNTIF(AB$11:AB319,AB319)-1),(RANK(AB319,AB$11:AB$368,1)+COUNTIF(AB$11:AB319,AB319)-1)))</f>
        <v/>
      </c>
      <c r="AD319" s="184"/>
      <c r="AE319" s="28" t="str">
        <f t="shared" si="119"/>
        <v/>
      </c>
      <c r="AG319" s="96"/>
      <c r="AH319" s="29"/>
      <c r="AI319" s="38" t="str">
        <f>IF(L319="","",VLOOKUP($L319,classifications!$C:$J,8,FALSE))</f>
        <v/>
      </c>
      <c r="AJ319" s="39" t="str">
        <f t="shared" si="103"/>
        <v/>
      </c>
      <c r="AK319" s="34" t="str">
        <f>IF(AJ319="","",IF(I$8="A",(RANK(AJ319,AJ$11:AJ$368,1)+COUNTIF(AJ$11:AJ319,AJ319)-1),(RANK(AJ319,AJ$11:AJ$368)+COUNTIF(AJ$11:AJ319,AJ319)-1)))</f>
        <v/>
      </c>
      <c r="AL319" s="29" t="str">
        <f t="shared" si="111"/>
        <v/>
      </c>
      <c r="AM319" s="8" t="str">
        <f t="shared" si="104"/>
        <v/>
      </c>
      <c r="AN319" s="8" t="str">
        <f t="shared" si="112"/>
        <v/>
      </c>
      <c r="AP319" s="38" t="str">
        <f>IF(L319="","",VLOOKUP($L319,classifications!$C:$E,3,FALSE))</f>
        <v/>
      </c>
      <c r="AQ319" s="39" t="str">
        <f t="shared" si="113"/>
        <v/>
      </c>
      <c r="AR319" s="34" t="str">
        <f>IF(AQ319="","",IF(I$8="A",(RANK(AQ319,AQ$11:AQ$368,1)+COUNTIF(AQ$11:AQ319,AQ319)-1),(RANK(AQ319,AQ$11:AQ$368)+COUNTIF(AQ$11:AQ319,AQ319)-1)))</f>
        <v/>
      </c>
      <c r="AS319" s="29" t="str">
        <f t="shared" si="114"/>
        <v/>
      </c>
      <c r="AT319" s="34" t="str">
        <f t="shared" si="105"/>
        <v/>
      </c>
      <c r="AU319" s="39" t="str">
        <f t="shared" si="118"/>
        <v/>
      </c>
      <c r="AX319" s="21">
        <f>HLOOKUP($AX$9&amp;$AX$10,Data!$A$1:$ZZ$2000,(MATCH($C319,Data!$A$1:$A$2000,0)),FALSE)</f>
        <v>10.050487133544655</v>
      </c>
      <c r="AY319" s="103"/>
      <c r="AZ319" s="21"/>
    </row>
    <row r="320" spans="1:52">
      <c r="A320" s="56" t="str">
        <f>$D$1&amp;310</f>
        <v>SC310</v>
      </c>
      <c r="B320" s="57">
        <f>IF(ISERROR(VLOOKUP(A320,classifications!A:C,3,FALSE)),0,VLOOKUP(A320,classifications!A:C,3,FALSE))</f>
        <v>0</v>
      </c>
      <c r="C320" s="8" t="s">
        <v>293</v>
      </c>
      <c r="D320" s="26" t="str">
        <f>VLOOKUP($C320,classifications!$C:$J,4,FALSE)</f>
        <v>UA</v>
      </c>
      <c r="E320" s="26">
        <f>VLOOKUP(C320,classifications!C:K,9,FALSE)</f>
        <v>0</v>
      </c>
      <c r="F320" s="36">
        <f t="shared" si="97"/>
        <v>8.7572399892260808</v>
      </c>
      <c r="G320" s="71"/>
      <c r="H320" s="37" t="str">
        <f t="shared" si="98"/>
        <v/>
      </c>
      <c r="I320" s="77" t="str">
        <f>IF(H320="","",IF($I$8="A",(RANK(H320,H$11:H$368,1)+COUNTIF(H$11:H320,H320)-1),(RANK(H320,H$11:H$368)+COUNTIF(H$11:H320,H320)-1)))</f>
        <v/>
      </c>
      <c r="J320" s="35"/>
      <c r="K320" s="28" t="str">
        <f t="shared" si="106"/>
        <v/>
      </c>
      <c r="L320" s="36" t="str">
        <f t="shared" si="99"/>
        <v/>
      </c>
      <c r="M320" s="102" t="str">
        <f t="shared" si="107"/>
        <v/>
      </c>
      <c r="N320" s="101" t="str">
        <f t="shared" si="108"/>
        <v/>
      </c>
      <c r="O320" s="94" t="str">
        <f t="shared" si="100"/>
        <v/>
      </c>
      <c r="P320" s="94" t="str">
        <f t="shared" si="115"/>
        <v/>
      </c>
      <c r="Q320" s="94" t="str">
        <f t="shared" si="116"/>
        <v/>
      </c>
      <c r="R320" s="90" t="str">
        <f t="shared" si="117"/>
        <v/>
      </c>
      <c r="S320" s="37" t="str">
        <f t="shared" si="109"/>
        <v/>
      </c>
      <c r="T320" s="176" t="str">
        <f>IF(L320="","",VLOOKUP(L320,classifications!C:K,9,FALSE))</f>
        <v/>
      </c>
      <c r="U320" s="183" t="str">
        <f t="shared" si="101"/>
        <v/>
      </c>
      <c r="V320" s="184" t="str">
        <f>IF(U320="","",IF($I$8="A",(RANK(U320,U$11:U$368)+COUNTIF(U$11:U320,U320)-1),(RANK(U320,U$11:U$368,1)+COUNTIF(U$11:U320,U320)-1)))</f>
        <v/>
      </c>
      <c r="W320" s="185"/>
      <c r="X320" s="38" t="str">
        <f>IF(L320="","",VLOOKUP($L320,classifications!$C:$J,6,FALSE))</f>
        <v/>
      </c>
      <c r="Y320" s="26" t="b">
        <f t="shared" si="102"/>
        <v>0</v>
      </c>
      <c r="Z320" s="34" t="e">
        <f>IF(Y320="","",IF(I$8="A",(RANK(Y320,Y$11:Y$368,1)+COUNTIF(Y$11:Y320,Y320)-1),(RANK(Y320,Y$11:Y$368)+COUNTIF(Y$11:Y320,Y320)-1)))</f>
        <v>#N/A</v>
      </c>
      <c r="AA320" s="188" t="str">
        <f>IF(L320="","",VLOOKUP($L320,classifications!C:I,7,FALSE))</f>
        <v/>
      </c>
      <c r="AB320" s="184" t="str">
        <f t="shared" si="110"/>
        <v/>
      </c>
      <c r="AC320" s="184" t="str">
        <f>IF(AB320="","",IF($I$8="A",(RANK(AB320,AB$11:AB$368)+COUNTIF(AB$11:AB320,AB320)-1),(RANK(AB320,AB$11:AB$368,1)+COUNTIF(AB$11:AB320,AB320)-1)))</f>
        <v/>
      </c>
      <c r="AD320" s="184"/>
      <c r="AE320" s="28" t="str">
        <f t="shared" si="119"/>
        <v/>
      </c>
      <c r="AG320" s="96"/>
      <c r="AH320" s="29"/>
      <c r="AI320" s="38" t="str">
        <f>IF(L320="","",VLOOKUP($L320,classifications!$C:$J,8,FALSE))</f>
        <v/>
      </c>
      <c r="AJ320" s="39" t="str">
        <f t="shared" si="103"/>
        <v/>
      </c>
      <c r="AK320" s="34" t="str">
        <f>IF(AJ320="","",IF(I$8="A",(RANK(AJ320,AJ$11:AJ$368,1)+COUNTIF(AJ$11:AJ320,AJ320)-1),(RANK(AJ320,AJ$11:AJ$368)+COUNTIF(AJ$11:AJ320,AJ320)-1)))</f>
        <v/>
      </c>
      <c r="AL320" s="29" t="str">
        <f t="shared" si="111"/>
        <v/>
      </c>
      <c r="AM320" s="8" t="str">
        <f t="shared" si="104"/>
        <v/>
      </c>
      <c r="AN320" s="8" t="str">
        <f t="shared" si="112"/>
        <v/>
      </c>
      <c r="AP320" s="38" t="str">
        <f>IF(L320="","",VLOOKUP($L320,classifications!$C:$E,3,FALSE))</f>
        <v/>
      </c>
      <c r="AQ320" s="39" t="str">
        <f t="shared" si="113"/>
        <v/>
      </c>
      <c r="AR320" s="34" t="str">
        <f>IF(AQ320="","",IF(I$8="A",(RANK(AQ320,AQ$11:AQ$368,1)+COUNTIF(AQ$11:AQ320,AQ320)-1),(RANK(AQ320,AQ$11:AQ$368)+COUNTIF(AQ$11:AQ320,AQ320)-1)))</f>
        <v/>
      </c>
      <c r="AS320" s="29" t="str">
        <f t="shared" si="114"/>
        <v/>
      </c>
      <c r="AT320" s="34" t="str">
        <f t="shared" si="105"/>
        <v/>
      </c>
      <c r="AU320" s="39" t="str">
        <f t="shared" si="118"/>
        <v/>
      </c>
      <c r="AX320" s="21">
        <f>HLOOKUP($AX$9&amp;$AX$10,Data!$A$1:$ZZ$2000,(MATCH($C320,Data!$A$1:$A$2000,0)),FALSE)</f>
        <v>8.7572399892260808</v>
      </c>
      <c r="AY320" s="103"/>
      <c r="AZ320" s="21"/>
    </row>
    <row r="321" spans="1:52">
      <c r="A321" s="56" t="str">
        <f>$D$1&amp;311</f>
        <v>SC311</v>
      </c>
      <c r="B321" s="57">
        <f>IF(ISERROR(VLOOKUP(A321,classifications!A:C,3,FALSE)),0,VLOOKUP(A321,classifications!A:C,3,FALSE))</f>
        <v>0</v>
      </c>
      <c r="C321" s="8" t="s">
        <v>350</v>
      </c>
      <c r="D321" s="26" t="str">
        <f>VLOOKUP($C321,classifications!$C:$J,4,FALSE)</f>
        <v>SD</v>
      </c>
      <c r="E321" s="26">
        <f>VLOOKUP(C321,classifications!C:K,9,FALSE)</f>
        <v>0</v>
      </c>
      <c r="F321" s="36">
        <f t="shared" si="97"/>
        <v>15.065023021064745</v>
      </c>
      <c r="G321" s="71"/>
      <c r="H321" s="37" t="str">
        <f t="shared" si="98"/>
        <v/>
      </c>
      <c r="I321" s="77" t="str">
        <f>IF(H321="","",IF($I$8="A",(RANK(H321,H$11:H$368,1)+COUNTIF(H$11:H321,H321)-1),(RANK(H321,H$11:H$368)+COUNTIF(H$11:H321,H321)-1)))</f>
        <v/>
      </c>
      <c r="J321" s="35"/>
      <c r="K321" s="28" t="str">
        <f t="shared" si="106"/>
        <v/>
      </c>
      <c r="L321" s="36" t="str">
        <f t="shared" si="99"/>
        <v/>
      </c>
      <c r="M321" s="102" t="str">
        <f t="shared" si="107"/>
        <v/>
      </c>
      <c r="N321" s="101" t="str">
        <f t="shared" si="108"/>
        <v/>
      </c>
      <c r="O321" s="94" t="str">
        <f t="shared" si="100"/>
        <v/>
      </c>
      <c r="P321" s="94" t="str">
        <f t="shared" si="115"/>
        <v/>
      </c>
      <c r="Q321" s="94" t="str">
        <f t="shared" si="116"/>
        <v/>
      </c>
      <c r="R321" s="90" t="str">
        <f t="shared" si="117"/>
        <v/>
      </c>
      <c r="S321" s="37" t="str">
        <f t="shared" si="109"/>
        <v/>
      </c>
      <c r="T321" s="176" t="str">
        <f>IF(L321="","",VLOOKUP(L321,classifications!C:K,9,FALSE))</f>
        <v/>
      </c>
      <c r="U321" s="183" t="str">
        <f t="shared" si="101"/>
        <v/>
      </c>
      <c r="V321" s="184" t="str">
        <f>IF(U321="","",IF($I$8="A",(RANK(U321,U$11:U$368)+COUNTIF(U$11:U321,U321)-1),(RANK(U321,U$11:U$368,1)+COUNTIF(U$11:U321,U321)-1)))</f>
        <v/>
      </c>
      <c r="W321" s="185"/>
      <c r="X321" s="38" t="str">
        <f>IF(L321="","",VLOOKUP($L321,classifications!$C:$J,6,FALSE))</f>
        <v/>
      </c>
      <c r="Y321" s="26" t="b">
        <f t="shared" si="102"/>
        <v>0</v>
      </c>
      <c r="Z321" s="34" t="e">
        <f>IF(Y321="","",IF(I$8="A",(RANK(Y321,Y$11:Y$368,1)+COUNTIF(Y$11:Y321,Y321)-1),(RANK(Y321,Y$11:Y$368)+COUNTIF(Y$11:Y321,Y321)-1)))</f>
        <v>#N/A</v>
      </c>
      <c r="AA321" s="188" t="str">
        <f>IF(L321="","",VLOOKUP($L321,classifications!C:I,7,FALSE))</f>
        <v/>
      </c>
      <c r="AB321" s="184" t="str">
        <f t="shared" si="110"/>
        <v/>
      </c>
      <c r="AC321" s="184" t="str">
        <f>IF(AB321="","",IF($I$8="A",(RANK(AB321,AB$11:AB$368)+COUNTIF(AB$11:AB321,AB321)-1),(RANK(AB321,AB$11:AB$368,1)+COUNTIF(AB$11:AB321,AB321)-1)))</f>
        <v/>
      </c>
      <c r="AD321" s="184"/>
      <c r="AE321" s="28" t="str">
        <f t="shared" si="119"/>
        <v/>
      </c>
      <c r="AG321" s="96"/>
      <c r="AH321" s="29"/>
      <c r="AI321" s="38" t="str">
        <f>IF(L321="","",VLOOKUP($L321,classifications!$C:$J,8,FALSE))</f>
        <v/>
      </c>
      <c r="AJ321" s="39" t="str">
        <f t="shared" si="103"/>
        <v/>
      </c>
      <c r="AK321" s="34" t="str">
        <f>IF(AJ321="","",IF(I$8="A",(RANK(AJ321,AJ$11:AJ$368,1)+COUNTIF(AJ$11:AJ321,AJ321)-1),(RANK(AJ321,AJ$11:AJ$368)+COUNTIF(AJ$11:AJ321,AJ321)-1)))</f>
        <v/>
      </c>
      <c r="AL321" s="29" t="str">
        <f t="shared" si="111"/>
        <v/>
      </c>
      <c r="AM321" s="8" t="str">
        <f t="shared" si="104"/>
        <v/>
      </c>
      <c r="AN321" s="8" t="str">
        <f t="shared" si="112"/>
        <v/>
      </c>
      <c r="AP321" s="38" t="str">
        <f>IF(L321="","",VLOOKUP($L321,classifications!$C:$E,3,FALSE))</f>
        <v/>
      </c>
      <c r="AQ321" s="39" t="str">
        <f t="shared" si="113"/>
        <v/>
      </c>
      <c r="AR321" s="34" t="str">
        <f>IF(AQ321="","",IF(I$8="A",(RANK(AQ321,AQ$11:AQ$368,1)+COUNTIF(AQ$11:AQ321,AQ321)-1),(RANK(AQ321,AQ$11:AQ$368)+COUNTIF(AQ$11:AQ321,AQ321)-1)))</f>
        <v/>
      </c>
      <c r="AS321" s="29" t="str">
        <f t="shared" si="114"/>
        <v/>
      </c>
      <c r="AT321" s="34" t="str">
        <f t="shared" si="105"/>
        <v/>
      </c>
      <c r="AU321" s="39" t="str">
        <f t="shared" si="118"/>
        <v/>
      </c>
      <c r="AX321" s="21">
        <f>HLOOKUP($AX$9&amp;$AX$10,Data!$A$1:$ZZ$2000,(MATCH($C321,Data!$A$1:$A$2000,0)),FALSE)</f>
        <v>15.065023021064745</v>
      </c>
      <c r="AY321" s="103"/>
      <c r="AZ321" s="21"/>
    </row>
    <row r="322" spans="1:52">
      <c r="A322" s="56" t="str">
        <f>$D$1&amp;312</f>
        <v>SC312</v>
      </c>
      <c r="B322" s="57">
        <f>IF(ISERROR(VLOOKUP(A322,classifications!A:C,3,FALSE)),0,VLOOKUP(A322,classifications!A:C,3,FALSE))</f>
        <v>0</v>
      </c>
      <c r="C322" s="8" t="s">
        <v>294</v>
      </c>
      <c r="D322" s="26" t="str">
        <f>VLOOKUP($C322,classifications!$C:$J,4,FALSE)</f>
        <v>UA</v>
      </c>
      <c r="E322" s="26">
        <f>VLOOKUP(C322,classifications!C:K,9,FALSE)</f>
        <v>0</v>
      </c>
      <c r="F322" s="36">
        <f t="shared" si="97"/>
        <v>10.577693620067869</v>
      </c>
      <c r="G322" s="71"/>
      <c r="H322" s="37" t="str">
        <f t="shared" si="98"/>
        <v/>
      </c>
      <c r="I322" s="77" t="str">
        <f>IF(H322="","",IF($I$8="A",(RANK(H322,H$11:H$368,1)+COUNTIF(H$11:H322,H322)-1),(RANK(H322,H$11:H$368)+COUNTIF(H$11:H322,H322)-1)))</f>
        <v/>
      </c>
      <c r="J322" s="35"/>
      <c r="K322" s="28" t="str">
        <f t="shared" si="106"/>
        <v/>
      </c>
      <c r="L322" s="36" t="str">
        <f t="shared" si="99"/>
        <v/>
      </c>
      <c r="M322" s="102" t="str">
        <f t="shared" si="107"/>
        <v/>
      </c>
      <c r="N322" s="101" t="str">
        <f t="shared" si="108"/>
        <v/>
      </c>
      <c r="O322" s="94" t="str">
        <f t="shared" si="100"/>
        <v/>
      </c>
      <c r="P322" s="94" t="str">
        <f t="shared" si="115"/>
        <v/>
      </c>
      <c r="Q322" s="94" t="str">
        <f t="shared" si="116"/>
        <v/>
      </c>
      <c r="R322" s="90" t="str">
        <f t="shared" si="117"/>
        <v/>
      </c>
      <c r="S322" s="37" t="str">
        <f t="shared" si="109"/>
        <v/>
      </c>
      <c r="T322" s="176" t="str">
        <f>IF(L322="","",VLOOKUP(L322,classifications!C:K,9,FALSE))</f>
        <v/>
      </c>
      <c r="U322" s="183" t="str">
        <f t="shared" si="101"/>
        <v/>
      </c>
      <c r="V322" s="184" t="str">
        <f>IF(U322="","",IF($I$8="A",(RANK(U322,U$11:U$368)+COUNTIF(U$11:U322,U322)-1),(RANK(U322,U$11:U$368,1)+COUNTIF(U$11:U322,U322)-1)))</f>
        <v/>
      </c>
      <c r="W322" s="185"/>
      <c r="X322" s="38" t="str">
        <f>IF(L322="","",VLOOKUP($L322,classifications!$C:$J,6,FALSE))</f>
        <v/>
      </c>
      <c r="Y322" s="26" t="b">
        <f t="shared" si="102"/>
        <v>0</v>
      </c>
      <c r="Z322" s="34" t="e">
        <f>IF(Y322="","",IF(I$8="A",(RANK(Y322,Y$11:Y$368,1)+COUNTIF(Y$11:Y322,Y322)-1),(RANK(Y322,Y$11:Y$368)+COUNTIF(Y$11:Y322,Y322)-1)))</f>
        <v>#N/A</v>
      </c>
      <c r="AA322" s="188" t="str">
        <f>IF(L322="","",VLOOKUP($L322,classifications!C:I,7,FALSE))</f>
        <v/>
      </c>
      <c r="AB322" s="184" t="str">
        <f t="shared" si="110"/>
        <v/>
      </c>
      <c r="AC322" s="184" t="str">
        <f>IF(AB322="","",IF($I$8="A",(RANK(AB322,AB$11:AB$368)+COUNTIF(AB$11:AB322,AB322)-1),(RANK(AB322,AB$11:AB$368,1)+COUNTIF(AB$11:AB322,AB322)-1)))</f>
        <v/>
      </c>
      <c r="AD322" s="184"/>
      <c r="AE322" s="28" t="str">
        <f t="shared" si="119"/>
        <v/>
      </c>
      <c r="AG322" s="96"/>
      <c r="AH322" s="29"/>
      <c r="AI322" s="38" t="str">
        <f>IF(L322="","",VLOOKUP($L322,classifications!$C:$J,8,FALSE))</f>
        <v/>
      </c>
      <c r="AJ322" s="39" t="str">
        <f t="shared" si="103"/>
        <v/>
      </c>
      <c r="AK322" s="34" t="str">
        <f>IF(AJ322="","",IF(I$8="A",(RANK(AJ322,AJ$11:AJ$368,1)+COUNTIF(AJ$11:AJ322,AJ322)-1),(RANK(AJ322,AJ$11:AJ$368)+COUNTIF(AJ$11:AJ322,AJ322)-1)))</f>
        <v/>
      </c>
      <c r="AL322" s="29" t="str">
        <f t="shared" si="111"/>
        <v/>
      </c>
      <c r="AM322" s="8" t="str">
        <f t="shared" si="104"/>
        <v/>
      </c>
      <c r="AN322" s="8" t="str">
        <f t="shared" si="112"/>
        <v/>
      </c>
      <c r="AP322" s="38" t="str">
        <f>IF(L322="","",VLOOKUP($L322,classifications!$C:$E,3,FALSE))</f>
        <v/>
      </c>
      <c r="AQ322" s="39" t="str">
        <f t="shared" si="113"/>
        <v/>
      </c>
      <c r="AR322" s="34" t="str">
        <f>IF(AQ322="","",IF(I$8="A",(RANK(AQ322,AQ$11:AQ$368,1)+COUNTIF(AQ$11:AQ322,AQ322)-1),(RANK(AQ322,AQ$11:AQ$368)+COUNTIF(AQ$11:AQ322,AQ322)-1)))</f>
        <v/>
      </c>
      <c r="AS322" s="29" t="str">
        <f t="shared" si="114"/>
        <v/>
      </c>
      <c r="AT322" s="34" t="str">
        <f t="shared" si="105"/>
        <v/>
      </c>
      <c r="AU322" s="39" t="str">
        <f t="shared" si="118"/>
        <v/>
      </c>
      <c r="AX322" s="21">
        <f>HLOOKUP($AX$9&amp;$AX$10,Data!$A$1:$ZZ$2000,(MATCH($C322,Data!$A$1:$A$2000,0)),FALSE)</f>
        <v>10.577693620067869</v>
      </c>
      <c r="AY322" s="103"/>
      <c r="AZ322" s="21"/>
    </row>
    <row r="323" spans="1:52">
      <c r="A323" s="56" t="str">
        <f>$D$1&amp;313</f>
        <v>SC313</v>
      </c>
      <c r="B323" s="57">
        <f>IF(ISERROR(VLOOKUP(A323,classifications!A:C,3,FALSE)),0,VLOOKUP(A323,classifications!A:C,3,FALSE))</f>
        <v>0</v>
      </c>
      <c r="C323" s="8" t="s">
        <v>170</v>
      </c>
      <c r="D323" s="26" t="str">
        <f>VLOOKUP($C323,classifications!$C:$J,4,FALSE)</f>
        <v>SD</v>
      </c>
      <c r="E323" s="26" t="str">
        <f>VLOOKUP(C323,classifications!C:K,9,FALSE)</f>
        <v>Sparse</v>
      </c>
      <c r="F323" s="36">
        <f t="shared" si="97"/>
        <v>14.513105559307164</v>
      </c>
      <c r="G323" s="71"/>
      <c r="H323" s="37" t="str">
        <f t="shared" si="98"/>
        <v/>
      </c>
      <c r="I323" s="77" t="str">
        <f>IF(H323="","",IF($I$8="A",(RANK(H323,H$11:H$368,1)+COUNTIF(H$11:H323,H323)-1),(RANK(H323,H$11:H$368)+COUNTIF(H$11:H323,H323)-1)))</f>
        <v/>
      </c>
      <c r="J323" s="35"/>
      <c r="K323" s="28" t="str">
        <f t="shared" si="106"/>
        <v/>
      </c>
      <c r="L323" s="36" t="str">
        <f t="shared" si="99"/>
        <v/>
      </c>
      <c r="M323" s="102" t="str">
        <f t="shared" si="107"/>
        <v/>
      </c>
      <c r="N323" s="101" t="str">
        <f t="shared" si="108"/>
        <v/>
      </c>
      <c r="O323" s="94" t="str">
        <f t="shared" si="100"/>
        <v/>
      </c>
      <c r="P323" s="94" t="str">
        <f t="shared" si="115"/>
        <v/>
      </c>
      <c r="Q323" s="94" t="str">
        <f t="shared" si="116"/>
        <v/>
      </c>
      <c r="R323" s="90" t="str">
        <f t="shared" si="117"/>
        <v/>
      </c>
      <c r="S323" s="37" t="str">
        <f t="shared" si="109"/>
        <v/>
      </c>
      <c r="T323" s="176" t="str">
        <f>IF(L323="","",VLOOKUP(L323,classifications!C:K,9,FALSE))</f>
        <v/>
      </c>
      <c r="U323" s="183" t="str">
        <f t="shared" si="101"/>
        <v/>
      </c>
      <c r="V323" s="184" t="str">
        <f>IF(U323="","",IF($I$8="A",(RANK(U323,U$11:U$368)+COUNTIF(U$11:U323,U323)-1),(RANK(U323,U$11:U$368,1)+COUNTIF(U$11:U323,U323)-1)))</f>
        <v/>
      </c>
      <c r="W323" s="185"/>
      <c r="X323" s="38" t="str">
        <f>IF(L323="","",VLOOKUP($L323,classifications!$C:$J,6,FALSE))</f>
        <v/>
      </c>
      <c r="Y323" s="26" t="b">
        <f t="shared" si="102"/>
        <v>0</v>
      </c>
      <c r="Z323" s="34" t="e">
        <f>IF(Y323="","",IF(I$8="A",(RANK(Y323,Y$11:Y$368,1)+COUNTIF(Y$11:Y323,Y323)-1),(RANK(Y323,Y$11:Y$368)+COUNTIF(Y$11:Y323,Y323)-1)))</f>
        <v>#N/A</v>
      </c>
      <c r="AA323" s="188" t="str">
        <f>IF(L323="","",VLOOKUP($L323,classifications!C:I,7,FALSE))</f>
        <v/>
      </c>
      <c r="AB323" s="184" t="str">
        <f t="shared" si="110"/>
        <v/>
      </c>
      <c r="AC323" s="184" t="str">
        <f>IF(AB323="","",IF($I$8="A",(RANK(AB323,AB$11:AB$368)+COUNTIF(AB$11:AB323,AB323)-1),(RANK(AB323,AB$11:AB$368,1)+COUNTIF(AB$11:AB323,AB323)-1)))</f>
        <v/>
      </c>
      <c r="AD323" s="184"/>
      <c r="AE323" s="28" t="str">
        <f t="shared" si="119"/>
        <v/>
      </c>
      <c r="AG323" s="96"/>
      <c r="AH323" s="29"/>
      <c r="AI323" s="38" t="str">
        <f>IF(L323="","",VLOOKUP($L323,classifications!$C:$J,8,FALSE))</f>
        <v/>
      </c>
      <c r="AJ323" s="39" t="str">
        <f t="shared" si="103"/>
        <v/>
      </c>
      <c r="AK323" s="34" t="str">
        <f>IF(AJ323="","",IF(I$8="A",(RANK(AJ323,AJ$11:AJ$368,1)+COUNTIF(AJ$11:AJ323,AJ323)-1),(RANK(AJ323,AJ$11:AJ$368)+COUNTIF(AJ$11:AJ323,AJ323)-1)))</f>
        <v/>
      </c>
      <c r="AL323" s="29" t="str">
        <f t="shared" si="111"/>
        <v/>
      </c>
      <c r="AM323" s="8" t="str">
        <f t="shared" si="104"/>
        <v/>
      </c>
      <c r="AN323" s="8" t="str">
        <f t="shared" si="112"/>
        <v/>
      </c>
      <c r="AP323" s="38" t="str">
        <f>IF(L323="","",VLOOKUP($L323,classifications!$C:$E,3,FALSE))</f>
        <v/>
      </c>
      <c r="AQ323" s="39" t="str">
        <f t="shared" si="113"/>
        <v/>
      </c>
      <c r="AR323" s="34" t="str">
        <f>IF(AQ323="","",IF(I$8="A",(RANK(AQ323,AQ$11:AQ$368,1)+COUNTIF(AQ$11:AQ323,AQ323)-1),(RANK(AQ323,AQ$11:AQ$368)+COUNTIF(AQ$11:AQ323,AQ323)-1)))</f>
        <v/>
      </c>
      <c r="AS323" s="29" t="str">
        <f t="shared" si="114"/>
        <v/>
      </c>
      <c r="AT323" s="34" t="str">
        <f t="shared" si="105"/>
        <v/>
      </c>
      <c r="AU323" s="39" t="str">
        <f t="shared" si="118"/>
        <v/>
      </c>
      <c r="AX323" s="21">
        <f>HLOOKUP($AX$9&amp;$AX$10,Data!$A$1:$ZZ$2000,(MATCH($C323,Data!$A$1:$A$2000,0)),FALSE)</f>
        <v>14.513105559307164</v>
      </c>
      <c r="AY323" s="103"/>
      <c r="AZ323" s="21"/>
    </row>
    <row r="324" spans="1:52">
      <c r="A324" s="56" t="str">
        <f>$D$1&amp;314</f>
        <v>SC314</v>
      </c>
      <c r="B324" s="57">
        <f>IF(ISERROR(VLOOKUP(A324,classifications!A:C,3,FALSE)),0,VLOOKUP(A324,classifications!A:C,3,FALSE))</f>
        <v>0</v>
      </c>
      <c r="C324" s="8" t="s">
        <v>219</v>
      </c>
      <c r="D324" s="26" t="str">
        <f>VLOOKUP($C324,classifications!$C:$J,4,FALSE)</f>
        <v>L</v>
      </c>
      <c r="E324" s="26">
        <f>VLOOKUP(C324,classifications!C:K,9,FALSE)</f>
        <v>0</v>
      </c>
      <c r="F324" s="36">
        <f t="shared" si="97"/>
        <v>22.142727564496365</v>
      </c>
      <c r="G324" s="71"/>
      <c r="H324" s="37" t="str">
        <f t="shared" si="98"/>
        <v/>
      </c>
      <c r="I324" s="77" t="str">
        <f>IF(H324="","",IF($I$8="A",(RANK(H324,H$11:H$368,1)+COUNTIF(H$11:H324,H324)-1),(RANK(H324,H$11:H$368)+COUNTIF(H$11:H324,H324)-1)))</f>
        <v/>
      </c>
      <c r="J324" s="35"/>
      <c r="K324" s="28" t="str">
        <f t="shared" si="106"/>
        <v/>
      </c>
      <c r="L324" s="36" t="str">
        <f t="shared" si="99"/>
        <v/>
      </c>
      <c r="M324" s="102" t="str">
        <f t="shared" si="107"/>
        <v/>
      </c>
      <c r="N324" s="101" t="str">
        <f t="shared" si="108"/>
        <v/>
      </c>
      <c r="O324" s="94" t="str">
        <f t="shared" si="100"/>
        <v/>
      </c>
      <c r="P324" s="94" t="str">
        <f t="shared" si="115"/>
        <v/>
      </c>
      <c r="Q324" s="94" t="str">
        <f t="shared" si="116"/>
        <v/>
      </c>
      <c r="R324" s="90" t="str">
        <f t="shared" si="117"/>
        <v/>
      </c>
      <c r="S324" s="37" t="str">
        <f t="shared" si="109"/>
        <v/>
      </c>
      <c r="T324" s="176" t="str">
        <f>IF(L324="","",VLOOKUP(L324,classifications!C:K,9,FALSE))</f>
        <v/>
      </c>
      <c r="U324" s="183" t="str">
        <f t="shared" si="101"/>
        <v/>
      </c>
      <c r="V324" s="184" t="str">
        <f>IF(U324="","",IF($I$8="A",(RANK(U324,U$11:U$368)+COUNTIF(U$11:U324,U324)-1),(RANK(U324,U$11:U$368,1)+COUNTIF(U$11:U324,U324)-1)))</f>
        <v/>
      </c>
      <c r="W324" s="185"/>
      <c r="X324" s="38" t="str">
        <f>IF(L324="","",VLOOKUP($L324,classifications!$C:$J,6,FALSE))</f>
        <v/>
      </c>
      <c r="Y324" s="26" t="b">
        <f t="shared" si="102"/>
        <v>0</v>
      </c>
      <c r="Z324" s="34" t="e">
        <f>IF(Y324="","",IF(I$8="A",(RANK(Y324,Y$11:Y$368,1)+COUNTIF(Y$11:Y324,Y324)-1),(RANK(Y324,Y$11:Y$368)+COUNTIF(Y$11:Y324,Y324)-1)))</f>
        <v>#N/A</v>
      </c>
      <c r="AA324" s="188" t="str">
        <f>IF(L324="","",VLOOKUP($L324,classifications!C:I,7,FALSE))</f>
        <v/>
      </c>
      <c r="AB324" s="184" t="str">
        <f t="shared" si="110"/>
        <v/>
      </c>
      <c r="AC324" s="184" t="str">
        <f>IF(AB324="","",IF($I$8="A",(RANK(AB324,AB$11:AB$368)+COUNTIF(AB$11:AB324,AB324)-1),(RANK(AB324,AB$11:AB$368,1)+COUNTIF(AB$11:AB324,AB324)-1)))</f>
        <v/>
      </c>
      <c r="AD324" s="184"/>
      <c r="AE324" s="28" t="str">
        <f t="shared" si="119"/>
        <v/>
      </c>
      <c r="AG324" s="96"/>
      <c r="AH324" s="29"/>
      <c r="AI324" s="38" t="str">
        <f>IF(L324="","",VLOOKUP($L324,classifications!$C:$J,8,FALSE))</f>
        <v/>
      </c>
      <c r="AJ324" s="39" t="str">
        <f t="shared" si="103"/>
        <v/>
      </c>
      <c r="AK324" s="34" t="str">
        <f>IF(AJ324="","",IF(I$8="A",(RANK(AJ324,AJ$11:AJ$368,1)+COUNTIF(AJ$11:AJ324,AJ324)-1),(RANK(AJ324,AJ$11:AJ$368)+COUNTIF(AJ$11:AJ324,AJ324)-1)))</f>
        <v/>
      </c>
      <c r="AL324" s="29" t="str">
        <f t="shared" si="111"/>
        <v/>
      </c>
      <c r="AM324" s="8" t="str">
        <f t="shared" si="104"/>
        <v/>
      </c>
      <c r="AN324" s="8" t="str">
        <f t="shared" si="112"/>
        <v/>
      </c>
      <c r="AP324" s="38" t="str">
        <f>IF(L324="","",VLOOKUP($L324,classifications!$C:$E,3,FALSE))</f>
        <v/>
      </c>
      <c r="AQ324" s="39" t="str">
        <f t="shared" si="113"/>
        <v/>
      </c>
      <c r="AR324" s="34" t="str">
        <f>IF(AQ324="","",IF(I$8="A",(RANK(AQ324,AQ$11:AQ$368,1)+COUNTIF(AQ$11:AQ324,AQ324)-1),(RANK(AQ324,AQ$11:AQ$368)+COUNTIF(AQ$11:AQ324,AQ324)-1)))</f>
        <v/>
      </c>
      <c r="AS324" s="29" t="str">
        <f t="shared" si="114"/>
        <v/>
      </c>
      <c r="AT324" s="34" t="str">
        <f t="shared" si="105"/>
        <v/>
      </c>
      <c r="AU324" s="39" t="str">
        <f t="shared" si="118"/>
        <v/>
      </c>
      <c r="AX324" s="21">
        <f>HLOOKUP($AX$9&amp;$AX$10,Data!$A$1:$ZZ$2000,(MATCH($C324,Data!$A$1:$A$2000,0)),FALSE)</f>
        <v>22.142727564496365</v>
      </c>
      <c r="AY324" s="103"/>
      <c r="AZ324" s="21"/>
    </row>
    <row r="325" spans="1:52">
      <c r="A325" s="56" t="str">
        <f>$D$1&amp;315</f>
        <v>SC315</v>
      </c>
      <c r="B325" s="57">
        <f>IF(ISERROR(VLOOKUP(A325,classifications!A:C,3,FALSE)),0,VLOOKUP(A325,classifications!A:C,3,FALSE))</f>
        <v>0</v>
      </c>
      <c r="C325" s="8" t="s">
        <v>252</v>
      </c>
      <c r="D325" s="26" t="str">
        <f>VLOOKUP($C325,classifications!$C:$J,4,FALSE)</f>
        <v>MD</v>
      </c>
      <c r="E325" s="26">
        <f>VLOOKUP(C325,classifications!C:K,9,FALSE)</f>
        <v>0</v>
      </c>
      <c r="F325" s="36">
        <f t="shared" si="97"/>
        <v>15.140867498757132</v>
      </c>
      <c r="G325" s="71"/>
      <c r="H325" s="37" t="str">
        <f t="shared" si="98"/>
        <v/>
      </c>
      <c r="I325" s="77" t="str">
        <f>IF(H325="","",IF($I$8="A",(RANK(H325,H$11:H$368,1)+COUNTIF(H$11:H325,H325)-1),(RANK(H325,H$11:H$368)+COUNTIF(H$11:H325,H325)-1)))</f>
        <v/>
      </c>
      <c r="J325" s="35"/>
      <c r="K325" s="28" t="str">
        <f t="shared" si="106"/>
        <v/>
      </c>
      <c r="L325" s="36" t="str">
        <f t="shared" si="99"/>
        <v/>
      </c>
      <c r="M325" s="102" t="str">
        <f t="shared" si="107"/>
        <v/>
      </c>
      <c r="N325" s="101" t="str">
        <f t="shared" si="108"/>
        <v/>
      </c>
      <c r="O325" s="94" t="str">
        <f t="shared" si="100"/>
        <v/>
      </c>
      <c r="P325" s="94" t="str">
        <f t="shared" si="115"/>
        <v/>
      </c>
      <c r="Q325" s="94" t="str">
        <f t="shared" si="116"/>
        <v/>
      </c>
      <c r="R325" s="90" t="str">
        <f t="shared" si="117"/>
        <v/>
      </c>
      <c r="S325" s="37" t="str">
        <f t="shared" si="109"/>
        <v/>
      </c>
      <c r="T325" s="176" t="str">
        <f>IF(L325="","",VLOOKUP(L325,classifications!C:K,9,FALSE))</f>
        <v/>
      </c>
      <c r="U325" s="183" t="str">
        <f t="shared" si="101"/>
        <v/>
      </c>
      <c r="V325" s="184" t="str">
        <f>IF(U325="","",IF($I$8="A",(RANK(U325,U$11:U$368)+COUNTIF(U$11:U325,U325)-1),(RANK(U325,U$11:U$368,1)+COUNTIF(U$11:U325,U325)-1)))</f>
        <v/>
      </c>
      <c r="W325" s="185"/>
      <c r="X325" s="38" t="str">
        <f>IF(L325="","",VLOOKUP($L325,classifications!$C:$J,6,FALSE))</f>
        <v/>
      </c>
      <c r="Y325" s="26" t="b">
        <f t="shared" si="102"/>
        <v>0</v>
      </c>
      <c r="Z325" s="34" t="e">
        <f>IF(Y325="","",IF(I$8="A",(RANK(Y325,Y$11:Y$368,1)+COUNTIF(Y$11:Y325,Y325)-1),(RANK(Y325,Y$11:Y$368)+COUNTIF(Y$11:Y325,Y325)-1)))</f>
        <v>#N/A</v>
      </c>
      <c r="AA325" s="188" t="str">
        <f>IF(L325="","",VLOOKUP($L325,classifications!C:I,7,FALSE))</f>
        <v/>
      </c>
      <c r="AB325" s="184" t="str">
        <f t="shared" si="110"/>
        <v/>
      </c>
      <c r="AC325" s="184" t="str">
        <f>IF(AB325="","",IF($I$8="A",(RANK(AB325,AB$11:AB$368)+COUNTIF(AB$11:AB325,AB325)-1),(RANK(AB325,AB$11:AB$368,1)+COUNTIF(AB$11:AB325,AB325)-1)))</f>
        <v/>
      </c>
      <c r="AD325" s="184"/>
      <c r="AE325" s="28" t="str">
        <f t="shared" si="119"/>
        <v/>
      </c>
      <c r="AG325" s="96"/>
      <c r="AH325" s="29"/>
      <c r="AI325" s="38" t="str">
        <f>IF(L325="","",VLOOKUP($L325,classifications!$C:$J,8,FALSE))</f>
        <v/>
      </c>
      <c r="AJ325" s="39" t="str">
        <f t="shared" si="103"/>
        <v/>
      </c>
      <c r="AK325" s="34" t="str">
        <f>IF(AJ325="","",IF(I$8="A",(RANK(AJ325,AJ$11:AJ$368,1)+COUNTIF(AJ$11:AJ325,AJ325)-1),(RANK(AJ325,AJ$11:AJ$368)+COUNTIF(AJ$11:AJ325,AJ325)-1)))</f>
        <v/>
      </c>
      <c r="AL325" s="29" t="str">
        <f t="shared" si="111"/>
        <v/>
      </c>
      <c r="AM325" s="8" t="str">
        <f t="shared" si="104"/>
        <v/>
      </c>
      <c r="AN325" s="8" t="str">
        <f t="shared" si="112"/>
        <v/>
      </c>
      <c r="AP325" s="38" t="str">
        <f>IF(L325="","",VLOOKUP($L325,classifications!$C:$E,3,FALSE))</f>
        <v/>
      </c>
      <c r="AQ325" s="39" t="str">
        <f t="shared" si="113"/>
        <v/>
      </c>
      <c r="AR325" s="34" t="str">
        <f>IF(AQ325="","",IF(I$8="A",(RANK(AQ325,AQ$11:AQ$368,1)+COUNTIF(AQ$11:AQ325,AQ325)-1),(RANK(AQ325,AQ$11:AQ$368)+COUNTIF(AQ$11:AQ325,AQ325)-1)))</f>
        <v/>
      </c>
      <c r="AS325" s="29" t="str">
        <f t="shared" si="114"/>
        <v/>
      </c>
      <c r="AT325" s="34" t="str">
        <f t="shared" si="105"/>
        <v/>
      </c>
      <c r="AU325" s="39" t="str">
        <f t="shared" si="118"/>
        <v/>
      </c>
      <c r="AX325" s="21">
        <f>HLOOKUP($AX$9&amp;$AX$10,Data!$A$1:$ZZ$2000,(MATCH($C325,Data!$A$1:$A$2000,0)),FALSE)</f>
        <v>15.140867498757132</v>
      </c>
      <c r="AY325" s="103"/>
      <c r="AZ325" s="21"/>
    </row>
    <row r="326" spans="1:52">
      <c r="A326" s="56" t="str">
        <f>$D$1&amp;316</f>
        <v>SC316</v>
      </c>
      <c r="B326" s="57">
        <f>IF(ISERROR(VLOOKUP(A326,classifications!A:C,3,FALSE)),0,VLOOKUP(A326,classifications!A:C,3,FALSE))</f>
        <v>0</v>
      </c>
      <c r="C326" s="8" t="s">
        <v>171</v>
      </c>
      <c r="D326" s="26" t="str">
        <f>VLOOKUP($C326,classifications!$C:$J,4,FALSE)</f>
        <v>SD</v>
      </c>
      <c r="E326" s="26" t="str">
        <f>VLOOKUP(C326,classifications!C:K,9,FALSE)</f>
        <v>Sparse</v>
      </c>
      <c r="F326" s="36">
        <f t="shared" si="97"/>
        <v>19.371610272790811</v>
      </c>
      <c r="G326" s="71"/>
      <c r="H326" s="37" t="str">
        <f t="shared" si="98"/>
        <v/>
      </c>
      <c r="I326" s="77" t="str">
        <f>IF(H326="","",IF($I$8="A",(RANK(H326,H$11:H$368,1)+COUNTIF(H$11:H326,H326)-1),(RANK(H326,H$11:H$368)+COUNTIF(H$11:H326,H326)-1)))</f>
        <v/>
      </c>
      <c r="J326" s="35"/>
      <c r="K326" s="28" t="str">
        <f t="shared" si="106"/>
        <v/>
      </c>
      <c r="L326" s="36" t="str">
        <f t="shared" si="99"/>
        <v/>
      </c>
      <c r="M326" s="102" t="str">
        <f t="shared" si="107"/>
        <v/>
      </c>
      <c r="N326" s="101" t="str">
        <f t="shared" si="108"/>
        <v/>
      </c>
      <c r="O326" s="94" t="str">
        <f t="shared" si="100"/>
        <v/>
      </c>
      <c r="P326" s="94" t="str">
        <f t="shared" si="115"/>
        <v/>
      </c>
      <c r="Q326" s="94" t="str">
        <f t="shared" si="116"/>
        <v/>
      </c>
      <c r="R326" s="90" t="str">
        <f t="shared" si="117"/>
        <v/>
      </c>
      <c r="S326" s="37" t="str">
        <f t="shared" si="109"/>
        <v/>
      </c>
      <c r="T326" s="176" t="str">
        <f>IF(L326="","",VLOOKUP(L326,classifications!C:K,9,FALSE))</f>
        <v/>
      </c>
      <c r="U326" s="183" t="str">
        <f t="shared" si="101"/>
        <v/>
      </c>
      <c r="V326" s="184" t="str">
        <f>IF(U326="","",IF($I$8="A",(RANK(U326,U$11:U$368)+COUNTIF(U$11:U326,U326)-1),(RANK(U326,U$11:U$368,1)+COUNTIF(U$11:U326,U326)-1)))</f>
        <v/>
      </c>
      <c r="W326" s="185"/>
      <c r="X326" s="38" t="str">
        <f>IF(L326="","",VLOOKUP($L326,classifications!$C:$J,6,FALSE))</f>
        <v/>
      </c>
      <c r="Y326" s="26" t="b">
        <f t="shared" si="102"/>
        <v>0</v>
      </c>
      <c r="Z326" s="34" t="e">
        <f>IF(Y326="","",IF(I$8="A",(RANK(Y326,Y$11:Y$368,1)+COUNTIF(Y$11:Y326,Y326)-1),(RANK(Y326,Y$11:Y$368)+COUNTIF(Y$11:Y326,Y326)-1)))</f>
        <v>#N/A</v>
      </c>
      <c r="AA326" s="188" t="str">
        <f>IF(L326="","",VLOOKUP($L326,classifications!C:I,7,FALSE))</f>
        <v/>
      </c>
      <c r="AB326" s="184" t="str">
        <f t="shared" si="110"/>
        <v/>
      </c>
      <c r="AC326" s="184" t="str">
        <f>IF(AB326="","",IF($I$8="A",(RANK(AB326,AB$11:AB$368)+COUNTIF(AB$11:AB326,AB326)-1),(RANK(AB326,AB$11:AB$368,1)+COUNTIF(AB$11:AB326,AB326)-1)))</f>
        <v/>
      </c>
      <c r="AD326" s="184"/>
      <c r="AE326" s="28" t="str">
        <f t="shared" si="119"/>
        <v/>
      </c>
      <c r="AG326" s="96"/>
      <c r="AH326" s="29"/>
      <c r="AI326" s="38" t="str">
        <f>IF(L326="","",VLOOKUP($L326,classifications!$C:$J,8,FALSE))</f>
        <v/>
      </c>
      <c r="AJ326" s="39" t="str">
        <f t="shared" si="103"/>
        <v/>
      </c>
      <c r="AK326" s="34" t="str">
        <f>IF(AJ326="","",IF(I$8="A",(RANK(AJ326,AJ$11:AJ$368,1)+COUNTIF(AJ$11:AJ326,AJ326)-1),(RANK(AJ326,AJ$11:AJ$368)+COUNTIF(AJ$11:AJ326,AJ326)-1)))</f>
        <v/>
      </c>
      <c r="AL326" s="29" t="str">
        <f t="shared" si="111"/>
        <v/>
      </c>
      <c r="AM326" s="8" t="str">
        <f t="shared" si="104"/>
        <v/>
      </c>
      <c r="AN326" s="8" t="str">
        <f t="shared" si="112"/>
        <v/>
      </c>
      <c r="AP326" s="38" t="str">
        <f>IF(L326="","",VLOOKUP($L326,classifications!$C:$E,3,FALSE))</f>
        <v/>
      </c>
      <c r="AQ326" s="39" t="str">
        <f t="shared" si="113"/>
        <v/>
      </c>
      <c r="AR326" s="34" t="str">
        <f>IF(AQ326="","",IF(I$8="A",(RANK(AQ326,AQ$11:AQ$368,1)+COUNTIF(AQ$11:AQ326,AQ326)-1),(RANK(AQ326,AQ$11:AQ$368)+COUNTIF(AQ$11:AQ326,AQ326)-1)))</f>
        <v/>
      </c>
      <c r="AS326" s="29" t="str">
        <f t="shared" si="114"/>
        <v/>
      </c>
      <c r="AT326" s="34" t="str">
        <f t="shared" si="105"/>
        <v/>
      </c>
      <c r="AU326" s="39" t="str">
        <f t="shared" si="118"/>
        <v/>
      </c>
      <c r="AX326" s="21">
        <f>HLOOKUP($AX$9&amp;$AX$10,Data!$A$1:$ZZ$2000,(MATCH($C326,Data!$A$1:$A$2000,0)),FALSE)</f>
        <v>19.371610272790811</v>
      </c>
      <c r="AY326" s="103"/>
      <c r="AZ326" s="21"/>
    </row>
    <row r="327" spans="1:52">
      <c r="A327" s="56" t="str">
        <f>$D$1&amp;317</f>
        <v>SC317</v>
      </c>
      <c r="B327" s="57">
        <f>IF(ISERROR(VLOOKUP(A327,classifications!A:C,3,FALSE)),0,VLOOKUP(A327,classifications!A:C,3,FALSE))</f>
        <v>0</v>
      </c>
      <c r="C327" s="8" t="s">
        <v>172</v>
      </c>
      <c r="D327" s="26" t="str">
        <f>VLOOKUP($C327,classifications!$C:$J,4,FALSE)</f>
        <v>SD</v>
      </c>
      <c r="E327" s="26" t="str">
        <f>VLOOKUP(C327,classifications!C:K,9,FALSE)</f>
        <v>Sparse</v>
      </c>
      <c r="F327" s="36">
        <f t="shared" si="97"/>
        <v>17.75202026361881</v>
      </c>
      <c r="G327" s="71"/>
      <c r="H327" s="37" t="str">
        <f t="shared" si="98"/>
        <v/>
      </c>
      <c r="I327" s="77" t="str">
        <f>IF(H327="","",IF($I$8="A",(RANK(H327,H$11:H$368,1)+COUNTIF(H$11:H327,H327)-1),(RANK(H327,H$11:H$368)+COUNTIF(H$11:H327,H327)-1)))</f>
        <v/>
      </c>
      <c r="J327" s="35"/>
      <c r="K327" s="28" t="str">
        <f t="shared" si="106"/>
        <v/>
      </c>
      <c r="L327" s="36" t="str">
        <f t="shared" si="99"/>
        <v/>
      </c>
      <c r="M327" s="102" t="str">
        <f t="shared" si="107"/>
        <v/>
      </c>
      <c r="N327" s="101" t="str">
        <f t="shared" si="108"/>
        <v/>
      </c>
      <c r="O327" s="94" t="str">
        <f t="shared" si="100"/>
        <v/>
      </c>
      <c r="P327" s="94" t="str">
        <f t="shared" si="115"/>
        <v/>
      </c>
      <c r="Q327" s="94" t="str">
        <f t="shared" si="116"/>
        <v/>
      </c>
      <c r="R327" s="90" t="str">
        <f t="shared" si="117"/>
        <v/>
      </c>
      <c r="S327" s="37" t="str">
        <f t="shared" si="109"/>
        <v/>
      </c>
      <c r="T327" s="176" t="str">
        <f>IF(L327="","",VLOOKUP(L327,classifications!C:K,9,FALSE))</f>
        <v/>
      </c>
      <c r="U327" s="183" t="str">
        <f t="shared" si="101"/>
        <v/>
      </c>
      <c r="V327" s="184" t="str">
        <f>IF(U327="","",IF($I$8="A",(RANK(U327,U$11:U$368)+COUNTIF(U$11:U327,U327)-1),(RANK(U327,U$11:U$368,1)+COUNTIF(U$11:U327,U327)-1)))</f>
        <v/>
      </c>
      <c r="W327" s="185"/>
      <c r="X327" s="38" t="str">
        <f>IF(L327="","",VLOOKUP($L327,classifications!$C:$J,6,FALSE))</f>
        <v/>
      </c>
      <c r="Y327" s="26" t="b">
        <f t="shared" si="102"/>
        <v>0</v>
      </c>
      <c r="Z327" s="34" t="e">
        <f>IF(Y327="","",IF(I$8="A",(RANK(Y327,Y$11:Y$368,1)+COUNTIF(Y$11:Y327,Y327)-1),(RANK(Y327,Y$11:Y$368)+COUNTIF(Y$11:Y327,Y327)-1)))</f>
        <v>#N/A</v>
      </c>
      <c r="AA327" s="188" t="str">
        <f>IF(L327="","",VLOOKUP($L327,classifications!C:I,7,FALSE))</f>
        <v/>
      </c>
      <c r="AB327" s="184" t="str">
        <f t="shared" si="110"/>
        <v/>
      </c>
      <c r="AC327" s="184" t="str">
        <f>IF(AB327="","",IF($I$8="A",(RANK(AB327,AB$11:AB$368)+COUNTIF(AB$11:AB327,AB327)-1),(RANK(AB327,AB$11:AB$368,1)+COUNTIF(AB$11:AB327,AB327)-1)))</f>
        <v/>
      </c>
      <c r="AD327" s="184"/>
      <c r="AE327" s="28" t="str">
        <f t="shared" si="119"/>
        <v/>
      </c>
      <c r="AG327" s="96"/>
      <c r="AH327" s="29"/>
      <c r="AI327" s="38" t="str">
        <f>IF(L327="","",VLOOKUP($L327,classifications!$C:$J,8,FALSE))</f>
        <v/>
      </c>
      <c r="AJ327" s="39" t="str">
        <f t="shared" si="103"/>
        <v/>
      </c>
      <c r="AK327" s="34" t="str">
        <f>IF(AJ327="","",IF(I$8="A",(RANK(AJ327,AJ$11:AJ$368,1)+COUNTIF(AJ$11:AJ327,AJ327)-1),(RANK(AJ327,AJ$11:AJ$368)+COUNTIF(AJ$11:AJ327,AJ327)-1)))</f>
        <v/>
      </c>
      <c r="AL327" s="29" t="str">
        <f t="shared" si="111"/>
        <v/>
      </c>
      <c r="AM327" s="8" t="str">
        <f t="shared" si="104"/>
        <v/>
      </c>
      <c r="AN327" s="8" t="str">
        <f t="shared" si="112"/>
        <v/>
      </c>
      <c r="AP327" s="38" t="str">
        <f>IF(L327="","",VLOOKUP($L327,classifications!$C:$E,3,FALSE))</f>
        <v/>
      </c>
      <c r="AQ327" s="39" t="str">
        <f t="shared" si="113"/>
        <v/>
      </c>
      <c r="AR327" s="34" t="str">
        <f>IF(AQ327="","",IF(I$8="A",(RANK(AQ327,AQ$11:AQ$368,1)+COUNTIF(AQ$11:AQ327,AQ327)-1),(RANK(AQ327,AQ$11:AQ$368)+COUNTIF(AQ$11:AQ327,AQ327)-1)))</f>
        <v/>
      </c>
      <c r="AS327" s="29" t="str">
        <f t="shared" si="114"/>
        <v/>
      </c>
      <c r="AT327" s="34" t="str">
        <f t="shared" si="105"/>
        <v/>
      </c>
      <c r="AU327" s="39" t="str">
        <f t="shared" si="118"/>
        <v/>
      </c>
      <c r="AX327" s="21">
        <f>HLOOKUP($AX$9&amp;$AX$10,Data!$A$1:$ZZ$2000,(MATCH($C327,Data!$A$1:$A$2000,0)),FALSE)</f>
        <v>17.75202026361881</v>
      </c>
      <c r="AY327" s="103"/>
      <c r="AZ327" s="21"/>
    </row>
    <row r="328" spans="1:52">
      <c r="A328" s="56" t="str">
        <f>$D$1&amp;318</f>
        <v>SC318</v>
      </c>
      <c r="B328" s="57">
        <f>IF(ISERROR(VLOOKUP(A328,classifications!A:C,3,FALSE)),0,VLOOKUP(A328,classifications!A:C,3,FALSE))</f>
        <v>0</v>
      </c>
      <c r="C328" s="8" t="s">
        <v>173</v>
      </c>
      <c r="D328" s="26" t="str">
        <f>VLOOKUP($C328,classifications!$C:$J,4,FALSE)</f>
        <v>SD</v>
      </c>
      <c r="E328" s="26" t="str">
        <f>VLOOKUP(C328,classifications!C:K,9,FALSE)</f>
        <v>Sparse</v>
      </c>
      <c r="F328" s="36">
        <f t="shared" si="97"/>
        <v>26.49842402479166</v>
      </c>
      <c r="G328" s="71"/>
      <c r="H328" s="37" t="str">
        <f t="shared" si="98"/>
        <v/>
      </c>
      <c r="I328" s="77" t="str">
        <f>IF(H328="","",IF($I$8="A",(RANK(H328,H$11:H$368,1)+COUNTIF(H$11:H328,H328)-1),(RANK(H328,H$11:H$368)+COUNTIF(H$11:H328,H328)-1)))</f>
        <v/>
      </c>
      <c r="J328" s="35"/>
      <c r="K328" s="28" t="str">
        <f t="shared" si="106"/>
        <v/>
      </c>
      <c r="L328" s="36" t="str">
        <f t="shared" si="99"/>
        <v/>
      </c>
      <c r="M328" s="102" t="str">
        <f t="shared" si="107"/>
        <v/>
      </c>
      <c r="N328" s="101" t="str">
        <f t="shared" si="108"/>
        <v/>
      </c>
      <c r="O328" s="94" t="str">
        <f t="shared" si="100"/>
        <v/>
      </c>
      <c r="P328" s="94" t="str">
        <f t="shared" si="115"/>
        <v/>
      </c>
      <c r="Q328" s="94" t="str">
        <f t="shared" si="116"/>
        <v/>
      </c>
      <c r="R328" s="90" t="str">
        <f t="shared" si="117"/>
        <v/>
      </c>
      <c r="S328" s="37" t="str">
        <f t="shared" si="109"/>
        <v/>
      </c>
      <c r="T328" s="176" t="str">
        <f>IF(L328="","",VLOOKUP(L328,classifications!C:K,9,FALSE))</f>
        <v/>
      </c>
      <c r="U328" s="183" t="str">
        <f t="shared" si="101"/>
        <v/>
      </c>
      <c r="V328" s="184" t="str">
        <f>IF(U328="","",IF($I$8="A",(RANK(U328,U$11:U$368)+COUNTIF(U$11:U328,U328)-1),(RANK(U328,U$11:U$368,1)+COUNTIF(U$11:U328,U328)-1)))</f>
        <v/>
      </c>
      <c r="W328" s="185"/>
      <c r="X328" s="38" t="str">
        <f>IF(L328="","",VLOOKUP($L328,classifications!$C:$J,6,FALSE))</f>
        <v/>
      </c>
      <c r="Y328" s="26" t="b">
        <f t="shared" si="102"/>
        <v>0</v>
      </c>
      <c r="Z328" s="34" t="e">
        <f>IF(Y328="","",IF(I$8="A",(RANK(Y328,Y$11:Y$368,1)+COUNTIF(Y$11:Y328,Y328)-1),(RANK(Y328,Y$11:Y$368)+COUNTIF(Y$11:Y328,Y328)-1)))</f>
        <v>#N/A</v>
      </c>
      <c r="AA328" s="188" t="str">
        <f>IF(L328="","",VLOOKUP($L328,classifications!C:I,7,FALSE))</f>
        <v/>
      </c>
      <c r="AB328" s="184" t="str">
        <f t="shared" si="110"/>
        <v/>
      </c>
      <c r="AC328" s="184" t="str">
        <f>IF(AB328="","",IF($I$8="A",(RANK(AB328,AB$11:AB$368)+COUNTIF(AB$11:AB328,AB328)-1),(RANK(AB328,AB$11:AB$368,1)+COUNTIF(AB$11:AB328,AB328)-1)))</f>
        <v/>
      </c>
      <c r="AD328" s="184"/>
      <c r="AE328" s="28" t="str">
        <f t="shared" si="119"/>
        <v/>
      </c>
      <c r="AG328" s="96"/>
      <c r="AH328" s="29"/>
      <c r="AI328" s="38" t="str">
        <f>IF(L328="","",VLOOKUP($L328,classifications!$C:$J,8,FALSE))</f>
        <v/>
      </c>
      <c r="AJ328" s="39" t="str">
        <f t="shared" si="103"/>
        <v/>
      </c>
      <c r="AK328" s="34" t="str">
        <f>IF(AJ328="","",IF(I$8="A",(RANK(AJ328,AJ$11:AJ$368,1)+COUNTIF(AJ$11:AJ328,AJ328)-1),(RANK(AJ328,AJ$11:AJ$368)+COUNTIF(AJ$11:AJ328,AJ328)-1)))</f>
        <v/>
      </c>
      <c r="AL328" s="29" t="str">
        <f t="shared" si="111"/>
        <v/>
      </c>
      <c r="AM328" s="8" t="str">
        <f t="shared" si="104"/>
        <v/>
      </c>
      <c r="AN328" s="8" t="str">
        <f t="shared" si="112"/>
        <v/>
      </c>
      <c r="AP328" s="38" t="str">
        <f>IF(L328="","",VLOOKUP($L328,classifications!$C:$E,3,FALSE))</f>
        <v/>
      </c>
      <c r="AQ328" s="39" t="str">
        <f t="shared" si="113"/>
        <v/>
      </c>
      <c r="AR328" s="34" t="str">
        <f>IF(AQ328="","",IF(I$8="A",(RANK(AQ328,AQ$11:AQ$368,1)+COUNTIF(AQ$11:AQ328,AQ328)-1),(RANK(AQ328,AQ$11:AQ$368)+COUNTIF(AQ$11:AQ328,AQ328)-1)))</f>
        <v/>
      </c>
      <c r="AS328" s="29" t="str">
        <f t="shared" si="114"/>
        <v/>
      </c>
      <c r="AT328" s="34" t="str">
        <f t="shared" si="105"/>
        <v/>
      </c>
      <c r="AU328" s="39" t="str">
        <f t="shared" si="118"/>
        <v/>
      </c>
      <c r="AX328" s="21">
        <f>HLOOKUP($AX$9&amp;$AX$10,Data!$A$1:$ZZ$2000,(MATCH($C328,Data!$A$1:$A$2000,0)),FALSE)</f>
        <v>26.49842402479166</v>
      </c>
      <c r="AY328" s="103"/>
      <c r="AZ328" s="21"/>
    </row>
    <row r="329" spans="1:52">
      <c r="A329" s="56" t="str">
        <f>$D$1&amp;319</f>
        <v>SC319</v>
      </c>
      <c r="B329" s="57">
        <f>IF(ISERROR(VLOOKUP(A329,classifications!A:C,3,FALSE)),0,VLOOKUP(A329,classifications!A:C,3,FALSE))</f>
        <v>0</v>
      </c>
      <c r="C329" s="8" t="s">
        <v>253</v>
      </c>
      <c r="D329" s="26" t="str">
        <f>VLOOKUP($C329,classifications!$C:$J,4,FALSE)</f>
        <v>MD</v>
      </c>
      <c r="E329" s="26">
        <f>VLOOKUP(C329,classifications!C:K,9,FALSE)</f>
        <v>0</v>
      </c>
      <c r="F329" s="36">
        <f t="shared" si="97"/>
        <v>12.133830582054697</v>
      </c>
      <c r="G329" s="71"/>
      <c r="H329" s="37" t="str">
        <f t="shared" si="98"/>
        <v/>
      </c>
      <c r="I329" s="77" t="str">
        <f>IF(H329="","",IF($I$8="A",(RANK(H329,H$11:H$368,1)+COUNTIF(H$11:H329,H329)-1),(RANK(H329,H$11:H$368)+COUNTIF(H$11:H329,H329)-1)))</f>
        <v/>
      </c>
      <c r="J329" s="35"/>
      <c r="K329" s="28" t="str">
        <f t="shared" si="106"/>
        <v/>
      </c>
      <c r="L329" s="36" t="str">
        <f t="shared" si="99"/>
        <v/>
      </c>
      <c r="M329" s="102" t="str">
        <f t="shared" si="107"/>
        <v/>
      </c>
      <c r="N329" s="101" t="str">
        <f t="shared" si="108"/>
        <v/>
      </c>
      <c r="O329" s="94" t="str">
        <f t="shared" si="100"/>
        <v/>
      </c>
      <c r="P329" s="94" t="str">
        <f t="shared" si="115"/>
        <v/>
      </c>
      <c r="Q329" s="94" t="str">
        <f t="shared" si="116"/>
        <v/>
      </c>
      <c r="R329" s="90" t="str">
        <f t="shared" si="117"/>
        <v/>
      </c>
      <c r="S329" s="37" t="str">
        <f t="shared" si="109"/>
        <v/>
      </c>
      <c r="T329" s="176" t="str">
        <f>IF(L329="","",VLOOKUP(L329,classifications!C:K,9,FALSE))</f>
        <v/>
      </c>
      <c r="U329" s="183" t="str">
        <f t="shared" si="101"/>
        <v/>
      </c>
      <c r="V329" s="184" t="str">
        <f>IF(U329="","",IF($I$8="A",(RANK(U329,U$11:U$368)+COUNTIF(U$11:U329,U329)-1),(RANK(U329,U$11:U$368,1)+COUNTIF(U$11:U329,U329)-1)))</f>
        <v/>
      </c>
      <c r="W329" s="185"/>
      <c r="X329" s="38" t="str">
        <f>IF(L329="","",VLOOKUP($L329,classifications!$C:$J,6,FALSE))</f>
        <v/>
      </c>
      <c r="Y329" s="26" t="b">
        <f t="shared" si="102"/>
        <v>0</v>
      </c>
      <c r="Z329" s="34" t="e">
        <f>IF(Y329="","",IF(I$8="A",(RANK(Y329,Y$11:Y$368,1)+COUNTIF(Y$11:Y329,Y329)-1),(RANK(Y329,Y$11:Y$368)+COUNTIF(Y$11:Y329,Y329)-1)))</f>
        <v>#N/A</v>
      </c>
      <c r="AA329" s="188" t="str">
        <f>IF(L329="","",VLOOKUP($L329,classifications!C:I,7,FALSE))</f>
        <v/>
      </c>
      <c r="AB329" s="184" t="str">
        <f t="shared" si="110"/>
        <v/>
      </c>
      <c r="AC329" s="184" t="str">
        <f>IF(AB329="","",IF($I$8="A",(RANK(AB329,AB$11:AB$368)+COUNTIF(AB$11:AB329,AB329)-1),(RANK(AB329,AB$11:AB$368,1)+COUNTIF(AB$11:AB329,AB329)-1)))</f>
        <v/>
      </c>
      <c r="AD329" s="184"/>
      <c r="AE329" s="28" t="str">
        <f t="shared" si="119"/>
        <v/>
      </c>
      <c r="AG329" s="96"/>
      <c r="AH329" s="29"/>
      <c r="AI329" s="38" t="str">
        <f>IF(L329="","",VLOOKUP($L329,classifications!$C:$J,8,FALSE))</f>
        <v/>
      </c>
      <c r="AJ329" s="39" t="str">
        <f t="shared" si="103"/>
        <v/>
      </c>
      <c r="AK329" s="34" t="str">
        <f>IF(AJ329="","",IF(I$8="A",(RANK(AJ329,AJ$11:AJ$368,1)+COUNTIF(AJ$11:AJ329,AJ329)-1),(RANK(AJ329,AJ$11:AJ$368)+COUNTIF(AJ$11:AJ329,AJ329)-1)))</f>
        <v/>
      </c>
      <c r="AL329" s="29" t="str">
        <f t="shared" si="111"/>
        <v/>
      </c>
      <c r="AM329" s="8" t="str">
        <f t="shared" si="104"/>
        <v/>
      </c>
      <c r="AN329" s="8" t="str">
        <f t="shared" si="112"/>
        <v/>
      </c>
      <c r="AP329" s="38" t="str">
        <f>IF(L329="","",VLOOKUP($L329,classifications!$C:$E,3,FALSE))</f>
        <v/>
      </c>
      <c r="AQ329" s="39" t="str">
        <f t="shared" si="113"/>
        <v/>
      </c>
      <c r="AR329" s="34" t="str">
        <f>IF(AQ329="","",IF(I$8="A",(RANK(AQ329,AQ$11:AQ$368,1)+COUNTIF(AQ$11:AQ329,AQ329)-1),(RANK(AQ329,AQ$11:AQ$368)+COUNTIF(AQ$11:AQ329,AQ329)-1)))</f>
        <v/>
      </c>
      <c r="AS329" s="29" t="str">
        <f t="shared" si="114"/>
        <v/>
      </c>
      <c r="AT329" s="34" t="str">
        <f t="shared" si="105"/>
        <v/>
      </c>
      <c r="AU329" s="39" t="str">
        <f t="shared" si="118"/>
        <v/>
      </c>
      <c r="AX329" s="21">
        <f>HLOOKUP($AX$9&amp;$AX$10,Data!$A$1:$ZZ$2000,(MATCH($C329,Data!$A$1:$A$2000,0)),FALSE)</f>
        <v>12.133830582054697</v>
      </c>
      <c r="AY329" s="103"/>
      <c r="AZ329" s="21"/>
    </row>
    <row r="330" spans="1:52">
      <c r="A330" s="56" t="str">
        <f>$D$1&amp;320</f>
        <v>SC320</v>
      </c>
      <c r="B330" s="57">
        <f>IF(ISERROR(VLOOKUP(A330,classifications!A:C,3,FALSE)),0,VLOOKUP(A330,classifications!A:C,3,FALSE))</f>
        <v>0</v>
      </c>
      <c r="C330" s="8" t="s">
        <v>254</v>
      </c>
      <c r="D330" s="26" t="str">
        <f>VLOOKUP($C330,classifications!$C:$J,4,FALSE)</f>
        <v>MD</v>
      </c>
      <c r="E330" s="26">
        <f>VLOOKUP(C330,classifications!C:K,9,FALSE)</f>
        <v>0</v>
      </c>
      <c r="F330" s="36">
        <f t="shared" si="97"/>
        <v>8.1257643659947494</v>
      </c>
      <c r="G330" s="71"/>
      <c r="H330" s="37" t="str">
        <f t="shared" si="98"/>
        <v/>
      </c>
      <c r="I330" s="77" t="str">
        <f>IF(H330="","",IF($I$8="A",(RANK(H330,H$11:H$368,1)+COUNTIF(H$11:H330,H330)-1),(RANK(H330,H$11:H$368)+COUNTIF(H$11:H330,H330)-1)))</f>
        <v/>
      </c>
      <c r="J330" s="35"/>
      <c r="K330" s="28" t="str">
        <f t="shared" si="106"/>
        <v/>
      </c>
      <c r="L330" s="36" t="str">
        <f t="shared" si="99"/>
        <v/>
      </c>
      <c r="M330" s="102" t="str">
        <f t="shared" si="107"/>
        <v/>
      </c>
      <c r="N330" s="101" t="str">
        <f t="shared" si="108"/>
        <v/>
      </c>
      <c r="O330" s="94" t="str">
        <f t="shared" si="100"/>
        <v/>
      </c>
      <c r="P330" s="94" t="str">
        <f t="shared" si="115"/>
        <v/>
      </c>
      <c r="Q330" s="94" t="str">
        <f t="shared" si="116"/>
        <v/>
      </c>
      <c r="R330" s="90" t="str">
        <f t="shared" si="117"/>
        <v/>
      </c>
      <c r="S330" s="37" t="str">
        <f t="shared" si="109"/>
        <v/>
      </c>
      <c r="T330" s="176" t="str">
        <f>IF(L330="","",VLOOKUP(L330,classifications!C:K,9,FALSE))</f>
        <v/>
      </c>
      <c r="U330" s="183" t="str">
        <f t="shared" si="101"/>
        <v/>
      </c>
      <c r="V330" s="184" t="str">
        <f>IF(U330="","",IF($I$8="A",(RANK(U330,U$11:U$368)+COUNTIF(U$11:U330,U330)-1),(RANK(U330,U$11:U$368,1)+COUNTIF(U$11:U330,U330)-1)))</f>
        <v/>
      </c>
      <c r="W330" s="185"/>
      <c r="X330" s="38" t="str">
        <f>IF(L330="","",VLOOKUP($L330,classifications!$C:$J,6,FALSE))</f>
        <v/>
      </c>
      <c r="Y330" s="26" t="b">
        <f t="shared" si="102"/>
        <v>0</v>
      </c>
      <c r="Z330" s="34" t="e">
        <f>IF(Y330="","",IF(I$8="A",(RANK(Y330,Y$11:Y$368,1)+COUNTIF(Y$11:Y330,Y330)-1),(RANK(Y330,Y$11:Y$368)+COUNTIF(Y$11:Y330,Y330)-1)))</f>
        <v>#N/A</v>
      </c>
      <c r="AA330" s="188" t="str">
        <f>IF(L330="","",VLOOKUP($L330,classifications!C:I,7,FALSE))</f>
        <v/>
      </c>
      <c r="AB330" s="184" t="str">
        <f t="shared" si="110"/>
        <v/>
      </c>
      <c r="AC330" s="184" t="str">
        <f>IF(AB330="","",IF($I$8="A",(RANK(AB330,AB$11:AB$368)+COUNTIF(AB$11:AB330,AB330)-1),(RANK(AB330,AB$11:AB$368,1)+COUNTIF(AB$11:AB330,AB330)-1)))</f>
        <v/>
      </c>
      <c r="AD330" s="184"/>
      <c r="AE330" s="28" t="str">
        <f t="shared" si="119"/>
        <v/>
      </c>
      <c r="AG330" s="96"/>
      <c r="AH330" s="29"/>
      <c r="AI330" s="38" t="str">
        <f>IF(L330="","",VLOOKUP($L330,classifications!$C:$J,8,FALSE))</f>
        <v/>
      </c>
      <c r="AJ330" s="39" t="str">
        <f t="shared" si="103"/>
        <v/>
      </c>
      <c r="AK330" s="34" t="str">
        <f>IF(AJ330="","",IF(I$8="A",(RANK(AJ330,AJ$11:AJ$368,1)+COUNTIF(AJ$11:AJ330,AJ330)-1),(RANK(AJ330,AJ$11:AJ$368)+COUNTIF(AJ$11:AJ330,AJ330)-1)))</f>
        <v/>
      </c>
      <c r="AL330" s="29" t="str">
        <f t="shared" si="111"/>
        <v/>
      </c>
      <c r="AM330" s="8" t="str">
        <f t="shared" si="104"/>
        <v/>
      </c>
      <c r="AN330" s="8" t="str">
        <f t="shared" si="112"/>
        <v/>
      </c>
      <c r="AP330" s="38" t="str">
        <f>IF(L330="","",VLOOKUP($L330,classifications!$C:$E,3,FALSE))</f>
        <v/>
      </c>
      <c r="AQ330" s="39" t="str">
        <f t="shared" si="113"/>
        <v/>
      </c>
      <c r="AR330" s="34" t="str">
        <f>IF(AQ330="","",IF(I$8="A",(RANK(AQ330,AQ$11:AQ$368,1)+COUNTIF(AQ$11:AQ330,AQ330)-1),(RANK(AQ330,AQ$11:AQ$368)+COUNTIF(AQ$11:AQ330,AQ330)-1)))</f>
        <v/>
      </c>
      <c r="AS330" s="29" t="str">
        <f t="shared" si="114"/>
        <v/>
      </c>
      <c r="AT330" s="34" t="str">
        <f t="shared" si="105"/>
        <v/>
      </c>
      <c r="AU330" s="39" t="str">
        <f t="shared" si="118"/>
        <v/>
      </c>
      <c r="AX330" s="21">
        <f>HLOOKUP($AX$9&amp;$AX$10,Data!$A$1:$ZZ$2000,(MATCH($C330,Data!$A$1:$A$2000,0)),FALSE)</f>
        <v>8.1257643659947494</v>
      </c>
      <c r="AY330" s="103"/>
      <c r="AZ330" s="21"/>
    </row>
    <row r="331" spans="1:52">
      <c r="A331" s="56" t="str">
        <f>$D$1&amp;321</f>
        <v>SC321</v>
      </c>
      <c r="B331" s="57">
        <f>IF(ISERROR(VLOOKUP(A331,classifications!A:C,3,FALSE)),0,VLOOKUP(A331,classifications!A:C,3,FALSE))</f>
        <v>0</v>
      </c>
      <c r="C331" s="8" t="s">
        <v>220</v>
      </c>
      <c r="D331" s="26" t="str">
        <f>VLOOKUP($C331,classifications!$C:$J,4,FALSE)</f>
        <v>L</v>
      </c>
      <c r="E331" s="26">
        <f>VLOOKUP(C331,classifications!C:K,9,FALSE)</f>
        <v>0</v>
      </c>
      <c r="F331" s="36">
        <f t="shared" ref="F331:F368" si="120">HLOOKUP($D$6,AX$10:ZX$368,ROW()-9,FALSE)</f>
        <v>20.067281035326705</v>
      </c>
      <c r="G331" s="71"/>
      <c r="H331" s="37" t="str">
        <f t="shared" ref="H331:H368" si="121">IF(D331=$D$1,HLOOKUP($D$6,$AX$10:$ZZ$368,ROW()-9,FALSE),"")</f>
        <v/>
      </c>
      <c r="I331" s="77" t="str">
        <f>IF(H331="","",IF($I$8="A",(RANK(H331,H$11:H$368,1)+COUNTIF(H$11:H331,H331)-1),(RANK(H331,H$11:H$368)+COUNTIF(H$11:H331,H331)-1)))</f>
        <v/>
      </c>
      <c r="J331" s="35"/>
      <c r="K331" s="28" t="str">
        <f t="shared" si="106"/>
        <v/>
      </c>
      <c r="L331" s="36" t="str">
        <f t="shared" ref="L331:L394" si="122">IF(K331="","",INDEX(C$11:C$368,MATCH(K331,I$11:I$368,0)))</f>
        <v/>
      </c>
      <c r="M331" s="102" t="str">
        <f t="shared" si="107"/>
        <v/>
      </c>
      <c r="N331" s="101" t="str">
        <f t="shared" si="108"/>
        <v/>
      </c>
      <c r="O331" s="94" t="str">
        <f t="shared" ref="O331:O363" si="123">IF(I$8="A",IF(N331&gt;=$P$7,IF(N331&lt;=$O$10,N331,""),""),IF(N331&lt;=$P$7,IF(N331&gt;=$O$10,N331,""),""))</f>
        <v/>
      </c>
      <c r="P331" s="94" t="str">
        <f t="shared" si="115"/>
        <v/>
      </c>
      <c r="Q331" s="94" t="str">
        <f t="shared" si="116"/>
        <v/>
      </c>
      <c r="R331" s="90" t="str">
        <f t="shared" si="117"/>
        <v/>
      </c>
      <c r="S331" s="37" t="str">
        <f t="shared" si="109"/>
        <v/>
      </c>
      <c r="T331" s="176" t="str">
        <f>IF(L331="","",VLOOKUP(L331,classifications!C:K,9,FALSE))</f>
        <v/>
      </c>
      <c r="U331" s="183" t="str">
        <f t="shared" ref="U331:U363" si="124">IF(T331="Sparse",M331,"")</f>
        <v/>
      </c>
      <c r="V331" s="184" t="str">
        <f>IF(U331="","",IF($I$8="A",(RANK(U331,U$11:U$368)+COUNTIF(U$11:U331,U331)-1),(RANK(U331,U$11:U$368,1)+COUNTIF(U$11:U331,U331)-1)))</f>
        <v/>
      </c>
      <c r="W331" s="185"/>
      <c r="X331" s="38" t="str">
        <f>IF(L331="","",VLOOKUP($L331,classifications!$C:$J,6,FALSE))</f>
        <v/>
      </c>
      <c r="Y331" s="26" t="b">
        <f t="shared" ref="Y331:Y363" si="125">IF($D$1="UA",IF(X331="Largely Rural (rural including hub towns 50-79%) ",M331,IF(X331="Mainly Rural (rural including hub towns &gt;=80%) ",M331,IF(X331="Urban with Significant Rural (rural including hub towns 26-49%)",M331,""))),IF($D$1="SD",IF(X331=$H$3,M331,"")))</f>
        <v>0</v>
      </c>
      <c r="Z331" s="34" t="e">
        <f>IF(Y331="","",IF(I$8="A",(RANK(Y331,Y$11:Y$368,1)+COUNTIF(Y$11:Y331,Y331)-1),(RANK(Y331,Y$11:Y$368)+COUNTIF(Y$11:Y331,Y331)-1)))</f>
        <v>#N/A</v>
      </c>
      <c r="AA331" s="188" t="str">
        <f>IF(L331="","",VLOOKUP($L331,classifications!C:I,7,FALSE))</f>
        <v/>
      </c>
      <c r="AB331" s="184" t="str">
        <f t="shared" si="110"/>
        <v/>
      </c>
      <c r="AC331" s="184" t="str">
        <f>IF(AB331="","",IF($I$8="A",(RANK(AB331,AB$11:AB$368)+COUNTIF(AB$11:AB331,AB331)-1),(RANK(AB331,AB$11:AB$368,1)+COUNTIF(AB$11:AB331,AB331)-1)))</f>
        <v/>
      </c>
      <c r="AD331" s="184"/>
      <c r="AE331" s="28" t="str">
        <f t="shared" si="119"/>
        <v/>
      </c>
      <c r="AG331" s="96"/>
      <c r="AH331" s="29"/>
      <c r="AI331" s="38" t="str">
        <f>IF(L331="","",VLOOKUP($L331,classifications!$C:$J,8,FALSE))</f>
        <v/>
      </c>
      <c r="AJ331" s="39" t="str">
        <f t="shared" ref="AJ331:AJ363" si="126">IF(AI331=$I$3,M331,"")</f>
        <v/>
      </c>
      <c r="AK331" s="34" t="str">
        <f>IF(AJ331="","",IF(I$8="A",(RANK(AJ331,AJ$11:AJ$368,1)+COUNTIF(AJ$11:AJ331,AJ331)-1),(RANK(AJ331,AJ$11:AJ$368)+COUNTIF(AJ$11:AJ331,AJ331)-1)))</f>
        <v/>
      </c>
      <c r="AL331" s="29" t="str">
        <f t="shared" si="111"/>
        <v/>
      </c>
      <c r="AM331" s="8" t="str">
        <f t="shared" ref="AM331:AM394" si="127">IF(ISNA(IF(AL331="","",INDEX(L$11:L$368,MATCH(AL331,AK$11:AK$368,0)))),"",(IF(AL331="","",INDEX(L$11:L$368,MATCH(AL331,AK$11:AK$368,0)))))</f>
        <v/>
      </c>
      <c r="AN331" s="8" t="str">
        <f t="shared" si="112"/>
        <v/>
      </c>
      <c r="AP331" s="38" t="str">
        <f>IF(L331="","",VLOOKUP($L331,classifications!$C:$E,3,FALSE))</f>
        <v/>
      </c>
      <c r="AQ331" s="39" t="str">
        <f t="shared" si="113"/>
        <v/>
      </c>
      <c r="AR331" s="34" t="str">
        <f>IF(AQ331="","",IF(I$8="A",(RANK(AQ331,AQ$11:AQ$368,1)+COUNTIF(AQ$11:AQ331,AQ331)-1),(RANK(AQ331,AQ$11:AQ$368)+COUNTIF(AQ$11:AQ331,AQ331)-1)))</f>
        <v/>
      </c>
      <c r="AS331" s="29" t="str">
        <f t="shared" si="114"/>
        <v/>
      </c>
      <c r="AT331" s="34" t="str">
        <f t="shared" ref="AT331:AT394" si="128">IF(AS331="","",INDEX(L$11:L$368,MATCH(AS331,AR$11:AR$368,0)))</f>
        <v/>
      </c>
      <c r="AU331" s="39" t="str">
        <f t="shared" si="118"/>
        <v/>
      </c>
      <c r="AX331" s="21">
        <f>HLOOKUP($AX$9&amp;$AX$10,Data!$A$1:$ZZ$2000,(MATCH($C331,Data!$A$1:$A$2000,0)),FALSE)</f>
        <v>20.067281035326705</v>
      </c>
      <c r="AY331" s="103"/>
      <c r="AZ331" s="21"/>
    </row>
    <row r="332" spans="1:52">
      <c r="A332" s="56" t="str">
        <f>$D$1&amp;322</f>
        <v>SC322</v>
      </c>
      <c r="B332" s="57">
        <f>IF(ISERROR(VLOOKUP(A332,classifications!A:C,3,FALSE)),0,VLOOKUP(A332,classifications!A:C,3,FALSE))</f>
        <v>0</v>
      </c>
      <c r="C332" s="8" t="s">
        <v>221</v>
      </c>
      <c r="D332" s="26" t="str">
        <f>VLOOKUP($C332,classifications!$C:$J,4,FALSE)</f>
        <v>L</v>
      </c>
      <c r="E332" s="26">
        <f>VLOOKUP(C332,classifications!C:K,9,FALSE)</f>
        <v>0</v>
      </c>
      <c r="F332" s="36">
        <f t="shared" si="120"/>
        <v>29.707732026955952</v>
      </c>
      <c r="G332" s="71"/>
      <c r="H332" s="37" t="str">
        <f t="shared" si="121"/>
        <v/>
      </c>
      <c r="I332" s="77" t="str">
        <f>IF(H332="","",IF($I$8="A",(RANK(H332,H$11:H$368,1)+COUNTIF(H$11:H332,H332)-1),(RANK(H332,H$11:H$368)+COUNTIF(H$11:H332,H332)-1)))</f>
        <v/>
      </c>
      <c r="J332" s="35"/>
      <c r="K332" s="28" t="str">
        <f t="shared" ref="K332:K368" si="129">IF(K331="","",IF(K331+1&gt;(COUNT(H$11:H$368)),"",K331+1))</f>
        <v/>
      </c>
      <c r="L332" s="36" t="str">
        <f t="shared" si="122"/>
        <v/>
      </c>
      <c r="M332" s="102" t="str">
        <f t="shared" ref="M332:M363" si="130">IF(L332="","",IF(VLOOKUP(L332,C:D,2,FALSE)=$F$3,VLOOKUP(L332,C:H,6,FALSE),""))</f>
        <v/>
      </c>
      <c r="N332" s="101" t="str">
        <f t="shared" ref="N332:N363" si="131">IF(L332="","",IF($H$8="%%",M332*100,M332))</f>
        <v/>
      </c>
      <c r="O332" s="94" t="str">
        <f t="shared" si="123"/>
        <v/>
      </c>
      <c r="P332" s="94" t="str">
        <f t="shared" si="115"/>
        <v/>
      </c>
      <c r="Q332" s="94" t="str">
        <f t="shared" si="116"/>
        <v/>
      </c>
      <c r="R332" s="90" t="str">
        <f t="shared" si="117"/>
        <v/>
      </c>
      <c r="S332" s="37" t="str">
        <f t="shared" ref="S332:S363" si="132">IF(L332=D$3,"u","")</f>
        <v/>
      </c>
      <c r="T332" s="176" t="str">
        <f>IF(L332="","",VLOOKUP(L332,classifications!C:K,9,FALSE))</f>
        <v/>
      </c>
      <c r="U332" s="183" t="str">
        <f t="shared" si="124"/>
        <v/>
      </c>
      <c r="V332" s="184" t="str">
        <f>IF(U332="","",IF($I$8="A",(RANK(U332,U$11:U$368)+COUNTIF(U$11:U332,U332)-1),(RANK(U332,U$11:U$368,1)+COUNTIF(U$11:U332,U332)-1)))</f>
        <v/>
      </c>
      <c r="W332" s="185"/>
      <c r="X332" s="38" t="str">
        <f>IF(L332="","",VLOOKUP($L332,classifications!$C:$J,6,FALSE))</f>
        <v/>
      </c>
      <c r="Y332" s="26" t="b">
        <f t="shared" si="125"/>
        <v>0</v>
      </c>
      <c r="Z332" s="34" t="e">
        <f>IF(Y332="","",IF(I$8="A",(RANK(Y332,Y$11:Y$368,1)+COUNTIF(Y$11:Y332,Y332)-1),(RANK(Y332,Y$11:Y$368)+COUNTIF(Y$11:Y332,Y332)-1)))</f>
        <v>#N/A</v>
      </c>
      <c r="AA332" s="188" t="str">
        <f>IF(L332="","",VLOOKUP($L332,classifications!C:I,7,FALSE))</f>
        <v/>
      </c>
      <c r="AB332" s="184" t="str">
        <f t="shared" ref="AB332:AB363" si="133">IF(AA332=$J$3,M332,"")</f>
        <v/>
      </c>
      <c r="AC332" s="184" t="str">
        <f>IF(AB332="","",IF($I$8="A",(RANK(AB332,AB$11:AB$368)+COUNTIF(AB$11:AB332,AB332)-1),(RANK(AB332,AB$11:AB$368,1)+COUNTIF(AB$11:AB332,AB332)-1)))</f>
        <v/>
      </c>
      <c r="AD332" s="184"/>
      <c r="AE332" s="28" t="str">
        <f t="shared" si="119"/>
        <v/>
      </c>
      <c r="AG332" s="96"/>
      <c r="AH332" s="29"/>
      <c r="AI332" s="38" t="str">
        <f>IF(L332="","",VLOOKUP($L332,classifications!$C:$J,8,FALSE))</f>
        <v/>
      </c>
      <c r="AJ332" s="39" t="str">
        <f t="shared" si="126"/>
        <v/>
      </c>
      <c r="AK332" s="34" t="str">
        <f>IF(AJ332="","",IF(I$8="A",(RANK(AJ332,AJ$11:AJ$368,1)+COUNTIF(AJ$11:AJ332,AJ332)-1),(RANK(AJ332,AJ$11:AJ$368)+COUNTIF(AJ$11:AJ332,AJ332)-1)))</f>
        <v/>
      </c>
      <c r="AL332" s="29" t="str">
        <f t="shared" ref="AL332:AL368" si="134">IF(AL331="","",IF(AL331+1&gt;(COUNT(AJ$11:AJ$368)),"",AL331+1))</f>
        <v/>
      </c>
      <c r="AM332" s="8" t="str">
        <f t="shared" si="127"/>
        <v/>
      </c>
      <c r="AN332" s="8" t="str">
        <f t="shared" ref="AN332:AN363" si="135">(VLOOKUP(AM332,L:M,2,FALSE))</f>
        <v/>
      </c>
      <c r="AP332" s="38" t="str">
        <f>IF(L332="","",VLOOKUP($L332,classifications!$C:$E,3,FALSE))</f>
        <v/>
      </c>
      <c r="AQ332" s="39" t="str">
        <f t="shared" ref="AQ332:AQ363" si="136">IF(AP332=$G$3,$M332,"")</f>
        <v/>
      </c>
      <c r="AR332" s="34" t="str">
        <f>IF(AQ332="","",IF(I$8="A",(RANK(AQ332,AQ$11:AQ$368,1)+COUNTIF(AQ$11:AQ332,AQ332)-1),(RANK(AQ332,AQ$11:AQ$368)+COUNTIF(AQ$11:AQ332,AQ332)-1)))</f>
        <v/>
      </c>
      <c r="AS332" s="29" t="str">
        <f t="shared" ref="AS332:AS368" si="137">IF(AS331="","",IF(AS331+1&gt;(COUNT(AQ$11:AQ$368)),"",AS331+1))</f>
        <v/>
      </c>
      <c r="AT332" s="34" t="str">
        <f t="shared" si="128"/>
        <v/>
      </c>
      <c r="AU332" s="39" t="str">
        <f t="shared" si="118"/>
        <v/>
      </c>
      <c r="AX332" s="21">
        <f>HLOOKUP($AX$9&amp;$AX$10,Data!$A$1:$ZZ$2000,(MATCH($C332,Data!$A$1:$A$2000,0)),FALSE)</f>
        <v>29.707732026955952</v>
      </c>
      <c r="AY332" s="103"/>
      <c r="AZ332" s="21"/>
    </row>
    <row r="333" spans="1:52">
      <c r="A333" s="56" t="str">
        <f>$D$1&amp;323</f>
        <v>SC323</v>
      </c>
      <c r="B333" s="57">
        <f>IF(ISERROR(VLOOKUP(A333,classifications!A:C,3,FALSE)),0,VLOOKUP(A333,classifications!A:C,3,FALSE))</f>
        <v>0</v>
      </c>
      <c r="C333" s="8" t="s">
        <v>295</v>
      </c>
      <c r="D333" s="26" t="str">
        <f>VLOOKUP($C333,classifications!$C:$J,4,FALSE)</f>
        <v>UA</v>
      </c>
      <c r="E333" s="26">
        <f>VLOOKUP(C333,classifications!C:K,9,FALSE)</f>
        <v>0</v>
      </c>
      <c r="F333" s="36">
        <f t="shared" si="120"/>
        <v>16.214350146378816</v>
      </c>
      <c r="G333" s="71"/>
      <c r="H333" s="37" t="str">
        <f t="shared" si="121"/>
        <v/>
      </c>
      <c r="I333" s="77" t="str">
        <f>IF(H333="","",IF($I$8="A",(RANK(H333,H$11:H$368,1)+COUNTIF(H$11:H333,H333)-1),(RANK(H333,H$11:H$368)+COUNTIF(H$11:H333,H333)-1)))</f>
        <v/>
      </c>
      <c r="J333" s="35"/>
      <c r="K333" s="28" t="str">
        <f t="shared" si="129"/>
        <v/>
      </c>
      <c r="L333" s="36" t="str">
        <f t="shared" si="122"/>
        <v/>
      </c>
      <c r="M333" s="102" t="str">
        <f t="shared" si="130"/>
        <v/>
      </c>
      <c r="N333" s="101" t="str">
        <f t="shared" si="131"/>
        <v/>
      </c>
      <c r="O333" s="94" t="str">
        <f t="shared" si="123"/>
        <v/>
      </c>
      <c r="P333" s="94" t="str">
        <f t="shared" ref="P333:P363" si="138">IF(I$8="A",IF(N333&gt;$O$10,IF(N333&lt;=$P$10,N333,""),""),IF(N333&lt;$O$10,IF(N333&gt;=$P$10,N333,""),""))</f>
        <v/>
      </c>
      <c r="Q333" s="94" t="str">
        <f t="shared" ref="Q333:Q363" si="139">IF(I$8="A",IF(N333&gt;$P$10,IF(N333&lt;=$Q$10,N333,""),""),IF(N333&lt;$P$10,IF(N333&gt;=$Q$10,N333,""),""))</f>
        <v/>
      </c>
      <c r="R333" s="90" t="str">
        <f t="shared" ref="R333:R363" si="140">IF(I$8="A",IF(N333&gt;$Q$10,N333,""),IF(N333&lt;$Q$10,N333,""))</f>
        <v/>
      </c>
      <c r="S333" s="37" t="str">
        <f t="shared" si="132"/>
        <v/>
      </c>
      <c r="T333" s="176" t="str">
        <f>IF(L333="","",VLOOKUP(L333,classifications!C:K,9,FALSE))</f>
        <v/>
      </c>
      <c r="U333" s="183" t="str">
        <f t="shared" si="124"/>
        <v/>
      </c>
      <c r="V333" s="184" t="str">
        <f>IF(U333="","",IF($I$8="A",(RANK(U333,U$11:U$368)+COUNTIF(U$11:U333,U333)-1),(RANK(U333,U$11:U$368,1)+COUNTIF(U$11:U333,U333)-1)))</f>
        <v/>
      </c>
      <c r="W333" s="185"/>
      <c r="X333" s="38" t="str">
        <f>IF(L333="","",VLOOKUP($L333,classifications!$C:$J,6,FALSE))</f>
        <v/>
      </c>
      <c r="Y333" s="26" t="b">
        <f t="shared" si="125"/>
        <v>0</v>
      </c>
      <c r="Z333" s="34" t="e">
        <f>IF(Y333="","",IF(I$8="A",(RANK(Y333,Y$11:Y$368,1)+COUNTIF(Y$11:Y333,Y333)-1),(RANK(Y333,Y$11:Y$368)+COUNTIF(Y$11:Y333,Y333)-1)))</f>
        <v>#N/A</v>
      </c>
      <c r="AA333" s="188" t="str">
        <f>IF(L333="","",VLOOKUP($L333,classifications!C:I,7,FALSE))</f>
        <v/>
      </c>
      <c r="AB333" s="184" t="str">
        <f t="shared" si="133"/>
        <v/>
      </c>
      <c r="AC333" s="184" t="str">
        <f>IF(AB333="","",IF($I$8="A",(RANK(AB333,AB$11:AB$368)+COUNTIF(AB$11:AB333,AB333)-1),(RANK(AB333,AB$11:AB$368,1)+COUNTIF(AB$11:AB333,AB333)-1)))</f>
        <v/>
      </c>
      <c r="AD333" s="184"/>
      <c r="AE333" s="28" t="str">
        <f t="shared" si="119"/>
        <v/>
      </c>
      <c r="AG333" s="96"/>
      <c r="AH333" s="29"/>
      <c r="AI333" s="38" t="str">
        <f>IF(L333="","",VLOOKUP($L333,classifications!$C:$J,8,FALSE))</f>
        <v/>
      </c>
      <c r="AJ333" s="39" t="str">
        <f t="shared" si="126"/>
        <v/>
      </c>
      <c r="AK333" s="34" t="str">
        <f>IF(AJ333="","",IF(I$8="A",(RANK(AJ333,AJ$11:AJ$368,1)+COUNTIF(AJ$11:AJ333,AJ333)-1),(RANK(AJ333,AJ$11:AJ$368)+COUNTIF(AJ$11:AJ333,AJ333)-1)))</f>
        <v/>
      </c>
      <c r="AL333" s="29" t="str">
        <f t="shared" si="134"/>
        <v/>
      </c>
      <c r="AM333" s="8" t="str">
        <f t="shared" si="127"/>
        <v/>
      </c>
      <c r="AN333" s="8" t="str">
        <f t="shared" si="135"/>
        <v/>
      </c>
      <c r="AP333" s="38" t="str">
        <f>IF(L333="","",VLOOKUP($L333,classifications!$C:$E,3,FALSE))</f>
        <v/>
      </c>
      <c r="AQ333" s="39" t="str">
        <f t="shared" si="136"/>
        <v/>
      </c>
      <c r="AR333" s="34" t="str">
        <f>IF(AQ333="","",IF(I$8="A",(RANK(AQ333,AQ$11:AQ$368,1)+COUNTIF(AQ$11:AQ333,AQ333)-1),(RANK(AQ333,AQ$11:AQ$368)+COUNTIF(AQ$11:AQ333,AQ333)-1)))</f>
        <v/>
      </c>
      <c r="AS333" s="29" t="str">
        <f t="shared" si="137"/>
        <v/>
      </c>
      <c r="AT333" s="34" t="str">
        <f t="shared" si="128"/>
        <v/>
      </c>
      <c r="AU333" s="39" t="str">
        <f t="shared" si="118"/>
        <v/>
      </c>
      <c r="AX333" s="21">
        <f>HLOOKUP($AX$9&amp;$AX$10,Data!$A$1:$ZZ$2000,(MATCH($C333,Data!$A$1:$A$2000,0)),FALSE)</f>
        <v>16.214350146378816</v>
      </c>
      <c r="AY333" s="103"/>
      <c r="AZ333" s="21"/>
    </row>
    <row r="334" spans="1:52">
      <c r="A334" s="56" t="str">
        <f>$D$1&amp;324</f>
        <v>SC324</v>
      </c>
      <c r="B334" s="57">
        <f>IF(ISERROR(VLOOKUP(A334,classifications!A:C,3,FALSE)),0,VLOOKUP(A334,classifications!A:C,3,FALSE))</f>
        <v>0</v>
      </c>
      <c r="C334" s="8" t="s">
        <v>174</v>
      </c>
      <c r="D334" s="26" t="str">
        <f>VLOOKUP($C334,classifications!$C:$J,4,FALSE)</f>
        <v>SD</v>
      </c>
      <c r="E334" s="26">
        <f>VLOOKUP(C334,classifications!C:K,9,FALSE)</f>
        <v>0</v>
      </c>
      <c r="F334" s="36">
        <f t="shared" si="120"/>
        <v>18.344277645331683</v>
      </c>
      <c r="G334" s="71"/>
      <c r="H334" s="37" t="str">
        <f t="shared" si="121"/>
        <v/>
      </c>
      <c r="I334" s="77" t="str">
        <f>IF(H334="","",IF($I$8="A",(RANK(H334,H$11:H$368,1)+COUNTIF(H$11:H334,H334)-1),(RANK(H334,H$11:H$368)+COUNTIF(H$11:H334,H334)-1)))</f>
        <v/>
      </c>
      <c r="J334" s="35"/>
      <c r="K334" s="28" t="str">
        <f t="shared" si="129"/>
        <v/>
      </c>
      <c r="L334" s="36" t="str">
        <f t="shared" si="122"/>
        <v/>
      </c>
      <c r="M334" s="102" t="str">
        <f t="shared" si="130"/>
        <v/>
      </c>
      <c r="N334" s="101" t="str">
        <f t="shared" si="131"/>
        <v/>
      </c>
      <c r="O334" s="94" t="str">
        <f t="shared" si="123"/>
        <v/>
      </c>
      <c r="P334" s="94" t="str">
        <f t="shared" si="138"/>
        <v/>
      </c>
      <c r="Q334" s="94" t="str">
        <f t="shared" si="139"/>
        <v/>
      </c>
      <c r="R334" s="90" t="str">
        <f t="shared" si="140"/>
        <v/>
      </c>
      <c r="S334" s="37" t="str">
        <f t="shared" si="132"/>
        <v/>
      </c>
      <c r="T334" s="176" t="str">
        <f>IF(L334="","",VLOOKUP(L334,classifications!C:K,9,FALSE))</f>
        <v/>
      </c>
      <c r="U334" s="183" t="str">
        <f t="shared" si="124"/>
        <v/>
      </c>
      <c r="V334" s="184" t="str">
        <f>IF(U334="","",IF($I$8="A",(RANK(U334,U$11:U$368)+COUNTIF(U$11:U334,U334)-1),(RANK(U334,U$11:U$368,1)+COUNTIF(U$11:U334,U334)-1)))</f>
        <v/>
      </c>
      <c r="W334" s="185"/>
      <c r="X334" s="38" t="str">
        <f>IF(L334="","",VLOOKUP($L334,classifications!$C:$J,6,FALSE))</f>
        <v/>
      </c>
      <c r="Y334" s="26" t="b">
        <f t="shared" si="125"/>
        <v>0</v>
      </c>
      <c r="Z334" s="34" t="e">
        <f>IF(Y334="","",IF(I$8="A",(RANK(Y334,Y$11:Y$368,1)+COUNTIF(Y$11:Y334,Y334)-1),(RANK(Y334,Y$11:Y$368)+COUNTIF(Y$11:Y334,Y334)-1)))</f>
        <v>#N/A</v>
      </c>
      <c r="AA334" s="188" t="str">
        <f>IF(L334="","",VLOOKUP($L334,classifications!C:I,7,FALSE))</f>
        <v/>
      </c>
      <c r="AB334" s="184" t="str">
        <f t="shared" si="133"/>
        <v/>
      </c>
      <c r="AC334" s="184" t="str">
        <f>IF(AB334="","",IF($I$8="A",(RANK(AB334,AB$11:AB$368)+COUNTIF(AB$11:AB334,AB334)-1),(RANK(AB334,AB$11:AB$368,1)+COUNTIF(AB$11:AB334,AB334)-1)))</f>
        <v/>
      </c>
      <c r="AD334" s="184"/>
      <c r="AE334" s="28" t="str">
        <f t="shared" si="119"/>
        <v/>
      </c>
      <c r="AG334" s="96"/>
      <c r="AH334" s="29"/>
      <c r="AI334" s="38" t="str">
        <f>IF(L334="","",VLOOKUP($L334,classifications!$C:$J,8,FALSE))</f>
        <v/>
      </c>
      <c r="AJ334" s="39" t="str">
        <f t="shared" si="126"/>
        <v/>
      </c>
      <c r="AK334" s="34" t="str">
        <f>IF(AJ334="","",IF(I$8="A",(RANK(AJ334,AJ$11:AJ$368,1)+COUNTIF(AJ$11:AJ334,AJ334)-1),(RANK(AJ334,AJ$11:AJ$368)+COUNTIF(AJ$11:AJ334,AJ334)-1)))</f>
        <v/>
      </c>
      <c r="AL334" s="29" t="str">
        <f t="shared" si="134"/>
        <v/>
      </c>
      <c r="AM334" s="8" t="str">
        <f t="shared" si="127"/>
        <v/>
      </c>
      <c r="AN334" s="8" t="str">
        <f t="shared" si="135"/>
        <v/>
      </c>
      <c r="AP334" s="38" t="str">
        <f>IF(L334="","",VLOOKUP($L334,classifications!$C:$E,3,FALSE))</f>
        <v/>
      </c>
      <c r="AQ334" s="39" t="str">
        <f t="shared" si="136"/>
        <v/>
      </c>
      <c r="AR334" s="34" t="str">
        <f>IF(AQ334="","",IF(I$8="A",(RANK(AQ334,AQ$11:AQ$368,1)+COUNTIF(AQ$11:AQ334,AQ334)-1),(RANK(AQ334,AQ$11:AQ$368)+COUNTIF(AQ$11:AQ334,AQ334)-1)))</f>
        <v/>
      </c>
      <c r="AS334" s="29" t="str">
        <f t="shared" si="137"/>
        <v/>
      </c>
      <c r="AT334" s="34" t="str">
        <f t="shared" si="128"/>
        <v/>
      </c>
      <c r="AU334" s="39" t="str">
        <f t="shared" si="118"/>
        <v/>
      </c>
      <c r="AX334" s="21">
        <f>HLOOKUP($AX$9&amp;$AX$10,Data!$A$1:$ZZ$2000,(MATCH($C334,Data!$A$1:$A$2000,0)),FALSE)</f>
        <v>18.344277645331683</v>
      </c>
      <c r="AY334" s="103"/>
      <c r="AZ334" s="21"/>
    </row>
    <row r="335" spans="1:52">
      <c r="A335" s="56" t="str">
        <f>$D$1&amp;325</f>
        <v>SC325</v>
      </c>
      <c r="B335" s="57">
        <f>IF(ISERROR(VLOOKUP(A335,classifications!A:C,3,FALSE)),0,VLOOKUP(A335,classifications!A:C,3,FALSE))</f>
        <v>0</v>
      </c>
      <c r="C335" s="8" t="s">
        <v>330</v>
      </c>
      <c r="D335" s="26" t="str">
        <f>VLOOKUP($C335,classifications!$C:$J,4,FALSE)</f>
        <v>SC</v>
      </c>
      <c r="E335" s="26" t="str">
        <f>VLOOKUP(C335,classifications!C:K,9,FALSE)</f>
        <v>Sparse</v>
      </c>
      <c r="F335" s="36">
        <f t="shared" si="120"/>
        <v>15.712468668373536</v>
      </c>
      <c r="G335" s="71"/>
      <c r="H335" s="37">
        <f t="shared" si="121"/>
        <v>15.712468668373536</v>
      </c>
      <c r="I335" s="77">
        <f>IF(H335="","",IF($I$8="A",(RANK(H335,H$11:H$368,1)+COUNTIF(H$11:H335,H335)-1),(RANK(H335,H$11:H$368)+COUNTIF(H$11:H335,H335)-1)))</f>
        <v>17</v>
      </c>
      <c r="J335" s="35"/>
      <c r="K335" s="28" t="str">
        <f t="shared" si="129"/>
        <v/>
      </c>
      <c r="L335" s="36" t="str">
        <f t="shared" si="122"/>
        <v/>
      </c>
      <c r="M335" s="102" t="str">
        <f t="shared" si="130"/>
        <v/>
      </c>
      <c r="N335" s="101" t="str">
        <f t="shared" si="131"/>
        <v/>
      </c>
      <c r="O335" s="94" t="str">
        <f t="shared" si="123"/>
        <v/>
      </c>
      <c r="P335" s="94" t="str">
        <f t="shared" si="138"/>
        <v/>
      </c>
      <c r="Q335" s="94" t="str">
        <f t="shared" si="139"/>
        <v/>
      </c>
      <c r="R335" s="90" t="str">
        <f t="shared" si="140"/>
        <v/>
      </c>
      <c r="S335" s="37" t="str">
        <f t="shared" si="132"/>
        <v/>
      </c>
      <c r="T335" s="176" t="str">
        <f>IF(L335="","",VLOOKUP(L335,classifications!C:K,9,FALSE))</f>
        <v/>
      </c>
      <c r="U335" s="183" t="str">
        <f t="shared" si="124"/>
        <v/>
      </c>
      <c r="V335" s="184" t="str">
        <f>IF(U335="","",IF($I$8="A",(RANK(U335,U$11:U$368)+COUNTIF(U$11:U335,U335)-1),(RANK(U335,U$11:U$368,1)+COUNTIF(U$11:U335,U335)-1)))</f>
        <v/>
      </c>
      <c r="W335" s="185"/>
      <c r="X335" s="38" t="str">
        <f>IF(L335="","",VLOOKUP($L335,classifications!$C:$J,6,FALSE))</f>
        <v/>
      </c>
      <c r="Y335" s="26" t="b">
        <f t="shared" si="125"/>
        <v>0</v>
      </c>
      <c r="Z335" s="34" t="e">
        <f>IF(Y335="","",IF(I$8="A",(RANK(Y335,Y$11:Y$368,1)+COUNTIF(Y$11:Y335,Y335)-1),(RANK(Y335,Y$11:Y$368)+COUNTIF(Y$11:Y335,Y335)-1)))</f>
        <v>#N/A</v>
      </c>
      <c r="AA335" s="188" t="str">
        <f>IF(L335="","",VLOOKUP($L335,classifications!C:I,7,FALSE))</f>
        <v/>
      </c>
      <c r="AB335" s="184" t="str">
        <f t="shared" si="133"/>
        <v/>
      </c>
      <c r="AC335" s="184" t="str">
        <f>IF(AB335="","",IF($I$8="A",(RANK(AB335,AB$11:AB$368)+COUNTIF(AB$11:AB335,AB335)-1),(RANK(AB335,AB$11:AB$368,1)+COUNTIF(AB$11:AB335,AB335)-1)))</f>
        <v/>
      </c>
      <c r="AD335" s="184"/>
      <c r="AE335" s="28" t="str">
        <f t="shared" si="119"/>
        <v/>
      </c>
      <c r="AG335" s="96"/>
      <c r="AH335" s="29"/>
      <c r="AI335" s="38" t="str">
        <f>IF(L335="","",VLOOKUP($L335,classifications!$C:$J,8,FALSE))</f>
        <v/>
      </c>
      <c r="AJ335" s="39" t="str">
        <f t="shared" si="126"/>
        <v/>
      </c>
      <c r="AK335" s="34" t="str">
        <f>IF(AJ335="","",IF(I$8="A",(RANK(AJ335,AJ$11:AJ$368,1)+COUNTIF(AJ$11:AJ335,AJ335)-1),(RANK(AJ335,AJ$11:AJ$368)+COUNTIF(AJ$11:AJ335,AJ335)-1)))</f>
        <v/>
      </c>
      <c r="AL335" s="29" t="str">
        <f t="shared" si="134"/>
        <v/>
      </c>
      <c r="AM335" s="8" t="str">
        <f t="shared" si="127"/>
        <v/>
      </c>
      <c r="AN335" s="8" t="str">
        <f t="shared" si="135"/>
        <v/>
      </c>
      <c r="AP335" s="38" t="str">
        <f>IF(L335="","",VLOOKUP($L335,classifications!$C:$E,3,FALSE))</f>
        <v/>
      </c>
      <c r="AQ335" s="39" t="str">
        <f t="shared" si="136"/>
        <v/>
      </c>
      <c r="AR335" s="34" t="str">
        <f>IF(AQ335="","",IF(I$8="A",(RANK(AQ335,AQ$11:AQ$368,1)+COUNTIF(AQ$11:AQ335,AQ335)-1),(RANK(AQ335,AQ$11:AQ$368)+COUNTIF(AQ$11:AQ335,AQ335)-1)))</f>
        <v/>
      </c>
      <c r="AS335" s="29" t="str">
        <f t="shared" si="137"/>
        <v/>
      </c>
      <c r="AT335" s="34" t="str">
        <f t="shared" si="128"/>
        <v/>
      </c>
      <c r="AU335" s="39" t="str">
        <f t="shared" si="118"/>
        <v/>
      </c>
      <c r="AX335" s="21">
        <f>HLOOKUP($AX$9&amp;$AX$10,Data!$A$1:$ZZ$2000,(MATCH($C335,Data!$A$1:$A$2000,0)),FALSE)</f>
        <v>15.712468668373536</v>
      </c>
      <c r="AY335" s="103"/>
      <c r="AZ335" s="21"/>
    </row>
    <row r="336" spans="1:52">
      <c r="A336" s="56" t="str">
        <f>$D$1&amp;326</f>
        <v>SC326</v>
      </c>
      <c r="B336" s="57">
        <f>IF(ISERROR(VLOOKUP(A336,classifications!A:C,3,FALSE)),0,VLOOKUP(A336,classifications!A:C,3,FALSE))</f>
        <v>0</v>
      </c>
      <c r="C336" s="8" t="s">
        <v>175</v>
      </c>
      <c r="D336" s="26" t="str">
        <f>VLOOKUP($C336,classifications!$C:$J,4,FALSE)</f>
        <v>SD</v>
      </c>
      <c r="E336" s="26">
        <f>VLOOKUP(C336,classifications!C:K,9,FALSE)</f>
        <v>0</v>
      </c>
      <c r="F336" s="36">
        <f t="shared" si="120"/>
        <v>15.404470368023723</v>
      </c>
      <c r="G336" s="71"/>
      <c r="H336" s="37" t="str">
        <f t="shared" si="121"/>
        <v/>
      </c>
      <c r="I336" s="77" t="str">
        <f>IF(H336="","",IF($I$8="A",(RANK(H336,H$11:H$368,1)+COUNTIF(H$11:H336,H336)-1),(RANK(H336,H$11:H$368)+COUNTIF(H$11:H336,H336)-1)))</f>
        <v/>
      </c>
      <c r="J336" s="35"/>
      <c r="K336" s="28" t="str">
        <f t="shared" si="129"/>
        <v/>
      </c>
      <c r="L336" s="36" t="str">
        <f t="shared" si="122"/>
        <v/>
      </c>
      <c r="M336" s="102" t="str">
        <f t="shared" si="130"/>
        <v/>
      </c>
      <c r="N336" s="101" t="str">
        <f t="shared" si="131"/>
        <v/>
      </c>
      <c r="O336" s="94" t="str">
        <f t="shared" si="123"/>
        <v/>
      </c>
      <c r="P336" s="94" t="str">
        <f t="shared" si="138"/>
        <v/>
      </c>
      <c r="Q336" s="94" t="str">
        <f t="shared" si="139"/>
        <v/>
      </c>
      <c r="R336" s="90" t="str">
        <f t="shared" si="140"/>
        <v/>
      </c>
      <c r="S336" s="37" t="str">
        <f t="shared" si="132"/>
        <v/>
      </c>
      <c r="T336" s="176" t="str">
        <f>IF(L336="","",VLOOKUP(L336,classifications!C:K,9,FALSE))</f>
        <v/>
      </c>
      <c r="U336" s="183" t="str">
        <f t="shared" si="124"/>
        <v/>
      </c>
      <c r="V336" s="184" t="str">
        <f>IF(U336="","",IF($I$8="A",(RANK(U336,U$11:U$368)+COUNTIF(U$11:U336,U336)-1),(RANK(U336,U$11:U$368,1)+COUNTIF(U$11:U336,U336)-1)))</f>
        <v/>
      </c>
      <c r="W336" s="185"/>
      <c r="X336" s="38" t="str">
        <f>IF(L336="","",VLOOKUP($L336,classifications!$C:$J,6,FALSE))</f>
        <v/>
      </c>
      <c r="Y336" s="26" t="b">
        <f t="shared" si="125"/>
        <v>0</v>
      </c>
      <c r="Z336" s="34" t="e">
        <f>IF(Y336="","",IF(I$8="A",(RANK(Y336,Y$11:Y$368,1)+COUNTIF(Y$11:Y336,Y336)-1),(RANK(Y336,Y$11:Y$368)+COUNTIF(Y$11:Y336,Y336)-1)))</f>
        <v>#N/A</v>
      </c>
      <c r="AA336" s="188" t="str">
        <f>IF(L336="","",VLOOKUP($L336,classifications!C:I,7,FALSE))</f>
        <v/>
      </c>
      <c r="AB336" s="184" t="str">
        <f t="shared" si="133"/>
        <v/>
      </c>
      <c r="AC336" s="184" t="str">
        <f>IF(AB336="","",IF($I$8="A",(RANK(AB336,AB$11:AB$368)+COUNTIF(AB$11:AB336,AB336)-1),(RANK(AB336,AB$11:AB$368,1)+COUNTIF(AB$11:AB336,AB336)-1)))</f>
        <v/>
      </c>
      <c r="AD336" s="184"/>
      <c r="AE336" s="28" t="str">
        <f t="shared" si="119"/>
        <v/>
      </c>
      <c r="AG336" s="96"/>
      <c r="AH336" s="29"/>
      <c r="AI336" s="38" t="str">
        <f>IF(L336="","",VLOOKUP($L336,classifications!$C:$J,8,FALSE))</f>
        <v/>
      </c>
      <c r="AJ336" s="39" t="str">
        <f t="shared" si="126"/>
        <v/>
      </c>
      <c r="AK336" s="34" t="str">
        <f>IF(AJ336="","",IF(I$8="A",(RANK(AJ336,AJ$11:AJ$368,1)+COUNTIF(AJ$11:AJ336,AJ336)-1),(RANK(AJ336,AJ$11:AJ$368)+COUNTIF(AJ$11:AJ336,AJ336)-1)))</f>
        <v/>
      </c>
      <c r="AL336" s="29" t="str">
        <f t="shared" si="134"/>
        <v/>
      </c>
      <c r="AM336" s="8" t="str">
        <f t="shared" si="127"/>
        <v/>
      </c>
      <c r="AN336" s="8" t="str">
        <f t="shared" si="135"/>
        <v/>
      </c>
      <c r="AP336" s="38" t="str">
        <f>IF(L336="","",VLOOKUP($L336,classifications!$C:$E,3,FALSE))</f>
        <v/>
      </c>
      <c r="AQ336" s="39" t="str">
        <f t="shared" si="136"/>
        <v/>
      </c>
      <c r="AR336" s="34" t="str">
        <f>IF(AQ336="","",IF(I$8="A",(RANK(AQ336,AQ$11:AQ$368,1)+COUNTIF(AQ$11:AQ336,AQ336)-1),(RANK(AQ336,AQ$11:AQ$368)+COUNTIF(AQ$11:AQ336,AQ336)-1)))</f>
        <v/>
      </c>
      <c r="AS336" s="29" t="str">
        <f t="shared" si="137"/>
        <v/>
      </c>
      <c r="AT336" s="34" t="str">
        <f t="shared" si="128"/>
        <v/>
      </c>
      <c r="AU336" s="39" t="str">
        <f t="shared" si="118"/>
        <v/>
      </c>
      <c r="AX336" s="21">
        <f>HLOOKUP($AX$9&amp;$AX$10,Data!$A$1:$ZZ$2000,(MATCH($C336,Data!$A$1:$A$2000,0)),FALSE)</f>
        <v>15.404470368023723</v>
      </c>
      <c r="AY336" s="103"/>
      <c r="AZ336" s="21"/>
    </row>
    <row r="337" spans="1:52">
      <c r="A337" s="56" t="str">
        <f>$D$1&amp;327</f>
        <v>SC327</v>
      </c>
      <c r="B337" s="57">
        <f>IF(ISERROR(VLOOKUP(A337,classifications!A:C,3,FALSE)),0,VLOOKUP(A337,classifications!A:C,3,FALSE))</f>
        <v>0</v>
      </c>
      <c r="C337" s="8" t="s">
        <v>176</v>
      </c>
      <c r="D337" s="26" t="str">
        <f>VLOOKUP($C337,classifications!$C:$J,4,FALSE)</f>
        <v>SD</v>
      </c>
      <c r="E337" s="26" t="str">
        <f>VLOOKUP(C337,classifications!C:K,9,FALSE)</f>
        <v>Sparse</v>
      </c>
      <c r="F337" s="36">
        <f t="shared" si="120"/>
        <v>0</v>
      </c>
      <c r="G337" s="71"/>
      <c r="H337" s="37" t="str">
        <f t="shared" si="121"/>
        <v/>
      </c>
      <c r="I337" s="77" t="str">
        <f>IF(H337="","",IF($I$8="A",(RANK(H337,H$11:H$368,1)+COUNTIF(H$11:H337,H337)-1),(RANK(H337,H$11:H$368)+COUNTIF(H$11:H337,H337)-1)))</f>
        <v/>
      </c>
      <c r="J337" s="35"/>
      <c r="K337" s="28" t="str">
        <f t="shared" si="129"/>
        <v/>
      </c>
      <c r="L337" s="36" t="str">
        <f t="shared" si="122"/>
        <v/>
      </c>
      <c r="M337" s="102" t="str">
        <f t="shared" si="130"/>
        <v/>
      </c>
      <c r="N337" s="101" t="str">
        <f t="shared" si="131"/>
        <v/>
      </c>
      <c r="O337" s="94" t="str">
        <f t="shared" si="123"/>
        <v/>
      </c>
      <c r="P337" s="94" t="str">
        <f t="shared" si="138"/>
        <v/>
      </c>
      <c r="Q337" s="94" t="str">
        <f t="shared" si="139"/>
        <v/>
      </c>
      <c r="R337" s="90" t="str">
        <f t="shared" si="140"/>
        <v/>
      </c>
      <c r="S337" s="37" t="str">
        <f t="shared" si="132"/>
        <v/>
      </c>
      <c r="T337" s="176" t="str">
        <f>IF(L337="","",VLOOKUP(L337,classifications!C:K,9,FALSE))</f>
        <v/>
      </c>
      <c r="U337" s="183" t="str">
        <f t="shared" si="124"/>
        <v/>
      </c>
      <c r="V337" s="184" t="str">
        <f>IF(U337="","",IF($I$8="A",(RANK(U337,U$11:U$368)+COUNTIF(U$11:U337,U337)-1),(RANK(U337,U$11:U$368,1)+COUNTIF(U$11:U337,U337)-1)))</f>
        <v/>
      </c>
      <c r="W337" s="185"/>
      <c r="X337" s="38" t="str">
        <f>IF(L337="","",VLOOKUP($L337,classifications!$C:$J,6,FALSE))</f>
        <v/>
      </c>
      <c r="Y337" s="26" t="b">
        <f t="shared" si="125"/>
        <v>0</v>
      </c>
      <c r="Z337" s="34" t="e">
        <f>IF(Y337="","",IF(I$8="A",(RANK(Y337,Y$11:Y$368,1)+COUNTIF(Y$11:Y337,Y337)-1),(RANK(Y337,Y$11:Y$368)+COUNTIF(Y$11:Y337,Y337)-1)))</f>
        <v>#N/A</v>
      </c>
      <c r="AA337" s="188" t="str">
        <f>IF(L337="","",VLOOKUP($L337,classifications!C:I,7,FALSE))</f>
        <v/>
      </c>
      <c r="AB337" s="184" t="str">
        <f t="shared" si="133"/>
        <v/>
      </c>
      <c r="AC337" s="184" t="str">
        <f>IF(AB337="","",IF($I$8="A",(RANK(AB337,AB$11:AB$368)+COUNTIF(AB$11:AB337,AB337)-1),(RANK(AB337,AB$11:AB$368,1)+COUNTIF(AB$11:AB337,AB337)-1)))</f>
        <v/>
      </c>
      <c r="AD337" s="184"/>
      <c r="AE337" s="28" t="str">
        <f t="shared" si="119"/>
        <v/>
      </c>
      <c r="AG337" s="96"/>
      <c r="AH337" s="29"/>
      <c r="AI337" s="38" t="str">
        <f>IF(L337="","",VLOOKUP($L337,classifications!$C:$J,8,FALSE))</f>
        <v/>
      </c>
      <c r="AJ337" s="39" t="str">
        <f t="shared" si="126"/>
        <v/>
      </c>
      <c r="AK337" s="34" t="str">
        <f>IF(AJ337="","",IF(I$8="A",(RANK(AJ337,AJ$11:AJ$368,1)+COUNTIF(AJ$11:AJ337,AJ337)-1),(RANK(AJ337,AJ$11:AJ$368)+COUNTIF(AJ$11:AJ337,AJ337)-1)))</f>
        <v/>
      </c>
      <c r="AL337" s="29" t="str">
        <f t="shared" si="134"/>
        <v/>
      </c>
      <c r="AM337" s="8" t="str">
        <f t="shared" si="127"/>
        <v/>
      </c>
      <c r="AN337" s="8" t="str">
        <f t="shared" si="135"/>
        <v/>
      </c>
      <c r="AP337" s="38" t="str">
        <f>IF(L337="","",VLOOKUP($L337,classifications!$C:$E,3,FALSE))</f>
        <v/>
      </c>
      <c r="AQ337" s="39" t="str">
        <f t="shared" si="136"/>
        <v/>
      </c>
      <c r="AR337" s="34" t="str">
        <f>IF(AQ337="","",IF(I$8="A",(RANK(AQ337,AQ$11:AQ$368,1)+COUNTIF(AQ$11:AQ337,AQ337)-1),(RANK(AQ337,AQ$11:AQ$368)+COUNTIF(AQ$11:AQ337,AQ337)-1)))</f>
        <v/>
      </c>
      <c r="AS337" s="29" t="str">
        <f t="shared" si="137"/>
        <v/>
      </c>
      <c r="AT337" s="34" t="str">
        <f t="shared" si="128"/>
        <v/>
      </c>
      <c r="AU337" s="39" t="str">
        <f t="shared" si="118"/>
        <v/>
      </c>
      <c r="AX337" s="21">
        <f>HLOOKUP($AX$9&amp;$AX$10,Data!$A$1:$ZZ$2000,(MATCH($C337,Data!$A$1:$A$2000,0)),FALSE)</f>
        <v>0</v>
      </c>
      <c r="AY337" s="103"/>
      <c r="AZ337" s="21"/>
    </row>
    <row r="338" spans="1:52">
      <c r="A338" s="56" t="str">
        <f>$D$1&amp;328</f>
        <v>SC328</v>
      </c>
      <c r="B338" s="57">
        <f>IF(ISERROR(VLOOKUP(A338,classifications!A:C,3,FALSE)),0,VLOOKUP(A338,classifications!A:C,3,FALSE))</f>
        <v>0</v>
      </c>
      <c r="C338" s="8" t="s">
        <v>177</v>
      </c>
      <c r="D338" s="26" t="str">
        <f>VLOOKUP($C338,classifications!$C:$J,4,FALSE)</f>
        <v>SD</v>
      </c>
      <c r="E338" s="26">
        <f>VLOOKUP(C338,classifications!C:K,9,FALSE)</f>
        <v>0</v>
      </c>
      <c r="F338" s="36">
        <f t="shared" si="120"/>
        <v>21.256944158255358</v>
      </c>
      <c r="G338" s="71"/>
      <c r="H338" s="37" t="str">
        <f t="shared" si="121"/>
        <v/>
      </c>
      <c r="I338" s="77" t="str">
        <f>IF(H338="","",IF($I$8="A",(RANK(H338,H$11:H$368,1)+COUNTIF(H$11:H338,H338)-1),(RANK(H338,H$11:H$368)+COUNTIF(H$11:H338,H338)-1)))</f>
        <v/>
      </c>
      <c r="J338" s="35"/>
      <c r="K338" s="28" t="str">
        <f t="shared" si="129"/>
        <v/>
      </c>
      <c r="L338" s="36" t="str">
        <f t="shared" si="122"/>
        <v/>
      </c>
      <c r="M338" s="102" t="str">
        <f t="shared" si="130"/>
        <v/>
      </c>
      <c r="N338" s="101" t="str">
        <f t="shared" si="131"/>
        <v/>
      </c>
      <c r="O338" s="94" t="str">
        <f t="shared" si="123"/>
        <v/>
      </c>
      <c r="P338" s="94" t="str">
        <f t="shared" si="138"/>
        <v/>
      </c>
      <c r="Q338" s="94" t="str">
        <f t="shared" si="139"/>
        <v/>
      </c>
      <c r="R338" s="90" t="str">
        <f t="shared" si="140"/>
        <v/>
      </c>
      <c r="S338" s="37" t="str">
        <f t="shared" si="132"/>
        <v/>
      </c>
      <c r="T338" s="176" t="str">
        <f>IF(L338="","",VLOOKUP(L338,classifications!C:K,9,FALSE))</f>
        <v/>
      </c>
      <c r="U338" s="183" t="str">
        <f t="shared" si="124"/>
        <v/>
      </c>
      <c r="V338" s="184" t="str">
        <f>IF(U338="","",IF($I$8="A",(RANK(U338,U$11:U$368)+COUNTIF(U$11:U338,U338)-1),(RANK(U338,U$11:U$368,1)+COUNTIF(U$11:U338,U338)-1)))</f>
        <v/>
      </c>
      <c r="W338" s="185"/>
      <c r="X338" s="38" t="str">
        <f>IF(L338="","",VLOOKUP($L338,classifications!$C:$J,6,FALSE))</f>
        <v/>
      </c>
      <c r="Y338" s="26" t="b">
        <f t="shared" si="125"/>
        <v>0</v>
      </c>
      <c r="Z338" s="34" t="e">
        <f>IF(Y338="","",IF(I$8="A",(RANK(Y338,Y$11:Y$368,1)+COUNTIF(Y$11:Y338,Y338)-1),(RANK(Y338,Y$11:Y$368)+COUNTIF(Y$11:Y338,Y338)-1)))</f>
        <v>#N/A</v>
      </c>
      <c r="AA338" s="188" t="str">
        <f>IF(L338="","",VLOOKUP($L338,classifications!C:I,7,FALSE))</f>
        <v/>
      </c>
      <c r="AB338" s="184" t="str">
        <f t="shared" si="133"/>
        <v/>
      </c>
      <c r="AC338" s="184" t="str">
        <f>IF(AB338="","",IF($I$8="A",(RANK(AB338,AB$11:AB$368)+COUNTIF(AB$11:AB338,AB338)-1),(RANK(AB338,AB$11:AB$368,1)+COUNTIF(AB$11:AB338,AB338)-1)))</f>
        <v/>
      </c>
      <c r="AD338" s="184"/>
      <c r="AE338" s="28" t="str">
        <f t="shared" si="119"/>
        <v/>
      </c>
      <c r="AG338" s="96"/>
      <c r="AH338" s="29"/>
      <c r="AI338" s="38" t="str">
        <f>IF(L338="","",VLOOKUP($L338,classifications!$C:$J,8,FALSE))</f>
        <v/>
      </c>
      <c r="AJ338" s="39" t="str">
        <f t="shared" si="126"/>
        <v/>
      </c>
      <c r="AK338" s="34" t="str">
        <f>IF(AJ338="","",IF(I$8="A",(RANK(AJ338,AJ$11:AJ$368,1)+COUNTIF(AJ$11:AJ338,AJ338)-1),(RANK(AJ338,AJ$11:AJ$368)+COUNTIF(AJ$11:AJ338,AJ338)-1)))</f>
        <v/>
      </c>
      <c r="AL338" s="29" t="str">
        <f t="shared" si="134"/>
        <v/>
      </c>
      <c r="AM338" s="8" t="str">
        <f t="shared" si="127"/>
        <v/>
      </c>
      <c r="AN338" s="8" t="str">
        <f t="shared" si="135"/>
        <v/>
      </c>
      <c r="AP338" s="38" t="str">
        <f>IF(L338="","",VLOOKUP($L338,classifications!$C:$E,3,FALSE))</f>
        <v/>
      </c>
      <c r="AQ338" s="39" t="str">
        <f t="shared" si="136"/>
        <v/>
      </c>
      <c r="AR338" s="34" t="str">
        <f>IF(AQ338="","",IF(I$8="A",(RANK(AQ338,AQ$11:AQ$368,1)+COUNTIF(AQ$11:AQ338,AQ338)-1),(RANK(AQ338,AQ$11:AQ$368)+COUNTIF(AQ$11:AQ338,AQ338)-1)))</f>
        <v/>
      </c>
      <c r="AS338" s="29" t="str">
        <f t="shared" si="137"/>
        <v/>
      </c>
      <c r="AT338" s="34" t="str">
        <f t="shared" si="128"/>
        <v/>
      </c>
      <c r="AU338" s="39" t="str">
        <f t="shared" ref="AU338:AU363" si="141">IF(AT338="","",VLOOKUP(AT338,L:M,2,FALSE))</f>
        <v/>
      </c>
      <c r="AX338" s="21">
        <f>HLOOKUP($AX$9&amp;$AX$10,Data!$A$1:$ZZ$2000,(MATCH($C338,Data!$A$1:$A$2000,0)),FALSE)</f>
        <v>21.256944158255358</v>
      </c>
      <c r="AY338" s="103"/>
      <c r="AZ338" s="21"/>
    </row>
    <row r="339" spans="1:52">
      <c r="A339" s="56" t="str">
        <f>$D$1&amp;329</f>
        <v>SC329</v>
      </c>
      <c r="B339" s="57">
        <f>IF(ISERROR(VLOOKUP(A339,classifications!A:C,3,FALSE)),0,VLOOKUP(A339,classifications!A:C,3,FALSE))</f>
        <v>0</v>
      </c>
      <c r="C339" s="8" t="s">
        <v>178</v>
      </c>
      <c r="D339" s="26" t="str">
        <f>VLOOKUP($C339,classifications!$C:$J,4,FALSE)</f>
        <v>SD</v>
      </c>
      <c r="E339" s="26" t="str">
        <f>VLOOKUP(C339,classifications!C:K,9,FALSE)</f>
        <v>Sparse</v>
      </c>
      <c r="F339" s="36">
        <f t="shared" si="120"/>
        <v>15.922625351813391</v>
      </c>
      <c r="G339" s="71"/>
      <c r="H339" s="37" t="str">
        <f t="shared" si="121"/>
        <v/>
      </c>
      <c r="I339" s="77" t="str">
        <f>IF(H339="","",IF($I$8="A",(RANK(H339,H$11:H$368,1)+COUNTIF(H$11:H339,H339)-1),(RANK(H339,H$11:H$368)+COUNTIF(H$11:H339,H339)-1)))</f>
        <v/>
      </c>
      <c r="J339" s="35"/>
      <c r="K339" s="28" t="str">
        <f t="shared" si="129"/>
        <v/>
      </c>
      <c r="L339" s="36" t="str">
        <f t="shared" si="122"/>
        <v/>
      </c>
      <c r="M339" s="102" t="str">
        <f t="shared" si="130"/>
        <v/>
      </c>
      <c r="N339" s="101" t="str">
        <f t="shared" si="131"/>
        <v/>
      </c>
      <c r="O339" s="94" t="str">
        <f t="shared" si="123"/>
        <v/>
      </c>
      <c r="P339" s="94" t="str">
        <f t="shared" si="138"/>
        <v/>
      </c>
      <c r="Q339" s="94" t="str">
        <f t="shared" si="139"/>
        <v/>
      </c>
      <c r="R339" s="90" t="str">
        <f t="shared" si="140"/>
        <v/>
      </c>
      <c r="S339" s="37" t="str">
        <f t="shared" si="132"/>
        <v/>
      </c>
      <c r="T339" s="176" t="str">
        <f>IF(L339="","",VLOOKUP(L339,classifications!C:K,9,FALSE))</f>
        <v/>
      </c>
      <c r="U339" s="183" t="str">
        <f t="shared" si="124"/>
        <v/>
      </c>
      <c r="V339" s="184" t="str">
        <f>IF(U339="","",IF($I$8="A",(RANK(U339,U$11:U$368)+COUNTIF(U$11:U339,U339)-1),(RANK(U339,U$11:U$368,1)+COUNTIF(U$11:U339,U339)-1)))</f>
        <v/>
      </c>
      <c r="W339" s="185"/>
      <c r="X339" s="38" t="str">
        <f>IF(L339="","",VLOOKUP($L339,classifications!$C:$J,6,FALSE))</f>
        <v/>
      </c>
      <c r="Y339" s="26" t="b">
        <f t="shared" si="125"/>
        <v>0</v>
      </c>
      <c r="Z339" s="34" t="e">
        <f>IF(Y339="","",IF(I$8="A",(RANK(Y339,Y$11:Y$368,1)+COUNTIF(Y$11:Y339,Y339)-1),(RANK(Y339,Y$11:Y$368)+COUNTIF(Y$11:Y339,Y339)-1)))</f>
        <v>#N/A</v>
      </c>
      <c r="AA339" s="188" t="str">
        <f>IF(L339="","",VLOOKUP($L339,classifications!C:I,7,FALSE))</f>
        <v/>
      </c>
      <c r="AB339" s="184" t="str">
        <f t="shared" si="133"/>
        <v/>
      </c>
      <c r="AC339" s="184" t="str">
        <f>IF(AB339="","",IF($I$8="A",(RANK(AB339,AB$11:AB$368)+COUNTIF(AB$11:AB339,AB339)-1),(RANK(AB339,AB$11:AB$368,1)+COUNTIF(AB$11:AB339,AB339)-1)))</f>
        <v/>
      </c>
      <c r="AD339" s="184"/>
      <c r="AE339" s="28" t="str">
        <f t="shared" si="119"/>
        <v/>
      </c>
      <c r="AG339" s="96"/>
      <c r="AH339" s="29"/>
      <c r="AI339" s="38" t="str">
        <f>IF(L339="","",VLOOKUP($L339,classifications!$C:$J,8,FALSE))</f>
        <v/>
      </c>
      <c r="AJ339" s="39" t="str">
        <f t="shared" si="126"/>
        <v/>
      </c>
      <c r="AK339" s="34" t="str">
        <f>IF(AJ339="","",IF(I$8="A",(RANK(AJ339,AJ$11:AJ$368,1)+COUNTIF(AJ$11:AJ339,AJ339)-1),(RANK(AJ339,AJ$11:AJ$368)+COUNTIF(AJ$11:AJ339,AJ339)-1)))</f>
        <v/>
      </c>
      <c r="AL339" s="29" t="str">
        <f t="shared" si="134"/>
        <v/>
      </c>
      <c r="AM339" s="8" t="str">
        <f t="shared" si="127"/>
        <v/>
      </c>
      <c r="AN339" s="8" t="str">
        <f t="shared" si="135"/>
        <v/>
      </c>
      <c r="AP339" s="38" t="str">
        <f>IF(L339="","",VLOOKUP($L339,classifications!$C:$E,3,FALSE))</f>
        <v/>
      </c>
      <c r="AQ339" s="39" t="str">
        <f t="shared" si="136"/>
        <v/>
      </c>
      <c r="AR339" s="34" t="str">
        <f>IF(AQ339="","",IF(I$8="A",(RANK(AQ339,AQ$11:AQ$368,1)+COUNTIF(AQ$11:AQ339,AQ339)-1),(RANK(AQ339,AQ$11:AQ$368)+COUNTIF(AQ$11:AQ339,AQ339)-1)))</f>
        <v/>
      </c>
      <c r="AS339" s="29" t="str">
        <f t="shared" si="137"/>
        <v/>
      </c>
      <c r="AT339" s="34" t="str">
        <f t="shared" si="128"/>
        <v/>
      </c>
      <c r="AU339" s="39" t="str">
        <f t="shared" si="141"/>
        <v/>
      </c>
      <c r="AX339" s="21">
        <f>HLOOKUP($AX$9&amp;$AX$10,Data!$A$1:$ZZ$2000,(MATCH($C339,Data!$A$1:$A$2000,0)),FALSE)</f>
        <v>15.922625351813391</v>
      </c>
      <c r="AY339" s="103"/>
      <c r="AZ339" s="21"/>
    </row>
    <row r="340" spans="1:52">
      <c r="A340" s="56" t="str">
        <f>$D$1&amp;330</f>
        <v>SC330</v>
      </c>
      <c r="B340" s="57">
        <f>IF(ISERROR(VLOOKUP(A340,classifications!A:C,3,FALSE)),0,VLOOKUP(A340,classifications!A:C,3,FALSE))</f>
        <v>0</v>
      </c>
      <c r="C340" s="8" t="s">
        <v>179</v>
      </c>
      <c r="D340" s="26" t="str">
        <f>VLOOKUP($C340,classifications!$C:$J,4,FALSE)</f>
        <v>SD</v>
      </c>
      <c r="E340" s="26">
        <f>VLOOKUP(C340,classifications!C:K,9,FALSE)</f>
        <v>0</v>
      </c>
      <c r="F340" s="36">
        <f t="shared" si="120"/>
        <v>7.8881687770610762</v>
      </c>
      <c r="G340" s="71"/>
      <c r="H340" s="37" t="str">
        <f t="shared" si="121"/>
        <v/>
      </c>
      <c r="I340" s="77" t="str">
        <f>IF(H340="","",IF($I$8="A",(RANK(H340,H$11:H$368,1)+COUNTIF(H$11:H340,H340)-1),(RANK(H340,H$11:H$368)+COUNTIF(H$11:H340,H340)-1)))</f>
        <v/>
      </c>
      <c r="J340" s="35"/>
      <c r="K340" s="28" t="str">
        <f t="shared" si="129"/>
        <v/>
      </c>
      <c r="L340" s="36" t="str">
        <f t="shared" si="122"/>
        <v/>
      </c>
      <c r="M340" s="102" t="str">
        <f t="shared" si="130"/>
        <v/>
      </c>
      <c r="N340" s="101" t="str">
        <f t="shared" si="131"/>
        <v/>
      </c>
      <c r="O340" s="94" t="str">
        <f t="shared" si="123"/>
        <v/>
      </c>
      <c r="P340" s="94" t="str">
        <f t="shared" si="138"/>
        <v/>
      </c>
      <c r="Q340" s="94" t="str">
        <f t="shared" si="139"/>
        <v/>
      </c>
      <c r="R340" s="90" t="str">
        <f t="shared" si="140"/>
        <v/>
      </c>
      <c r="S340" s="37" t="str">
        <f t="shared" si="132"/>
        <v/>
      </c>
      <c r="T340" s="176" t="str">
        <f>IF(L340="","",VLOOKUP(L340,classifications!C:K,9,FALSE))</f>
        <v/>
      </c>
      <c r="U340" s="183" t="str">
        <f t="shared" si="124"/>
        <v/>
      </c>
      <c r="V340" s="184" t="str">
        <f>IF(U340="","",IF($I$8="A",(RANK(U340,U$11:U$368)+COUNTIF(U$11:U340,U340)-1),(RANK(U340,U$11:U$368,1)+COUNTIF(U$11:U340,U340)-1)))</f>
        <v/>
      </c>
      <c r="W340" s="185"/>
      <c r="X340" s="38" t="str">
        <f>IF(L340="","",VLOOKUP($L340,classifications!$C:$J,6,FALSE))</f>
        <v/>
      </c>
      <c r="Y340" s="26" t="b">
        <f t="shared" si="125"/>
        <v>0</v>
      </c>
      <c r="Z340" s="34" t="e">
        <f>IF(Y340="","",IF(I$8="A",(RANK(Y340,Y$11:Y$368,1)+COUNTIF(Y$11:Y340,Y340)-1),(RANK(Y340,Y$11:Y$368)+COUNTIF(Y$11:Y340,Y340)-1)))</f>
        <v>#N/A</v>
      </c>
      <c r="AA340" s="188" t="str">
        <f>IF(L340="","",VLOOKUP($L340,classifications!C:I,7,FALSE))</f>
        <v/>
      </c>
      <c r="AB340" s="184" t="str">
        <f t="shared" si="133"/>
        <v/>
      </c>
      <c r="AC340" s="184" t="str">
        <f>IF(AB340="","",IF($I$8="A",(RANK(AB340,AB$11:AB$368)+COUNTIF(AB$11:AB340,AB340)-1),(RANK(AB340,AB$11:AB$368,1)+COUNTIF(AB$11:AB340,AB340)-1)))</f>
        <v/>
      </c>
      <c r="AD340" s="184"/>
      <c r="AE340" s="28" t="str">
        <f t="shared" si="119"/>
        <v/>
      </c>
      <c r="AG340" s="96"/>
      <c r="AH340" s="29"/>
      <c r="AI340" s="38" t="str">
        <f>IF(L340="","",VLOOKUP($L340,classifications!$C:$J,8,FALSE))</f>
        <v/>
      </c>
      <c r="AJ340" s="39" t="str">
        <f t="shared" si="126"/>
        <v/>
      </c>
      <c r="AK340" s="34" t="str">
        <f>IF(AJ340="","",IF(I$8="A",(RANK(AJ340,AJ$11:AJ$368,1)+COUNTIF(AJ$11:AJ340,AJ340)-1),(RANK(AJ340,AJ$11:AJ$368)+COUNTIF(AJ$11:AJ340,AJ340)-1)))</f>
        <v/>
      </c>
      <c r="AL340" s="29" t="str">
        <f t="shared" si="134"/>
        <v/>
      </c>
      <c r="AM340" s="8" t="str">
        <f t="shared" si="127"/>
        <v/>
      </c>
      <c r="AN340" s="8" t="str">
        <f t="shared" si="135"/>
        <v/>
      </c>
      <c r="AP340" s="38" t="str">
        <f>IF(L340="","",VLOOKUP($L340,classifications!$C:$E,3,FALSE))</f>
        <v/>
      </c>
      <c r="AQ340" s="39" t="str">
        <f t="shared" si="136"/>
        <v/>
      </c>
      <c r="AR340" s="34" t="str">
        <f>IF(AQ340="","",IF(I$8="A",(RANK(AQ340,AQ$11:AQ$368,1)+COUNTIF(AQ$11:AQ340,AQ340)-1),(RANK(AQ340,AQ$11:AQ$368)+COUNTIF(AQ$11:AQ340,AQ340)-1)))</f>
        <v/>
      </c>
      <c r="AS340" s="29" t="str">
        <f t="shared" si="137"/>
        <v/>
      </c>
      <c r="AT340" s="34" t="str">
        <f t="shared" si="128"/>
        <v/>
      </c>
      <c r="AU340" s="39" t="str">
        <f t="shared" si="141"/>
        <v/>
      </c>
      <c r="AX340" s="21">
        <f>HLOOKUP($AX$9&amp;$AX$10,Data!$A$1:$ZZ$2000,(MATCH($C340,Data!$A$1:$A$2000,0)),FALSE)</f>
        <v>7.8881687770610762</v>
      </c>
      <c r="AY340" s="103"/>
      <c r="AZ340" s="21"/>
    </row>
    <row r="341" spans="1:52">
      <c r="A341" s="56" t="str">
        <f>$D$1&amp;331</f>
        <v>SC331</v>
      </c>
      <c r="B341" s="57">
        <f>IF(ISERROR(VLOOKUP(A341,classifications!A:C,3,FALSE)),0,VLOOKUP(A341,classifications!A:C,3,FALSE))</f>
        <v>0</v>
      </c>
      <c r="C341" s="8" t="s">
        <v>180</v>
      </c>
      <c r="D341" s="26" t="str">
        <f>VLOOKUP($C341,classifications!$C:$J,4,FALSE)</f>
        <v>SD</v>
      </c>
      <c r="E341" s="26">
        <f>VLOOKUP(C341,classifications!C:K,9,FALSE)</f>
        <v>0</v>
      </c>
      <c r="F341" s="36">
        <f t="shared" si="120"/>
        <v>13.587316599707986</v>
      </c>
      <c r="G341" s="71"/>
      <c r="H341" s="37" t="str">
        <f t="shared" si="121"/>
        <v/>
      </c>
      <c r="I341" s="77" t="str">
        <f>IF(H341="","",IF($I$8="A",(RANK(H341,H$11:H$368,1)+COUNTIF(H$11:H341,H341)-1),(RANK(H341,H$11:H$368)+COUNTIF(H$11:H341,H341)-1)))</f>
        <v/>
      </c>
      <c r="J341" s="35"/>
      <c r="K341" s="28" t="str">
        <f t="shared" si="129"/>
        <v/>
      </c>
      <c r="L341" s="36" t="str">
        <f t="shared" si="122"/>
        <v/>
      </c>
      <c r="M341" s="102" t="str">
        <f t="shared" si="130"/>
        <v/>
      </c>
      <c r="N341" s="101" t="str">
        <f t="shared" si="131"/>
        <v/>
      </c>
      <c r="O341" s="94" t="str">
        <f t="shared" si="123"/>
        <v/>
      </c>
      <c r="P341" s="94" t="str">
        <f t="shared" si="138"/>
        <v/>
      </c>
      <c r="Q341" s="94" t="str">
        <f t="shared" si="139"/>
        <v/>
      </c>
      <c r="R341" s="90" t="str">
        <f t="shared" si="140"/>
        <v/>
      </c>
      <c r="S341" s="37" t="str">
        <f t="shared" si="132"/>
        <v/>
      </c>
      <c r="T341" s="176" t="str">
        <f>IF(L341="","",VLOOKUP(L341,classifications!C:K,9,FALSE))</f>
        <v/>
      </c>
      <c r="U341" s="183" t="str">
        <f t="shared" si="124"/>
        <v/>
      </c>
      <c r="V341" s="184" t="str">
        <f>IF(U341="","",IF($I$8="A",(RANK(U341,U$11:U$368)+COUNTIF(U$11:U341,U341)-1),(RANK(U341,U$11:U$368,1)+COUNTIF(U$11:U341,U341)-1)))</f>
        <v/>
      </c>
      <c r="W341" s="185"/>
      <c r="X341" s="38" t="str">
        <f>IF(L341="","",VLOOKUP($L341,classifications!$C:$J,6,FALSE))</f>
        <v/>
      </c>
      <c r="Y341" s="26" t="b">
        <f t="shared" si="125"/>
        <v>0</v>
      </c>
      <c r="Z341" s="34" t="e">
        <f>IF(Y341="","",IF(I$8="A",(RANK(Y341,Y$11:Y$368,1)+COUNTIF(Y$11:Y341,Y341)-1),(RANK(Y341,Y$11:Y$368)+COUNTIF(Y$11:Y341,Y341)-1)))</f>
        <v>#N/A</v>
      </c>
      <c r="AA341" s="188" t="str">
        <f>IF(L341="","",VLOOKUP($L341,classifications!C:I,7,FALSE))</f>
        <v/>
      </c>
      <c r="AB341" s="184" t="str">
        <f t="shared" si="133"/>
        <v/>
      </c>
      <c r="AC341" s="184" t="str">
        <f>IF(AB341="","",IF($I$8="A",(RANK(AB341,AB$11:AB$368)+COUNTIF(AB$11:AB341,AB341)-1),(RANK(AB341,AB$11:AB$368,1)+COUNTIF(AB$11:AB341,AB341)-1)))</f>
        <v/>
      </c>
      <c r="AD341" s="184"/>
      <c r="AE341" s="28" t="str">
        <f t="shared" si="119"/>
        <v/>
      </c>
      <c r="AG341" s="96"/>
      <c r="AH341" s="29"/>
      <c r="AI341" s="38" t="str">
        <f>IF(L341="","",VLOOKUP($L341,classifications!$C:$J,8,FALSE))</f>
        <v/>
      </c>
      <c r="AJ341" s="39" t="str">
        <f t="shared" si="126"/>
        <v/>
      </c>
      <c r="AK341" s="34" t="str">
        <f>IF(AJ341="","",IF(I$8="A",(RANK(AJ341,AJ$11:AJ$368,1)+COUNTIF(AJ$11:AJ341,AJ341)-1),(RANK(AJ341,AJ$11:AJ$368)+COUNTIF(AJ$11:AJ341,AJ341)-1)))</f>
        <v/>
      </c>
      <c r="AL341" s="29" t="str">
        <f t="shared" si="134"/>
        <v/>
      </c>
      <c r="AM341" s="8" t="str">
        <f t="shared" si="127"/>
        <v/>
      </c>
      <c r="AN341" s="8" t="str">
        <f t="shared" si="135"/>
        <v/>
      </c>
      <c r="AP341" s="38" t="str">
        <f>IF(L341="","",VLOOKUP($L341,classifications!$C:$E,3,FALSE))</f>
        <v/>
      </c>
      <c r="AQ341" s="39" t="str">
        <f t="shared" si="136"/>
        <v/>
      </c>
      <c r="AR341" s="34" t="str">
        <f>IF(AQ341="","",IF(I$8="A",(RANK(AQ341,AQ$11:AQ$368,1)+COUNTIF(AQ$11:AQ341,AQ341)-1),(RANK(AQ341,AQ$11:AQ$368)+COUNTIF(AQ$11:AQ341,AQ341)-1)))</f>
        <v/>
      </c>
      <c r="AS341" s="29" t="str">
        <f t="shared" si="137"/>
        <v/>
      </c>
      <c r="AT341" s="34" t="str">
        <f t="shared" si="128"/>
        <v/>
      </c>
      <c r="AU341" s="39" t="str">
        <f t="shared" si="141"/>
        <v/>
      </c>
      <c r="AX341" s="21">
        <f>HLOOKUP($AX$9&amp;$AX$10,Data!$A$1:$ZZ$2000,(MATCH($C341,Data!$A$1:$A$2000,0)),FALSE)</f>
        <v>13.587316599707986</v>
      </c>
      <c r="AY341" s="103"/>
      <c r="AZ341" s="21"/>
    </row>
    <row r="342" spans="1:52">
      <c r="A342" s="56" t="str">
        <f>$D$1&amp;332</f>
        <v>SC332</v>
      </c>
      <c r="B342" s="57">
        <f>IF(ISERROR(VLOOKUP(A342,classifications!A:C,3,FALSE)),0,VLOOKUP(A342,classifications!A:C,3,FALSE))</f>
        <v>0</v>
      </c>
      <c r="C342" s="8" t="s">
        <v>296</v>
      </c>
      <c r="D342" s="26" t="str">
        <f>VLOOKUP($C342,classifications!$C:$J,4,FALSE)</f>
        <v>UA</v>
      </c>
      <c r="E342" s="26">
        <f>VLOOKUP(C342,classifications!C:K,9,FALSE)</f>
        <v>0</v>
      </c>
      <c r="F342" s="36">
        <f t="shared" si="120"/>
        <v>18.712657179627712</v>
      </c>
      <c r="G342" s="71"/>
      <c r="H342" s="37" t="str">
        <f t="shared" si="121"/>
        <v/>
      </c>
      <c r="I342" s="77" t="str">
        <f>IF(H342="","",IF($I$8="A",(RANK(H342,H$11:H$368,1)+COUNTIF(H$11:H342,H342)-1),(RANK(H342,H$11:H$368)+COUNTIF(H$11:H342,H342)-1)))</f>
        <v/>
      </c>
      <c r="J342" s="35"/>
      <c r="K342" s="28" t="str">
        <f t="shared" si="129"/>
        <v/>
      </c>
      <c r="L342" s="36" t="str">
        <f t="shared" si="122"/>
        <v/>
      </c>
      <c r="M342" s="102" t="str">
        <f t="shared" si="130"/>
        <v/>
      </c>
      <c r="N342" s="101" t="str">
        <f t="shared" si="131"/>
        <v/>
      </c>
      <c r="O342" s="94" t="str">
        <f t="shared" si="123"/>
        <v/>
      </c>
      <c r="P342" s="94" t="str">
        <f t="shared" si="138"/>
        <v/>
      </c>
      <c r="Q342" s="94" t="str">
        <f t="shared" si="139"/>
        <v/>
      </c>
      <c r="R342" s="90" t="str">
        <f t="shared" si="140"/>
        <v/>
      </c>
      <c r="S342" s="37" t="str">
        <f t="shared" si="132"/>
        <v/>
      </c>
      <c r="T342" s="176" t="str">
        <f>IF(L342="","",VLOOKUP(L342,classifications!C:K,9,FALSE))</f>
        <v/>
      </c>
      <c r="U342" s="183" t="str">
        <f t="shared" si="124"/>
        <v/>
      </c>
      <c r="V342" s="184" t="str">
        <f>IF(U342="","",IF($I$8="A",(RANK(U342,U$11:U$368)+COUNTIF(U$11:U342,U342)-1),(RANK(U342,U$11:U$368,1)+COUNTIF(U$11:U342,U342)-1)))</f>
        <v/>
      </c>
      <c r="W342" s="185"/>
      <c r="X342" s="38" t="str">
        <f>IF(L342="","",VLOOKUP($L342,classifications!$C:$J,6,FALSE))</f>
        <v/>
      </c>
      <c r="Y342" s="26" t="b">
        <f t="shared" si="125"/>
        <v>0</v>
      </c>
      <c r="Z342" s="34" t="e">
        <f>IF(Y342="","",IF(I$8="A",(RANK(Y342,Y$11:Y$368,1)+COUNTIF(Y$11:Y342,Y342)-1),(RANK(Y342,Y$11:Y$368)+COUNTIF(Y$11:Y342,Y342)-1)))</f>
        <v>#N/A</v>
      </c>
      <c r="AA342" s="188" t="str">
        <f>IF(L342="","",VLOOKUP($L342,classifications!C:I,7,FALSE))</f>
        <v/>
      </c>
      <c r="AB342" s="184" t="str">
        <f t="shared" si="133"/>
        <v/>
      </c>
      <c r="AC342" s="184" t="str">
        <f>IF(AB342="","",IF($I$8="A",(RANK(AB342,AB$11:AB$368)+COUNTIF(AB$11:AB342,AB342)-1),(RANK(AB342,AB$11:AB$368,1)+COUNTIF(AB$11:AB342,AB342)-1)))</f>
        <v/>
      </c>
      <c r="AD342" s="184"/>
      <c r="AE342" s="28" t="str">
        <f t="shared" si="119"/>
        <v/>
      </c>
      <c r="AG342" s="96"/>
      <c r="AH342" s="29"/>
      <c r="AI342" s="38" t="str">
        <f>IF(L342="","",VLOOKUP($L342,classifications!$C:$J,8,FALSE))</f>
        <v/>
      </c>
      <c r="AJ342" s="39" t="str">
        <f t="shared" si="126"/>
        <v/>
      </c>
      <c r="AK342" s="34" t="str">
        <f>IF(AJ342="","",IF(I$8="A",(RANK(AJ342,AJ$11:AJ$368,1)+COUNTIF(AJ$11:AJ342,AJ342)-1),(RANK(AJ342,AJ$11:AJ$368)+COUNTIF(AJ$11:AJ342,AJ342)-1)))</f>
        <v/>
      </c>
      <c r="AL342" s="29" t="str">
        <f t="shared" si="134"/>
        <v/>
      </c>
      <c r="AM342" s="8" t="str">
        <f t="shared" si="127"/>
        <v/>
      </c>
      <c r="AN342" s="8" t="str">
        <f t="shared" si="135"/>
        <v/>
      </c>
      <c r="AP342" s="38" t="str">
        <f>IF(L342="","",VLOOKUP($L342,classifications!$C:$E,3,FALSE))</f>
        <v/>
      </c>
      <c r="AQ342" s="39" t="str">
        <f t="shared" si="136"/>
        <v/>
      </c>
      <c r="AR342" s="34" t="str">
        <f>IF(AQ342="","",IF(I$8="A",(RANK(AQ342,AQ$11:AQ$368,1)+COUNTIF(AQ$11:AQ342,AQ342)-1),(RANK(AQ342,AQ$11:AQ$368)+COUNTIF(AQ$11:AQ342,AQ342)-1)))</f>
        <v/>
      </c>
      <c r="AS342" s="29" t="str">
        <f t="shared" si="137"/>
        <v/>
      </c>
      <c r="AT342" s="34" t="str">
        <f t="shared" si="128"/>
        <v/>
      </c>
      <c r="AU342" s="39" t="str">
        <f t="shared" si="141"/>
        <v/>
      </c>
      <c r="AX342" s="21">
        <f>HLOOKUP($AX$9&amp;$AX$10,Data!$A$1:$ZZ$2000,(MATCH($C342,Data!$A$1:$A$2000,0)),FALSE)</f>
        <v>18.712657179627712</v>
      </c>
      <c r="AY342" s="103"/>
      <c r="AZ342" s="21"/>
    </row>
    <row r="343" spans="1:52">
      <c r="A343" s="56" t="str">
        <f>$D$1&amp;333</f>
        <v>SC333</v>
      </c>
      <c r="B343" s="57">
        <f>IF(ISERROR(VLOOKUP(A343,classifications!A:C,3,FALSE)),0,VLOOKUP(A343,classifications!A:C,3,FALSE))</f>
        <v>0</v>
      </c>
      <c r="C343" s="8" t="s">
        <v>181</v>
      </c>
      <c r="D343" s="26" t="str">
        <f>VLOOKUP($C343,classifications!$C:$J,4,FALSE)</f>
        <v>SD</v>
      </c>
      <c r="E343" s="26" t="str">
        <f>VLOOKUP(C343,classifications!C:K,9,FALSE)</f>
        <v>Sparse</v>
      </c>
      <c r="F343" s="36">
        <f t="shared" si="120"/>
        <v>13.398435317130453</v>
      </c>
      <c r="G343" s="71"/>
      <c r="H343" s="37" t="str">
        <f t="shared" si="121"/>
        <v/>
      </c>
      <c r="I343" s="77" t="str">
        <f>IF(H343="","",IF($I$8="A",(RANK(H343,H$11:H$368,1)+COUNTIF(H$11:H343,H343)-1),(RANK(H343,H$11:H$368)+COUNTIF(H$11:H343,H343)-1)))</f>
        <v/>
      </c>
      <c r="J343" s="35"/>
      <c r="K343" s="28" t="str">
        <f t="shared" si="129"/>
        <v/>
      </c>
      <c r="L343" s="36" t="str">
        <f t="shared" si="122"/>
        <v/>
      </c>
      <c r="M343" s="102" t="str">
        <f t="shared" si="130"/>
        <v/>
      </c>
      <c r="N343" s="101" t="str">
        <f t="shared" si="131"/>
        <v/>
      </c>
      <c r="O343" s="94" t="str">
        <f t="shared" si="123"/>
        <v/>
      </c>
      <c r="P343" s="94" t="str">
        <f t="shared" si="138"/>
        <v/>
      </c>
      <c r="Q343" s="94" t="str">
        <f t="shared" si="139"/>
        <v/>
      </c>
      <c r="R343" s="90" t="str">
        <f t="shared" si="140"/>
        <v/>
      </c>
      <c r="S343" s="37" t="str">
        <f t="shared" si="132"/>
        <v/>
      </c>
      <c r="T343" s="176" t="str">
        <f>IF(L343="","",VLOOKUP(L343,classifications!C:K,9,FALSE))</f>
        <v/>
      </c>
      <c r="U343" s="183" t="str">
        <f t="shared" si="124"/>
        <v/>
      </c>
      <c r="V343" s="184" t="str">
        <f>IF(U343="","",IF($I$8="A",(RANK(U343,U$11:U$368)+COUNTIF(U$11:U343,U343)-1),(RANK(U343,U$11:U$368,1)+COUNTIF(U$11:U343,U343)-1)))</f>
        <v/>
      </c>
      <c r="W343" s="185"/>
      <c r="X343" s="38" t="str">
        <f>IF(L343="","",VLOOKUP($L343,classifications!$C:$J,6,FALSE))</f>
        <v/>
      </c>
      <c r="Y343" s="26" t="b">
        <f t="shared" si="125"/>
        <v>0</v>
      </c>
      <c r="Z343" s="34" t="e">
        <f>IF(Y343="","",IF(I$8="A",(RANK(Y343,Y$11:Y$368,1)+COUNTIF(Y$11:Y343,Y343)-1),(RANK(Y343,Y$11:Y$368)+COUNTIF(Y$11:Y343,Y343)-1)))</f>
        <v>#N/A</v>
      </c>
      <c r="AA343" s="188" t="str">
        <f>IF(L343="","",VLOOKUP($L343,classifications!C:I,7,FALSE))</f>
        <v/>
      </c>
      <c r="AB343" s="184" t="str">
        <f t="shared" si="133"/>
        <v/>
      </c>
      <c r="AC343" s="184" t="str">
        <f>IF(AB343="","",IF($I$8="A",(RANK(AB343,AB$11:AB$368)+COUNTIF(AB$11:AB343,AB343)-1),(RANK(AB343,AB$11:AB$368,1)+COUNTIF(AB$11:AB343,AB343)-1)))</f>
        <v/>
      </c>
      <c r="AD343" s="184"/>
      <c r="AE343" s="28" t="str">
        <f t="shared" si="119"/>
        <v/>
      </c>
      <c r="AG343" s="96"/>
      <c r="AH343" s="29"/>
      <c r="AI343" s="38" t="str">
        <f>IF(L343="","",VLOOKUP($L343,classifications!$C:$J,8,FALSE))</f>
        <v/>
      </c>
      <c r="AJ343" s="39" t="str">
        <f t="shared" si="126"/>
        <v/>
      </c>
      <c r="AK343" s="34" t="str">
        <f>IF(AJ343="","",IF(I$8="A",(RANK(AJ343,AJ$11:AJ$368,1)+COUNTIF(AJ$11:AJ343,AJ343)-1),(RANK(AJ343,AJ$11:AJ$368)+COUNTIF(AJ$11:AJ343,AJ343)-1)))</f>
        <v/>
      </c>
      <c r="AL343" s="29" t="str">
        <f t="shared" si="134"/>
        <v/>
      </c>
      <c r="AM343" s="8" t="str">
        <f t="shared" si="127"/>
        <v/>
      </c>
      <c r="AN343" s="8" t="str">
        <f t="shared" si="135"/>
        <v/>
      </c>
      <c r="AP343" s="38" t="str">
        <f>IF(L343="","",VLOOKUP($L343,classifications!$C:$E,3,FALSE))</f>
        <v/>
      </c>
      <c r="AQ343" s="39" t="str">
        <f t="shared" si="136"/>
        <v/>
      </c>
      <c r="AR343" s="34" t="str">
        <f>IF(AQ343="","",IF(I$8="A",(RANK(AQ343,AQ$11:AQ$368,1)+COUNTIF(AQ$11:AQ343,AQ343)-1),(RANK(AQ343,AQ$11:AQ$368)+COUNTIF(AQ$11:AQ343,AQ343)-1)))</f>
        <v/>
      </c>
      <c r="AS343" s="29" t="str">
        <f t="shared" si="137"/>
        <v/>
      </c>
      <c r="AT343" s="34" t="str">
        <f t="shared" si="128"/>
        <v/>
      </c>
      <c r="AU343" s="39" t="str">
        <f t="shared" si="141"/>
        <v/>
      </c>
      <c r="AX343" s="21">
        <f>HLOOKUP($AX$9&amp;$AX$10,Data!$A$1:$ZZ$2000,(MATCH($C343,Data!$A$1:$A$2000,0)),FALSE)</f>
        <v>13.398435317130453</v>
      </c>
      <c r="AY343" s="103"/>
      <c r="AZ343" s="21"/>
    </row>
    <row r="344" spans="1:52">
      <c r="A344" s="56" t="str">
        <f>$D$1&amp;334</f>
        <v>SC334</v>
      </c>
      <c r="B344" s="57">
        <f>IF(ISERROR(VLOOKUP(A344,classifications!A:C,3,FALSE)),0,VLOOKUP(A344,classifications!A:C,3,FALSE))</f>
        <v>0</v>
      </c>
      <c r="C344" s="8" t="s">
        <v>182</v>
      </c>
      <c r="D344" s="26" t="str">
        <f>VLOOKUP($C344,classifications!$C:$J,4,FALSE)</f>
        <v>SD</v>
      </c>
      <c r="E344" s="26">
        <f>VLOOKUP(C344,classifications!C:K,9,FALSE)</f>
        <v>0</v>
      </c>
      <c r="F344" s="36">
        <f t="shared" si="120"/>
        <v>0</v>
      </c>
      <c r="G344" s="71"/>
      <c r="H344" s="37" t="str">
        <f t="shared" si="121"/>
        <v/>
      </c>
      <c r="I344" s="77" t="str">
        <f>IF(H344="","",IF($I$8="A",(RANK(H344,H$11:H$368,1)+COUNTIF(H$11:H344,H344)-1),(RANK(H344,H$11:H$368)+COUNTIF(H$11:H344,H344)-1)))</f>
        <v/>
      </c>
      <c r="J344" s="35"/>
      <c r="K344" s="28" t="str">
        <f t="shared" si="129"/>
        <v/>
      </c>
      <c r="L344" s="36" t="str">
        <f t="shared" si="122"/>
        <v/>
      </c>
      <c r="M344" s="102" t="str">
        <f t="shared" si="130"/>
        <v/>
      </c>
      <c r="N344" s="101" t="str">
        <f t="shared" si="131"/>
        <v/>
      </c>
      <c r="O344" s="94" t="str">
        <f t="shared" si="123"/>
        <v/>
      </c>
      <c r="P344" s="94" t="str">
        <f t="shared" si="138"/>
        <v/>
      </c>
      <c r="Q344" s="94" t="str">
        <f t="shared" si="139"/>
        <v/>
      </c>
      <c r="R344" s="90" t="str">
        <f t="shared" si="140"/>
        <v/>
      </c>
      <c r="S344" s="37" t="str">
        <f t="shared" si="132"/>
        <v/>
      </c>
      <c r="T344" s="176" t="str">
        <f>IF(L344="","",VLOOKUP(L344,classifications!C:K,9,FALSE))</f>
        <v/>
      </c>
      <c r="U344" s="183" t="str">
        <f t="shared" si="124"/>
        <v/>
      </c>
      <c r="V344" s="184" t="str">
        <f>IF(U344="","",IF($I$8="A",(RANK(U344,U$11:U$368)+COUNTIF(U$11:U344,U344)-1),(RANK(U344,U$11:U$368,1)+COUNTIF(U$11:U344,U344)-1)))</f>
        <v/>
      </c>
      <c r="W344" s="185"/>
      <c r="X344" s="38" t="str">
        <f>IF(L344="","",VLOOKUP($L344,classifications!$C:$J,6,FALSE))</f>
        <v/>
      </c>
      <c r="Y344" s="26" t="b">
        <f t="shared" si="125"/>
        <v>0</v>
      </c>
      <c r="Z344" s="34" t="e">
        <f>IF(Y344="","",IF(I$8="A",(RANK(Y344,Y$11:Y$368,1)+COUNTIF(Y$11:Y344,Y344)-1),(RANK(Y344,Y$11:Y$368)+COUNTIF(Y$11:Y344,Y344)-1)))</f>
        <v>#N/A</v>
      </c>
      <c r="AA344" s="188" t="str">
        <f>IF(L344="","",VLOOKUP($L344,classifications!C:I,7,FALSE))</f>
        <v/>
      </c>
      <c r="AB344" s="184" t="str">
        <f t="shared" si="133"/>
        <v/>
      </c>
      <c r="AC344" s="184" t="str">
        <f>IF(AB344="","",IF($I$8="A",(RANK(AB344,AB$11:AB$368)+COUNTIF(AB$11:AB344,AB344)-1),(RANK(AB344,AB$11:AB$368,1)+COUNTIF(AB$11:AB344,AB344)-1)))</f>
        <v/>
      </c>
      <c r="AD344" s="184"/>
      <c r="AE344" s="28" t="str">
        <f t="shared" si="119"/>
        <v/>
      </c>
      <c r="AG344" s="96"/>
      <c r="AH344" s="29"/>
      <c r="AI344" s="38" t="str">
        <f>IF(L344="","",VLOOKUP($L344,classifications!$C:$J,8,FALSE))</f>
        <v/>
      </c>
      <c r="AJ344" s="39" t="str">
        <f t="shared" si="126"/>
        <v/>
      </c>
      <c r="AK344" s="34" t="str">
        <f>IF(AJ344="","",IF(I$8="A",(RANK(AJ344,AJ$11:AJ$368,1)+COUNTIF(AJ$11:AJ344,AJ344)-1),(RANK(AJ344,AJ$11:AJ$368)+COUNTIF(AJ$11:AJ344,AJ344)-1)))</f>
        <v/>
      </c>
      <c r="AL344" s="29" t="str">
        <f t="shared" si="134"/>
        <v/>
      </c>
      <c r="AM344" s="8" t="str">
        <f t="shared" si="127"/>
        <v/>
      </c>
      <c r="AN344" s="8" t="str">
        <f t="shared" si="135"/>
        <v/>
      </c>
      <c r="AP344" s="38" t="str">
        <f>IF(L344="","",VLOOKUP($L344,classifications!$C:$E,3,FALSE))</f>
        <v/>
      </c>
      <c r="AQ344" s="39" t="str">
        <f t="shared" si="136"/>
        <v/>
      </c>
      <c r="AR344" s="34" t="str">
        <f>IF(AQ344="","",IF(I$8="A",(RANK(AQ344,AQ$11:AQ$368,1)+COUNTIF(AQ$11:AQ344,AQ344)-1),(RANK(AQ344,AQ$11:AQ$368)+COUNTIF(AQ$11:AQ344,AQ344)-1)))</f>
        <v/>
      </c>
      <c r="AS344" s="29" t="str">
        <f t="shared" si="137"/>
        <v/>
      </c>
      <c r="AT344" s="34" t="str">
        <f t="shared" si="128"/>
        <v/>
      </c>
      <c r="AU344" s="39" t="str">
        <f t="shared" si="141"/>
        <v/>
      </c>
      <c r="AX344" s="21">
        <f>HLOOKUP($AX$9&amp;$AX$10,Data!$A$1:$ZZ$2000,(MATCH($C344,Data!$A$1:$A$2000,0)),FALSE)</f>
        <v>0</v>
      </c>
      <c r="AY344" s="103"/>
      <c r="AZ344" s="21"/>
    </row>
    <row r="345" spans="1:52">
      <c r="A345" s="56" t="str">
        <f>$D$1&amp;335</f>
        <v>SC335</v>
      </c>
      <c r="B345" s="57">
        <f>IF(ISERROR(VLOOKUP(A345,classifications!A:C,3,FALSE)),0,VLOOKUP(A345,classifications!A:C,3,FALSE))</f>
        <v>0</v>
      </c>
      <c r="C345" s="8" t="s">
        <v>183</v>
      </c>
      <c r="D345" s="26" t="str">
        <f>VLOOKUP($C345,classifications!$C:$J,4,FALSE)</f>
        <v>SD</v>
      </c>
      <c r="E345" s="26">
        <f>VLOOKUP(C345,classifications!C:K,9,FALSE)</f>
        <v>0</v>
      </c>
      <c r="F345" s="36">
        <f t="shared" si="120"/>
        <v>12.956233204007953</v>
      </c>
      <c r="G345" s="71"/>
      <c r="H345" s="37" t="str">
        <f t="shared" si="121"/>
        <v/>
      </c>
      <c r="I345" s="77" t="str">
        <f>IF(H345="","",IF($I$8="A",(RANK(H345,H$11:H$368,1)+COUNTIF(H$11:H345,H345)-1),(RANK(H345,H$11:H$368)+COUNTIF(H$11:H345,H345)-1)))</f>
        <v/>
      </c>
      <c r="J345" s="35"/>
      <c r="K345" s="28" t="str">
        <f t="shared" si="129"/>
        <v/>
      </c>
      <c r="L345" s="36" t="str">
        <f t="shared" si="122"/>
        <v/>
      </c>
      <c r="M345" s="102" t="str">
        <f t="shared" si="130"/>
        <v/>
      </c>
      <c r="N345" s="101" t="str">
        <f t="shared" si="131"/>
        <v/>
      </c>
      <c r="O345" s="94" t="str">
        <f t="shared" si="123"/>
        <v/>
      </c>
      <c r="P345" s="94" t="str">
        <f t="shared" si="138"/>
        <v/>
      </c>
      <c r="Q345" s="94" t="str">
        <f t="shared" si="139"/>
        <v/>
      </c>
      <c r="R345" s="90" t="str">
        <f t="shared" si="140"/>
        <v/>
      </c>
      <c r="S345" s="37" t="str">
        <f t="shared" si="132"/>
        <v/>
      </c>
      <c r="T345" s="176" t="str">
        <f>IF(L345="","",VLOOKUP(L345,classifications!C:K,9,FALSE))</f>
        <v/>
      </c>
      <c r="U345" s="183" t="str">
        <f t="shared" si="124"/>
        <v/>
      </c>
      <c r="V345" s="184" t="str">
        <f>IF(U345="","",IF($I$8="A",(RANK(U345,U$11:U$368)+COUNTIF(U$11:U345,U345)-1),(RANK(U345,U$11:U$368,1)+COUNTIF(U$11:U345,U345)-1)))</f>
        <v/>
      </c>
      <c r="W345" s="185"/>
      <c r="X345" s="38" t="str">
        <f>IF(L345="","",VLOOKUP($L345,classifications!$C:$J,6,FALSE))</f>
        <v/>
      </c>
      <c r="Y345" s="26" t="b">
        <f t="shared" si="125"/>
        <v>0</v>
      </c>
      <c r="Z345" s="34" t="e">
        <f>IF(Y345="","",IF(I$8="A",(RANK(Y345,Y$11:Y$368,1)+COUNTIF(Y$11:Y345,Y345)-1),(RANK(Y345,Y$11:Y$368)+COUNTIF(Y$11:Y345,Y345)-1)))</f>
        <v>#N/A</v>
      </c>
      <c r="AA345" s="188" t="str">
        <f>IF(L345="","",VLOOKUP($L345,classifications!C:I,7,FALSE))</f>
        <v/>
      </c>
      <c r="AB345" s="184" t="str">
        <f t="shared" si="133"/>
        <v/>
      </c>
      <c r="AC345" s="184" t="str">
        <f>IF(AB345="","",IF($I$8="A",(RANK(AB345,AB$11:AB$368)+COUNTIF(AB$11:AB345,AB345)-1),(RANK(AB345,AB$11:AB$368,1)+COUNTIF(AB$11:AB345,AB345)-1)))</f>
        <v/>
      </c>
      <c r="AD345" s="184"/>
      <c r="AE345" s="28" t="str">
        <f t="shared" si="119"/>
        <v/>
      </c>
      <c r="AG345" s="96"/>
      <c r="AH345" s="29"/>
      <c r="AI345" s="38" t="str">
        <f>IF(L345="","",VLOOKUP($L345,classifications!$C:$J,8,FALSE))</f>
        <v/>
      </c>
      <c r="AJ345" s="39" t="str">
        <f t="shared" si="126"/>
        <v/>
      </c>
      <c r="AK345" s="34" t="str">
        <f>IF(AJ345="","",IF(I$8="A",(RANK(AJ345,AJ$11:AJ$368,1)+COUNTIF(AJ$11:AJ345,AJ345)-1),(RANK(AJ345,AJ$11:AJ$368)+COUNTIF(AJ$11:AJ345,AJ345)-1)))</f>
        <v/>
      </c>
      <c r="AL345" s="29" t="str">
        <f t="shared" si="134"/>
        <v/>
      </c>
      <c r="AM345" s="8" t="str">
        <f t="shared" si="127"/>
        <v/>
      </c>
      <c r="AN345" s="8" t="str">
        <f t="shared" si="135"/>
        <v/>
      </c>
      <c r="AP345" s="38" t="str">
        <f>IF(L345="","",VLOOKUP($L345,classifications!$C:$E,3,FALSE))</f>
        <v/>
      </c>
      <c r="AQ345" s="39" t="str">
        <f t="shared" si="136"/>
        <v/>
      </c>
      <c r="AR345" s="34" t="str">
        <f>IF(AQ345="","",IF(I$8="A",(RANK(AQ345,AQ$11:AQ$368,1)+COUNTIF(AQ$11:AQ345,AQ345)-1),(RANK(AQ345,AQ$11:AQ$368)+COUNTIF(AQ$11:AQ345,AQ345)-1)))</f>
        <v/>
      </c>
      <c r="AS345" s="29" t="str">
        <f t="shared" si="137"/>
        <v/>
      </c>
      <c r="AT345" s="34" t="str">
        <f t="shared" si="128"/>
        <v/>
      </c>
      <c r="AU345" s="39" t="str">
        <f t="shared" si="141"/>
        <v/>
      </c>
      <c r="AX345" s="21">
        <f>HLOOKUP($AX$9&amp;$AX$10,Data!$A$1:$ZZ$2000,(MATCH($C345,Data!$A$1:$A$2000,0)),FALSE)</f>
        <v>12.956233204007953</v>
      </c>
      <c r="AY345" s="103"/>
      <c r="AZ345" s="21"/>
    </row>
    <row r="346" spans="1:52">
      <c r="A346" s="56" t="str">
        <f>$D$1&amp;336</f>
        <v>SC336</v>
      </c>
      <c r="B346" s="57">
        <f>IF(ISERROR(VLOOKUP(A346,classifications!A:C,3,FALSE)),0,VLOOKUP(A346,classifications!A:C,3,FALSE))</f>
        <v>0</v>
      </c>
      <c r="C346" s="8" t="s">
        <v>184</v>
      </c>
      <c r="D346" s="26" t="str">
        <f>VLOOKUP($C346,classifications!$C:$J,4,FALSE)</f>
        <v>SD</v>
      </c>
      <c r="E346" s="26" t="str">
        <f>VLOOKUP(C346,classifications!C:K,9,FALSE)</f>
        <v>Sparse</v>
      </c>
      <c r="F346" s="36">
        <f t="shared" si="120"/>
        <v>13.289648360436429</v>
      </c>
      <c r="G346" s="71"/>
      <c r="H346" s="37" t="str">
        <f t="shared" si="121"/>
        <v/>
      </c>
      <c r="I346" s="77" t="str">
        <f>IF(H346="","",IF($I$8="A",(RANK(H346,H$11:H$368,1)+COUNTIF(H$11:H346,H346)-1),(RANK(H346,H$11:H$368)+COUNTIF(H$11:H346,H346)-1)))</f>
        <v/>
      </c>
      <c r="J346" s="35"/>
      <c r="K346" s="28" t="str">
        <f t="shared" si="129"/>
        <v/>
      </c>
      <c r="L346" s="36" t="str">
        <f t="shared" si="122"/>
        <v/>
      </c>
      <c r="M346" s="102" t="str">
        <f t="shared" si="130"/>
        <v/>
      </c>
      <c r="N346" s="101" t="str">
        <f t="shared" si="131"/>
        <v/>
      </c>
      <c r="O346" s="94" t="str">
        <f t="shared" si="123"/>
        <v/>
      </c>
      <c r="P346" s="94" t="str">
        <f t="shared" si="138"/>
        <v/>
      </c>
      <c r="Q346" s="94" t="str">
        <f t="shared" si="139"/>
        <v/>
      </c>
      <c r="R346" s="90" t="str">
        <f t="shared" si="140"/>
        <v/>
      </c>
      <c r="S346" s="37" t="str">
        <f t="shared" si="132"/>
        <v/>
      </c>
      <c r="T346" s="176" t="str">
        <f>IF(L346="","",VLOOKUP(L346,classifications!C:K,9,FALSE))</f>
        <v/>
      </c>
      <c r="U346" s="183" t="str">
        <f t="shared" si="124"/>
        <v/>
      </c>
      <c r="V346" s="184" t="str">
        <f>IF(U346="","",IF($I$8="A",(RANK(U346,U$11:U$368)+COUNTIF(U$11:U346,U346)-1),(RANK(U346,U$11:U$368,1)+COUNTIF(U$11:U346,U346)-1)))</f>
        <v/>
      </c>
      <c r="W346" s="185"/>
      <c r="X346" s="38" t="str">
        <f>IF(L346="","",VLOOKUP($L346,classifications!$C:$J,6,FALSE))</f>
        <v/>
      </c>
      <c r="Y346" s="26" t="b">
        <f t="shared" si="125"/>
        <v>0</v>
      </c>
      <c r="Z346" s="34" t="e">
        <f>IF(Y346="","",IF(I$8="A",(RANK(Y346,Y$11:Y$368,1)+COUNTIF(Y$11:Y346,Y346)-1),(RANK(Y346,Y$11:Y$368)+COUNTIF(Y$11:Y346,Y346)-1)))</f>
        <v>#N/A</v>
      </c>
      <c r="AA346" s="188" t="str">
        <f>IF(L346="","",VLOOKUP($L346,classifications!C:I,7,FALSE))</f>
        <v/>
      </c>
      <c r="AB346" s="184" t="str">
        <f t="shared" si="133"/>
        <v/>
      </c>
      <c r="AC346" s="184" t="str">
        <f>IF(AB346="","",IF($I$8="A",(RANK(AB346,AB$11:AB$368)+COUNTIF(AB$11:AB346,AB346)-1),(RANK(AB346,AB$11:AB$368,1)+COUNTIF(AB$11:AB346,AB346)-1)))</f>
        <v/>
      </c>
      <c r="AD346" s="184"/>
      <c r="AE346" s="28" t="str">
        <f t="shared" si="119"/>
        <v/>
      </c>
      <c r="AG346" s="96"/>
      <c r="AH346" s="29"/>
      <c r="AI346" s="38" t="str">
        <f>IF(L346="","",VLOOKUP($L346,classifications!$C:$J,8,FALSE))</f>
        <v/>
      </c>
      <c r="AJ346" s="39" t="str">
        <f t="shared" si="126"/>
        <v/>
      </c>
      <c r="AK346" s="34" t="str">
        <f>IF(AJ346="","",IF(I$8="A",(RANK(AJ346,AJ$11:AJ$368,1)+COUNTIF(AJ$11:AJ346,AJ346)-1),(RANK(AJ346,AJ$11:AJ$368)+COUNTIF(AJ$11:AJ346,AJ346)-1)))</f>
        <v/>
      </c>
      <c r="AL346" s="29" t="str">
        <f t="shared" si="134"/>
        <v/>
      </c>
      <c r="AM346" s="8" t="str">
        <f t="shared" si="127"/>
        <v/>
      </c>
      <c r="AN346" s="8" t="str">
        <f t="shared" si="135"/>
        <v/>
      </c>
      <c r="AP346" s="38" t="str">
        <f>IF(L346="","",VLOOKUP($L346,classifications!$C:$E,3,FALSE))</f>
        <v/>
      </c>
      <c r="AQ346" s="39" t="str">
        <f t="shared" si="136"/>
        <v/>
      </c>
      <c r="AR346" s="34" t="str">
        <f>IF(AQ346="","",IF(I$8="A",(RANK(AQ346,AQ$11:AQ$368,1)+COUNTIF(AQ$11:AQ346,AQ346)-1),(RANK(AQ346,AQ$11:AQ$368)+COUNTIF(AQ$11:AQ346,AQ346)-1)))</f>
        <v/>
      </c>
      <c r="AS346" s="29" t="str">
        <f t="shared" si="137"/>
        <v/>
      </c>
      <c r="AT346" s="34" t="str">
        <f t="shared" si="128"/>
        <v/>
      </c>
      <c r="AU346" s="39" t="str">
        <f t="shared" si="141"/>
        <v/>
      </c>
      <c r="AX346" s="21">
        <f>HLOOKUP($AX$9&amp;$AX$10,Data!$A$1:$ZZ$2000,(MATCH($C346,Data!$A$1:$A$2000,0)),FALSE)</f>
        <v>13.289648360436429</v>
      </c>
      <c r="AY346" s="103"/>
      <c r="AZ346" s="21"/>
    </row>
    <row r="347" spans="1:52">
      <c r="A347" s="56" t="str">
        <f>$D$1&amp;337</f>
        <v>SC337</v>
      </c>
      <c r="B347" s="57">
        <f>IF(ISERROR(VLOOKUP(A347,classifications!A:C,3,FALSE)),0,VLOOKUP(A347,classifications!A:C,3,FALSE))</f>
        <v>0</v>
      </c>
      <c r="C347" s="8" t="s">
        <v>185</v>
      </c>
      <c r="D347" s="26" t="str">
        <f>VLOOKUP($C347,classifications!$C:$J,4,FALSE)</f>
        <v>SD</v>
      </c>
      <c r="E347" s="26" t="str">
        <f>VLOOKUP(C347,classifications!C:K,9,FALSE)</f>
        <v>Sparse</v>
      </c>
      <c r="F347" s="36">
        <f t="shared" si="120"/>
        <v>22.316116413519676</v>
      </c>
      <c r="G347" s="71"/>
      <c r="H347" s="37" t="str">
        <f t="shared" si="121"/>
        <v/>
      </c>
      <c r="I347" s="77" t="str">
        <f>IF(H347="","",IF($I$8="A",(RANK(H347,H$11:H$368,1)+COUNTIF(H$11:H347,H347)-1),(RANK(H347,H$11:H$368)+COUNTIF(H$11:H347,H347)-1)))</f>
        <v/>
      </c>
      <c r="J347" s="35"/>
      <c r="K347" s="28" t="str">
        <f t="shared" si="129"/>
        <v/>
      </c>
      <c r="L347" s="36" t="str">
        <f t="shared" si="122"/>
        <v/>
      </c>
      <c r="M347" s="102" t="str">
        <f t="shared" si="130"/>
        <v/>
      </c>
      <c r="N347" s="101" t="str">
        <f t="shared" si="131"/>
        <v/>
      </c>
      <c r="O347" s="94" t="str">
        <f t="shared" si="123"/>
        <v/>
      </c>
      <c r="P347" s="94" t="str">
        <f t="shared" si="138"/>
        <v/>
      </c>
      <c r="Q347" s="94" t="str">
        <f t="shared" si="139"/>
        <v/>
      </c>
      <c r="R347" s="90" t="str">
        <f t="shared" si="140"/>
        <v/>
      </c>
      <c r="S347" s="37" t="str">
        <f t="shared" si="132"/>
        <v/>
      </c>
      <c r="T347" s="176" t="str">
        <f>IF(L347="","",VLOOKUP(L347,classifications!C:K,9,FALSE))</f>
        <v/>
      </c>
      <c r="U347" s="183" t="str">
        <f t="shared" si="124"/>
        <v/>
      </c>
      <c r="V347" s="184" t="str">
        <f>IF(U347="","",IF($I$8="A",(RANK(U347,U$11:U$368)+COUNTIF(U$11:U347,U347)-1),(RANK(U347,U$11:U$368,1)+COUNTIF(U$11:U347,U347)-1)))</f>
        <v/>
      </c>
      <c r="W347" s="185"/>
      <c r="X347" s="38" t="str">
        <f>IF(L347="","",VLOOKUP($L347,classifications!$C:$J,6,FALSE))</f>
        <v/>
      </c>
      <c r="Y347" s="26" t="b">
        <f t="shared" si="125"/>
        <v>0</v>
      </c>
      <c r="Z347" s="34" t="e">
        <f>IF(Y347="","",IF(I$8="A",(RANK(Y347,Y$11:Y$368,1)+COUNTIF(Y$11:Y347,Y347)-1),(RANK(Y347,Y$11:Y$368)+COUNTIF(Y$11:Y347,Y347)-1)))</f>
        <v>#N/A</v>
      </c>
      <c r="AA347" s="188" t="str">
        <f>IF(L347="","",VLOOKUP($L347,classifications!C:I,7,FALSE))</f>
        <v/>
      </c>
      <c r="AB347" s="184" t="str">
        <f t="shared" si="133"/>
        <v/>
      </c>
      <c r="AC347" s="184" t="str">
        <f>IF(AB347="","",IF($I$8="A",(RANK(AB347,AB$11:AB$368)+COUNTIF(AB$11:AB347,AB347)-1),(RANK(AB347,AB$11:AB$368,1)+COUNTIF(AB$11:AB347,AB347)-1)))</f>
        <v/>
      </c>
      <c r="AD347" s="184"/>
      <c r="AE347" s="28" t="str">
        <f t="shared" si="119"/>
        <v/>
      </c>
      <c r="AG347" s="96"/>
      <c r="AH347" s="29"/>
      <c r="AI347" s="38" t="str">
        <f>IF(L347="","",VLOOKUP($L347,classifications!$C:$J,8,FALSE))</f>
        <v/>
      </c>
      <c r="AJ347" s="39" t="str">
        <f t="shared" si="126"/>
        <v/>
      </c>
      <c r="AK347" s="34" t="str">
        <f>IF(AJ347="","",IF(I$8="A",(RANK(AJ347,AJ$11:AJ$368,1)+COUNTIF(AJ$11:AJ347,AJ347)-1),(RANK(AJ347,AJ$11:AJ$368)+COUNTIF(AJ$11:AJ347,AJ347)-1)))</f>
        <v/>
      </c>
      <c r="AL347" s="29" t="str">
        <f t="shared" si="134"/>
        <v/>
      </c>
      <c r="AM347" s="8" t="str">
        <f t="shared" si="127"/>
        <v/>
      </c>
      <c r="AN347" s="8" t="str">
        <f t="shared" si="135"/>
        <v/>
      </c>
      <c r="AP347" s="38" t="str">
        <f>IF(L347="","",VLOOKUP($L347,classifications!$C:$E,3,FALSE))</f>
        <v/>
      </c>
      <c r="AQ347" s="39" t="str">
        <f t="shared" si="136"/>
        <v/>
      </c>
      <c r="AR347" s="34" t="str">
        <f>IF(AQ347="","",IF(I$8="A",(RANK(AQ347,AQ$11:AQ$368,1)+COUNTIF(AQ$11:AQ347,AQ347)-1),(RANK(AQ347,AQ$11:AQ$368)+COUNTIF(AQ$11:AQ347,AQ347)-1)))</f>
        <v/>
      </c>
      <c r="AS347" s="29" t="str">
        <f t="shared" si="137"/>
        <v/>
      </c>
      <c r="AT347" s="34" t="str">
        <f t="shared" si="128"/>
        <v/>
      </c>
      <c r="AU347" s="39" t="str">
        <f t="shared" si="141"/>
        <v/>
      </c>
      <c r="AX347" s="21">
        <f>HLOOKUP($AX$9&amp;$AX$10,Data!$A$1:$ZZ$2000,(MATCH($C347,Data!$A$1:$A$2000,0)),FALSE)</f>
        <v>22.316116413519676</v>
      </c>
      <c r="AY347" s="103"/>
      <c r="AZ347" s="21"/>
    </row>
    <row r="348" spans="1:52">
      <c r="A348" s="56" t="str">
        <f>$D$1&amp;338</f>
        <v>SC338</v>
      </c>
      <c r="B348" s="57">
        <f>IF(ISERROR(VLOOKUP(A348,classifications!A:C,3,FALSE)),0,VLOOKUP(A348,classifications!A:C,3,FALSE))</f>
        <v>0</v>
      </c>
      <c r="C348" s="8" t="s">
        <v>186</v>
      </c>
      <c r="D348" s="26" t="str">
        <f>VLOOKUP($C348,classifications!$C:$J,4,FALSE)</f>
        <v>SD</v>
      </c>
      <c r="E348" s="26" t="str">
        <f>VLOOKUP(C348,classifications!C:K,9,FALSE)</f>
        <v>Sparse</v>
      </c>
      <c r="F348" s="36">
        <f t="shared" si="120"/>
        <v>0</v>
      </c>
      <c r="G348" s="71"/>
      <c r="H348" s="37" t="str">
        <f t="shared" si="121"/>
        <v/>
      </c>
      <c r="I348" s="77" t="str">
        <f>IF(H348="","",IF($I$8="A",(RANK(H348,H$11:H$368,1)+COUNTIF(H$11:H348,H348)-1),(RANK(H348,H$11:H$368)+COUNTIF(H$11:H348,H348)-1)))</f>
        <v/>
      </c>
      <c r="J348" s="35"/>
      <c r="K348" s="28" t="str">
        <f t="shared" si="129"/>
        <v/>
      </c>
      <c r="L348" s="36" t="str">
        <f t="shared" si="122"/>
        <v/>
      </c>
      <c r="M348" s="102" t="str">
        <f t="shared" si="130"/>
        <v/>
      </c>
      <c r="N348" s="101" t="str">
        <f t="shared" si="131"/>
        <v/>
      </c>
      <c r="O348" s="94" t="str">
        <f t="shared" si="123"/>
        <v/>
      </c>
      <c r="P348" s="94" t="str">
        <f t="shared" si="138"/>
        <v/>
      </c>
      <c r="Q348" s="94" t="str">
        <f t="shared" si="139"/>
        <v/>
      </c>
      <c r="R348" s="90" t="str">
        <f t="shared" si="140"/>
        <v/>
      </c>
      <c r="S348" s="37" t="str">
        <f t="shared" si="132"/>
        <v/>
      </c>
      <c r="T348" s="176" t="str">
        <f>IF(L348="","",VLOOKUP(L348,classifications!C:K,9,FALSE))</f>
        <v/>
      </c>
      <c r="U348" s="183" t="str">
        <f t="shared" si="124"/>
        <v/>
      </c>
      <c r="V348" s="184" t="str">
        <f>IF(U348="","",IF($I$8="A",(RANK(U348,U$11:U$368)+COUNTIF(U$11:U348,U348)-1),(RANK(U348,U$11:U$368,1)+COUNTIF(U$11:U348,U348)-1)))</f>
        <v/>
      </c>
      <c r="W348" s="185"/>
      <c r="X348" s="38" t="str">
        <f>IF(L348="","",VLOOKUP($L348,classifications!$C:$J,6,FALSE))</f>
        <v/>
      </c>
      <c r="Y348" s="26" t="b">
        <f t="shared" si="125"/>
        <v>0</v>
      </c>
      <c r="Z348" s="34" t="e">
        <f>IF(Y348="","",IF(I$8="A",(RANK(Y348,Y$11:Y$368,1)+COUNTIF(Y$11:Y348,Y348)-1),(RANK(Y348,Y$11:Y$368)+COUNTIF(Y$11:Y348,Y348)-1)))</f>
        <v>#N/A</v>
      </c>
      <c r="AA348" s="188" t="str">
        <f>IF(L348="","",VLOOKUP($L348,classifications!C:I,7,FALSE))</f>
        <v/>
      </c>
      <c r="AB348" s="184" t="str">
        <f t="shared" si="133"/>
        <v/>
      </c>
      <c r="AC348" s="184" t="str">
        <f>IF(AB348="","",IF($I$8="A",(RANK(AB348,AB$11:AB$368)+COUNTIF(AB$11:AB348,AB348)-1),(RANK(AB348,AB$11:AB$368,1)+COUNTIF(AB$11:AB348,AB348)-1)))</f>
        <v/>
      </c>
      <c r="AD348" s="184"/>
      <c r="AE348" s="28" t="str">
        <f t="shared" si="119"/>
        <v/>
      </c>
      <c r="AG348" s="96"/>
      <c r="AH348" s="29"/>
      <c r="AI348" s="38" t="str">
        <f>IF(L348="","",VLOOKUP($L348,classifications!$C:$J,8,FALSE))</f>
        <v/>
      </c>
      <c r="AJ348" s="39" t="str">
        <f t="shared" si="126"/>
        <v/>
      </c>
      <c r="AK348" s="34" t="str">
        <f>IF(AJ348="","",IF(I$8="A",(RANK(AJ348,AJ$11:AJ$368,1)+COUNTIF(AJ$11:AJ348,AJ348)-1),(RANK(AJ348,AJ$11:AJ$368)+COUNTIF(AJ$11:AJ348,AJ348)-1)))</f>
        <v/>
      </c>
      <c r="AL348" s="29" t="str">
        <f t="shared" si="134"/>
        <v/>
      </c>
      <c r="AM348" s="8" t="str">
        <f t="shared" si="127"/>
        <v/>
      </c>
      <c r="AN348" s="8" t="str">
        <f t="shared" si="135"/>
        <v/>
      </c>
      <c r="AP348" s="38" t="str">
        <f>IF(L348="","",VLOOKUP($L348,classifications!$C:$E,3,FALSE))</f>
        <v/>
      </c>
      <c r="AQ348" s="39" t="str">
        <f t="shared" si="136"/>
        <v/>
      </c>
      <c r="AR348" s="34" t="str">
        <f>IF(AQ348="","",IF(I$8="A",(RANK(AQ348,AQ$11:AQ$368,1)+COUNTIF(AQ$11:AQ348,AQ348)-1),(RANK(AQ348,AQ$11:AQ$368)+COUNTIF(AQ$11:AQ348,AQ348)-1)))</f>
        <v/>
      </c>
      <c r="AS348" s="29" t="str">
        <f t="shared" si="137"/>
        <v/>
      </c>
      <c r="AT348" s="34" t="str">
        <f t="shared" si="128"/>
        <v/>
      </c>
      <c r="AU348" s="39" t="str">
        <f t="shared" si="141"/>
        <v/>
      </c>
      <c r="AX348" s="21">
        <f>HLOOKUP($AX$9&amp;$AX$10,Data!$A$1:$ZZ$2000,(MATCH($C348,Data!$A$1:$A$2000,0)),FALSE)</f>
        <v>0</v>
      </c>
      <c r="AY348" s="103"/>
      <c r="AZ348" s="21"/>
    </row>
    <row r="349" spans="1:52">
      <c r="A349" s="56" t="str">
        <f>$D$1&amp;339</f>
        <v>SC339</v>
      </c>
      <c r="B349" s="57">
        <f>IF(ISERROR(VLOOKUP(A349,classifications!A:C,3,FALSE)),0,VLOOKUP(A349,classifications!A:C,3,FALSE))</f>
        <v>0</v>
      </c>
      <c r="C349" s="8" t="s">
        <v>910</v>
      </c>
      <c r="D349" s="26" t="str">
        <f>VLOOKUP($C349,classifications!$C:$J,4,FALSE)</f>
        <v>SD</v>
      </c>
      <c r="E349" s="26" t="str">
        <f>VLOOKUP(C349,classifications!C:K,9,FALSE)</f>
        <v>Sparse</v>
      </c>
      <c r="F349" s="36">
        <f t="shared" si="120"/>
        <v>20.938986319148242</v>
      </c>
      <c r="G349" s="71"/>
      <c r="H349" s="37" t="str">
        <f t="shared" si="121"/>
        <v/>
      </c>
      <c r="I349" s="77" t="str">
        <f>IF(H349="","",IF($I$8="A",(RANK(H349,H$11:H$368,1)+COUNTIF(H$11:H349,H349)-1),(RANK(H349,H$11:H$368)+COUNTIF(H$11:H349,H349)-1)))</f>
        <v/>
      </c>
      <c r="J349" s="35"/>
      <c r="K349" s="28" t="str">
        <f t="shared" si="129"/>
        <v/>
      </c>
      <c r="L349" s="36" t="str">
        <f t="shared" si="122"/>
        <v/>
      </c>
      <c r="M349" s="102" t="str">
        <f t="shared" si="130"/>
        <v/>
      </c>
      <c r="N349" s="101" t="str">
        <f t="shared" si="131"/>
        <v/>
      </c>
      <c r="O349" s="94" t="str">
        <f t="shared" si="123"/>
        <v/>
      </c>
      <c r="P349" s="94" t="str">
        <f t="shared" si="138"/>
        <v/>
      </c>
      <c r="Q349" s="94" t="str">
        <f t="shared" si="139"/>
        <v/>
      </c>
      <c r="R349" s="90" t="str">
        <f t="shared" si="140"/>
        <v/>
      </c>
      <c r="S349" s="37" t="str">
        <f t="shared" si="132"/>
        <v/>
      </c>
      <c r="T349" s="176" t="str">
        <f>IF(L349="","",VLOOKUP(L349,classifications!C:K,9,FALSE))</f>
        <v/>
      </c>
      <c r="U349" s="183" t="str">
        <f t="shared" si="124"/>
        <v/>
      </c>
      <c r="V349" s="184" t="str">
        <f>IF(U349="","",IF($I$8="A",(RANK(U349,U$11:U$368)+COUNTIF(U$11:U349,U349)-1),(RANK(U349,U$11:U$368,1)+COUNTIF(U$11:U349,U349)-1)))</f>
        <v/>
      </c>
      <c r="W349" s="185"/>
      <c r="X349" s="38" t="str">
        <f>IF(L349="","",VLOOKUP($L349,classifications!$C:$J,6,FALSE))</f>
        <v/>
      </c>
      <c r="Y349" s="26" t="b">
        <f t="shared" si="125"/>
        <v>0</v>
      </c>
      <c r="Z349" s="34" t="e">
        <f>IF(Y349="","",IF(I$8="A",(RANK(Y349,Y$11:Y$368,1)+COUNTIF(Y$11:Y349,Y349)-1),(RANK(Y349,Y$11:Y$368)+COUNTIF(Y$11:Y349,Y349)-1)))</f>
        <v>#N/A</v>
      </c>
      <c r="AA349" s="188" t="str">
        <f>IF(L349="","",VLOOKUP($L349,classifications!C:I,7,FALSE))</f>
        <v/>
      </c>
      <c r="AB349" s="184" t="str">
        <f t="shared" si="133"/>
        <v/>
      </c>
      <c r="AC349" s="184" t="str">
        <f>IF(AB349="","",IF($I$8="A",(RANK(AB349,AB$11:AB$368)+COUNTIF(AB$11:AB349,AB349)-1),(RANK(AB349,AB$11:AB$368,1)+COUNTIF(AB$11:AB349,AB349)-1)))</f>
        <v/>
      </c>
      <c r="AD349" s="184"/>
      <c r="AE349" s="28" t="str">
        <f t="shared" si="119"/>
        <v/>
      </c>
      <c r="AG349" s="96"/>
      <c r="AH349" s="29"/>
      <c r="AI349" s="38" t="str">
        <f>IF(L349="","",VLOOKUP($L349,classifications!$C:$J,8,FALSE))</f>
        <v/>
      </c>
      <c r="AJ349" s="39" t="str">
        <f t="shared" si="126"/>
        <v/>
      </c>
      <c r="AK349" s="34" t="str">
        <f>IF(AJ349="","",IF(I$8="A",(RANK(AJ349,AJ$11:AJ$368,1)+COUNTIF(AJ$11:AJ349,AJ349)-1),(RANK(AJ349,AJ$11:AJ$368)+COUNTIF(AJ$11:AJ349,AJ349)-1)))</f>
        <v/>
      </c>
      <c r="AL349" s="29" t="str">
        <f t="shared" si="134"/>
        <v/>
      </c>
      <c r="AM349" s="8" t="str">
        <f t="shared" si="127"/>
        <v/>
      </c>
      <c r="AN349" s="8" t="str">
        <f t="shared" si="135"/>
        <v/>
      </c>
      <c r="AP349" s="38" t="str">
        <f>IF(L349="","",VLOOKUP($L349,classifications!$C:$E,3,FALSE))</f>
        <v/>
      </c>
      <c r="AQ349" s="39" t="str">
        <f t="shared" si="136"/>
        <v/>
      </c>
      <c r="AR349" s="34" t="str">
        <f>IF(AQ349="","",IF(I$8="A",(RANK(AQ349,AQ$11:AQ$368,1)+COUNTIF(AQ$11:AQ349,AQ349)-1),(RANK(AQ349,AQ$11:AQ$368)+COUNTIF(AQ$11:AQ349,AQ349)-1)))</f>
        <v/>
      </c>
      <c r="AS349" s="29" t="str">
        <f t="shared" si="137"/>
        <v/>
      </c>
      <c r="AT349" s="34" t="str">
        <f t="shared" si="128"/>
        <v/>
      </c>
      <c r="AU349" s="39" t="str">
        <f t="shared" si="141"/>
        <v/>
      </c>
      <c r="AX349" s="21">
        <f>HLOOKUP($AX$9&amp;$AX$10,Data!$A$1:$ZZ$2000,(MATCH($C349,Data!$A$1:$A$2000,0)),FALSE)</f>
        <v>20.938986319148242</v>
      </c>
      <c r="AY349" s="103"/>
      <c r="AZ349" s="21"/>
    </row>
    <row r="350" spans="1:52">
      <c r="A350" s="56" t="str">
        <f>$D$1&amp;340</f>
        <v>SC340</v>
      </c>
      <c r="B350" s="57">
        <f>IF(ISERROR(VLOOKUP(A350,classifications!A:C,3,FALSE)),0,VLOOKUP(A350,classifications!A:C,3,FALSE))</f>
        <v>0</v>
      </c>
      <c r="C350" s="8" t="s">
        <v>331</v>
      </c>
      <c r="D350" s="26" t="str">
        <f>VLOOKUP($C350,classifications!$C:$J,4,FALSE)</f>
        <v>SC</v>
      </c>
      <c r="E350" s="26">
        <f>VLOOKUP(C350,classifications!C:K,9,FALSE)</f>
        <v>0</v>
      </c>
      <c r="F350" s="36">
        <f t="shared" si="120"/>
        <v>18.584095297011689</v>
      </c>
      <c r="G350" s="71"/>
      <c r="H350" s="37">
        <f t="shared" si="121"/>
        <v>18.584095297011689</v>
      </c>
      <c r="I350" s="77">
        <f>IF(H350="","",IF($I$8="A",(RANK(H350,H$11:H$368,1)+COUNTIF(H$11:H350,H350)-1),(RANK(H350,H$11:H$368)+COUNTIF(H$11:H350,H350)-1)))</f>
        <v>8</v>
      </c>
      <c r="J350" s="35"/>
      <c r="K350" s="28" t="str">
        <f t="shared" si="129"/>
        <v/>
      </c>
      <c r="L350" s="36" t="str">
        <f t="shared" si="122"/>
        <v/>
      </c>
      <c r="M350" s="102" t="str">
        <f t="shared" si="130"/>
        <v/>
      </c>
      <c r="N350" s="101" t="str">
        <f t="shared" si="131"/>
        <v/>
      </c>
      <c r="O350" s="94" t="str">
        <f t="shared" si="123"/>
        <v/>
      </c>
      <c r="P350" s="94" t="str">
        <f t="shared" si="138"/>
        <v/>
      </c>
      <c r="Q350" s="94" t="str">
        <f t="shared" si="139"/>
        <v/>
      </c>
      <c r="R350" s="90" t="str">
        <f t="shared" si="140"/>
        <v/>
      </c>
      <c r="S350" s="37" t="str">
        <f t="shared" si="132"/>
        <v/>
      </c>
      <c r="T350" s="176" t="str">
        <f>IF(L350="","",VLOOKUP(L350,classifications!C:K,9,FALSE))</f>
        <v/>
      </c>
      <c r="U350" s="183" t="str">
        <f t="shared" si="124"/>
        <v/>
      </c>
      <c r="V350" s="184" t="str">
        <f>IF(U350="","",IF($I$8="A",(RANK(U350,U$11:U$368)+COUNTIF(U$11:U350,U350)-1),(RANK(U350,U$11:U$368,1)+COUNTIF(U$11:U350,U350)-1)))</f>
        <v/>
      </c>
      <c r="W350" s="185"/>
      <c r="X350" s="38" t="str">
        <f>IF(L350="","",VLOOKUP($L350,classifications!$C:$J,6,FALSE))</f>
        <v/>
      </c>
      <c r="Y350" s="26" t="b">
        <f t="shared" si="125"/>
        <v>0</v>
      </c>
      <c r="Z350" s="34" t="e">
        <f>IF(Y350="","",IF(I$8="A",(RANK(Y350,Y$11:Y$368,1)+COUNTIF(Y$11:Y350,Y350)-1),(RANK(Y350,Y$11:Y$368)+COUNTIF(Y$11:Y350,Y350)-1)))</f>
        <v>#N/A</v>
      </c>
      <c r="AA350" s="188" t="str">
        <f>IF(L350="","",VLOOKUP($L350,classifications!C:I,7,FALSE))</f>
        <v/>
      </c>
      <c r="AB350" s="184" t="str">
        <f t="shared" si="133"/>
        <v/>
      </c>
      <c r="AC350" s="184" t="str">
        <f>IF(AB350="","",IF($I$8="A",(RANK(AB350,AB$11:AB$368)+COUNTIF(AB$11:AB350,AB350)-1),(RANK(AB350,AB$11:AB$368,1)+COUNTIF(AB$11:AB350,AB350)-1)))</f>
        <v/>
      </c>
      <c r="AD350" s="184"/>
      <c r="AE350" s="28" t="str">
        <f t="shared" si="119"/>
        <v/>
      </c>
      <c r="AG350" s="96"/>
      <c r="AH350" s="29"/>
      <c r="AI350" s="38" t="str">
        <f>IF(L350="","",VLOOKUP($L350,classifications!$C:$J,8,FALSE))</f>
        <v/>
      </c>
      <c r="AJ350" s="39" t="str">
        <f t="shared" si="126"/>
        <v/>
      </c>
      <c r="AK350" s="34" t="str">
        <f>IF(AJ350="","",IF(I$8="A",(RANK(AJ350,AJ$11:AJ$368,1)+COUNTIF(AJ$11:AJ350,AJ350)-1),(RANK(AJ350,AJ$11:AJ$368)+COUNTIF(AJ$11:AJ350,AJ350)-1)))</f>
        <v/>
      </c>
      <c r="AL350" s="29" t="str">
        <f t="shared" si="134"/>
        <v/>
      </c>
      <c r="AM350" s="8" t="str">
        <f t="shared" si="127"/>
        <v/>
      </c>
      <c r="AN350" s="8" t="str">
        <f t="shared" si="135"/>
        <v/>
      </c>
      <c r="AP350" s="38" t="str">
        <f>IF(L350="","",VLOOKUP($L350,classifications!$C:$E,3,FALSE))</f>
        <v/>
      </c>
      <c r="AQ350" s="39" t="str">
        <f t="shared" si="136"/>
        <v/>
      </c>
      <c r="AR350" s="34" t="str">
        <f>IF(AQ350="","",IF(I$8="A",(RANK(AQ350,AQ$11:AQ$368,1)+COUNTIF(AQ$11:AQ350,AQ350)-1),(RANK(AQ350,AQ$11:AQ$368)+COUNTIF(AQ$11:AQ350,AQ350)-1)))</f>
        <v/>
      </c>
      <c r="AS350" s="29" t="str">
        <f t="shared" si="137"/>
        <v/>
      </c>
      <c r="AT350" s="34" t="str">
        <f t="shared" si="128"/>
        <v/>
      </c>
      <c r="AU350" s="39" t="str">
        <f t="shared" si="141"/>
        <v/>
      </c>
      <c r="AX350" s="21">
        <f>HLOOKUP($AX$9&amp;$AX$10,Data!$A$1:$ZZ$2000,(MATCH($C350,Data!$A$1:$A$2000,0)),FALSE)</f>
        <v>18.584095297011689</v>
      </c>
      <c r="AY350" s="103"/>
      <c r="AZ350" s="21"/>
    </row>
    <row r="351" spans="1:52">
      <c r="A351" s="56" t="str">
        <f>$D$1&amp;341</f>
        <v>SC341</v>
      </c>
      <c r="B351" s="57">
        <f>IF(ISERROR(VLOOKUP(A351,classifications!A:C,3,FALSE)),0,VLOOKUP(A351,classifications!A:C,3,FALSE))</f>
        <v>0</v>
      </c>
      <c r="C351" s="8" t="s">
        <v>187</v>
      </c>
      <c r="D351" s="26" t="str">
        <f>VLOOKUP($C351,classifications!$C:$J,4,FALSE)</f>
        <v>L</v>
      </c>
      <c r="E351" s="26">
        <f>VLOOKUP(C351,classifications!C:K,9,FALSE)</f>
        <v>0</v>
      </c>
      <c r="F351" s="36">
        <f t="shared" si="120"/>
        <v>23.646432057640133</v>
      </c>
      <c r="G351" s="71"/>
      <c r="H351" s="37" t="str">
        <f t="shared" si="121"/>
        <v/>
      </c>
      <c r="I351" s="77" t="str">
        <f>IF(H351="","",IF($I$8="A",(RANK(H351,H$11:H$368,1)+COUNTIF(H$11:H351,H351)-1),(RANK(H351,H$11:H$368)+COUNTIF(H$11:H351,H351)-1)))</f>
        <v/>
      </c>
      <c r="J351" s="35"/>
      <c r="K351" s="28" t="str">
        <f t="shared" si="129"/>
        <v/>
      </c>
      <c r="L351" s="36" t="str">
        <f t="shared" si="122"/>
        <v/>
      </c>
      <c r="M351" s="102" t="str">
        <f t="shared" si="130"/>
        <v/>
      </c>
      <c r="N351" s="101" t="str">
        <f t="shared" si="131"/>
        <v/>
      </c>
      <c r="O351" s="94" t="str">
        <f t="shared" si="123"/>
        <v/>
      </c>
      <c r="P351" s="94" t="str">
        <f t="shared" si="138"/>
        <v/>
      </c>
      <c r="Q351" s="94" t="str">
        <f t="shared" si="139"/>
        <v/>
      </c>
      <c r="R351" s="90" t="str">
        <f t="shared" si="140"/>
        <v/>
      </c>
      <c r="S351" s="37" t="str">
        <f t="shared" si="132"/>
        <v/>
      </c>
      <c r="T351" s="176" t="str">
        <f>IF(L351="","",VLOOKUP(L351,classifications!C:K,9,FALSE))</f>
        <v/>
      </c>
      <c r="U351" s="183" t="str">
        <f t="shared" si="124"/>
        <v/>
      </c>
      <c r="V351" s="184" t="str">
        <f>IF(U351="","",IF($I$8="A",(RANK(U351,U$11:U$368)+COUNTIF(U$11:U351,U351)-1),(RANK(U351,U$11:U$368,1)+COUNTIF(U$11:U351,U351)-1)))</f>
        <v/>
      </c>
      <c r="W351" s="185"/>
      <c r="X351" s="38" t="str">
        <f>IF(L351="","",VLOOKUP($L351,classifications!$C:$J,6,FALSE))</f>
        <v/>
      </c>
      <c r="Y351" s="26" t="b">
        <f t="shared" si="125"/>
        <v>0</v>
      </c>
      <c r="Z351" s="34" t="e">
        <f>IF(Y351="","",IF(I$8="A",(RANK(Y351,Y$11:Y$368,1)+COUNTIF(Y$11:Y351,Y351)-1),(RANK(Y351,Y$11:Y$368)+COUNTIF(Y$11:Y351,Y351)-1)))</f>
        <v>#N/A</v>
      </c>
      <c r="AA351" s="188" t="str">
        <f>IF(L351="","",VLOOKUP($L351,classifications!C:I,7,FALSE))</f>
        <v/>
      </c>
      <c r="AB351" s="184" t="str">
        <f t="shared" si="133"/>
        <v/>
      </c>
      <c r="AC351" s="184" t="str">
        <f>IF(AB351="","",IF($I$8="A",(RANK(AB351,AB$11:AB$368)+COUNTIF(AB$11:AB351,AB351)-1),(RANK(AB351,AB$11:AB$368,1)+COUNTIF(AB$11:AB351,AB351)-1)))</f>
        <v/>
      </c>
      <c r="AD351" s="184"/>
      <c r="AE351" s="28" t="str">
        <f t="shared" si="119"/>
        <v/>
      </c>
      <c r="AG351" s="96"/>
      <c r="AH351" s="29"/>
      <c r="AI351" s="38" t="str">
        <f>IF(L351="","",VLOOKUP($L351,classifications!$C:$J,8,FALSE))</f>
        <v/>
      </c>
      <c r="AJ351" s="39" t="str">
        <f t="shared" si="126"/>
        <v/>
      </c>
      <c r="AK351" s="34" t="str">
        <f>IF(AJ351="","",IF(I$8="A",(RANK(AJ351,AJ$11:AJ$368,1)+COUNTIF(AJ$11:AJ351,AJ351)-1),(RANK(AJ351,AJ$11:AJ$368)+COUNTIF(AJ$11:AJ351,AJ351)-1)))</f>
        <v/>
      </c>
      <c r="AL351" s="29" t="str">
        <f t="shared" si="134"/>
        <v/>
      </c>
      <c r="AM351" s="8" t="str">
        <f t="shared" si="127"/>
        <v/>
      </c>
      <c r="AN351" s="8" t="str">
        <f t="shared" si="135"/>
        <v/>
      </c>
      <c r="AP351" s="38" t="str">
        <f>IF(L351="","",VLOOKUP($L351,classifications!$C:$E,3,FALSE))</f>
        <v/>
      </c>
      <c r="AQ351" s="39" t="str">
        <f t="shared" si="136"/>
        <v/>
      </c>
      <c r="AR351" s="34" t="str">
        <f>IF(AQ351="","",IF(I$8="A",(RANK(AQ351,AQ$11:AQ$368,1)+COUNTIF(AQ$11:AQ351,AQ351)-1),(RANK(AQ351,AQ$11:AQ$368)+COUNTIF(AQ$11:AQ351,AQ351)-1)))</f>
        <v/>
      </c>
      <c r="AS351" s="29" t="str">
        <f t="shared" si="137"/>
        <v/>
      </c>
      <c r="AT351" s="34" t="str">
        <f t="shared" si="128"/>
        <v/>
      </c>
      <c r="AU351" s="39" t="str">
        <f t="shared" si="141"/>
        <v/>
      </c>
      <c r="AX351" s="21">
        <f>HLOOKUP($AX$9&amp;$AX$10,Data!$A$1:$ZZ$2000,(MATCH($C351,Data!$A$1:$A$2000,0)),FALSE)</f>
        <v>23.646432057640133</v>
      </c>
      <c r="AY351" s="103"/>
      <c r="AZ351" s="21"/>
    </row>
    <row r="352" spans="1:52">
      <c r="A352" s="56" t="str">
        <f>$D$1&amp;342</f>
        <v>SC342</v>
      </c>
      <c r="B352" s="57">
        <f>IF(ISERROR(VLOOKUP(A352,classifications!A:C,3,FALSE)),0,VLOOKUP(A352,classifications!A:C,3,FALSE))</f>
        <v>0</v>
      </c>
      <c r="C352" s="8" t="s">
        <v>351</v>
      </c>
      <c r="D352" s="26" t="str">
        <f>VLOOKUP($C352,classifications!$C:$J,4,FALSE)</f>
        <v>SD</v>
      </c>
      <c r="E352" s="26">
        <f>VLOOKUP(C352,classifications!C:K,9,FALSE)</f>
        <v>0</v>
      </c>
      <c r="F352" s="36">
        <f t="shared" si="120"/>
        <v>0</v>
      </c>
      <c r="G352" s="71"/>
      <c r="H352" s="37" t="str">
        <f t="shared" si="121"/>
        <v/>
      </c>
      <c r="I352" s="77" t="str">
        <f>IF(H352="","",IF($I$8="A",(RANK(H352,H$11:H$368,1)+COUNTIF(H$11:H352,H352)-1),(RANK(H352,H$11:H$368)+COUNTIF(H$11:H352,H352)-1)))</f>
        <v/>
      </c>
      <c r="J352" s="35"/>
      <c r="K352" s="28" t="str">
        <f t="shared" si="129"/>
        <v/>
      </c>
      <c r="L352" s="36" t="str">
        <f t="shared" si="122"/>
        <v/>
      </c>
      <c r="M352" s="102" t="str">
        <f t="shared" si="130"/>
        <v/>
      </c>
      <c r="N352" s="101" t="str">
        <f t="shared" si="131"/>
        <v/>
      </c>
      <c r="O352" s="94" t="str">
        <f t="shared" si="123"/>
        <v/>
      </c>
      <c r="P352" s="94" t="str">
        <f t="shared" si="138"/>
        <v/>
      </c>
      <c r="Q352" s="94" t="str">
        <f t="shared" si="139"/>
        <v/>
      </c>
      <c r="R352" s="90" t="str">
        <f t="shared" si="140"/>
        <v/>
      </c>
      <c r="S352" s="37" t="str">
        <f t="shared" si="132"/>
        <v/>
      </c>
      <c r="T352" s="176" t="str">
        <f>IF(L352="","",VLOOKUP(L352,classifications!C:K,9,FALSE))</f>
        <v/>
      </c>
      <c r="U352" s="183" t="str">
        <f t="shared" si="124"/>
        <v/>
      </c>
      <c r="V352" s="184" t="str">
        <f>IF(U352="","",IF($I$8="A",(RANK(U352,U$11:U$368)+COUNTIF(U$11:U352,U352)-1),(RANK(U352,U$11:U$368,1)+COUNTIF(U$11:U352,U352)-1)))</f>
        <v/>
      </c>
      <c r="W352" s="185"/>
      <c r="X352" s="38" t="str">
        <f>IF(L352="","",VLOOKUP($L352,classifications!$C:$J,6,FALSE))</f>
        <v/>
      </c>
      <c r="Y352" s="26" t="b">
        <f t="shared" si="125"/>
        <v>0</v>
      </c>
      <c r="Z352" s="34" t="e">
        <f>IF(Y352="","",IF(I$8="A",(RANK(Y352,Y$11:Y$368,1)+COUNTIF(Y$11:Y352,Y352)-1),(RANK(Y352,Y$11:Y$368)+COUNTIF(Y$11:Y352,Y352)-1)))</f>
        <v>#N/A</v>
      </c>
      <c r="AA352" s="188" t="str">
        <f>IF(L352="","",VLOOKUP($L352,classifications!C:I,7,FALSE))</f>
        <v/>
      </c>
      <c r="AB352" s="184" t="str">
        <f t="shared" si="133"/>
        <v/>
      </c>
      <c r="AC352" s="184" t="str">
        <f>IF(AB352="","",IF($I$8="A",(RANK(AB352,AB$11:AB$368)+COUNTIF(AB$11:AB352,AB352)-1),(RANK(AB352,AB$11:AB$368,1)+COUNTIF(AB$11:AB352,AB352)-1)))</f>
        <v/>
      </c>
      <c r="AD352" s="184"/>
      <c r="AE352" s="28" t="str">
        <f t="shared" si="119"/>
        <v/>
      </c>
      <c r="AG352" s="96"/>
      <c r="AH352" s="29"/>
      <c r="AI352" s="38" t="str">
        <f>IF(L352="","",VLOOKUP($L352,classifications!$C:$J,8,FALSE))</f>
        <v/>
      </c>
      <c r="AJ352" s="39" t="str">
        <f t="shared" si="126"/>
        <v/>
      </c>
      <c r="AK352" s="34" t="str">
        <f>IF(AJ352="","",IF(I$8="A",(RANK(AJ352,AJ$11:AJ$368,1)+COUNTIF(AJ$11:AJ352,AJ352)-1),(RANK(AJ352,AJ$11:AJ$368)+COUNTIF(AJ$11:AJ352,AJ352)-1)))</f>
        <v/>
      </c>
      <c r="AL352" s="29" t="str">
        <f t="shared" si="134"/>
        <v/>
      </c>
      <c r="AM352" s="8" t="str">
        <f t="shared" si="127"/>
        <v/>
      </c>
      <c r="AN352" s="8" t="str">
        <f t="shared" si="135"/>
        <v/>
      </c>
      <c r="AP352" s="38" t="str">
        <f>IF(L352="","",VLOOKUP($L352,classifications!$C:$E,3,FALSE))</f>
        <v/>
      </c>
      <c r="AQ352" s="39" t="str">
        <f t="shared" si="136"/>
        <v/>
      </c>
      <c r="AR352" s="34" t="str">
        <f>IF(AQ352="","",IF(I$8="A",(RANK(AQ352,AQ$11:AQ$368,1)+COUNTIF(AQ$11:AQ352,AQ352)-1),(RANK(AQ352,AQ$11:AQ$368)+COUNTIF(AQ$11:AQ352,AQ352)-1)))</f>
        <v/>
      </c>
      <c r="AS352" s="29" t="str">
        <f t="shared" si="137"/>
        <v/>
      </c>
      <c r="AT352" s="34" t="str">
        <f t="shared" si="128"/>
        <v/>
      </c>
      <c r="AU352" s="39" t="str">
        <f t="shared" si="141"/>
        <v/>
      </c>
      <c r="AX352" s="21">
        <f>HLOOKUP($AX$9&amp;$AX$10,Data!$A$1:$ZZ$2000,(MATCH($C352,Data!$A$1:$A$2000,0)),FALSE)</f>
        <v>0</v>
      </c>
      <c r="AY352" s="103"/>
      <c r="AZ352" s="21"/>
    </row>
    <row r="353" spans="1:735">
      <c r="A353" s="56" t="str">
        <f>$D$1&amp;343</f>
        <v>SC343</v>
      </c>
      <c r="B353" s="57">
        <f>IF(ISERROR(VLOOKUP(A353,classifications!A:C,3,FALSE)),0,VLOOKUP(A353,classifications!A:C,3,FALSE))</f>
        <v>0</v>
      </c>
      <c r="C353" s="8" t="s">
        <v>255</v>
      </c>
      <c r="D353" s="26" t="str">
        <f>VLOOKUP($C353,classifications!$C:$J,4,FALSE)</f>
        <v>MD</v>
      </c>
      <c r="E353" s="26">
        <f>VLOOKUP(C353,classifications!C:K,9,FALSE)</f>
        <v>0</v>
      </c>
      <c r="F353" s="36">
        <f t="shared" si="120"/>
        <v>12.566624930086137</v>
      </c>
      <c r="G353" s="71"/>
      <c r="H353" s="37" t="str">
        <f t="shared" si="121"/>
        <v/>
      </c>
      <c r="I353" s="77" t="str">
        <f>IF(H353="","",IF($I$8="A",(RANK(H353,H$11:H$368,1)+COUNTIF(H$11:H353,H353)-1),(RANK(H353,H$11:H$368)+COUNTIF(H$11:H353,H353)-1)))</f>
        <v/>
      </c>
      <c r="J353" s="35"/>
      <c r="K353" s="28" t="str">
        <f t="shared" si="129"/>
        <v/>
      </c>
      <c r="L353" s="36" t="str">
        <f t="shared" si="122"/>
        <v/>
      </c>
      <c r="M353" s="102" t="str">
        <f t="shared" si="130"/>
        <v/>
      </c>
      <c r="N353" s="101" t="str">
        <f t="shared" si="131"/>
        <v/>
      </c>
      <c r="O353" s="94" t="str">
        <f t="shared" si="123"/>
        <v/>
      </c>
      <c r="P353" s="94" t="str">
        <f t="shared" si="138"/>
        <v/>
      </c>
      <c r="Q353" s="94" t="str">
        <f t="shared" si="139"/>
        <v/>
      </c>
      <c r="R353" s="90" t="str">
        <f t="shared" si="140"/>
        <v/>
      </c>
      <c r="S353" s="37" t="str">
        <f t="shared" si="132"/>
        <v/>
      </c>
      <c r="T353" s="176" t="str">
        <f>IF(L353="","",VLOOKUP(L353,classifications!C:K,9,FALSE))</f>
        <v/>
      </c>
      <c r="U353" s="183" t="str">
        <f t="shared" si="124"/>
        <v/>
      </c>
      <c r="V353" s="184" t="str">
        <f>IF(U353="","",IF($I$8="A",(RANK(U353,U$11:U$368)+COUNTIF(U$11:U353,U353)-1),(RANK(U353,U$11:U$368,1)+COUNTIF(U$11:U353,U353)-1)))</f>
        <v/>
      </c>
      <c r="W353" s="185"/>
      <c r="X353" s="38" t="str">
        <f>IF(L353="","",VLOOKUP($L353,classifications!$C:$J,6,FALSE))</f>
        <v/>
      </c>
      <c r="Y353" s="26" t="b">
        <f t="shared" si="125"/>
        <v>0</v>
      </c>
      <c r="Z353" s="34" t="e">
        <f>IF(Y353="","",IF(I$8="A",(RANK(Y353,Y$11:Y$368,1)+COUNTIF(Y$11:Y353,Y353)-1),(RANK(Y353,Y$11:Y$368)+COUNTIF(Y$11:Y353,Y353)-1)))</f>
        <v>#N/A</v>
      </c>
      <c r="AA353" s="188" t="str">
        <f>IF(L353="","",VLOOKUP($L353,classifications!C:I,7,FALSE))</f>
        <v/>
      </c>
      <c r="AB353" s="184" t="str">
        <f t="shared" si="133"/>
        <v/>
      </c>
      <c r="AC353" s="184" t="str">
        <f>IF(AB353="","",IF($I$8="A",(RANK(AB353,AB$11:AB$368)+COUNTIF(AB$11:AB353,AB353)-1),(RANK(AB353,AB$11:AB$368,1)+COUNTIF(AB$11:AB353,AB353)-1)))</f>
        <v/>
      </c>
      <c r="AD353" s="184"/>
      <c r="AE353" s="28" t="str">
        <f t="shared" si="119"/>
        <v/>
      </c>
      <c r="AG353" s="96"/>
      <c r="AH353" s="29"/>
      <c r="AI353" s="38" t="str">
        <f>IF(L353="","",VLOOKUP($L353,classifications!$C:$J,8,FALSE))</f>
        <v/>
      </c>
      <c r="AJ353" s="39" t="str">
        <f t="shared" si="126"/>
        <v/>
      </c>
      <c r="AK353" s="34" t="str">
        <f>IF(AJ353="","",IF(I$8="A",(RANK(AJ353,AJ$11:AJ$368,1)+COUNTIF(AJ$11:AJ353,AJ353)-1),(RANK(AJ353,AJ$11:AJ$368)+COUNTIF(AJ$11:AJ353,AJ353)-1)))</f>
        <v/>
      </c>
      <c r="AL353" s="29" t="str">
        <f t="shared" si="134"/>
        <v/>
      </c>
      <c r="AM353" s="8" t="str">
        <f t="shared" si="127"/>
        <v/>
      </c>
      <c r="AN353" s="8" t="str">
        <f t="shared" si="135"/>
        <v/>
      </c>
      <c r="AP353" s="38" t="str">
        <f>IF(L353="","",VLOOKUP($L353,classifications!$C:$E,3,FALSE))</f>
        <v/>
      </c>
      <c r="AQ353" s="39" t="str">
        <f t="shared" si="136"/>
        <v/>
      </c>
      <c r="AR353" s="34" t="str">
        <f>IF(AQ353="","",IF(I$8="A",(RANK(AQ353,AQ$11:AQ$368,1)+COUNTIF(AQ$11:AQ353,AQ353)-1),(RANK(AQ353,AQ$11:AQ$368)+COUNTIF(AQ$11:AQ353,AQ353)-1)))</f>
        <v/>
      </c>
      <c r="AS353" s="29" t="str">
        <f t="shared" si="137"/>
        <v/>
      </c>
      <c r="AT353" s="34" t="str">
        <f t="shared" si="128"/>
        <v/>
      </c>
      <c r="AU353" s="39" t="str">
        <f t="shared" si="141"/>
        <v/>
      </c>
      <c r="AX353" s="21">
        <f>HLOOKUP($AX$9&amp;$AX$10,Data!$A$1:$ZZ$2000,(MATCH($C353,Data!$A$1:$A$2000,0)),FALSE)</f>
        <v>12.566624930086137</v>
      </c>
      <c r="AY353" s="103"/>
      <c r="AZ353" s="21"/>
    </row>
    <row r="354" spans="1:735">
      <c r="A354" s="56" t="str">
        <f>$D$1&amp;344</f>
        <v>SC344</v>
      </c>
      <c r="B354" s="57">
        <f>IF(ISERROR(VLOOKUP(A354,classifications!A:C,3,FALSE)),0,VLOOKUP(A354,classifications!A:C,3,FALSE))</f>
        <v>0</v>
      </c>
      <c r="C354" s="8" t="s">
        <v>297</v>
      </c>
      <c r="D354" s="26" t="str">
        <f>VLOOKUP($C354,classifications!$C:$J,4,FALSE)</f>
        <v>UA</v>
      </c>
      <c r="E354" s="26">
        <f>VLOOKUP(C354,classifications!C:K,9,FALSE)</f>
        <v>0</v>
      </c>
      <c r="F354" s="36">
        <f t="shared" si="120"/>
        <v>17.180467203350975</v>
      </c>
      <c r="G354" s="71"/>
      <c r="H354" s="37" t="str">
        <f t="shared" si="121"/>
        <v/>
      </c>
      <c r="I354" s="77" t="str">
        <f>IF(H354="","",IF($I$8="A",(RANK(H354,H$11:H$368,1)+COUNTIF(H$11:H354,H354)-1),(RANK(H354,H$11:H$368)+COUNTIF(H$11:H354,H354)-1)))</f>
        <v/>
      </c>
      <c r="J354" s="35"/>
      <c r="K354" s="28" t="str">
        <f t="shared" si="129"/>
        <v/>
      </c>
      <c r="L354" s="36" t="str">
        <f t="shared" si="122"/>
        <v/>
      </c>
      <c r="M354" s="102" t="str">
        <f t="shared" si="130"/>
        <v/>
      </c>
      <c r="N354" s="101" t="str">
        <f t="shared" si="131"/>
        <v/>
      </c>
      <c r="O354" s="94" t="str">
        <f t="shared" si="123"/>
        <v/>
      </c>
      <c r="P354" s="94" t="str">
        <f t="shared" si="138"/>
        <v/>
      </c>
      <c r="Q354" s="94" t="str">
        <f t="shared" si="139"/>
        <v/>
      </c>
      <c r="R354" s="90" t="str">
        <f t="shared" si="140"/>
        <v/>
      </c>
      <c r="S354" s="37" t="str">
        <f t="shared" si="132"/>
        <v/>
      </c>
      <c r="T354" s="176" t="str">
        <f>IF(L354="","",VLOOKUP(L354,classifications!C:K,9,FALSE))</f>
        <v/>
      </c>
      <c r="U354" s="183" t="str">
        <f t="shared" si="124"/>
        <v/>
      </c>
      <c r="V354" s="184" t="str">
        <f>IF(U354="","",IF($I$8="A",(RANK(U354,U$11:U$368)+COUNTIF(U$11:U354,U354)-1),(RANK(U354,U$11:U$368,1)+COUNTIF(U$11:U354,U354)-1)))</f>
        <v/>
      </c>
      <c r="W354" s="185"/>
      <c r="X354" s="38" t="str">
        <f>IF(L354="","",VLOOKUP($L354,classifications!$C:$J,6,FALSE))</f>
        <v/>
      </c>
      <c r="Y354" s="26" t="b">
        <f t="shared" si="125"/>
        <v>0</v>
      </c>
      <c r="Z354" s="34" t="e">
        <f>IF(Y354="","",IF(I$8="A",(RANK(Y354,Y$11:Y$368,1)+COUNTIF(Y$11:Y354,Y354)-1),(RANK(Y354,Y$11:Y$368)+COUNTIF(Y$11:Y354,Y354)-1)))</f>
        <v>#N/A</v>
      </c>
      <c r="AA354" s="188" t="str">
        <f>IF(L354="","",VLOOKUP($L354,classifications!C:I,7,FALSE))</f>
        <v/>
      </c>
      <c r="AB354" s="184" t="str">
        <f t="shared" si="133"/>
        <v/>
      </c>
      <c r="AC354" s="184" t="str">
        <f>IF(AB354="","",IF($I$8="A",(RANK(AB354,AB$11:AB$368)+COUNTIF(AB$11:AB354,AB354)-1),(RANK(AB354,AB$11:AB$368,1)+COUNTIF(AB$11:AB354,AB354)-1)))</f>
        <v/>
      </c>
      <c r="AD354" s="184"/>
      <c r="AE354" s="28" t="str">
        <f t="shared" si="119"/>
        <v/>
      </c>
      <c r="AG354" s="96"/>
      <c r="AH354" s="29"/>
      <c r="AI354" s="38" t="str">
        <f>IF(L354="","",VLOOKUP($L354,classifications!$C:$J,8,FALSE))</f>
        <v/>
      </c>
      <c r="AJ354" s="39" t="str">
        <f t="shared" si="126"/>
        <v/>
      </c>
      <c r="AK354" s="34" t="str">
        <f>IF(AJ354="","",IF(I$8="A",(RANK(AJ354,AJ$11:AJ$368,1)+COUNTIF(AJ$11:AJ354,AJ354)-1),(RANK(AJ354,AJ$11:AJ$368)+COUNTIF(AJ$11:AJ354,AJ354)-1)))</f>
        <v/>
      </c>
      <c r="AL354" s="29" t="str">
        <f t="shared" si="134"/>
        <v/>
      </c>
      <c r="AM354" s="8" t="str">
        <f t="shared" si="127"/>
        <v/>
      </c>
      <c r="AN354" s="8" t="str">
        <f t="shared" si="135"/>
        <v/>
      </c>
      <c r="AP354" s="38" t="str">
        <f>IF(L354="","",VLOOKUP($L354,classifications!$C:$E,3,FALSE))</f>
        <v/>
      </c>
      <c r="AQ354" s="39" t="str">
        <f t="shared" si="136"/>
        <v/>
      </c>
      <c r="AR354" s="34" t="str">
        <f>IF(AQ354="","",IF(I$8="A",(RANK(AQ354,AQ$11:AQ$368,1)+COUNTIF(AQ$11:AQ354,AQ354)-1),(RANK(AQ354,AQ$11:AQ$368)+COUNTIF(AQ$11:AQ354,AQ354)-1)))</f>
        <v/>
      </c>
      <c r="AS354" s="29" t="str">
        <f t="shared" si="137"/>
        <v/>
      </c>
      <c r="AT354" s="34" t="str">
        <f t="shared" si="128"/>
        <v/>
      </c>
      <c r="AU354" s="39" t="str">
        <f t="shared" si="141"/>
        <v/>
      </c>
      <c r="AX354" s="21">
        <f>HLOOKUP($AX$9&amp;$AX$10,Data!$A$1:$ZZ$2000,(MATCH($C354,Data!$A$1:$A$2000,0)),FALSE)</f>
        <v>17.180467203350975</v>
      </c>
      <c r="AY354" s="103"/>
      <c r="AZ354" s="21"/>
    </row>
    <row r="355" spans="1:735">
      <c r="A355" s="56" t="str">
        <f>$D$1&amp;345</f>
        <v>SC345</v>
      </c>
      <c r="B355" s="57">
        <f>IF(ISERROR(VLOOKUP(A355,classifications!A:C,3,FALSE)),0,VLOOKUP(A355,classifications!A:C,3,FALSE))</f>
        <v>0</v>
      </c>
      <c r="C355" s="8" t="s">
        <v>188</v>
      </c>
      <c r="D355" s="26" t="str">
        <f>VLOOKUP($C355,classifications!$C:$J,4,FALSE)</f>
        <v>SD</v>
      </c>
      <c r="E355" s="26">
        <f>VLOOKUP(C355,classifications!C:K,9,FALSE)</f>
        <v>0</v>
      </c>
      <c r="F355" s="36">
        <f t="shared" si="120"/>
        <v>18.610662031194757</v>
      </c>
      <c r="G355" s="71"/>
      <c r="H355" s="37" t="str">
        <f t="shared" si="121"/>
        <v/>
      </c>
      <c r="I355" s="77" t="str">
        <f>IF(H355="","",IF($I$8="A",(RANK(H355,H$11:H$368,1)+COUNTIF(H$11:H355,H355)-1),(RANK(H355,H$11:H$368)+COUNTIF(H$11:H355,H355)-1)))</f>
        <v/>
      </c>
      <c r="J355" s="35"/>
      <c r="K355" s="28" t="str">
        <f t="shared" si="129"/>
        <v/>
      </c>
      <c r="L355" s="36" t="str">
        <f t="shared" si="122"/>
        <v/>
      </c>
      <c r="M355" s="102" t="str">
        <f t="shared" si="130"/>
        <v/>
      </c>
      <c r="N355" s="101" t="str">
        <f t="shared" si="131"/>
        <v/>
      </c>
      <c r="O355" s="94" t="str">
        <f t="shared" si="123"/>
        <v/>
      </c>
      <c r="P355" s="94" t="str">
        <f t="shared" si="138"/>
        <v/>
      </c>
      <c r="Q355" s="94" t="str">
        <f t="shared" si="139"/>
        <v/>
      </c>
      <c r="R355" s="90" t="str">
        <f t="shared" si="140"/>
        <v/>
      </c>
      <c r="S355" s="37" t="str">
        <f t="shared" si="132"/>
        <v/>
      </c>
      <c r="T355" s="176" t="str">
        <f>IF(L355="","",VLOOKUP(L355,classifications!C:K,9,FALSE))</f>
        <v/>
      </c>
      <c r="U355" s="183" t="str">
        <f t="shared" si="124"/>
        <v/>
      </c>
      <c r="V355" s="184" t="str">
        <f>IF(U355="","",IF($I$8="A",(RANK(U355,U$11:U$368)+COUNTIF(U$11:U355,U355)-1),(RANK(U355,U$11:U$368,1)+COUNTIF(U$11:U355,U355)-1)))</f>
        <v/>
      </c>
      <c r="W355" s="185"/>
      <c r="X355" s="38" t="str">
        <f>IF(L355="","",VLOOKUP($L355,classifications!$C:$J,6,FALSE))</f>
        <v/>
      </c>
      <c r="Y355" s="26" t="b">
        <f t="shared" si="125"/>
        <v>0</v>
      </c>
      <c r="Z355" s="34" t="e">
        <f>IF(Y355="","",IF(I$8="A",(RANK(Y355,Y$11:Y$368,1)+COUNTIF(Y$11:Y355,Y355)-1),(RANK(Y355,Y$11:Y$368)+COUNTIF(Y$11:Y355,Y355)-1)))</f>
        <v>#N/A</v>
      </c>
      <c r="AA355" s="188" t="str">
        <f>IF(L355="","",VLOOKUP($L355,classifications!C:I,7,FALSE))</f>
        <v/>
      </c>
      <c r="AB355" s="184" t="str">
        <f t="shared" si="133"/>
        <v/>
      </c>
      <c r="AC355" s="184" t="str">
        <f>IF(AB355="","",IF($I$8="A",(RANK(AB355,AB$11:AB$368)+COUNTIF(AB$11:AB355,AB355)-1),(RANK(AB355,AB$11:AB$368,1)+COUNTIF(AB$11:AB355,AB355)-1)))</f>
        <v/>
      </c>
      <c r="AD355" s="184"/>
      <c r="AE355" s="28" t="str">
        <f t="shared" ref="AE355:AE363" si="142">IF(AE354="","",IF(AE354+1&gt;(COUNT(AG:AG)),"",AE354+1))</f>
        <v/>
      </c>
      <c r="AG355" s="96"/>
      <c r="AH355" s="29"/>
      <c r="AI355" s="38" t="str">
        <f>IF(L355="","",VLOOKUP($L355,classifications!$C:$J,8,FALSE))</f>
        <v/>
      </c>
      <c r="AJ355" s="39" t="str">
        <f t="shared" si="126"/>
        <v/>
      </c>
      <c r="AK355" s="34" t="str">
        <f>IF(AJ355="","",IF(I$8="A",(RANK(AJ355,AJ$11:AJ$368,1)+COUNTIF(AJ$11:AJ355,AJ355)-1),(RANK(AJ355,AJ$11:AJ$368)+COUNTIF(AJ$11:AJ355,AJ355)-1)))</f>
        <v/>
      </c>
      <c r="AL355" s="29" t="str">
        <f t="shared" si="134"/>
        <v/>
      </c>
      <c r="AM355" s="8" t="str">
        <f t="shared" si="127"/>
        <v/>
      </c>
      <c r="AN355" s="8" t="str">
        <f t="shared" si="135"/>
        <v/>
      </c>
      <c r="AP355" s="38" t="str">
        <f>IF(L355="","",VLOOKUP($L355,classifications!$C:$E,3,FALSE))</f>
        <v/>
      </c>
      <c r="AQ355" s="39" t="str">
        <f t="shared" si="136"/>
        <v/>
      </c>
      <c r="AR355" s="34" t="str">
        <f>IF(AQ355="","",IF(I$8="A",(RANK(AQ355,AQ$11:AQ$368,1)+COUNTIF(AQ$11:AQ355,AQ355)-1),(RANK(AQ355,AQ$11:AQ$368)+COUNTIF(AQ$11:AQ355,AQ355)-1)))</f>
        <v/>
      </c>
      <c r="AS355" s="29" t="str">
        <f t="shared" si="137"/>
        <v/>
      </c>
      <c r="AT355" s="34" t="str">
        <f t="shared" si="128"/>
        <v/>
      </c>
      <c r="AU355" s="39" t="str">
        <f t="shared" si="141"/>
        <v/>
      </c>
      <c r="AX355" s="21">
        <f>HLOOKUP($AX$9&amp;$AX$10,Data!$A$1:$ZZ$2000,(MATCH($C355,Data!$A$1:$A$2000,0)),FALSE)</f>
        <v>18.610662031194757</v>
      </c>
      <c r="AY355" s="103"/>
      <c r="AZ355" s="21"/>
    </row>
    <row r="356" spans="1:735">
      <c r="A356" s="56" t="str">
        <f>$D$1&amp;346</f>
        <v>SC346</v>
      </c>
      <c r="B356" s="57">
        <f>IF(ISERROR(VLOOKUP(A356,classifications!A:C,3,FALSE)),0,VLOOKUP(A356,classifications!A:C,3,FALSE))</f>
        <v>0</v>
      </c>
      <c r="C356" s="8" t="s">
        <v>814</v>
      </c>
      <c r="D356" s="26" t="str">
        <f>VLOOKUP($C356,classifications!$C:$J,4,FALSE)</f>
        <v>UA</v>
      </c>
      <c r="E356" s="26">
        <f>VLOOKUP(C356,classifications!C:K,9,FALSE)</f>
        <v>0</v>
      </c>
      <c r="F356" s="36">
        <f t="shared" si="120"/>
        <v>20.987545145842002</v>
      </c>
      <c r="G356" s="71"/>
      <c r="H356" s="37" t="str">
        <f t="shared" si="121"/>
        <v/>
      </c>
      <c r="I356" s="77" t="str">
        <f>IF(H356="","",IF($I$8="A",(RANK(H356,H$11:H$368,1)+COUNTIF(H$11:H356,H356)-1),(RANK(H356,H$11:H$368)+COUNTIF(H$11:H356,H356)-1)))</f>
        <v/>
      </c>
      <c r="J356" s="35"/>
      <c r="K356" s="28" t="str">
        <f t="shared" si="129"/>
        <v/>
      </c>
      <c r="L356" s="36" t="str">
        <f t="shared" si="122"/>
        <v/>
      </c>
      <c r="M356" s="102" t="str">
        <f t="shared" si="130"/>
        <v/>
      </c>
      <c r="N356" s="101" t="str">
        <f t="shared" si="131"/>
        <v/>
      </c>
      <c r="O356" s="94" t="str">
        <f t="shared" si="123"/>
        <v/>
      </c>
      <c r="P356" s="94" t="str">
        <f t="shared" si="138"/>
        <v/>
      </c>
      <c r="Q356" s="94" t="str">
        <f t="shared" si="139"/>
        <v/>
      </c>
      <c r="R356" s="90" t="str">
        <f t="shared" si="140"/>
        <v/>
      </c>
      <c r="S356" s="37" t="str">
        <f t="shared" si="132"/>
        <v/>
      </c>
      <c r="T356" s="176" t="str">
        <f>IF(L356="","",VLOOKUP(L356,classifications!C:K,9,FALSE))</f>
        <v/>
      </c>
      <c r="U356" s="183" t="str">
        <f t="shared" si="124"/>
        <v/>
      </c>
      <c r="V356" s="184" t="str">
        <f>IF(U356="","",IF($I$8="A",(RANK(U356,U$11:U$368)+COUNTIF(U$11:U356,U356)-1),(RANK(U356,U$11:U$368,1)+COUNTIF(U$11:U356,U356)-1)))</f>
        <v/>
      </c>
      <c r="W356" s="185"/>
      <c r="X356" s="38" t="str">
        <f>IF(L356="","",VLOOKUP($L356,classifications!$C:$J,6,FALSE))</f>
        <v/>
      </c>
      <c r="Y356" s="26" t="b">
        <f t="shared" si="125"/>
        <v>0</v>
      </c>
      <c r="Z356" s="34" t="e">
        <f>IF(Y356="","",IF(I$8="A",(RANK(Y356,Y$11:Y$368,1)+COUNTIF(Y$11:Y356,Y356)-1),(RANK(Y356,Y$11:Y$368)+COUNTIF(Y$11:Y356,Y356)-1)))</f>
        <v>#N/A</v>
      </c>
      <c r="AA356" s="188" t="str">
        <f>IF(L356="","",VLOOKUP($L356,classifications!C:I,7,FALSE))</f>
        <v/>
      </c>
      <c r="AB356" s="184" t="str">
        <f t="shared" si="133"/>
        <v/>
      </c>
      <c r="AC356" s="184" t="str">
        <f>IF(AB356="","",IF($I$8="A",(RANK(AB356,AB$11:AB$368)+COUNTIF(AB$11:AB356,AB356)-1),(RANK(AB356,AB$11:AB$368,1)+COUNTIF(AB$11:AB356,AB356)-1)))</f>
        <v/>
      </c>
      <c r="AD356" s="184"/>
      <c r="AE356" s="28" t="str">
        <f t="shared" si="142"/>
        <v/>
      </c>
      <c r="AG356" s="96"/>
      <c r="AH356" s="29"/>
      <c r="AI356" s="38" t="str">
        <f>IF(L356="","",VLOOKUP($L356,classifications!$C:$J,8,FALSE))</f>
        <v/>
      </c>
      <c r="AJ356" s="39" t="str">
        <f t="shared" si="126"/>
        <v/>
      </c>
      <c r="AK356" s="34" t="str">
        <f>IF(AJ356="","",IF(I$8="A",(RANK(AJ356,AJ$11:AJ$368,1)+COUNTIF(AJ$11:AJ356,AJ356)-1),(RANK(AJ356,AJ$11:AJ$368)+COUNTIF(AJ$11:AJ356,AJ356)-1)))</f>
        <v/>
      </c>
      <c r="AL356" s="29" t="str">
        <f t="shared" si="134"/>
        <v/>
      </c>
      <c r="AM356" s="8" t="str">
        <f t="shared" si="127"/>
        <v/>
      </c>
      <c r="AN356" s="8" t="str">
        <f t="shared" si="135"/>
        <v/>
      </c>
      <c r="AP356" s="38" t="str">
        <f>IF(L356="","",VLOOKUP($L356,classifications!$C:$E,3,FALSE))</f>
        <v/>
      </c>
      <c r="AQ356" s="39" t="str">
        <f t="shared" si="136"/>
        <v/>
      </c>
      <c r="AR356" s="34" t="str">
        <f>IF(AQ356="","",IF(I$8="A",(RANK(AQ356,AQ$11:AQ$368,1)+COUNTIF(AQ$11:AQ356,AQ356)-1),(RANK(AQ356,AQ$11:AQ$368)+COUNTIF(AQ$11:AQ356,AQ356)-1)))</f>
        <v/>
      </c>
      <c r="AS356" s="29" t="str">
        <f t="shared" si="137"/>
        <v/>
      </c>
      <c r="AT356" s="34" t="str">
        <f t="shared" si="128"/>
        <v/>
      </c>
      <c r="AU356" s="39" t="str">
        <f t="shared" si="141"/>
        <v/>
      </c>
      <c r="AX356" s="21">
        <f>HLOOKUP($AX$9&amp;$AX$10,Data!$A$1:$ZZ$2000,(MATCH($C356,Data!$A$1:$A$2000,0)),FALSE)</f>
        <v>20.987545145842002</v>
      </c>
      <c r="AY356" s="103"/>
      <c r="AZ356" s="21"/>
    </row>
    <row r="357" spans="1:735">
      <c r="A357" s="56" t="str">
        <f>$D$1&amp;347</f>
        <v>SC347</v>
      </c>
      <c r="B357" s="57">
        <f>IF(ISERROR(VLOOKUP(A357,classifications!A:C,3,FALSE)),0,VLOOKUP(A357,classifications!A:C,3,FALSE))</f>
        <v>0</v>
      </c>
      <c r="C357" s="8" t="s">
        <v>256</v>
      </c>
      <c r="D357" s="26" t="str">
        <f>VLOOKUP($C357,classifications!$C:$J,4,FALSE)</f>
        <v>MD</v>
      </c>
      <c r="E357" s="26">
        <f>VLOOKUP(C357,classifications!C:K,9,FALSE)</f>
        <v>0</v>
      </c>
      <c r="F357" s="36">
        <f t="shared" si="120"/>
        <v>15.113145441001727</v>
      </c>
      <c r="G357" s="71"/>
      <c r="H357" s="37" t="str">
        <f t="shared" si="121"/>
        <v/>
      </c>
      <c r="I357" s="77" t="str">
        <f>IF(H357="","",IF($I$8="A",(RANK(H357,H$11:H$368,1)+COUNTIF(H$11:H357,H357)-1),(RANK(H357,H$11:H$368)+COUNTIF(H$11:H357,H357)-1)))</f>
        <v/>
      </c>
      <c r="J357" s="35"/>
      <c r="K357" s="28" t="str">
        <f t="shared" si="129"/>
        <v/>
      </c>
      <c r="L357" s="36" t="str">
        <f t="shared" si="122"/>
        <v/>
      </c>
      <c r="M357" s="102" t="str">
        <f t="shared" si="130"/>
        <v/>
      </c>
      <c r="N357" s="101" t="str">
        <f t="shared" si="131"/>
        <v/>
      </c>
      <c r="O357" s="94" t="str">
        <f t="shared" si="123"/>
        <v/>
      </c>
      <c r="P357" s="94" t="str">
        <f t="shared" si="138"/>
        <v/>
      </c>
      <c r="Q357" s="94" t="str">
        <f t="shared" si="139"/>
        <v/>
      </c>
      <c r="R357" s="90" t="str">
        <f t="shared" si="140"/>
        <v/>
      </c>
      <c r="S357" s="37" t="str">
        <f t="shared" si="132"/>
        <v/>
      </c>
      <c r="T357" s="176" t="str">
        <f>IF(L357="","",VLOOKUP(L357,classifications!C:K,9,FALSE))</f>
        <v/>
      </c>
      <c r="U357" s="183" t="str">
        <f t="shared" si="124"/>
        <v/>
      </c>
      <c r="V357" s="184" t="str">
        <f>IF(U357="","",IF($I$8="A",(RANK(U357,U$11:U$368)+COUNTIF(U$11:U357,U357)-1),(RANK(U357,U$11:U$368,1)+COUNTIF(U$11:U357,U357)-1)))</f>
        <v/>
      </c>
      <c r="W357" s="185"/>
      <c r="X357" s="38" t="str">
        <f>IF(L357="","",VLOOKUP($L357,classifications!$C:$J,6,FALSE))</f>
        <v/>
      </c>
      <c r="Y357" s="26" t="b">
        <f t="shared" si="125"/>
        <v>0</v>
      </c>
      <c r="Z357" s="34" t="e">
        <f>IF(Y357="","",IF(I$8="A",(RANK(Y357,Y$11:Y$368,1)+COUNTIF(Y$11:Y357,Y357)-1),(RANK(Y357,Y$11:Y$368)+COUNTIF(Y$11:Y357,Y357)-1)))</f>
        <v>#N/A</v>
      </c>
      <c r="AA357" s="188" t="str">
        <f>IF(L357="","",VLOOKUP($L357,classifications!C:I,7,FALSE))</f>
        <v/>
      </c>
      <c r="AB357" s="184" t="str">
        <f t="shared" si="133"/>
        <v/>
      </c>
      <c r="AC357" s="184" t="str">
        <f>IF(AB357="","",IF($I$8="A",(RANK(AB357,AB$11:AB$368)+COUNTIF(AB$11:AB357,AB357)-1),(RANK(AB357,AB$11:AB$368,1)+COUNTIF(AB$11:AB357,AB357)-1)))</f>
        <v/>
      </c>
      <c r="AD357" s="184"/>
      <c r="AE357" s="28" t="str">
        <f t="shared" si="142"/>
        <v/>
      </c>
      <c r="AG357" s="96"/>
      <c r="AH357" s="29"/>
      <c r="AI357" s="38" t="str">
        <f>IF(L357="","",VLOOKUP($L357,classifications!$C:$J,8,FALSE))</f>
        <v/>
      </c>
      <c r="AJ357" s="39" t="str">
        <f t="shared" si="126"/>
        <v/>
      </c>
      <c r="AK357" s="34" t="str">
        <f>IF(AJ357="","",IF(I$8="A",(RANK(AJ357,AJ$11:AJ$368,1)+COUNTIF(AJ$11:AJ357,AJ357)-1),(RANK(AJ357,AJ$11:AJ$368)+COUNTIF(AJ$11:AJ357,AJ357)-1)))</f>
        <v/>
      </c>
      <c r="AL357" s="29" t="str">
        <f t="shared" si="134"/>
        <v/>
      </c>
      <c r="AM357" s="8" t="str">
        <f t="shared" si="127"/>
        <v/>
      </c>
      <c r="AN357" s="8" t="str">
        <f t="shared" si="135"/>
        <v/>
      </c>
      <c r="AP357" s="38" t="str">
        <f>IF(L357="","",VLOOKUP($L357,classifications!$C:$E,3,FALSE))</f>
        <v/>
      </c>
      <c r="AQ357" s="39" t="str">
        <f t="shared" si="136"/>
        <v/>
      </c>
      <c r="AR357" s="34" t="str">
        <f>IF(AQ357="","",IF(I$8="A",(RANK(AQ357,AQ$11:AQ$368,1)+COUNTIF(AQ$11:AQ357,AQ357)-1),(RANK(AQ357,AQ$11:AQ$368)+COUNTIF(AQ$11:AQ357,AQ357)-1)))</f>
        <v/>
      </c>
      <c r="AS357" s="29" t="str">
        <f t="shared" si="137"/>
        <v/>
      </c>
      <c r="AT357" s="34" t="str">
        <f t="shared" si="128"/>
        <v/>
      </c>
      <c r="AU357" s="39" t="str">
        <f t="shared" si="141"/>
        <v/>
      </c>
      <c r="AX357" s="21">
        <f>HLOOKUP($AX$9&amp;$AX$10,Data!$A$1:$ZZ$2000,(MATCH($C357,Data!$A$1:$A$2000,0)),FALSE)</f>
        <v>15.113145441001727</v>
      </c>
      <c r="AY357" s="103"/>
      <c r="AZ357" s="21"/>
    </row>
    <row r="358" spans="1:735">
      <c r="A358" s="56" t="str">
        <f>$D$1&amp;348</f>
        <v>SC348</v>
      </c>
      <c r="B358" s="57">
        <f>IF(ISERROR(VLOOKUP(A358,classifications!A:C,3,FALSE)),0,VLOOKUP(A358,classifications!A:C,3,FALSE))</f>
        <v>0</v>
      </c>
      <c r="C358" s="8" t="s">
        <v>189</v>
      </c>
      <c r="D358" s="26" t="str">
        <f>VLOOKUP($C358,classifications!$C:$J,4,FALSE)</f>
        <v>SD</v>
      </c>
      <c r="E358" s="26">
        <f>VLOOKUP(C358,classifications!C:K,9,FALSE)</f>
        <v>0</v>
      </c>
      <c r="F358" s="36">
        <f t="shared" si="120"/>
        <v>23.819605750493743</v>
      </c>
      <c r="G358" s="71"/>
      <c r="H358" s="37" t="str">
        <f t="shared" si="121"/>
        <v/>
      </c>
      <c r="I358" s="77" t="str">
        <f>IF(H358="","",IF($I$8="A",(RANK(H358,H$11:H$368,1)+COUNTIF(H$11:H358,H358)-1),(RANK(H358,H$11:H$368)+COUNTIF(H$11:H358,H358)-1)))</f>
        <v/>
      </c>
      <c r="J358" s="35"/>
      <c r="K358" s="28" t="str">
        <f t="shared" si="129"/>
        <v/>
      </c>
      <c r="L358" s="36" t="str">
        <f t="shared" si="122"/>
        <v/>
      </c>
      <c r="M358" s="102" t="str">
        <f t="shared" si="130"/>
        <v/>
      </c>
      <c r="N358" s="101" t="str">
        <f t="shared" si="131"/>
        <v/>
      </c>
      <c r="O358" s="94" t="str">
        <f t="shared" si="123"/>
        <v/>
      </c>
      <c r="P358" s="94" t="str">
        <f t="shared" si="138"/>
        <v/>
      </c>
      <c r="Q358" s="94" t="str">
        <f t="shared" si="139"/>
        <v/>
      </c>
      <c r="R358" s="90" t="str">
        <f t="shared" si="140"/>
        <v/>
      </c>
      <c r="S358" s="37" t="str">
        <f t="shared" si="132"/>
        <v/>
      </c>
      <c r="T358" s="176" t="str">
        <f>IF(L358="","",VLOOKUP(L358,classifications!C:K,9,FALSE))</f>
        <v/>
      </c>
      <c r="U358" s="183" t="str">
        <f t="shared" si="124"/>
        <v/>
      </c>
      <c r="V358" s="184" t="str">
        <f>IF(U358="","",IF($I$8="A",(RANK(U358,U$11:U$368)+COUNTIF(U$11:U358,U358)-1),(RANK(U358,U$11:U$368,1)+COUNTIF(U$11:U358,U358)-1)))</f>
        <v/>
      </c>
      <c r="W358" s="185"/>
      <c r="X358" s="38" t="str">
        <f>IF(L358="","",VLOOKUP($L358,classifications!$C:$J,6,FALSE))</f>
        <v/>
      </c>
      <c r="Y358" s="26" t="b">
        <f t="shared" si="125"/>
        <v>0</v>
      </c>
      <c r="Z358" s="34" t="e">
        <f>IF(Y358="","",IF(I$8="A",(RANK(Y358,Y$11:Y$368,1)+COUNTIF(Y$11:Y358,Y358)-1),(RANK(Y358,Y$11:Y$368)+COUNTIF(Y$11:Y358,Y358)-1)))</f>
        <v>#N/A</v>
      </c>
      <c r="AA358" s="188" t="str">
        <f>IF(L358="","",VLOOKUP($L358,classifications!C:I,7,FALSE))</f>
        <v/>
      </c>
      <c r="AB358" s="184" t="str">
        <f t="shared" si="133"/>
        <v/>
      </c>
      <c r="AC358" s="184" t="str">
        <f>IF(AB358="","",IF($I$8="A",(RANK(AB358,AB$11:AB$368)+COUNTIF(AB$11:AB358,AB358)-1),(RANK(AB358,AB$11:AB$368,1)+COUNTIF(AB$11:AB358,AB358)-1)))</f>
        <v/>
      </c>
      <c r="AD358" s="184"/>
      <c r="AE358" s="28" t="str">
        <f t="shared" si="142"/>
        <v/>
      </c>
      <c r="AG358" s="96"/>
      <c r="AH358" s="29"/>
      <c r="AI358" s="38" t="str">
        <f>IF(L358="","",VLOOKUP($L358,classifications!$C:$J,8,FALSE))</f>
        <v/>
      </c>
      <c r="AJ358" s="39" t="str">
        <f t="shared" si="126"/>
        <v/>
      </c>
      <c r="AK358" s="34" t="str">
        <f>IF(AJ358="","",IF(I$8="A",(RANK(AJ358,AJ$11:AJ$368,1)+COUNTIF(AJ$11:AJ358,AJ358)-1),(RANK(AJ358,AJ$11:AJ$368)+COUNTIF(AJ$11:AJ358,AJ358)-1)))</f>
        <v/>
      </c>
      <c r="AL358" s="29" t="str">
        <f t="shared" si="134"/>
        <v/>
      </c>
      <c r="AM358" s="8" t="str">
        <f t="shared" si="127"/>
        <v/>
      </c>
      <c r="AN358" s="8" t="str">
        <f t="shared" si="135"/>
        <v/>
      </c>
      <c r="AP358" s="38" t="str">
        <f>IF(L358="","",VLOOKUP($L358,classifications!$C:$E,3,FALSE))</f>
        <v/>
      </c>
      <c r="AQ358" s="39" t="str">
        <f t="shared" si="136"/>
        <v/>
      </c>
      <c r="AR358" s="34" t="str">
        <f>IF(AQ358="","",IF(I$8="A",(RANK(AQ358,AQ$11:AQ$368,1)+COUNTIF(AQ$11:AQ358,AQ358)-1),(RANK(AQ358,AQ$11:AQ$368)+COUNTIF(AQ$11:AQ358,AQ358)-1)))</f>
        <v/>
      </c>
      <c r="AS358" s="29" t="str">
        <f t="shared" si="137"/>
        <v/>
      </c>
      <c r="AT358" s="34" t="str">
        <f t="shared" si="128"/>
        <v/>
      </c>
      <c r="AU358" s="39" t="str">
        <f t="shared" si="141"/>
        <v/>
      </c>
      <c r="AX358" s="21">
        <f>HLOOKUP($AX$9&amp;$AX$10,Data!$A$1:$ZZ$2000,(MATCH($C358,Data!$A$1:$A$2000,0)),FALSE)</f>
        <v>23.819605750493743</v>
      </c>
      <c r="AY358" s="103"/>
      <c r="AZ358" s="21"/>
    </row>
    <row r="359" spans="1:735">
      <c r="A359" s="56" t="str">
        <f>$D$1&amp;349</f>
        <v>SC349</v>
      </c>
      <c r="B359" s="57">
        <f>IF(ISERROR(VLOOKUP(A359,classifications!A:C,3,FALSE)),0,VLOOKUP(A359,classifications!A:C,3,FALSE))</f>
        <v>0</v>
      </c>
      <c r="C359" s="8" t="s">
        <v>298</v>
      </c>
      <c r="D359" s="26" t="str">
        <f>VLOOKUP($C359,classifications!$C:$J,4,FALSE)</f>
        <v>UA</v>
      </c>
      <c r="E359" s="26">
        <f>VLOOKUP(C359,classifications!C:K,9,FALSE)</f>
        <v>0</v>
      </c>
      <c r="F359" s="36">
        <f t="shared" si="120"/>
        <v>22.857037353279054</v>
      </c>
      <c r="G359" s="71"/>
      <c r="H359" s="37" t="str">
        <f t="shared" si="121"/>
        <v/>
      </c>
      <c r="I359" s="77" t="str">
        <f>IF(H359="","",IF($I$8="A",(RANK(H359,H$11:H$368,1)+COUNTIF(H$11:H359,H359)-1),(RANK(H359,H$11:H$368)+COUNTIF(H$11:H359,H359)-1)))</f>
        <v/>
      </c>
      <c r="J359" s="35"/>
      <c r="K359" s="28" t="str">
        <f t="shared" si="129"/>
        <v/>
      </c>
      <c r="L359" s="36" t="str">
        <f t="shared" si="122"/>
        <v/>
      </c>
      <c r="M359" s="102" t="str">
        <f t="shared" si="130"/>
        <v/>
      </c>
      <c r="N359" s="101" t="str">
        <f t="shared" si="131"/>
        <v/>
      </c>
      <c r="O359" s="94" t="str">
        <f t="shared" si="123"/>
        <v/>
      </c>
      <c r="P359" s="94" t="str">
        <f t="shared" si="138"/>
        <v/>
      </c>
      <c r="Q359" s="94" t="str">
        <f t="shared" si="139"/>
        <v/>
      </c>
      <c r="R359" s="90" t="str">
        <f t="shared" si="140"/>
        <v/>
      </c>
      <c r="S359" s="37" t="str">
        <f t="shared" si="132"/>
        <v/>
      </c>
      <c r="T359" s="176" t="str">
        <f>IF(L359="","",VLOOKUP(L359,classifications!C:K,9,FALSE))</f>
        <v/>
      </c>
      <c r="U359" s="183" t="str">
        <f t="shared" si="124"/>
        <v/>
      </c>
      <c r="V359" s="184" t="str">
        <f>IF(U359="","",IF($I$8="A",(RANK(U359,U$11:U$368)+COUNTIF(U$11:U359,U359)-1),(RANK(U359,U$11:U$368,1)+COUNTIF(U$11:U359,U359)-1)))</f>
        <v/>
      </c>
      <c r="W359" s="185"/>
      <c r="X359" s="38" t="str">
        <f>IF(L359="","",VLOOKUP($L359,classifications!$C:$J,6,FALSE))</f>
        <v/>
      </c>
      <c r="Y359" s="26" t="b">
        <f t="shared" si="125"/>
        <v>0</v>
      </c>
      <c r="Z359" s="34" t="e">
        <f>IF(Y359="","",IF(I$8="A",(RANK(Y359,Y$11:Y$368,1)+COUNTIF(Y$11:Y359,Y359)-1),(RANK(Y359,Y$11:Y$368)+COUNTIF(Y$11:Y359,Y359)-1)))</f>
        <v>#N/A</v>
      </c>
      <c r="AA359" s="188" t="str">
        <f>IF(L359="","",VLOOKUP($L359,classifications!C:I,7,FALSE))</f>
        <v/>
      </c>
      <c r="AB359" s="184" t="str">
        <f t="shared" si="133"/>
        <v/>
      </c>
      <c r="AC359" s="184" t="str">
        <f>IF(AB359="","",IF($I$8="A",(RANK(AB359,AB$11:AB$368)+COUNTIF(AB$11:AB359,AB359)-1),(RANK(AB359,AB$11:AB$368,1)+COUNTIF(AB$11:AB359,AB359)-1)))</f>
        <v/>
      </c>
      <c r="AD359" s="184"/>
      <c r="AE359" s="28" t="str">
        <f t="shared" si="142"/>
        <v/>
      </c>
      <c r="AG359" s="96"/>
      <c r="AH359" s="29"/>
      <c r="AI359" s="38" t="str">
        <f>IF(L359="","",VLOOKUP($L359,classifications!$C:$J,8,FALSE))</f>
        <v/>
      </c>
      <c r="AJ359" s="39" t="str">
        <f t="shared" si="126"/>
        <v/>
      </c>
      <c r="AK359" s="34" t="str">
        <f>IF(AJ359="","",IF(I$8="A",(RANK(AJ359,AJ$11:AJ$368,1)+COUNTIF(AJ$11:AJ359,AJ359)-1),(RANK(AJ359,AJ$11:AJ$368)+COUNTIF(AJ$11:AJ359,AJ359)-1)))</f>
        <v/>
      </c>
      <c r="AL359" s="29" t="str">
        <f t="shared" si="134"/>
        <v/>
      </c>
      <c r="AM359" s="8" t="str">
        <f t="shared" si="127"/>
        <v/>
      </c>
      <c r="AN359" s="8" t="str">
        <f t="shared" si="135"/>
        <v/>
      </c>
      <c r="AP359" s="38" t="str">
        <f>IF(L359="","",VLOOKUP($L359,classifications!$C:$E,3,FALSE))</f>
        <v/>
      </c>
      <c r="AQ359" s="39" t="str">
        <f t="shared" si="136"/>
        <v/>
      </c>
      <c r="AR359" s="34" t="str">
        <f>IF(AQ359="","",IF(I$8="A",(RANK(AQ359,AQ$11:AQ$368,1)+COUNTIF(AQ$11:AQ359,AQ359)-1),(RANK(AQ359,AQ$11:AQ$368)+COUNTIF(AQ$11:AQ359,AQ359)-1)))</f>
        <v/>
      </c>
      <c r="AS359" s="29" t="str">
        <f t="shared" si="137"/>
        <v/>
      </c>
      <c r="AT359" s="34" t="str">
        <f t="shared" si="128"/>
        <v/>
      </c>
      <c r="AU359" s="39" t="str">
        <f t="shared" si="141"/>
        <v/>
      </c>
      <c r="AX359" s="21">
        <f>HLOOKUP($AX$9&amp;$AX$10,Data!$A$1:$ZZ$2000,(MATCH($C359,Data!$A$1:$A$2000,0)),FALSE)</f>
        <v>22.857037353279054</v>
      </c>
      <c r="AY359" s="103"/>
      <c r="AZ359" s="21"/>
    </row>
    <row r="360" spans="1:735">
      <c r="A360" s="56" t="str">
        <f>$D$1&amp;350</f>
        <v>SC350</v>
      </c>
      <c r="B360" s="57">
        <f>IF(ISERROR(VLOOKUP(A360,classifications!A:C,3,FALSE)),0,VLOOKUP(A360,classifications!A:C,3,FALSE))</f>
        <v>0</v>
      </c>
      <c r="C360" s="8" t="s">
        <v>257</v>
      </c>
      <c r="D360" s="26" t="str">
        <f>VLOOKUP($C360,classifications!$C:$J,4,FALSE)</f>
        <v>MD</v>
      </c>
      <c r="E360" s="26">
        <f>VLOOKUP(C360,classifications!C:K,9,FALSE)</f>
        <v>0</v>
      </c>
      <c r="F360" s="36">
        <f t="shared" si="120"/>
        <v>9.4451928938245775</v>
      </c>
      <c r="G360" s="71"/>
      <c r="H360" s="37" t="str">
        <f t="shared" si="121"/>
        <v/>
      </c>
      <c r="I360" s="77" t="str">
        <f>IF(H360="","",IF($I$8="A",(RANK(H360,H$11:H$368,1)+COUNTIF(H$11:H360,H360)-1),(RANK(H360,H$11:H$368)+COUNTIF(H$11:H360,H360)-1)))</f>
        <v/>
      </c>
      <c r="J360" s="35"/>
      <c r="K360" s="28" t="str">
        <f t="shared" si="129"/>
        <v/>
      </c>
      <c r="L360" s="36" t="str">
        <f t="shared" si="122"/>
        <v/>
      </c>
      <c r="M360" s="102" t="str">
        <f t="shared" si="130"/>
        <v/>
      </c>
      <c r="N360" s="101" t="str">
        <f t="shared" si="131"/>
        <v/>
      </c>
      <c r="O360" s="94" t="str">
        <f t="shared" si="123"/>
        <v/>
      </c>
      <c r="P360" s="94" t="str">
        <f t="shared" si="138"/>
        <v/>
      </c>
      <c r="Q360" s="94" t="str">
        <f t="shared" si="139"/>
        <v/>
      </c>
      <c r="R360" s="90" t="str">
        <f t="shared" si="140"/>
        <v/>
      </c>
      <c r="S360" s="37" t="str">
        <f t="shared" si="132"/>
        <v/>
      </c>
      <c r="T360" s="176" t="str">
        <f>IF(L360="","",VLOOKUP(L360,classifications!C:K,9,FALSE))</f>
        <v/>
      </c>
      <c r="U360" s="183" t="str">
        <f t="shared" si="124"/>
        <v/>
      </c>
      <c r="V360" s="184" t="str">
        <f>IF(U360="","",IF($I$8="A",(RANK(U360,U$11:U$368)+COUNTIF(U$11:U360,U360)-1),(RANK(U360,U$11:U$368,1)+COUNTIF(U$11:U360,U360)-1)))</f>
        <v/>
      </c>
      <c r="W360" s="185"/>
      <c r="X360" s="38" t="str">
        <f>IF(L360="","",VLOOKUP($L360,classifications!$C:$J,6,FALSE))</f>
        <v/>
      </c>
      <c r="Y360" s="26" t="b">
        <f t="shared" si="125"/>
        <v>0</v>
      </c>
      <c r="Z360" s="34" t="e">
        <f>IF(Y360="","",IF(I$8="A",(RANK(Y360,Y$11:Y$368,1)+COUNTIF(Y$11:Y360,Y360)-1),(RANK(Y360,Y$11:Y$368)+COUNTIF(Y$11:Y360,Y360)-1)))</f>
        <v>#N/A</v>
      </c>
      <c r="AA360" s="188" t="str">
        <f>IF(L360="","",VLOOKUP($L360,classifications!C:I,7,FALSE))</f>
        <v/>
      </c>
      <c r="AB360" s="184" t="str">
        <f t="shared" si="133"/>
        <v/>
      </c>
      <c r="AC360" s="184" t="str">
        <f>IF(AB360="","",IF($I$8="A",(RANK(AB360,AB$11:AB$368)+COUNTIF(AB$11:AB360,AB360)-1),(RANK(AB360,AB$11:AB$368,1)+COUNTIF(AB$11:AB360,AB360)-1)))</f>
        <v/>
      </c>
      <c r="AD360" s="184"/>
      <c r="AE360" s="28" t="str">
        <f t="shared" si="142"/>
        <v/>
      </c>
      <c r="AG360" s="96"/>
      <c r="AH360" s="29"/>
      <c r="AI360" s="38" t="str">
        <f>IF(L360="","",VLOOKUP($L360,classifications!$C:$J,8,FALSE))</f>
        <v/>
      </c>
      <c r="AJ360" s="39" t="str">
        <f t="shared" si="126"/>
        <v/>
      </c>
      <c r="AK360" s="34" t="str">
        <f>IF(AJ360="","",IF(I$8="A",(RANK(AJ360,AJ$11:AJ$368,1)+COUNTIF(AJ$11:AJ360,AJ360)-1),(RANK(AJ360,AJ$11:AJ$368)+COUNTIF(AJ$11:AJ360,AJ360)-1)))</f>
        <v/>
      </c>
      <c r="AL360" s="29" t="str">
        <f t="shared" si="134"/>
        <v/>
      </c>
      <c r="AM360" s="8" t="str">
        <f t="shared" si="127"/>
        <v/>
      </c>
      <c r="AN360" s="8" t="str">
        <f t="shared" si="135"/>
        <v/>
      </c>
      <c r="AP360" s="38" t="str">
        <f>IF(L360="","",VLOOKUP($L360,classifications!$C:$E,3,FALSE))</f>
        <v/>
      </c>
      <c r="AQ360" s="39" t="str">
        <f t="shared" si="136"/>
        <v/>
      </c>
      <c r="AR360" s="34" t="str">
        <f>IF(AQ360="","",IF(I$8="A",(RANK(AQ360,AQ$11:AQ$368,1)+COUNTIF(AQ$11:AQ360,AQ360)-1),(RANK(AQ360,AQ$11:AQ$368)+COUNTIF(AQ$11:AQ360,AQ360)-1)))</f>
        <v/>
      </c>
      <c r="AS360" s="29" t="str">
        <f t="shared" si="137"/>
        <v/>
      </c>
      <c r="AT360" s="34" t="str">
        <f t="shared" si="128"/>
        <v/>
      </c>
      <c r="AU360" s="39" t="str">
        <f t="shared" si="141"/>
        <v/>
      </c>
      <c r="AX360" s="21">
        <f>HLOOKUP($AX$9&amp;$AX$10,Data!$A$1:$ZZ$2000,(MATCH($C360,Data!$A$1:$A$2000,0)),FALSE)</f>
        <v>9.4451928938245775</v>
      </c>
      <c r="AY360" s="103"/>
      <c r="AZ360" s="21"/>
    </row>
    <row r="361" spans="1:735">
      <c r="A361" s="56" t="str">
        <f>$D$1&amp;351</f>
        <v>SC351</v>
      </c>
      <c r="B361" s="57">
        <f>IF(ISERROR(VLOOKUP(A361,classifications!A:C,3,FALSE)),0,VLOOKUP(A361,classifications!A:C,3,FALSE))</f>
        <v>0</v>
      </c>
      <c r="C361" s="8" t="s">
        <v>190</v>
      </c>
      <c r="D361" s="26" t="str">
        <f>VLOOKUP($C361,classifications!$C:$J,4,FALSE)</f>
        <v>SD</v>
      </c>
      <c r="E361" s="26">
        <f>VLOOKUP(C361,classifications!C:K,9,FALSE)</f>
        <v>0</v>
      </c>
      <c r="F361" s="36">
        <f t="shared" si="120"/>
        <v>16.871144466498237</v>
      </c>
      <c r="G361" s="71"/>
      <c r="H361" s="37" t="str">
        <f t="shared" si="121"/>
        <v/>
      </c>
      <c r="I361" s="77" t="str">
        <f>IF(H361="","",IF($I$8="A",(RANK(H361,H$11:H$368,1)+COUNTIF(H$11:H361,H361)-1),(RANK(H361,H$11:H$368)+COUNTIF(H$11:H361,H361)-1)))</f>
        <v/>
      </c>
      <c r="J361" s="35"/>
      <c r="K361" s="28" t="str">
        <f t="shared" si="129"/>
        <v/>
      </c>
      <c r="L361" s="36" t="str">
        <f t="shared" si="122"/>
        <v/>
      </c>
      <c r="M361" s="102" t="str">
        <f t="shared" si="130"/>
        <v/>
      </c>
      <c r="N361" s="101" t="str">
        <f t="shared" si="131"/>
        <v/>
      </c>
      <c r="O361" s="94" t="str">
        <f t="shared" si="123"/>
        <v/>
      </c>
      <c r="P361" s="94" t="str">
        <f t="shared" si="138"/>
        <v/>
      </c>
      <c r="Q361" s="94" t="str">
        <f t="shared" si="139"/>
        <v/>
      </c>
      <c r="R361" s="90" t="str">
        <f t="shared" si="140"/>
        <v/>
      </c>
      <c r="S361" s="37" t="str">
        <f t="shared" si="132"/>
        <v/>
      </c>
      <c r="T361" s="176" t="str">
        <f>IF(L361="","",VLOOKUP(L361,classifications!C:K,9,FALSE))</f>
        <v/>
      </c>
      <c r="U361" s="183" t="str">
        <f t="shared" si="124"/>
        <v/>
      </c>
      <c r="V361" s="184" t="str">
        <f>IF(U361="","",IF($I$8="A",(RANK(U361,U$11:U$368)+COUNTIF(U$11:U361,U361)-1),(RANK(U361,U$11:U$368,1)+COUNTIF(U$11:U361,U361)-1)))</f>
        <v/>
      </c>
      <c r="W361" s="185"/>
      <c r="X361" s="38" t="str">
        <f>IF(L361="","",VLOOKUP($L361,classifications!$C:$J,6,FALSE))</f>
        <v/>
      </c>
      <c r="Y361" s="26" t="b">
        <f t="shared" si="125"/>
        <v>0</v>
      </c>
      <c r="Z361" s="34" t="e">
        <f>IF(Y361="","",IF(I$8="A",(RANK(Y361,Y$11:Y$368,1)+COUNTIF(Y$11:Y361,Y361)-1),(RANK(Y361,Y$11:Y$368)+COUNTIF(Y$11:Y361,Y361)-1)))</f>
        <v>#N/A</v>
      </c>
      <c r="AA361" s="188" t="str">
        <f>IF(L361="","",VLOOKUP($L361,classifications!C:I,7,FALSE))</f>
        <v/>
      </c>
      <c r="AB361" s="184" t="str">
        <f t="shared" si="133"/>
        <v/>
      </c>
      <c r="AC361" s="184" t="str">
        <f>IF(AB361="","",IF($I$8="A",(RANK(AB361,AB$11:AB$368)+COUNTIF(AB$11:AB361,AB361)-1),(RANK(AB361,AB$11:AB$368,1)+COUNTIF(AB$11:AB361,AB361)-1)))</f>
        <v/>
      </c>
      <c r="AD361" s="184"/>
      <c r="AE361" s="28" t="str">
        <f t="shared" si="142"/>
        <v/>
      </c>
      <c r="AG361" s="96"/>
      <c r="AH361" s="29"/>
      <c r="AI361" s="38" t="str">
        <f>IF(L361="","",VLOOKUP($L361,classifications!$C:$J,8,FALSE))</f>
        <v/>
      </c>
      <c r="AJ361" s="39" t="str">
        <f t="shared" si="126"/>
        <v/>
      </c>
      <c r="AK361" s="34" t="str">
        <f>IF(AJ361="","",IF(I$8="A",(RANK(AJ361,AJ$11:AJ$368,1)+COUNTIF(AJ$11:AJ361,AJ361)-1),(RANK(AJ361,AJ$11:AJ$368)+COUNTIF(AJ$11:AJ361,AJ361)-1)))</f>
        <v/>
      </c>
      <c r="AL361" s="29" t="str">
        <f t="shared" si="134"/>
        <v/>
      </c>
      <c r="AM361" s="8" t="str">
        <f t="shared" si="127"/>
        <v/>
      </c>
      <c r="AN361" s="8" t="str">
        <f t="shared" si="135"/>
        <v/>
      </c>
      <c r="AP361" s="38" t="str">
        <f>IF(L361="","",VLOOKUP($L361,classifications!$C:$E,3,FALSE))</f>
        <v/>
      </c>
      <c r="AQ361" s="39" t="str">
        <f t="shared" si="136"/>
        <v/>
      </c>
      <c r="AR361" s="34" t="str">
        <f>IF(AQ361="","",IF(I$8="A",(RANK(AQ361,AQ$11:AQ$368,1)+COUNTIF(AQ$11:AQ361,AQ361)-1),(RANK(AQ361,AQ$11:AQ$368)+COUNTIF(AQ$11:AQ361,AQ361)-1)))</f>
        <v/>
      </c>
      <c r="AS361" s="29" t="str">
        <f t="shared" si="137"/>
        <v/>
      </c>
      <c r="AT361" s="34" t="str">
        <f t="shared" si="128"/>
        <v/>
      </c>
      <c r="AU361" s="39" t="str">
        <f t="shared" si="141"/>
        <v/>
      </c>
      <c r="AX361" s="21">
        <f>HLOOKUP($AX$9&amp;$AX$10,Data!$A$1:$ZZ$2000,(MATCH($C361,Data!$A$1:$A$2000,0)),FALSE)</f>
        <v>16.871144466498237</v>
      </c>
      <c r="AY361" s="103"/>
      <c r="AZ361" s="21"/>
    </row>
    <row r="362" spans="1:735">
      <c r="A362" s="56" t="str">
        <f>$D$1&amp;352</f>
        <v>SC352</v>
      </c>
      <c r="B362" s="57">
        <f>IF(ISERROR(VLOOKUP(A362,classifications!A:C,3,FALSE)),0,VLOOKUP(A362,classifications!A:C,3,FALSE))</f>
        <v>0</v>
      </c>
      <c r="C362" s="8" t="s">
        <v>332</v>
      </c>
      <c r="D362" s="26" t="str">
        <f>VLOOKUP($C362,classifications!$C:$J,4,FALSE)</f>
        <v>SC</v>
      </c>
      <c r="E362" s="26" t="str">
        <f>VLOOKUP(C362,classifications!C:K,9,FALSE)</f>
        <v>Sparse</v>
      </c>
      <c r="F362" s="36">
        <f t="shared" si="120"/>
        <v>14.778256892169054</v>
      </c>
      <c r="G362" s="71"/>
      <c r="H362" s="37">
        <f t="shared" si="121"/>
        <v>14.778256892169054</v>
      </c>
      <c r="I362" s="77">
        <f>IF(H362="","",IF($I$8="A",(RANK(H362,H$11:H$368,1)+COUNTIF(H$11:H362,H362)-1),(RANK(H362,H$11:H$368)+COUNTIF(H$11:H362,H362)-1)))</f>
        <v>21</v>
      </c>
      <c r="J362" s="35"/>
      <c r="K362" s="28" t="str">
        <f t="shared" si="129"/>
        <v/>
      </c>
      <c r="L362" s="36" t="str">
        <f t="shared" si="122"/>
        <v/>
      </c>
      <c r="M362" s="102" t="str">
        <f t="shared" si="130"/>
        <v/>
      </c>
      <c r="N362" s="101" t="str">
        <f t="shared" si="131"/>
        <v/>
      </c>
      <c r="O362" s="94" t="str">
        <f t="shared" si="123"/>
        <v/>
      </c>
      <c r="P362" s="94" t="str">
        <f t="shared" si="138"/>
        <v/>
      </c>
      <c r="Q362" s="94" t="str">
        <f t="shared" si="139"/>
        <v/>
      </c>
      <c r="R362" s="90" t="str">
        <f t="shared" si="140"/>
        <v/>
      </c>
      <c r="S362" s="37" t="str">
        <f t="shared" si="132"/>
        <v/>
      </c>
      <c r="T362" s="176" t="str">
        <f>IF(L362="","",VLOOKUP(L362,classifications!C:K,9,FALSE))</f>
        <v/>
      </c>
      <c r="U362" s="183" t="str">
        <f t="shared" si="124"/>
        <v/>
      </c>
      <c r="V362" s="184" t="str">
        <f>IF(U362="","",IF($I$8="A",(RANK(U362,U$11:U$368)+COUNTIF(U$11:U362,U362)-1),(RANK(U362,U$11:U$368,1)+COUNTIF(U$11:U362,U362)-1)))</f>
        <v/>
      </c>
      <c r="W362" s="185"/>
      <c r="X362" s="38" t="str">
        <f>IF(L362="","",VLOOKUP($L362,classifications!$C:$J,6,FALSE))</f>
        <v/>
      </c>
      <c r="Y362" s="26" t="b">
        <f t="shared" si="125"/>
        <v>0</v>
      </c>
      <c r="Z362" s="34" t="e">
        <f>IF(Y362="","",IF(I$8="A",(RANK(Y362,Y$11:Y$368,1)+COUNTIF(Y$11:Y362,Y362)-1),(RANK(Y362,Y$11:Y$368)+COUNTIF(Y$11:Y362,Y362)-1)))</f>
        <v>#N/A</v>
      </c>
      <c r="AA362" s="188" t="str">
        <f>IF(L362="","",VLOOKUP($L362,classifications!C:I,7,FALSE))</f>
        <v/>
      </c>
      <c r="AB362" s="184" t="str">
        <f t="shared" si="133"/>
        <v/>
      </c>
      <c r="AC362" s="184" t="str">
        <f>IF(AB362="","",IF($I$8="A",(RANK(AB362,AB$11:AB$368)+COUNTIF(AB$11:AB362,AB362)-1),(RANK(AB362,AB$11:AB$368,1)+COUNTIF(AB$11:AB362,AB362)-1)))</f>
        <v/>
      </c>
      <c r="AD362" s="184"/>
      <c r="AE362" s="28" t="str">
        <f t="shared" si="142"/>
        <v/>
      </c>
      <c r="AG362" s="96"/>
      <c r="AH362" s="29"/>
      <c r="AI362" s="38" t="str">
        <f>IF(L362="","",VLOOKUP($L362,classifications!$C:$J,8,FALSE))</f>
        <v/>
      </c>
      <c r="AJ362" s="39" t="str">
        <f t="shared" si="126"/>
        <v/>
      </c>
      <c r="AK362" s="34" t="str">
        <f>IF(AJ362="","",IF(I$8="A",(RANK(AJ362,AJ$11:AJ$368,1)+COUNTIF(AJ$11:AJ362,AJ362)-1),(RANK(AJ362,AJ$11:AJ$368)+COUNTIF(AJ$11:AJ362,AJ362)-1)))</f>
        <v/>
      </c>
      <c r="AL362" s="29" t="str">
        <f t="shared" si="134"/>
        <v/>
      </c>
      <c r="AM362" s="8" t="str">
        <f t="shared" si="127"/>
        <v/>
      </c>
      <c r="AN362" s="8" t="str">
        <f t="shared" si="135"/>
        <v/>
      </c>
      <c r="AP362" s="38" t="str">
        <f>IF(L362="","",VLOOKUP($L362,classifications!$C:$E,3,FALSE))</f>
        <v/>
      </c>
      <c r="AQ362" s="39" t="str">
        <f t="shared" si="136"/>
        <v/>
      </c>
      <c r="AR362" s="34" t="str">
        <f>IF(AQ362="","",IF(I$8="A",(RANK(AQ362,AQ$11:AQ$368,1)+COUNTIF(AQ$11:AQ362,AQ362)-1),(RANK(AQ362,AQ$11:AQ$368)+COUNTIF(AQ$11:AQ362,AQ362)-1)))</f>
        <v/>
      </c>
      <c r="AS362" s="29" t="str">
        <f t="shared" si="137"/>
        <v/>
      </c>
      <c r="AT362" s="34" t="str">
        <f t="shared" si="128"/>
        <v/>
      </c>
      <c r="AU362" s="39" t="str">
        <f t="shared" si="141"/>
        <v/>
      </c>
      <c r="AX362" s="21">
        <f>HLOOKUP($AX$9&amp;$AX$10,Data!$A$1:$ZZ$2000,(MATCH($C362,Data!$A$1:$A$2000,0)),FALSE)</f>
        <v>14.778256892169054</v>
      </c>
      <c r="AY362" s="103"/>
      <c r="AZ362" s="21"/>
    </row>
    <row r="363" spans="1:735">
      <c r="A363" s="56" t="str">
        <f>$D$1&amp;353</f>
        <v>SC353</v>
      </c>
      <c r="B363" s="57">
        <f>IF(ISERROR(VLOOKUP(A363,classifications!A:C,3,FALSE)),0,VLOOKUP(A363,classifications!A:C,3,FALSE))</f>
        <v>0</v>
      </c>
      <c r="C363" s="8" t="s">
        <v>191</v>
      </c>
      <c r="D363" s="26" t="str">
        <f>VLOOKUP($C363,classifications!$C:$J,4,FALSE)</f>
        <v>SD</v>
      </c>
      <c r="E363" s="26">
        <f>VLOOKUP(C363,classifications!C:K,9,FALSE)</f>
        <v>0</v>
      </c>
      <c r="F363" s="36">
        <f t="shared" si="120"/>
        <v>19.034576327160028</v>
      </c>
      <c r="G363" s="71"/>
      <c r="H363" s="37" t="str">
        <f t="shared" si="121"/>
        <v/>
      </c>
      <c r="I363" s="77" t="str">
        <f>IF(H363="","",IF($I$8="A",(RANK(H363,H$11:H$368,1)+COUNTIF(H$11:H363,H363)-1),(RANK(H363,H$11:H$368)+COUNTIF(H$11:H363,H363)-1)))</f>
        <v/>
      </c>
      <c r="J363" s="35"/>
      <c r="K363" s="28" t="str">
        <f t="shared" si="129"/>
        <v/>
      </c>
      <c r="L363" s="36" t="str">
        <f t="shared" si="122"/>
        <v/>
      </c>
      <c r="M363" s="102" t="str">
        <f t="shared" si="130"/>
        <v/>
      </c>
      <c r="N363" s="101" t="str">
        <f t="shared" si="131"/>
        <v/>
      </c>
      <c r="O363" s="94" t="str">
        <f t="shared" si="123"/>
        <v/>
      </c>
      <c r="P363" s="94" t="str">
        <f t="shared" si="138"/>
        <v/>
      </c>
      <c r="Q363" s="94" t="str">
        <f t="shared" si="139"/>
        <v/>
      </c>
      <c r="R363" s="90" t="str">
        <f t="shared" si="140"/>
        <v/>
      </c>
      <c r="S363" s="37" t="str">
        <f t="shared" si="132"/>
        <v/>
      </c>
      <c r="T363" s="176" t="str">
        <f>IF(L363="","",VLOOKUP(L363,classifications!C:K,9,FALSE))</f>
        <v/>
      </c>
      <c r="U363" s="183" t="str">
        <f t="shared" si="124"/>
        <v/>
      </c>
      <c r="V363" s="184" t="str">
        <f>IF(U363="","",IF($I$8="A",(RANK(U363,U$11:U$368)+COUNTIF(U$11:U363,U363)-1),(RANK(U363,U$11:U$368,1)+COUNTIF(U$11:U363,U363)-1)))</f>
        <v/>
      </c>
      <c r="W363" s="185"/>
      <c r="X363" s="38" t="str">
        <f>IF(L363="","",VLOOKUP($L363,classifications!$C:$J,6,FALSE))</f>
        <v/>
      </c>
      <c r="Y363" s="26" t="b">
        <f t="shared" si="125"/>
        <v>0</v>
      </c>
      <c r="Z363" s="34" t="e">
        <f>IF(Y363="","",IF(I$8="A",(RANK(Y363,Y$11:Y$368,1)+COUNTIF(Y$11:Y363,Y363)-1),(RANK(Y363,Y$11:Y$368)+COUNTIF(Y$11:Y363,Y363)-1)))</f>
        <v>#N/A</v>
      </c>
      <c r="AA363" s="188" t="str">
        <f>IF(L363="","",VLOOKUP($L363,classifications!C:I,7,FALSE))</f>
        <v/>
      </c>
      <c r="AB363" s="184" t="str">
        <f t="shared" si="133"/>
        <v/>
      </c>
      <c r="AC363" s="184" t="str">
        <f>IF(AB363="","",IF($I$8="A",(RANK(AB363,AB$11:AB$368)+COUNTIF(AB$11:AB363,AB363)-1),(RANK(AB363,AB$11:AB$368,1)+COUNTIF(AB$11:AB363,AB363)-1)))</f>
        <v/>
      </c>
      <c r="AD363" s="184"/>
      <c r="AE363" s="28" t="str">
        <f t="shared" si="142"/>
        <v/>
      </c>
      <c r="AG363" s="96"/>
      <c r="AH363" s="29"/>
      <c r="AI363" s="38" t="str">
        <f>IF(L363="","",VLOOKUP($L363,classifications!$C:$J,8,FALSE))</f>
        <v/>
      </c>
      <c r="AJ363" s="39" t="str">
        <f t="shared" si="126"/>
        <v/>
      </c>
      <c r="AK363" s="34" t="str">
        <f>IF(AJ363="","",IF(I$8="A",(RANK(AJ363,AJ$11:AJ$368,1)+COUNTIF(AJ$11:AJ363,AJ363)-1),(RANK(AJ363,AJ$11:AJ$368)+COUNTIF(AJ$11:AJ363,AJ363)-1)))</f>
        <v/>
      </c>
      <c r="AL363" s="29" t="str">
        <f t="shared" si="134"/>
        <v/>
      </c>
      <c r="AM363" s="8" t="str">
        <f t="shared" si="127"/>
        <v/>
      </c>
      <c r="AN363" s="8" t="str">
        <f t="shared" si="135"/>
        <v/>
      </c>
      <c r="AP363" s="38" t="str">
        <f>IF(L363="","",VLOOKUP($L363,classifications!$C:$E,3,FALSE))</f>
        <v/>
      </c>
      <c r="AQ363" s="39" t="str">
        <f t="shared" si="136"/>
        <v/>
      </c>
      <c r="AR363" s="34" t="str">
        <f>IF(AQ363="","",IF(I$8="A",(RANK(AQ363,AQ$11:AQ$368,1)+COUNTIF(AQ$11:AQ363,AQ363)-1),(RANK(AQ363,AQ$11:AQ$368)+COUNTIF(AQ$11:AQ363,AQ363)-1)))</f>
        <v/>
      </c>
      <c r="AS363" s="29" t="str">
        <f t="shared" si="137"/>
        <v/>
      </c>
      <c r="AT363" s="34" t="str">
        <f t="shared" si="128"/>
        <v/>
      </c>
      <c r="AU363" s="39" t="str">
        <f t="shared" si="141"/>
        <v/>
      </c>
      <c r="AX363" s="21">
        <f>HLOOKUP($AX$9&amp;$AX$10,Data!$A$1:$ZZ$2000,(MATCH($C363,Data!$A$1:$A$2000,0)),FALSE)</f>
        <v>19.034576327160028</v>
      </c>
      <c r="AY363" s="103"/>
      <c r="AZ363" s="21"/>
    </row>
    <row r="364" spans="1:735" s="27" customFormat="1">
      <c r="A364" s="56" t="str">
        <f>$D$1&amp;354</f>
        <v>SC354</v>
      </c>
      <c r="B364" s="57">
        <f>IF(ISERROR(VLOOKUP(A364,classifications!A:C,3,FALSE)),0,VLOOKUP(A364,classifications!A:C,3,FALSE))</f>
        <v>0</v>
      </c>
      <c r="C364" s="27" t="s">
        <v>192</v>
      </c>
      <c r="D364" s="26" t="str">
        <f>VLOOKUP($C364,classifications!$C:$J,4,FALSE)</f>
        <v>SD</v>
      </c>
      <c r="E364" s="26" t="str">
        <f>VLOOKUP(C364,classifications!C:K,9,FALSE)</f>
        <v>Sparse</v>
      </c>
      <c r="F364" s="36">
        <f t="shared" si="120"/>
        <v>17.775700212463466</v>
      </c>
      <c r="G364" s="71"/>
      <c r="H364" s="37" t="str">
        <f t="shared" si="121"/>
        <v/>
      </c>
      <c r="I364" s="77" t="str">
        <f>IF(H364="","",IF($I$8="A",(RANK(H364,H$11:H$368,1)+COUNTIF(H$11:H364,H364)-1),(RANK(H364,H$11:H$368)+COUNTIF(H$11:H364,H364)-1)))</f>
        <v/>
      </c>
      <c r="J364" s="35"/>
      <c r="K364" s="28" t="str">
        <f t="shared" si="129"/>
        <v/>
      </c>
      <c r="L364" s="36" t="str">
        <f t="shared" si="122"/>
        <v/>
      </c>
      <c r="M364" s="102" t="str">
        <f t="shared" ref="M364:M368" si="143">IF(L364="","",IF(VLOOKUP(L364,C:D,2,FALSE)=$F$3,VLOOKUP(L364,C:H,6,FALSE),""))</f>
        <v/>
      </c>
      <c r="N364" s="101" t="str">
        <f t="shared" ref="N364:N368" si="144">IF(L364="","",IF($H$8="%%",M364*100,M364))</f>
        <v/>
      </c>
      <c r="O364" s="94" t="str">
        <f t="shared" ref="O364:O368" si="145">IF(I$8="A",IF(N364&gt;=$P$7,IF(N364&lt;=$O$10,N364,""),""),IF(N364&lt;=$P$7,IF(N364&gt;=$O$10,N364,""),""))</f>
        <v/>
      </c>
      <c r="P364" s="94" t="str">
        <f t="shared" ref="P364:P368" si="146">IF(I$8="A",IF(N364&gt;$O$10,IF(N364&lt;=$P$10,N364,""),""),IF(N364&lt;$O$10,IF(N364&gt;=$P$10,N364,""),""))</f>
        <v/>
      </c>
      <c r="Q364" s="94" t="str">
        <f t="shared" ref="Q364:Q368" si="147">IF(I$8="A",IF(N364&gt;$P$10,IF(N364&lt;=$Q$10,N364,""),""),IF(N364&lt;$P$10,IF(N364&gt;=$Q$10,N364,""),""))</f>
        <v/>
      </c>
      <c r="R364" s="90" t="str">
        <f t="shared" ref="R364:R368" si="148">IF(I$8="A",IF(N364&gt;$Q$10,N364,""),IF(N364&lt;$Q$10,N364,""))</f>
        <v/>
      </c>
      <c r="S364" s="37" t="str">
        <f t="shared" ref="S364:S368" si="149">IF(L364=D$3,"u","")</f>
        <v/>
      </c>
      <c r="T364" s="176" t="str">
        <f>IF(L364="","",VLOOKUP(L364,classifications!C:K,9,FALSE))</f>
        <v/>
      </c>
      <c r="U364" s="183" t="str">
        <f t="shared" ref="U364:U368" si="150">IF(T364="Sparse",M364,"")</f>
        <v/>
      </c>
      <c r="V364" s="184" t="str">
        <f>IF(U364="","",IF($I$8="A",(RANK(U364,U$11:U$368)+COUNTIF(U$11:U364,U364)-1),(RANK(U364,U$11:U$368,1)+COUNTIF(U$11:U364,U364)-1)))</f>
        <v/>
      </c>
      <c r="W364" s="185"/>
      <c r="X364" s="38" t="str">
        <f>IF(L364="","",VLOOKUP($L364,classifications!$C:$J,6,FALSE))</f>
        <v/>
      </c>
      <c r="Y364" s="26" t="b">
        <f t="shared" ref="Y364:Y368" si="151">IF($D$1="UA",IF(X364="Largely Rural (rural including hub towns 50-79%) ",M364,IF(X364="Mainly Rural (rural including hub towns &gt;=80%) ",M364,IF(X364="Urban with Significant Rural (rural including hub towns 26-49%)",M364,""))),IF($D$1="SD",IF(X364=$H$3,M364,"")))</f>
        <v>0</v>
      </c>
      <c r="Z364" s="34" t="e">
        <f>IF(Y364="","",IF(I$8="A",(RANK(Y364,Y$11:Y$368,1)+COUNTIF(Y$11:Y364,Y364)-1),(RANK(Y364,Y$11:Y$368)+COUNTIF(Y$11:Y364,Y364)-1)))</f>
        <v>#N/A</v>
      </c>
      <c r="AA364" s="188" t="str">
        <f>IF(L364="","",VLOOKUP($L364,classifications!C:I,7,FALSE))</f>
        <v/>
      </c>
      <c r="AB364" s="184" t="str">
        <f t="shared" ref="AB364:AB368" si="152">IF(AA364=$J$3,M364,"")</f>
        <v/>
      </c>
      <c r="AC364" s="184" t="str">
        <f>IF(AB364="","",IF($I$8="A",(RANK(AB364,AB$11:AB$368)+COUNTIF(AB$11:AB364,AB364)-1),(RANK(AB364,AB$11:AB$368,1)+COUNTIF(AB$11:AB364,AB364)-1)))</f>
        <v/>
      </c>
      <c r="AD364" s="184"/>
      <c r="AE364" s="28" t="str">
        <f t="shared" ref="AE364:AE368" si="153">IF(AE363="","",IF(AE363+1&gt;(COUNT(AG:AG)),"",AE363+1))</f>
        <v/>
      </c>
      <c r="AF364" s="26"/>
      <c r="AG364" s="96"/>
      <c r="AH364" s="29"/>
      <c r="AI364" s="38" t="str">
        <f>IF(L364="","",VLOOKUP($L364,classifications!$C:$J,8,FALSE))</f>
        <v/>
      </c>
      <c r="AJ364" s="39" t="str">
        <f t="shared" ref="AJ364:AJ368" si="154">IF(AI364=$I$3,M364,"")</f>
        <v/>
      </c>
      <c r="AK364" s="34" t="str">
        <f>IF(AJ364="","",IF(I$8="A",(RANK(AJ364,AJ$11:AJ$368,1)+COUNTIF(AJ$11:AJ364,AJ364)-1),(RANK(AJ364,AJ$11:AJ$368)+COUNTIF(AJ$11:AJ364,AJ364)-1)))</f>
        <v/>
      </c>
      <c r="AL364" s="29" t="str">
        <f t="shared" si="134"/>
        <v/>
      </c>
      <c r="AM364" s="8" t="str">
        <f t="shared" si="127"/>
        <v/>
      </c>
      <c r="AN364" s="8" t="str">
        <f t="shared" ref="AN364:AN368" si="155">(VLOOKUP(AM364,L:M,2,FALSE))</f>
        <v/>
      </c>
      <c r="AO364" s="8"/>
      <c r="AP364" s="38" t="str">
        <f>IF(L364="","",VLOOKUP($L364,classifications!$C:$E,3,FALSE))</f>
        <v/>
      </c>
      <c r="AQ364" s="39" t="str">
        <f t="shared" ref="AQ364:AQ368" si="156">IF(AP364=$G$3,$M364,"")</f>
        <v/>
      </c>
      <c r="AR364" s="34" t="str">
        <f>IF(AQ364="","",IF(I$8="A",(RANK(AQ364,AQ$11:AQ$368,1)+COUNTIF(AQ$11:AQ364,AQ364)-1),(RANK(AQ364,AQ$11:AQ$368)+COUNTIF(AQ$11:AQ364,AQ364)-1)))</f>
        <v/>
      </c>
      <c r="AS364" s="29" t="str">
        <f t="shared" si="137"/>
        <v/>
      </c>
      <c r="AT364" s="34" t="str">
        <f t="shared" si="128"/>
        <v/>
      </c>
      <c r="AU364" s="39" t="str">
        <f t="shared" ref="AU364:AU368" si="157">IF(AT364="","",VLOOKUP(AT364,L:M,2,FALSE))</f>
        <v/>
      </c>
      <c r="AV364" s="26"/>
      <c r="AW364" s="80"/>
      <c r="AX364" s="21">
        <f>HLOOKUP($AX$9&amp;$AX$10,Data!$A$1:$ZZ$2000,(MATCH($C364,Data!$A$1:$A$2000,0)),FALSE)</f>
        <v>17.775700212463466</v>
      </c>
      <c r="AY364" s="119"/>
      <c r="AZ364" s="19"/>
      <c r="ABG364" s="40"/>
    </row>
    <row r="365" spans="1:735">
      <c r="A365" s="56" t="str">
        <f>$D$1&amp;355</f>
        <v>SC355</v>
      </c>
      <c r="B365" s="57">
        <f>IF(ISERROR(VLOOKUP(A365,classifications!A:C,3,FALSE)),0,VLOOKUP(A365,classifications!A:C,3,FALSE))</f>
        <v>0</v>
      </c>
      <c r="C365" s="8" t="s">
        <v>193</v>
      </c>
      <c r="D365" s="26" t="str">
        <f>VLOOKUP($C365,classifications!$C:$J,4,FALSE)</f>
        <v>SD</v>
      </c>
      <c r="E365" s="26">
        <f>VLOOKUP(C365,classifications!C:K,9,FALSE)</f>
        <v>0</v>
      </c>
      <c r="F365" s="36">
        <f t="shared" si="120"/>
        <v>16.24564935464095</v>
      </c>
      <c r="G365" s="71"/>
      <c r="H365" s="37" t="str">
        <f t="shared" si="121"/>
        <v/>
      </c>
      <c r="I365" s="77" t="str">
        <f>IF(H365="","",IF($I$8="A",(RANK(H365,H$11:H$368,1)+COUNTIF(H$11:H365,H365)-1),(RANK(H365,H$11:H$368)+COUNTIF(H$11:H365,H365)-1)))</f>
        <v/>
      </c>
      <c r="J365" s="35"/>
      <c r="K365" s="28" t="str">
        <f t="shared" si="129"/>
        <v/>
      </c>
      <c r="L365" s="36" t="str">
        <f t="shared" si="122"/>
        <v/>
      </c>
      <c r="M365" s="102" t="str">
        <f t="shared" si="143"/>
        <v/>
      </c>
      <c r="N365" s="101" t="str">
        <f t="shared" si="144"/>
        <v/>
      </c>
      <c r="O365" s="94" t="str">
        <f t="shared" si="145"/>
        <v/>
      </c>
      <c r="P365" s="94" t="str">
        <f t="shared" si="146"/>
        <v/>
      </c>
      <c r="Q365" s="94" t="str">
        <f t="shared" si="147"/>
        <v/>
      </c>
      <c r="R365" s="90" t="str">
        <f t="shared" si="148"/>
        <v/>
      </c>
      <c r="S365" s="37" t="str">
        <f t="shared" si="149"/>
        <v/>
      </c>
      <c r="T365" s="176" t="str">
        <f>IF(L365="","",VLOOKUP(L365,classifications!C:K,9,FALSE))</f>
        <v/>
      </c>
      <c r="U365" s="183" t="str">
        <f t="shared" si="150"/>
        <v/>
      </c>
      <c r="V365" s="184" t="str">
        <f>IF(U365="","",IF($I$8="A",(RANK(U365,U$11:U$368)+COUNTIF(U$11:U365,U365)-1),(RANK(U365,U$11:U$368,1)+COUNTIF(U$11:U365,U365)-1)))</f>
        <v/>
      </c>
      <c r="W365" s="185"/>
      <c r="X365" s="38" t="str">
        <f>IF(L365="","",VLOOKUP($L365,classifications!$C:$J,6,FALSE))</f>
        <v/>
      </c>
      <c r="Y365" s="26" t="b">
        <f t="shared" si="151"/>
        <v>0</v>
      </c>
      <c r="Z365" s="34" t="e">
        <f>IF(Y365="","",IF(I$8="A",(RANK(Y365,Y$11:Y$368,1)+COUNTIF(Y$11:Y365,Y365)-1),(RANK(Y365,Y$11:Y$368)+COUNTIF(Y$11:Y365,Y365)-1)))</f>
        <v>#N/A</v>
      </c>
      <c r="AA365" s="188" t="str">
        <f>IF(L365="","",VLOOKUP($L365,classifications!C:I,7,FALSE))</f>
        <v/>
      </c>
      <c r="AB365" s="184" t="str">
        <f t="shared" si="152"/>
        <v/>
      </c>
      <c r="AC365" s="184" t="str">
        <f>IF(AB365="","",IF($I$8="A",(RANK(AB365,AB$11:AB$368)+COUNTIF(AB$11:AB365,AB365)-1),(RANK(AB365,AB$11:AB$368,1)+COUNTIF(AB$11:AB365,AB365)-1)))</f>
        <v/>
      </c>
      <c r="AD365" s="184"/>
      <c r="AE365" s="28" t="str">
        <f t="shared" si="153"/>
        <v/>
      </c>
      <c r="AG365" s="96"/>
      <c r="AH365" s="29"/>
      <c r="AI365" s="38" t="str">
        <f>IF(L365="","",VLOOKUP($L365,classifications!$C:$J,8,FALSE))</f>
        <v/>
      </c>
      <c r="AJ365" s="39" t="str">
        <f t="shared" si="154"/>
        <v/>
      </c>
      <c r="AK365" s="34" t="str">
        <f>IF(AJ365="","",IF(I$8="A",(RANK(AJ365,AJ$11:AJ$368,1)+COUNTIF(AJ$11:AJ365,AJ365)-1),(RANK(AJ365,AJ$11:AJ$368)+COUNTIF(AJ$11:AJ365,AJ365)-1)))</f>
        <v/>
      </c>
      <c r="AL365" s="29" t="str">
        <f t="shared" si="134"/>
        <v/>
      </c>
      <c r="AM365" s="8" t="str">
        <f t="shared" si="127"/>
        <v/>
      </c>
      <c r="AN365" s="8" t="str">
        <f t="shared" si="155"/>
        <v/>
      </c>
      <c r="AP365" s="38" t="str">
        <f>IF(L365="","",VLOOKUP($L365,classifications!$C:$E,3,FALSE))</f>
        <v/>
      </c>
      <c r="AQ365" s="39" t="str">
        <f t="shared" si="156"/>
        <v/>
      </c>
      <c r="AR365" s="34" t="str">
        <f>IF(AQ365="","",IF(I$8="A",(RANK(AQ365,AQ$11:AQ$368,1)+COUNTIF(AQ$11:AQ365,AQ365)-1),(RANK(AQ365,AQ$11:AQ$368)+COUNTIF(AQ$11:AQ365,AQ365)-1)))</f>
        <v/>
      </c>
      <c r="AS365" s="29" t="str">
        <f t="shared" si="137"/>
        <v/>
      </c>
      <c r="AT365" s="34" t="str">
        <f t="shared" si="128"/>
        <v/>
      </c>
      <c r="AU365" s="39" t="str">
        <f t="shared" si="157"/>
        <v/>
      </c>
      <c r="AX365" s="21">
        <f>HLOOKUP($AX$9&amp;$AX$10,Data!$A$1:$ZZ$2000,(MATCH($C365,Data!$A$1:$A$2000,0)),FALSE)</f>
        <v>16.24564935464095</v>
      </c>
      <c r="AY365" s="16"/>
      <c r="AZ365" s="111"/>
    </row>
    <row r="366" spans="1:735">
      <c r="A366" s="56" t="str">
        <f>$D$1&amp;356</f>
        <v>SC356</v>
      </c>
      <c r="B366" s="57">
        <f>IF(ISERROR(VLOOKUP(A366,classifications!A:C,3,FALSE)),0,VLOOKUP(A366,classifications!A:C,3,FALSE))</f>
        <v>0</v>
      </c>
      <c r="C366" s="8" t="s">
        <v>194</v>
      </c>
      <c r="D366" s="26" t="str">
        <f>VLOOKUP($C366,classifications!$C:$J,4,FALSE)</f>
        <v>SD</v>
      </c>
      <c r="E366" s="26">
        <f>VLOOKUP(C366,classifications!C:K,9,FALSE)</f>
        <v>0</v>
      </c>
      <c r="F366" s="36">
        <f t="shared" si="120"/>
        <v>14.426454636465577</v>
      </c>
      <c r="G366" s="71"/>
      <c r="H366" s="37" t="str">
        <f t="shared" si="121"/>
        <v/>
      </c>
      <c r="I366" s="77" t="str">
        <f>IF(H366="","",IF($I$8="A",(RANK(H366,H$11:H$368,1)+COUNTIF(H$11:H366,H366)-1),(RANK(H366,H$11:H$368)+COUNTIF(H$11:H366,H366)-1)))</f>
        <v/>
      </c>
      <c r="J366" s="35"/>
      <c r="K366" s="28" t="str">
        <f t="shared" si="129"/>
        <v/>
      </c>
      <c r="L366" s="36" t="str">
        <f t="shared" si="122"/>
        <v/>
      </c>
      <c r="M366" s="102" t="str">
        <f t="shared" si="143"/>
        <v/>
      </c>
      <c r="N366" s="101" t="str">
        <f t="shared" si="144"/>
        <v/>
      </c>
      <c r="O366" s="94" t="str">
        <f t="shared" si="145"/>
        <v/>
      </c>
      <c r="P366" s="94" t="str">
        <f t="shared" si="146"/>
        <v/>
      </c>
      <c r="Q366" s="94" t="str">
        <f t="shared" si="147"/>
        <v/>
      </c>
      <c r="R366" s="90" t="str">
        <f t="shared" si="148"/>
        <v/>
      </c>
      <c r="S366" s="37" t="str">
        <f t="shared" si="149"/>
        <v/>
      </c>
      <c r="T366" s="176" t="str">
        <f>IF(L366="","",VLOOKUP(L366,classifications!C:K,9,FALSE))</f>
        <v/>
      </c>
      <c r="U366" s="183" t="str">
        <f t="shared" si="150"/>
        <v/>
      </c>
      <c r="V366" s="184" t="str">
        <f>IF(U366="","",IF($I$8="A",(RANK(U366,U$11:U$368)+COUNTIF(U$11:U366,U366)-1),(RANK(U366,U$11:U$368,1)+COUNTIF(U$11:U366,U366)-1)))</f>
        <v/>
      </c>
      <c r="W366" s="185"/>
      <c r="X366" s="38" t="str">
        <f>IF(L366="","",VLOOKUP($L366,classifications!$C:$J,6,FALSE))</f>
        <v/>
      </c>
      <c r="Y366" s="26" t="b">
        <f t="shared" si="151"/>
        <v>0</v>
      </c>
      <c r="Z366" s="34" t="e">
        <f>IF(Y366="","",IF(I$8="A",(RANK(Y366,Y$11:Y$368,1)+COUNTIF(Y$11:Y366,Y366)-1),(RANK(Y366,Y$11:Y$368)+COUNTIF(Y$11:Y366,Y366)-1)))</f>
        <v>#N/A</v>
      </c>
      <c r="AA366" s="188" t="str">
        <f>IF(L366="","",VLOOKUP($L366,classifications!C:I,7,FALSE))</f>
        <v/>
      </c>
      <c r="AB366" s="184" t="str">
        <f t="shared" si="152"/>
        <v/>
      </c>
      <c r="AC366" s="184" t="str">
        <f>IF(AB366="","",IF($I$8="A",(RANK(AB366,AB$11:AB$368)+COUNTIF(AB$11:AB366,AB366)-1),(RANK(AB366,AB$11:AB$368,1)+COUNTIF(AB$11:AB366,AB366)-1)))</f>
        <v/>
      </c>
      <c r="AD366" s="184"/>
      <c r="AE366" s="28" t="str">
        <f t="shared" si="153"/>
        <v/>
      </c>
      <c r="AG366" s="96"/>
      <c r="AH366" s="29"/>
      <c r="AI366" s="38" t="str">
        <f>IF(L366="","",VLOOKUP($L366,classifications!$C:$J,8,FALSE))</f>
        <v/>
      </c>
      <c r="AJ366" s="39" t="str">
        <f t="shared" si="154"/>
        <v/>
      </c>
      <c r="AK366" s="34" t="str">
        <f>IF(AJ366="","",IF(I$8="A",(RANK(AJ366,AJ$11:AJ$368,1)+COUNTIF(AJ$11:AJ366,AJ366)-1),(RANK(AJ366,AJ$11:AJ$368)+COUNTIF(AJ$11:AJ366,AJ366)-1)))</f>
        <v/>
      </c>
      <c r="AL366" s="29" t="str">
        <f t="shared" si="134"/>
        <v/>
      </c>
      <c r="AM366" s="8" t="str">
        <f t="shared" si="127"/>
        <v/>
      </c>
      <c r="AN366" s="8" t="str">
        <f t="shared" si="155"/>
        <v/>
      </c>
      <c r="AP366" s="38" t="str">
        <f>IF(L366="","",VLOOKUP($L366,classifications!$C:$E,3,FALSE))</f>
        <v/>
      </c>
      <c r="AQ366" s="39" t="str">
        <f t="shared" si="156"/>
        <v/>
      </c>
      <c r="AR366" s="34" t="str">
        <f>IF(AQ366="","",IF(I$8="A",(RANK(AQ366,AQ$11:AQ$368,1)+COUNTIF(AQ$11:AQ366,AQ366)-1),(RANK(AQ366,AQ$11:AQ$368)+COUNTIF(AQ$11:AQ366,AQ366)-1)))</f>
        <v/>
      </c>
      <c r="AS366" s="29" t="str">
        <f t="shared" si="137"/>
        <v/>
      </c>
      <c r="AT366" s="34" t="str">
        <f t="shared" si="128"/>
        <v/>
      </c>
      <c r="AU366" s="39" t="str">
        <f t="shared" si="157"/>
        <v/>
      </c>
      <c r="AX366" s="21">
        <f>HLOOKUP($AX$9&amp;$AX$10,Data!$A$1:$ZZ$2000,(MATCH($C366,Data!$A$1:$A$2000,0)),FALSE)</f>
        <v>14.426454636465577</v>
      </c>
      <c r="AY366" s="16"/>
      <c r="AZ366" s="111"/>
    </row>
    <row r="367" spans="1:735">
      <c r="A367" s="56" t="str">
        <f>$D$1&amp;357</f>
        <v>SC357</v>
      </c>
      <c r="B367" s="57">
        <f>IF(ISERROR(VLOOKUP(A367,classifications!A:C,3,FALSE)),0,VLOOKUP(A367,classifications!A:C,3,FALSE))</f>
        <v>0</v>
      </c>
      <c r="C367" s="8" t="s">
        <v>195</v>
      </c>
      <c r="D367" s="26" t="str">
        <f>VLOOKUP($C367,classifications!$C:$J,4,FALSE)</f>
        <v>SD</v>
      </c>
      <c r="E367" s="26">
        <f>VLOOKUP(C367,classifications!C:K,9,FALSE)</f>
        <v>0</v>
      </c>
      <c r="F367" s="36">
        <f t="shared" si="120"/>
        <v>13.475618015263921</v>
      </c>
      <c r="G367" s="71"/>
      <c r="H367" s="37" t="str">
        <f t="shared" si="121"/>
        <v/>
      </c>
      <c r="I367" s="77" t="str">
        <f>IF(H367="","",IF($I$8="A",(RANK(H367,H$11:H$368,1)+COUNTIF(H$11:H367,H367)-1),(RANK(H367,H$11:H$368)+COUNTIF(H$11:H367,H367)-1)))</f>
        <v/>
      </c>
      <c r="J367" s="35"/>
      <c r="K367" s="28" t="str">
        <f t="shared" si="129"/>
        <v/>
      </c>
      <c r="L367" s="36" t="str">
        <f t="shared" si="122"/>
        <v/>
      </c>
      <c r="M367" s="102" t="str">
        <f t="shared" si="143"/>
        <v/>
      </c>
      <c r="N367" s="101" t="str">
        <f t="shared" si="144"/>
        <v/>
      </c>
      <c r="O367" s="94" t="str">
        <f t="shared" si="145"/>
        <v/>
      </c>
      <c r="P367" s="94" t="str">
        <f t="shared" si="146"/>
        <v/>
      </c>
      <c r="Q367" s="94" t="str">
        <f t="shared" si="147"/>
        <v/>
      </c>
      <c r="R367" s="90" t="str">
        <f t="shared" si="148"/>
        <v/>
      </c>
      <c r="S367" s="37" t="str">
        <f t="shared" si="149"/>
        <v/>
      </c>
      <c r="T367" s="176" t="str">
        <f>IF(L367="","",VLOOKUP(L367,classifications!C:K,9,FALSE))</f>
        <v/>
      </c>
      <c r="U367" s="183" t="str">
        <f t="shared" si="150"/>
        <v/>
      </c>
      <c r="V367" s="184" t="str">
        <f>IF(U367="","",IF($I$8="A",(RANK(U367,U$11:U$368)+COUNTIF(U$11:U367,U367)-1),(RANK(U367,U$11:U$368,1)+COUNTIF(U$11:U367,U367)-1)))</f>
        <v/>
      </c>
      <c r="W367" s="185"/>
      <c r="X367" s="38" t="str">
        <f>IF(L367="","",VLOOKUP($L367,classifications!$C:$J,6,FALSE))</f>
        <v/>
      </c>
      <c r="Y367" s="26" t="b">
        <f t="shared" si="151"/>
        <v>0</v>
      </c>
      <c r="Z367" s="34" t="e">
        <f>IF(Y367="","",IF(I$8="A",(RANK(Y367,Y$11:Y$368,1)+COUNTIF(Y$11:Y367,Y367)-1),(RANK(Y367,Y$11:Y$368)+COUNTIF(Y$11:Y367,Y367)-1)))</f>
        <v>#N/A</v>
      </c>
      <c r="AA367" s="188" t="str">
        <f>IF(L367="","",VLOOKUP($L367,classifications!C:I,7,FALSE))</f>
        <v/>
      </c>
      <c r="AB367" s="184" t="str">
        <f t="shared" si="152"/>
        <v/>
      </c>
      <c r="AC367" s="184" t="str">
        <f>IF(AB367="","",IF($I$8="A",(RANK(AB367,AB$11:AB$368)+COUNTIF(AB$11:AB367,AB367)-1),(RANK(AB367,AB$11:AB$368,1)+COUNTIF(AB$11:AB367,AB367)-1)))</f>
        <v/>
      </c>
      <c r="AD367" s="184"/>
      <c r="AE367" s="28" t="str">
        <f t="shared" si="153"/>
        <v/>
      </c>
      <c r="AG367" s="96"/>
      <c r="AH367" s="29"/>
      <c r="AI367" s="38" t="str">
        <f>IF(L367="","",VLOOKUP($L367,classifications!$C:$J,8,FALSE))</f>
        <v/>
      </c>
      <c r="AJ367" s="39" t="str">
        <f t="shared" si="154"/>
        <v/>
      </c>
      <c r="AK367" s="34" t="str">
        <f>IF(AJ367="","",IF(I$8="A",(RANK(AJ367,AJ$11:AJ$368,1)+COUNTIF(AJ$11:AJ367,AJ367)-1),(RANK(AJ367,AJ$11:AJ$368)+COUNTIF(AJ$11:AJ367,AJ367)-1)))</f>
        <v/>
      </c>
      <c r="AL367" s="29" t="str">
        <f t="shared" si="134"/>
        <v/>
      </c>
      <c r="AM367" s="8" t="str">
        <f t="shared" si="127"/>
        <v/>
      </c>
      <c r="AN367" s="8" t="str">
        <f t="shared" si="155"/>
        <v/>
      </c>
      <c r="AP367" s="38" t="str">
        <f>IF(L367="","",VLOOKUP($L367,classifications!$C:$E,3,FALSE))</f>
        <v/>
      </c>
      <c r="AQ367" s="39" t="str">
        <f t="shared" si="156"/>
        <v/>
      </c>
      <c r="AR367" s="34" t="str">
        <f>IF(AQ367="","",IF(I$8="A",(RANK(AQ367,AQ$11:AQ$368,1)+COUNTIF(AQ$11:AQ367,AQ367)-1),(RANK(AQ367,AQ$11:AQ$368)+COUNTIF(AQ$11:AQ367,AQ367)-1)))</f>
        <v/>
      </c>
      <c r="AS367" s="29" t="str">
        <f t="shared" si="137"/>
        <v/>
      </c>
      <c r="AT367" s="34" t="str">
        <f t="shared" si="128"/>
        <v/>
      </c>
      <c r="AU367" s="39" t="str">
        <f t="shared" si="157"/>
        <v/>
      </c>
      <c r="AX367" s="21">
        <f>HLOOKUP($AX$9&amp;$AX$10,Data!$A$1:$ZZ$2000,(MATCH($C367,Data!$A$1:$A$2000,0)),FALSE)</f>
        <v>13.475618015263921</v>
      </c>
    </row>
    <row r="368" spans="1:735">
      <c r="A368" s="56" t="str">
        <f>$D$1&amp;358</f>
        <v>SC358</v>
      </c>
      <c r="B368" s="57">
        <f>IF(ISERROR(VLOOKUP(A368,classifications!A:C,3,FALSE)),0,VLOOKUP(A368,classifications!A:C,3,FALSE))</f>
        <v>0</v>
      </c>
      <c r="C368" s="8" t="s">
        <v>299</v>
      </c>
      <c r="D368" s="26" t="str">
        <f>VLOOKUP($C368,classifications!$C:$J,4,FALSE)</f>
        <v>UA</v>
      </c>
      <c r="E368" s="26">
        <f>VLOOKUP(C368,classifications!C:K,9,FALSE)</f>
        <v>0</v>
      </c>
      <c r="F368" s="36">
        <f t="shared" si="120"/>
        <v>30.996393008873675</v>
      </c>
      <c r="G368" s="71"/>
      <c r="H368" s="37" t="str">
        <f t="shared" si="121"/>
        <v/>
      </c>
      <c r="I368" s="77" t="str">
        <f>IF(H368="","",IF($I$8="A",(RANK(H368,H$11:H$368,1)+COUNTIF(H$11:H368,H368)-1),(RANK(H368,H$11:H$368)+COUNTIF(H$11:H368,H368)-1)))</f>
        <v/>
      </c>
      <c r="J368" s="35"/>
      <c r="K368" s="28" t="str">
        <f t="shared" si="129"/>
        <v/>
      </c>
      <c r="L368" s="36" t="str">
        <f t="shared" si="122"/>
        <v/>
      </c>
      <c r="M368" s="102" t="str">
        <f t="shared" si="143"/>
        <v/>
      </c>
      <c r="N368" s="101" t="str">
        <f t="shared" si="144"/>
        <v/>
      </c>
      <c r="O368" s="94" t="str">
        <f t="shared" si="145"/>
        <v/>
      </c>
      <c r="P368" s="94" t="str">
        <f t="shared" si="146"/>
        <v/>
      </c>
      <c r="Q368" s="94" t="str">
        <f t="shared" si="147"/>
        <v/>
      </c>
      <c r="R368" s="90" t="str">
        <f t="shared" si="148"/>
        <v/>
      </c>
      <c r="S368" s="37" t="str">
        <f t="shared" si="149"/>
        <v/>
      </c>
      <c r="T368" s="176" t="str">
        <f>IF(L368="","",VLOOKUP(L368,classifications!C:K,9,FALSE))</f>
        <v/>
      </c>
      <c r="U368" s="183" t="str">
        <f t="shared" si="150"/>
        <v/>
      </c>
      <c r="V368" s="184" t="str">
        <f>IF(U368="","",IF($I$8="A",(RANK(U368,U$11:U$368)+COUNTIF(U$11:U368,U368)-1),(RANK(U368,U$11:U$368,1)+COUNTIF(U$11:U368,U368)-1)))</f>
        <v/>
      </c>
      <c r="W368" s="185"/>
      <c r="X368" s="38" t="str">
        <f>IF(L368="","",VLOOKUP($L368,classifications!$C:$J,6,FALSE))</f>
        <v/>
      </c>
      <c r="Y368" s="26" t="b">
        <f t="shared" si="151"/>
        <v>0</v>
      </c>
      <c r="Z368" s="34" t="e">
        <f>IF(Y368="","",IF(I$8="A",(RANK(Y368,Y$11:Y$368,1)+COUNTIF(Y$11:Y368,Y368)-1),(RANK(Y368,Y$11:Y$368)+COUNTIF(Y$11:Y368,Y368)-1)))</f>
        <v>#N/A</v>
      </c>
      <c r="AA368" s="188" t="str">
        <f>IF(L368="","",VLOOKUP($L368,classifications!C:I,7,FALSE))</f>
        <v/>
      </c>
      <c r="AB368" s="184" t="str">
        <f t="shared" si="152"/>
        <v/>
      </c>
      <c r="AC368" s="184" t="str">
        <f>IF(AB368="","",IF($I$8="A",(RANK(AB368,AB$11:AB$368)+COUNTIF(AB$11:AB368,AB368)-1),(RANK(AB368,AB$11:AB$368,1)+COUNTIF(AB$11:AB368,AB368)-1)))</f>
        <v/>
      </c>
      <c r="AD368" s="184"/>
      <c r="AE368" s="28" t="str">
        <f t="shared" si="153"/>
        <v/>
      </c>
      <c r="AG368" s="96"/>
      <c r="AH368" s="29"/>
      <c r="AI368" s="38" t="str">
        <f>IF(L368="","",VLOOKUP($L368,classifications!$C:$J,8,FALSE))</f>
        <v/>
      </c>
      <c r="AJ368" s="39" t="str">
        <f t="shared" si="154"/>
        <v/>
      </c>
      <c r="AK368" s="34" t="str">
        <f>IF(AJ368="","",IF(I$8="A",(RANK(AJ368,AJ$11:AJ$368,1)+COUNTIF(AJ$11:AJ368,AJ368)-1),(RANK(AJ368,AJ$11:AJ$368)+COUNTIF(AJ$11:AJ368,AJ368)-1)))</f>
        <v/>
      </c>
      <c r="AL368" s="29" t="str">
        <f t="shared" si="134"/>
        <v/>
      </c>
      <c r="AM368" s="8" t="str">
        <f t="shared" si="127"/>
        <v/>
      </c>
      <c r="AN368" s="8" t="str">
        <f t="shared" si="155"/>
        <v/>
      </c>
      <c r="AP368" s="38" t="str">
        <f>IF(L368="","",VLOOKUP($L368,classifications!$C:$E,3,FALSE))</f>
        <v/>
      </c>
      <c r="AQ368" s="39" t="str">
        <f t="shared" si="156"/>
        <v/>
      </c>
      <c r="AR368" s="34" t="str">
        <f>IF(AQ368="","",IF(I$8="A",(RANK(AQ368,AQ$11:AQ$368,1)+COUNTIF(AQ$11:AQ368,AQ368)-1),(RANK(AQ368,AQ$11:AQ$368)+COUNTIF(AQ$11:AQ368,AQ368)-1)))</f>
        <v/>
      </c>
      <c r="AS368" s="29" t="str">
        <f t="shared" si="137"/>
        <v/>
      </c>
      <c r="AT368" s="34" t="str">
        <f t="shared" si="128"/>
        <v/>
      </c>
      <c r="AU368" s="39" t="str">
        <f t="shared" si="157"/>
        <v/>
      </c>
      <c r="AX368" s="21">
        <f>HLOOKUP($AX$9&amp;$AX$10,Data!$A$1:$ZZ$2000,(MATCH($C368,Data!$A$1:$A$2000,0)),FALSE)</f>
        <v>30.996393008873675</v>
      </c>
    </row>
  </sheetData>
  <autoFilter ref="A10:J363" xr:uid="{00000000-0009-0000-0000-000001000000}"/>
  <sortState xmlns:xlrd2="http://schemas.microsoft.com/office/spreadsheetml/2017/richdata2" ref="C3:L355">
    <sortCondition ref="C3:C355"/>
  </sortState>
  <mergeCells count="3">
    <mergeCell ref="X2:Z2"/>
    <mergeCell ref="T1:W2"/>
    <mergeCell ref="AA1:AD2"/>
  </mergeCells>
  <conditionalFormatting sqref="S11:S368">
    <cfRule type="expression" dxfId="0" priority="112">
      <formula>IF($D$8="%",TRUE,FALSE)</formula>
    </cfRule>
  </conditionalFormatting>
  <dataValidations count="1">
    <dataValidation type="list" allowBlank="1" showInputMessage="1" showErrorMessage="1" sqref="D1" xr:uid="{00000000-0002-0000-0100-000000000000}">
      <formula1>$L$1:$L$6</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6" tint="0.39997558519241921"/>
  </sheetPr>
  <dimension ref="A1:H500"/>
  <sheetViews>
    <sheetView workbookViewId="0">
      <selection activeCell="F11" sqref="F11"/>
    </sheetView>
  </sheetViews>
  <sheetFormatPr defaultRowHeight="13.2" zeroHeight="1"/>
  <cols>
    <col min="1" max="1" width="42.44140625" customWidth="1"/>
    <col min="2" max="2" width="15.44140625" customWidth="1"/>
    <col min="3" max="3" width="13.33203125" customWidth="1"/>
    <col min="4" max="4" width="8.5546875" customWidth="1"/>
    <col min="5" max="5" width="7.88671875" customWidth="1"/>
    <col min="6" max="6" width="28.5546875" customWidth="1"/>
  </cols>
  <sheetData>
    <row r="1" spans="1:8">
      <c r="A1" s="63" t="s">
        <v>806</v>
      </c>
      <c r="B1" s="63" t="s">
        <v>800</v>
      </c>
      <c r="C1" s="63" t="s">
        <v>793</v>
      </c>
      <c r="D1" s="63" t="s">
        <v>798</v>
      </c>
      <c r="F1" s="63" t="s">
        <v>807</v>
      </c>
    </row>
    <row r="2" spans="1:8" ht="28.8">
      <c r="A2" s="217" t="s">
        <v>888</v>
      </c>
      <c r="B2" t="s">
        <v>821</v>
      </c>
      <c r="C2" t="s">
        <v>821</v>
      </c>
      <c r="D2" t="s">
        <v>885</v>
      </c>
      <c r="F2" s="1" t="s">
        <v>890</v>
      </c>
      <c r="G2" s="1"/>
      <c r="H2" s="1"/>
    </row>
    <row r="3" spans="1:8" ht="14.4">
      <c r="A3" s="217"/>
      <c r="F3" t="s">
        <v>891</v>
      </c>
      <c r="G3" s="1"/>
    </row>
    <row r="4" spans="1:8" ht="14.4">
      <c r="A4" s="217"/>
      <c r="F4" s="1" t="s">
        <v>886</v>
      </c>
      <c r="G4" s="1"/>
    </row>
    <row r="5" spans="1:8" ht="14.4">
      <c r="A5" s="217"/>
      <c r="E5" s="1"/>
      <c r="F5" s="1" t="s">
        <v>898</v>
      </c>
    </row>
    <row r="6" spans="1:8" ht="14.4">
      <c r="A6" s="217"/>
      <c r="E6" s="1"/>
      <c r="F6" s="1" t="s">
        <v>899</v>
      </c>
    </row>
    <row r="7" spans="1:8" ht="14.4">
      <c r="A7" s="217"/>
      <c r="E7" s="1"/>
      <c r="F7" s="26" t="s">
        <v>900</v>
      </c>
    </row>
    <row r="8" spans="1:8" ht="14.4">
      <c r="A8" s="217"/>
      <c r="F8" s="26" t="s">
        <v>902</v>
      </c>
    </row>
    <row r="9" spans="1:8" ht="14.4">
      <c r="A9" s="217"/>
      <c r="F9" s="26" t="s">
        <v>904</v>
      </c>
    </row>
    <row r="10" spans="1:8">
      <c r="A10" s="218"/>
      <c r="F10" s="26" t="s">
        <v>905</v>
      </c>
    </row>
    <row r="11" spans="1:8">
      <c r="A11" s="218"/>
    </row>
    <row r="12" spans="1:8">
      <c r="A12" s="218"/>
    </row>
    <row r="13" spans="1:8"/>
    <row r="14" spans="1:8"/>
    <row r="15" spans="1:8"/>
    <row r="16" spans="1:8"/>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sheetData>
  <phoneticPr fontId="13" type="noConversion"/>
  <dataValidations count="2">
    <dataValidation type="list" allowBlank="1" showInputMessage="1" showErrorMessage="1" sqref="B2:C500" xr:uid="{00000000-0002-0000-0200-000000000000}">
      <formula1>"%,."</formula1>
    </dataValidation>
    <dataValidation type="list" allowBlank="1" showInputMessage="1" showErrorMessage="1" sqref="D2:D500" xr:uid="{00000000-0002-0000-0200-000001000000}">
      <formula1>"A,D"</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GN2021"/>
  <sheetViews>
    <sheetView showGridLines="0" topLeftCell="A354" workbookViewId="0">
      <selection activeCell="C7" sqref="C7:K364"/>
    </sheetView>
  </sheetViews>
  <sheetFormatPr defaultColWidth="0" defaultRowHeight="13.2" zeroHeight="1"/>
  <cols>
    <col min="1" max="1" width="50.109375" style="104" bestFit="1" customWidth="1"/>
    <col min="2" max="2" width="20.109375" style="104" customWidth="1"/>
    <col min="3" max="6" width="17.33203125" style="104" customWidth="1"/>
    <col min="7" max="11" width="26.88671875" style="104" customWidth="1"/>
    <col min="12" max="77" width="9.109375" style="104" customWidth="1"/>
    <col min="78" max="16384" width="9.109375" style="104" hidden="1"/>
  </cols>
  <sheetData>
    <row r="1" spans="1:77" s="133" customFormat="1" ht="14.25" customHeight="1">
      <c r="A1" s="143" t="s">
        <v>803</v>
      </c>
      <c r="C1" s="169" t="str">
        <f>C4&amp;C5</f>
        <v>Proportion of residents who do any cycling, at least once per month2010/11</v>
      </c>
      <c r="D1" s="133" t="str">
        <f t="shared" ref="D1:BO1" si="0">D4&amp;D5</f>
        <v>Proportion of residents who do any cycling, at least once per month2011/12</v>
      </c>
      <c r="E1" s="133" t="str">
        <f t="shared" si="0"/>
        <v>Proportion of residents who do any cycling, at least once per month2012/13</v>
      </c>
      <c r="F1" s="133" t="str">
        <f t="shared" si="0"/>
        <v>Proportion of residents who do any cycling, at least once per month2013/14</v>
      </c>
      <c r="G1" s="133" t="str">
        <f t="shared" si="0"/>
        <v>Proportion of residents who do any cycling, at least once per month2014/15</v>
      </c>
      <c r="H1" s="133" t="str">
        <f t="shared" si="0"/>
        <v>Proportion of residents who do any cycling, at least once per month2015/16</v>
      </c>
      <c r="I1" s="133" t="str">
        <f t="shared" si="0"/>
        <v>Proportion of residents who do any cycling, at least once per month2016/17</v>
      </c>
      <c r="J1" s="133" t="str">
        <f t="shared" si="0"/>
        <v>Proportion of residents who do any cycling, at least once per month2017/18</v>
      </c>
      <c r="K1" s="133" t="str">
        <f t="shared" si="0"/>
        <v>Proportion of residents who do any cycling, at least once per month2018/19</v>
      </c>
      <c r="L1" s="133" t="str">
        <f t="shared" si="0"/>
        <v/>
      </c>
      <c r="M1" s="133" t="str">
        <f t="shared" si="0"/>
        <v/>
      </c>
      <c r="N1" s="133" t="str">
        <f t="shared" si="0"/>
        <v/>
      </c>
      <c r="O1" s="133" t="str">
        <f t="shared" si="0"/>
        <v/>
      </c>
      <c r="P1" s="133" t="str">
        <f t="shared" si="0"/>
        <v/>
      </c>
      <c r="Q1" s="133" t="str">
        <f t="shared" si="0"/>
        <v/>
      </c>
      <c r="R1" s="133" t="str">
        <f t="shared" si="0"/>
        <v/>
      </c>
      <c r="S1" s="133" t="str">
        <f t="shared" si="0"/>
        <v/>
      </c>
      <c r="T1" s="133" t="str">
        <f t="shared" si="0"/>
        <v/>
      </c>
      <c r="U1" s="133" t="str">
        <f t="shared" si="0"/>
        <v/>
      </c>
      <c r="V1" s="133" t="str">
        <f t="shared" si="0"/>
        <v/>
      </c>
      <c r="W1" s="133" t="str">
        <f t="shared" si="0"/>
        <v/>
      </c>
      <c r="X1" s="133" t="str">
        <f t="shared" si="0"/>
        <v/>
      </c>
      <c r="Y1" s="133" t="str">
        <f t="shared" si="0"/>
        <v/>
      </c>
      <c r="Z1" s="133" t="str">
        <f t="shared" si="0"/>
        <v/>
      </c>
      <c r="AA1" s="133" t="str">
        <f t="shared" si="0"/>
        <v/>
      </c>
      <c r="AB1" s="133" t="str">
        <f t="shared" si="0"/>
        <v/>
      </c>
      <c r="AC1" s="133" t="str">
        <f t="shared" si="0"/>
        <v/>
      </c>
      <c r="AD1" s="133" t="str">
        <f t="shared" si="0"/>
        <v/>
      </c>
      <c r="AE1" s="133" t="str">
        <f t="shared" si="0"/>
        <v/>
      </c>
      <c r="AF1" s="133" t="str">
        <f t="shared" si="0"/>
        <v/>
      </c>
      <c r="AG1" s="133" t="str">
        <f t="shared" si="0"/>
        <v/>
      </c>
      <c r="AH1" s="133" t="str">
        <f t="shared" si="0"/>
        <v/>
      </c>
      <c r="AI1" s="133" t="str">
        <f t="shared" si="0"/>
        <v/>
      </c>
      <c r="AJ1" s="133" t="str">
        <f t="shared" si="0"/>
        <v/>
      </c>
      <c r="AK1" s="133" t="str">
        <f t="shared" si="0"/>
        <v/>
      </c>
      <c r="AL1" s="133" t="str">
        <f t="shared" si="0"/>
        <v/>
      </c>
      <c r="AM1" s="133" t="str">
        <f t="shared" si="0"/>
        <v/>
      </c>
      <c r="AN1" s="133" t="str">
        <f t="shared" si="0"/>
        <v/>
      </c>
      <c r="AO1" s="133" t="str">
        <f t="shared" si="0"/>
        <v/>
      </c>
      <c r="AP1" s="133" t="str">
        <f t="shared" si="0"/>
        <v/>
      </c>
      <c r="AQ1" s="133" t="str">
        <f t="shared" si="0"/>
        <v/>
      </c>
      <c r="AR1" s="133" t="str">
        <f t="shared" si="0"/>
        <v/>
      </c>
      <c r="AS1" s="133" t="str">
        <f t="shared" si="0"/>
        <v/>
      </c>
      <c r="AT1" s="133" t="str">
        <f t="shared" si="0"/>
        <v/>
      </c>
      <c r="AU1" s="133" t="str">
        <f t="shared" si="0"/>
        <v/>
      </c>
      <c r="AV1" s="133" t="str">
        <f t="shared" si="0"/>
        <v/>
      </c>
      <c r="AW1" s="133" t="str">
        <f t="shared" si="0"/>
        <v/>
      </c>
      <c r="AX1" s="133" t="str">
        <f t="shared" si="0"/>
        <v/>
      </c>
      <c r="AY1" s="133" t="str">
        <f t="shared" si="0"/>
        <v/>
      </c>
      <c r="AZ1" s="133" t="str">
        <f t="shared" si="0"/>
        <v/>
      </c>
      <c r="BA1" s="133" t="str">
        <f t="shared" si="0"/>
        <v/>
      </c>
      <c r="BB1" s="133" t="str">
        <f t="shared" si="0"/>
        <v/>
      </c>
      <c r="BC1" s="133" t="str">
        <f t="shared" si="0"/>
        <v/>
      </c>
      <c r="BD1" s="133" t="str">
        <f t="shared" si="0"/>
        <v/>
      </c>
      <c r="BE1" s="133" t="str">
        <f t="shared" si="0"/>
        <v/>
      </c>
      <c r="BF1" s="133" t="str">
        <f t="shared" si="0"/>
        <v/>
      </c>
      <c r="BG1" s="133" t="str">
        <f t="shared" si="0"/>
        <v/>
      </c>
      <c r="BH1" s="133" t="str">
        <f t="shared" si="0"/>
        <v/>
      </c>
      <c r="BI1" s="133" t="str">
        <f t="shared" si="0"/>
        <v/>
      </c>
      <c r="BJ1" s="133" t="str">
        <f t="shared" si="0"/>
        <v/>
      </c>
      <c r="BK1" s="133" t="str">
        <f t="shared" si="0"/>
        <v/>
      </c>
      <c r="BL1" s="133" t="str">
        <f t="shared" si="0"/>
        <v/>
      </c>
      <c r="BM1" s="133" t="str">
        <f t="shared" si="0"/>
        <v/>
      </c>
      <c r="BN1" s="133" t="str">
        <f t="shared" si="0"/>
        <v/>
      </c>
      <c r="BO1" s="133" t="str">
        <f t="shared" si="0"/>
        <v/>
      </c>
      <c r="BP1" s="133" t="str">
        <f t="shared" ref="BP1:BY1" si="1">BP4&amp;BP5</f>
        <v/>
      </c>
      <c r="BQ1" s="133" t="str">
        <f t="shared" si="1"/>
        <v/>
      </c>
      <c r="BR1" s="133" t="str">
        <f t="shared" si="1"/>
        <v/>
      </c>
      <c r="BS1" s="133" t="str">
        <f t="shared" si="1"/>
        <v/>
      </c>
      <c r="BT1" s="133" t="str">
        <f t="shared" si="1"/>
        <v/>
      </c>
      <c r="BU1" s="133" t="str">
        <f t="shared" si="1"/>
        <v/>
      </c>
      <c r="BV1" s="133" t="str">
        <f t="shared" si="1"/>
        <v/>
      </c>
      <c r="BW1" s="133" t="str">
        <f t="shared" si="1"/>
        <v/>
      </c>
      <c r="BX1" s="133" t="str">
        <f t="shared" si="1"/>
        <v/>
      </c>
      <c r="BY1" s="133" t="str">
        <f t="shared" si="1"/>
        <v/>
      </c>
    </row>
    <row r="2" spans="1:77" s="133" customFormat="1">
      <c r="A2" s="139" t="s">
        <v>819</v>
      </c>
      <c r="B2" s="134"/>
      <c r="C2" s="134"/>
      <c r="D2" s="134"/>
      <c r="E2" s="134"/>
      <c r="F2" s="134"/>
    </row>
    <row r="3" spans="1:77" ht="14.7" customHeight="1">
      <c r="A3" s="138" t="s">
        <v>801</v>
      </c>
      <c r="B3" s="270" t="s">
        <v>889</v>
      </c>
      <c r="D3" s="137"/>
      <c r="E3" s="137"/>
      <c r="L3" s="126"/>
      <c r="M3" s="109"/>
      <c r="N3" s="126"/>
      <c r="O3" s="140"/>
      <c r="P3" s="140"/>
      <c r="Q3" s="140"/>
      <c r="R3" s="109"/>
      <c r="S3" s="109"/>
      <c r="T3" s="109"/>
      <c r="U3" s="140"/>
      <c r="V3" s="356"/>
      <c r="W3" s="356"/>
      <c r="X3" s="126"/>
      <c r="Y3" s="126"/>
    </row>
    <row r="4" spans="1:77" ht="60" customHeight="1">
      <c r="A4" s="354" t="s">
        <v>820</v>
      </c>
      <c r="B4" s="135" t="s">
        <v>802</v>
      </c>
      <c r="C4" s="217" t="s">
        <v>888</v>
      </c>
      <c r="D4" s="217" t="s">
        <v>888</v>
      </c>
      <c r="E4" s="217" t="s">
        <v>888</v>
      </c>
      <c r="F4" s="217" t="s">
        <v>888</v>
      </c>
      <c r="G4" s="218" t="s">
        <v>888</v>
      </c>
      <c r="H4" s="218" t="s">
        <v>888</v>
      </c>
      <c r="I4" s="218" t="s">
        <v>888</v>
      </c>
      <c r="J4" s="218" t="s">
        <v>888</v>
      </c>
      <c r="K4" s="218" t="s">
        <v>888</v>
      </c>
      <c r="L4" s="218"/>
      <c r="M4" s="218"/>
      <c r="N4" s="218"/>
      <c r="O4" s="218"/>
      <c r="P4" s="128"/>
      <c r="Q4" s="128"/>
      <c r="R4" s="130"/>
      <c r="S4" s="130"/>
      <c r="T4" s="130"/>
      <c r="U4" s="128"/>
      <c r="V4" s="357"/>
      <c r="W4" s="357"/>
      <c r="X4" s="126"/>
      <c r="Y4" s="126"/>
    </row>
    <row r="5" spans="1:77" ht="30" customHeight="1">
      <c r="A5" s="355"/>
      <c r="B5" s="136" t="s">
        <v>365</v>
      </c>
      <c r="C5" s="217" t="s">
        <v>890</v>
      </c>
      <c r="D5" s="217" t="s">
        <v>891</v>
      </c>
      <c r="E5" s="217" t="s">
        <v>886</v>
      </c>
      <c r="F5" s="217" t="s">
        <v>898</v>
      </c>
      <c r="G5" s="217" t="s">
        <v>899</v>
      </c>
      <c r="H5" s="272" t="s">
        <v>900</v>
      </c>
      <c r="I5" s="273" t="s">
        <v>902</v>
      </c>
      <c r="J5" s="280" t="s">
        <v>904</v>
      </c>
      <c r="K5" s="281" t="s">
        <v>905</v>
      </c>
      <c r="L5" s="217"/>
      <c r="M5" s="217"/>
      <c r="N5" s="217"/>
      <c r="O5" s="217"/>
      <c r="P5" s="129"/>
      <c r="Q5" s="129"/>
      <c r="R5" s="112"/>
      <c r="S5" s="112"/>
      <c r="T5" s="112"/>
      <c r="U5" s="129"/>
      <c r="V5" s="358"/>
      <c r="W5" s="358"/>
      <c r="X5" s="126"/>
      <c r="Y5" s="126"/>
    </row>
    <row r="6" spans="1:77" ht="14.7" customHeight="1">
      <c r="A6" s="355"/>
      <c r="B6" s="136" t="s">
        <v>366</v>
      </c>
      <c r="C6" s="162" t="s">
        <v>887</v>
      </c>
      <c r="D6" s="162" t="s">
        <v>887</v>
      </c>
      <c r="E6" s="162" t="s">
        <v>887</v>
      </c>
      <c r="F6" s="162" t="s">
        <v>887</v>
      </c>
      <c r="G6" s="162" t="s">
        <v>887</v>
      </c>
      <c r="H6" s="162" t="s">
        <v>887</v>
      </c>
      <c r="I6" s="162" t="s">
        <v>887</v>
      </c>
      <c r="J6" s="162" t="s">
        <v>887</v>
      </c>
      <c r="K6" s="162" t="s">
        <v>887</v>
      </c>
      <c r="L6" s="162"/>
      <c r="M6" s="162"/>
      <c r="N6" s="162"/>
      <c r="O6" s="162"/>
      <c r="P6" s="129"/>
      <c r="Q6" s="129"/>
      <c r="R6" s="112"/>
      <c r="S6" s="112"/>
      <c r="T6" s="112"/>
      <c r="U6" s="128"/>
      <c r="V6" s="357"/>
      <c r="W6" s="357"/>
      <c r="X6" s="126"/>
      <c r="Y6" s="126"/>
    </row>
    <row r="7" spans="1:77" ht="14.7" customHeight="1">
      <c r="A7" s="131" t="s">
        <v>4</v>
      </c>
      <c r="B7" s="131"/>
      <c r="C7">
        <v>16.804831437857715</v>
      </c>
      <c r="D7">
        <v>18.303786254656362</v>
      </c>
      <c r="E7">
        <v>20.320285464876001</v>
      </c>
      <c r="F7">
        <v>19.257756000845074</v>
      </c>
      <c r="G7">
        <v>16.824641671390395</v>
      </c>
      <c r="H7">
        <v>20.758394480140023</v>
      </c>
      <c r="I7" s="147">
        <v>19.819300000000002</v>
      </c>
      <c r="J7" s="112">
        <v>19.080400000000001</v>
      </c>
      <c r="K7" s="112">
        <v>23.116266695615074</v>
      </c>
      <c r="L7" s="126"/>
      <c r="M7" s="112"/>
      <c r="N7" s="126"/>
      <c r="O7" s="147"/>
      <c r="P7" s="147"/>
      <c r="Q7" s="147"/>
      <c r="R7" s="112"/>
      <c r="S7" s="112"/>
      <c r="T7" s="112"/>
      <c r="U7" s="146"/>
      <c r="V7" s="113"/>
      <c r="W7" s="113"/>
      <c r="X7" s="126"/>
      <c r="Y7" s="126"/>
    </row>
    <row r="8" spans="1:77" ht="14.7" customHeight="1">
      <c r="A8" s="131" t="s">
        <v>6</v>
      </c>
      <c r="B8" s="131"/>
      <c r="C8">
        <v>11.533796194136956</v>
      </c>
      <c r="D8">
        <v>11.690898621022512</v>
      </c>
      <c r="E8">
        <v>13.342203831411679</v>
      </c>
      <c r="F8">
        <v>14.225473391114008</v>
      </c>
      <c r="G8">
        <v>13.976978160040524</v>
      </c>
      <c r="H8">
        <v>16.197177529562705</v>
      </c>
      <c r="I8" s="147">
        <v>16.478300000000001</v>
      </c>
      <c r="J8" s="112">
        <v>12.537100000000001</v>
      </c>
      <c r="K8" s="112">
        <v>14.883829464061252</v>
      </c>
      <c r="L8" s="126"/>
      <c r="M8" s="112"/>
      <c r="N8" s="126"/>
      <c r="O8" s="147"/>
      <c r="P8" s="147"/>
      <c r="Q8" s="147"/>
      <c r="R8" s="112"/>
      <c r="S8" s="112"/>
      <c r="T8" s="112"/>
      <c r="U8" s="146"/>
      <c r="V8" s="113"/>
      <c r="W8" s="113"/>
      <c r="X8" s="126"/>
      <c r="Y8" s="126"/>
    </row>
    <row r="9" spans="1:77" ht="14.7" customHeight="1">
      <c r="A9" s="131" t="s">
        <v>7</v>
      </c>
      <c r="B9" s="131"/>
      <c r="C9">
        <v>13.004523529526077</v>
      </c>
      <c r="D9">
        <v>9.2763684558739694</v>
      </c>
      <c r="E9">
        <v>9.2051397681810538</v>
      </c>
      <c r="F9">
        <v>12.851254380711904</v>
      </c>
      <c r="G9">
        <v>13.487546734327699</v>
      </c>
      <c r="H9">
        <v>13.744387284885207</v>
      </c>
      <c r="I9" s="147">
        <v>11.4734</v>
      </c>
      <c r="J9" s="112">
        <v>15.7822</v>
      </c>
      <c r="K9" s="112">
        <v>14.7481108972597</v>
      </c>
      <c r="L9" s="126"/>
      <c r="M9" s="112"/>
      <c r="N9" s="126"/>
      <c r="O9" s="147"/>
      <c r="P9" s="147"/>
      <c r="Q9" s="147"/>
      <c r="R9" s="112"/>
      <c r="S9" s="112"/>
      <c r="T9" s="112"/>
      <c r="U9" s="146"/>
      <c r="V9" s="113"/>
      <c r="W9" s="113"/>
      <c r="X9" s="126"/>
      <c r="Y9" s="126"/>
    </row>
    <row r="10" spans="1:77" ht="14.7" customHeight="1">
      <c r="A10" s="131" t="s">
        <v>8</v>
      </c>
      <c r="B10" s="131"/>
      <c r="C10">
        <v>19.755001998722818</v>
      </c>
      <c r="D10">
        <v>25.905049084884883</v>
      </c>
      <c r="E10">
        <v>14.77945070015341</v>
      </c>
      <c r="F10">
        <v>18.035740771176485</v>
      </c>
      <c r="G10">
        <v>19.901172590481281</v>
      </c>
      <c r="H10">
        <v>19.525846455869829</v>
      </c>
      <c r="I10" s="147">
        <v>24.415200000000002</v>
      </c>
      <c r="J10" s="112">
        <v>22.8096</v>
      </c>
      <c r="K10" s="112">
        <v>20.42654230698858</v>
      </c>
      <c r="L10" s="126"/>
      <c r="M10" s="112"/>
      <c r="N10" s="126"/>
      <c r="O10" s="147"/>
      <c r="P10" s="147"/>
      <c r="Q10" s="147"/>
      <c r="R10" s="112"/>
      <c r="S10" s="112"/>
      <c r="T10" s="112"/>
      <c r="U10" s="146"/>
      <c r="V10" s="113"/>
      <c r="W10" s="113"/>
      <c r="X10" s="126"/>
      <c r="Y10" s="126"/>
    </row>
    <row r="11" spans="1:77" ht="14.7" customHeight="1">
      <c r="A11" s="131" t="s">
        <v>9</v>
      </c>
      <c r="B11" s="131"/>
      <c r="C11">
        <v>12.695409824652494</v>
      </c>
      <c r="D11">
        <v>12.232979739940371</v>
      </c>
      <c r="E11">
        <v>10.440528077176316</v>
      </c>
      <c r="F11">
        <v>14.554954587202776</v>
      </c>
      <c r="G11">
        <v>12.530140599810361</v>
      </c>
      <c r="H11">
        <v>11.521190387560209</v>
      </c>
      <c r="I11" s="147">
        <v>13.972999999999999</v>
      </c>
      <c r="J11" s="112">
        <v>12.3062</v>
      </c>
      <c r="K11" s="112">
        <v>14.192870702068689</v>
      </c>
      <c r="L11" s="126"/>
      <c r="M11" s="112"/>
      <c r="N11" s="126"/>
      <c r="O11" s="147"/>
      <c r="P11" s="147"/>
      <c r="Q11" s="147"/>
      <c r="R11" s="112"/>
      <c r="S11" s="112"/>
      <c r="T11" s="112"/>
      <c r="U11" s="146"/>
      <c r="V11" s="113"/>
      <c r="W11" s="113"/>
      <c r="X11" s="126"/>
      <c r="Y11" s="126"/>
    </row>
    <row r="12" spans="1:77" ht="14.7" customHeight="1">
      <c r="A12" s="131" t="s">
        <v>10</v>
      </c>
      <c r="B12" s="131"/>
      <c r="C12">
        <v>15.595373472161295</v>
      </c>
      <c r="D12">
        <v>19.566590215439561</v>
      </c>
      <c r="E12">
        <v>16.315057880030672</v>
      </c>
      <c r="F12">
        <v>17.204103581348175</v>
      </c>
      <c r="G12">
        <v>12.489225434483737</v>
      </c>
      <c r="H12">
        <v>22.571129530722025</v>
      </c>
      <c r="I12" s="147">
        <v>19.042300000000001</v>
      </c>
      <c r="J12" s="112">
        <v>15.632999999999999</v>
      </c>
      <c r="K12" s="112">
        <v>17.022345995580352</v>
      </c>
      <c r="L12" s="126"/>
      <c r="M12" s="112"/>
      <c r="N12" s="126"/>
      <c r="O12" s="147"/>
      <c r="P12" s="147"/>
      <c r="Q12" s="147"/>
      <c r="R12" s="112"/>
      <c r="S12" s="112"/>
      <c r="T12" s="112"/>
      <c r="U12" s="146"/>
      <c r="V12" s="113"/>
      <c r="W12" s="113"/>
      <c r="X12" s="126"/>
      <c r="Y12" s="126"/>
    </row>
    <row r="13" spans="1:77" ht="14.7" customHeight="1">
      <c r="A13" s="131" t="s">
        <v>11</v>
      </c>
      <c r="B13" s="131"/>
      <c r="C13">
        <v>16.275665734189133</v>
      </c>
      <c r="D13">
        <v>14.994162127221177</v>
      </c>
      <c r="E13">
        <v>14.202565703727998</v>
      </c>
      <c r="F13">
        <v>15.447262444502108</v>
      </c>
      <c r="G13">
        <v>12.11731789676797</v>
      </c>
      <c r="H13">
        <v>18.538226137820029</v>
      </c>
      <c r="I13" s="147">
        <v>21.915699999999998</v>
      </c>
      <c r="J13" s="112">
        <v>15.0723</v>
      </c>
      <c r="K13" s="112">
        <v>16.622485099938665</v>
      </c>
      <c r="L13" s="126"/>
      <c r="M13" s="112"/>
      <c r="N13" s="126"/>
      <c r="O13" s="147"/>
      <c r="P13" s="147"/>
      <c r="Q13" s="147"/>
      <c r="R13" s="112"/>
      <c r="S13" s="112"/>
      <c r="T13" s="112"/>
      <c r="U13" s="146"/>
      <c r="V13" s="113"/>
      <c r="W13" s="113"/>
      <c r="X13" s="126"/>
      <c r="Y13" s="126"/>
    </row>
    <row r="14" spans="1:77" ht="14.7" customHeight="1">
      <c r="A14" s="131" t="s">
        <v>12</v>
      </c>
      <c r="B14" s="131"/>
      <c r="C14">
        <v>14.48013001481822</v>
      </c>
      <c r="D14">
        <v>23.519897993669179</v>
      </c>
      <c r="E14">
        <v>15.964478617122998</v>
      </c>
      <c r="F14">
        <v>18.488349340256555</v>
      </c>
      <c r="G14">
        <v>16.557785722301492</v>
      </c>
      <c r="H14">
        <v>19.314357666545458</v>
      </c>
      <c r="I14" s="147">
        <v>21.271000000000001</v>
      </c>
      <c r="J14" s="112">
        <v>17.1189</v>
      </c>
      <c r="K14" s="112">
        <v>17.86524032826561</v>
      </c>
      <c r="L14" s="126"/>
      <c r="M14" s="112"/>
      <c r="N14" s="126"/>
      <c r="O14" s="147"/>
      <c r="P14" s="147"/>
      <c r="Q14" s="147"/>
      <c r="R14" s="112"/>
      <c r="S14" s="112"/>
      <c r="T14" s="112"/>
      <c r="U14" s="147"/>
      <c r="V14" s="149"/>
      <c r="W14" s="149"/>
      <c r="X14" s="126"/>
      <c r="Y14" s="126"/>
    </row>
    <row r="15" spans="1:77" ht="14.7" customHeight="1">
      <c r="A15" s="131" t="s">
        <v>338</v>
      </c>
      <c r="B15" s="131"/>
      <c r="C15">
        <v>7.6063001083758515</v>
      </c>
      <c r="D15">
        <v>8.8350679725699717</v>
      </c>
      <c r="E15">
        <v>9.252559880369553</v>
      </c>
      <c r="F15">
        <v>6.5117188932767665</v>
      </c>
      <c r="G15">
        <v>8.7804520773824724</v>
      </c>
      <c r="H15">
        <v>9.9116813020906402</v>
      </c>
      <c r="I15" s="147">
        <v>9.6269999999999989</v>
      </c>
      <c r="J15" s="112">
        <v>10.757</v>
      </c>
      <c r="K15" s="112">
        <v>4.8311902623852436</v>
      </c>
      <c r="L15" s="126"/>
      <c r="M15" s="112"/>
      <c r="N15" s="126"/>
      <c r="O15" s="147"/>
      <c r="P15" s="147"/>
      <c r="Q15" s="147"/>
      <c r="R15" s="112"/>
      <c r="S15" s="112"/>
      <c r="T15" s="112"/>
      <c r="U15" s="146"/>
      <c r="V15" s="113"/>
      <c r="W15" s="113"/>
      <c r="X15" s="126"/>
      <c r="Y15" s="126"/>
    </row>
    <row r="16" spans="1:77" ht="14.7" customHeight="1">
      <c r="A16" s="131" t="s">
        <v>196</v>
      </c>
      <c r="B16" s="131"/>
      <c r="C16">
        <v>9.9379682594572181</v>
      </c>
      <c r="D16">
        <v>9.4087146381463249</v>
      </c>
      <c r="E16">
        <v>10.045324382307196</v>
      </c>
      <c r="F16">
        <v>12.089733874293747</v>
      </c>
      <c r="G16">
        <v>7.3645688641948936</v>
      </c>
      <c r="H16">
        <v>10.708919301494348</v>
      </c>
      <c r="I16" s="147">
        <v>11.729100000000001</v>
      </c>
      <c r="J16" s="112">
        <v>7.1956999999999995</v>
      </c>
      <c r="K16" s="112">
        <v>12.665502192503645</v>
      </c>
      <c r="L16" s="126"/>
      <c r="M16" s="112"/>
      <c r="N16" s="126"/>
      <c r="O16" s="147"/>
      <c r="P16" s="147"/>
      <c r="Q16" s="147"/>
      <c r="R16" s="112"/>
      <c r="S16" s="112"/>
      <c r="T16" s="112"/>
      <c r="U16" s="146"/>
      <c r="V16" s="113"/>
      <c r="W16" s="113"/>
      <c r="X16" s="126"/>
      <c r="Y16" s="126"/>
    </row>
    <row r="17" spans="1:25" ht="14.7" customHeight="1">
      <c r="A17" s="131" t="s">
        <v>222</v>
      </c>
      <c r="B17" s="131"/>
      <c r="C17">
        <v>10.375512530532898</v>
      </c>
      <c r="D17">
        <v>8.7990158946541008</v>
      </c>
      <c r="E17">
        <v>8.8533420084538719</v>
      </c>
      <c r="F17">
        <v>7.4907036833763989</v>
      </c>
      <c r="G17">
        <v>7.2984591987675183</v>
      </c>
      <c r="H17">
        <v>6.2813440834425514</v>
      </c>
      <c r="I17" s="146">
        <v>13.789899999999999</v>
      </c>
      <c r="J17" s="144">
        <v>10.9369</v>
      </c>
      <c r="K17" s="144">
        <v>9.6213347116322421</v>
      </c>
      <c r="L17" s="126"/>
      <c r="M17" s="144"/>
      <c r="N17" s="126"/>
      <c r="O17" s="146"/>
      <c r="P17" s="146"/>
      <c r="Q17" s="146"/>
      <c r="R17" s="144"/>
      <c r="S17" s="144"/>
      <c r="T17" s="144"/>
      <c r="U17" s="146"/>
      <c r="V17" s="113"/>
      <c r="W17" s="113"/>
      <c r="X17" s="126"/>
      <c r="Y17" s="126"/>
    </row>
    <row r="18" spans="1:25" ht="14.7" customHeight="1">
      <c r="A18" s="131" t="s">
        <v>13</v>
      </c>
      <c r="B18" s="131"/>
      <c r="C18">
        <v>15.384380489639524</v>
      </c>
      <c r="D18">
        <v>16.524216580694269</v>
      </c>
      <c r="E18">
        <v>12.497375380888796</v>
      </c>
      <c r="F18">
        <v>9.3096979626670109</v>
      </c>
      <c r="G18">
        <v>19.069069677043178</v>
      </c>
      <c r="H18">
        <v>14.73902614040243</v>
      </c>
      <c r="I18" s="147">
        <v>15.1647</v>
      </c>
      <c r="J18" s="112">
        <v>14.883099999999999</v>
      </c>
      <c r="K18" s="112">
        <v>15.720029078166339</v>
      </c>
      <c r="L18" s="126"/>
      <c r="M18" s="112"/>
      <c r="N18" s="126"/>
      <c r="O18" s="147"/>
      <c r="P18" s="147"/>
      <c r="Q18" s="147"/>
      <c r="R18" s="112"/>
      <c r="S18" s="112"/>
      <c r="T18" s="112"/>
      <c r="U18" s="146"/>
      <c r="V18" s="113"/>
      <c r="W18" s="113"/>
      <c r="X18" s="126"/>
      <c r="Y18" s="126"/>
    </row>
    <row r="19" spans="1:25" ht="14.7" customHeight="1">
      <c r="A19" s="131" t="s">
        <v>14</v>
      </c>
      <c r="B19" s="131"/>
      <c r="C19">
        <v>11.28108118818699</v>
      </c>
      <c r="D19">
        <v>15.495419336917191</v>
      </c>
      <c r="E19">
        <v>11.519169521401077</v>
      </c>
      <c r="F19">
        <v>11.338155995352929</v>
      </c>
      <c r="G19">
        <v>8.3514991244684289</v>
      </c>
      <c r="H19">
        <v>13.255832335633833</v>
      </c>
      <c r="I19" s="147">
        <v>12.667300000000001</v>
      </c>
      <c r="J19" s="112">
        <v>10.5404</v>
      </c>
      <c r="K19" s="112">
        <v>9.6576687728514727</v>
      </c>
      <c r="L19" s="126"/>
      <c r="M19" s="112"/>
      <c r="N19" s="126"/>
      <c r="O19" s="147"/>
      <c r="P19" s="147"/>
      <c r="Q19" s="147"/>
      <c r="R19" s="112"/>
      <c r="S19" s="112"/>
      <c r="T19" s="112"/>
      <c r="U19" s="146"/>
      <c r="V19" s="113"/>
      <c r="W19" s="113"/>
      <c r="X19" s="126"/>
      <c r="Y19" s="126"/>
    </row>
    <row r="20" spans="1:25" ht="14.7" customHeight="1">
      <c r="A20" s="131" t="s">
        <v>343</v>
      </c>
      <c r="B20" s="131"/>
      <c r="C20">
        <v>17.716667889589239</v>
      </c>
      <c r="D20">
        <v>15.641132762883098</v>
      </c>
      <c r="E20">
        <v>19.358933595416079</v>
      </c>
      <c r="F20">
        <v>14.482644486260856</v>
      </c>
      <c r="G20">
        <v>17.297653310365924</v>
      </c>
      <c r="H20">
        <v>14.840408408564535</v>
      </c>
      <c r="I20" s="147">
        <v>16.001300000000001</v>
      </c>
      <c r="J20" s="112">
        <v>17.997199999999999</v>
      </c>
      <c r="K20" s="112">
        <v>15.602465242270247</v>
      </c>
      <c r="L20" s="126"/>
      <c r="M20" s="112"/>
      <c r="N20" s="126"/>
      <c r="O20" s="147"/>
      <c r="P20" s="147"/>
      <c r="Q20" s="147"/>
      <c r="R20" s="112"/>
      <c r="S20" s="112"/>
      <c r="T20" s="112"/>
      <c r="U20" s="146"/>
      <c r="V20" s="113"/>
      <c r="W20" s="113"/>
      <c r="X20" s="126"/>
      <c r="Y20" s="126"/>
    </row>
    <row r="21" spans="1:25" ht="14.7" customHeight="1">
      <c r="A21" s="131" t="s">
        <v>15</v>
      </c>
      <c r="B21" s="131"/>
      <c r="C21">
        <v>15.384744121748026</v>
      </c>
      <c r="D21">
        <v>15.719448534205046</v>
      </c>
      <c r="E21">
        <v>14.559660449202955</v>
      </c>
      <c r="F21">
        <v>18.948036911415461</v>
      </c>
      <c r="G21">
        <v>13.835523016748569</v>
      </c>
      <c r="H21">
        <v>15.800064606300076</v>
      </c>
      <c r="I21" s="147">
        <v>12.906899999999998</v>
      </c>
      <c r="J21" s="112">
        <v>16.816300000000002</v>
      </c>
      <c r="K21" s="112">
        <v>14.90442135104581</v>
      </c>
      <c r="L21" s="126"/>
      <c r="M21" s="112"/>
      <c r="N21" s="126"/>
      <c r="O21" s="147"/>
      <c r="P21" s="147"/>
      <c r="Q21" s="147"/>
      <c r="R21" s="112"/>
      <c r="S21" s="112"/>
      <c r="T21" s="112"/>
      <c r="U21" s="146"/>
      <c r="V21" s="113"/>
      <c r="W21" s="113"/>
      <c r="X21" s="126"/>
      <c r="Y21" s="126"/>
    </row>
    <row r="22" spans="1:25" ht="14.7" customHeight="1">
      <c r="A22" s="131" t="s">
        <v>258</v>
      </c>
      <c r="B22" s="131"/>
      <c r="C22">
        <v>17.960413091143597</v>
      </c>
      <c r="D22">
        <v>17.141605154709062</v>
      </c>
      <c r="E22">
        <v>16.787632899527928</v>
      </c>
      <c r="F22">
        <v>21.190109707546622</v>
      </c>
      <c r="G22">
        <v>17.107147403258658</v>
      </c>
      <c r="H22">
        <v>19.204543662841811</v>
      </c>
      <c r="I22" s="147">
        <v>19.595499999999998</v>
      </c>
      <c r="J22" s="112">
        <v>22.260999999999999</v>
      </c>
      <c r="K22" s="112">
        <v>18.598214660190965</v>
      </c>
      <c r="L22" s="126"/>
      <c r="M22" s="112"/>
      <c r="N22" s="126"/>
      <c r="O22" s="147"/>
      <c r="P22" s="147"/>
      <c r="Q22" s="147"/>
      <c r="R22" s="112"/>
      <c r="S22" s="112"/>
      <c r="T22" s="112"/>
      <c r="U22" s="146"/>
      <c r="V22" s="113"/>
      <c r="W22" s="113"/>
      <c r="X22" s="126"/>
      <c r="Y22" s="126"/>
    </row>
    <row r="23" spans="1:25" ht="14.7" customHeight="1">
      <c r="A23" s="131" t="s">
        <v>259</v>
      </c>
      <c r="B23" s="131"/>
      <c r="C23">
        <v>17.360885747255402</v>
      </c>
      <c r="D23">
        <v>20.22967231036472</v>
      </c>
      <c r="E23">
        <v>17.265569808010682</v>
      </c>
      <c r="F23">
        <v>20.134319301457353</v>
      </c>
      <c r="G23">
        <v>15.113615052520254</v>
      </c>
      <c r="H23">
        <v>22.177144703717897</v>
      </c>
      <c r="I23" s="147">
        <v>24.175799999999999</v>
      </c>
      <c r="J23" s="112">
        <v>19.814599999999999</v>
      </c>
      <c r="K23" s="112">
        <v>18.454936991064681</v>
      </c>
      <c r="L23" s="126"/>
      <c r="M23" s="112"/>
      <c r="N23" s="126"/>
      <c r="O23" s="147"/>
      <c r="P23" s="147"/>
      <c r="Q23" s="147"/>
      <c r="R23" s="112"/>
      <c r="S23" s="112"/>
      <c r="T23" s="112"/>
      <c r="U23" s="146"/>
      <c r="V23" s="113"/>
      <c r="W23" s="113"/>
      <c r="X23" s="126"/>
      <c r="Y23" s="126"/>
    </row>
    <row r="24" spans="1:25" ht="14.7" customHeight="1">
      <c r="A24" s="131" t="s">
        <v>197</v>
      </c>
      <c r="B24" s="131"/>
      <c r="C24">
        <v>10.543056318596511</v>
      </c>
      <c r="D24">
        <v>10.157596091975595</v>
      </c>
      <c r="E24">
        <v>7.6977086133941874</v>
      </c>
      <c r="F24">
        <v>9.2025949479631812</v>
      </c>
      <c r="G24">
        <v>10.55701457300963</v>
      </c>
      <c r="H24">
        <v>10.348926735436073</v>
      </c>
      <c r="I24" s="147">
        <v>13.5053</v>
      </c>
      <c r="J24" s="112">
        <v>14.8782</v>
      </c>
      <c r="K24" s="112">
        <v>12.596981531874436</v>
      </c>
      <c r="L24" s="126"/>
      <c r="M24" s="112"/>
      <c r="N24" s="126"/>
      <c r="O24" s="147"/>
      <c r="P24" s="147"/>
      <c r="Q24" s="147"/>
      <c r="R24" s="112"/>
      <c r="S24" s="112"/>
      <c r="T24" s="112"/>
      <c r="U24" s="146"/>
      <c r="V24" s="113"/>
      <c r="W24" s="113"/>
      <c r="X24" s="126"/>
      <c r="Y24" s="126"/>
    </row>
    <row r="25" spans="1:25" ht="14.7" customHeight="1">
      <c r="A25" s="131" t="s">
        <v>223</v>
      </c>
      <c r="B25" s="131"/>
      <c r="C25">
        <v>11.150087779349075</v>
      </c>
      <c r="D25">
        <v>11.713810277940144</v>
      </c>
      <c r="E25">
        <v>10.698469194776381</v>
      </c>
      <c r="F25">
        <v>9.1759063413582673</v>
      </c>
      <c r="G25">
        <v>10.761421851226288</v>
      </c>
      <c r="H25">
        <v>12.694912649542356</v>
      </c>
      <c r="I25" s="147">
        <v>13.640499999999999</v>
      </c>
      <c r="J25" s="112">
        <v>13.6328</v>
      </c>
      <c r="K25" s="112">
        <v>8.915823999998544</v>
      </c>
      <c r="L25" s="126"/>
      <c r="M25" s="112"/>
      <c r="N25" s="126"/>
      <c r="O25" s="147"/>
      <c r="P25" s="147"/>
      <c r="Q25" s="147"/>
      <c r="R25" s="112"/>
      <c r="S25" s="112"/>
      <c r="T25" s="112"/>
      <c r="U25" s="146"/>
      <c r="V25" s="113"/>
      <c r="W25" s="113"/>
      <c r="X25" s="126"/>
      <c r="Y25" s="126"/>
    </row>
    <row r="26" spans="1:25" ht="14.7" customHeight="1">
      <c r="A26" s="131" t="s">
        <v>16</v>
      </c>
      <c r="B26" s="131"/>
      <c r="C26">
        <v>15.093993580993736</v>
      </c>
      <c r="D26">
        <v>17.414087826295543</v>
      </c>
      <c r="E26">
        <v>13.080458523460315</v>
      </c>
      <c r="F26">
        <v>12.804087964230312</v>
      </c>
      <c r="G26">
        <v>16.349426674713335</v>
      </c>
      <c r="H26">
        <v>18.33476549915143</v>
      </c>
      <c r="I26" s="147">
        <v>18.078099999999999</v>
      </c>
      <c r="J26" s="112">
        <v>16.2362</v>
      </c>
      <c r="K26" s="112">
        <v>15.59268834396117</v>
      </c>
      <c r="L26" s="126"/>
      <c r="M26" s="112"/>
      <c r="N26" s="126"/>
      <c r="O26" s="147"/>
      <c r="P26" s="147"/>
      <c r="Q26" s="147"/>
      <c r="R26" s="112"/>
      <c r="S26" s="112"/>
      <c r="T26" s="112"/>
      <c r="U26" s="146"/>
      <c r="V26" s="113"/>
      <c r="W26" s="113"/>
      <c r="X26" s="126"/>
      <c r="Y26" s="126"/>
    </row>
    <row r="27" spans="1:25" ht="14.7" customHeight="1">
      <c r="A27" s="131" t="s">
        <v>260</v>
      </c>
      <c r="B27" s="131"/>
      <c r="C27">
        <v>7.4976213126022344</v>
      </c>
      <c r="D27">
        <v>8.2672806147381017</v>
      </c>
      <c r="E27">
        <v>9.3445263271297598</v>
      </c>
      <c r="F27">
        <v>7.9668799030472606</v>
      </c>
      <c r="G27">
        <v>6.5156141091465987</v>
      </c>
      <c r="H27">
        <v>10.12197736163554</v>
      </c>
      <c r="I27" s="147">
        <v>8.4256999999999991</v>
      </c>
      <c r="J27" s="112">
        <v>7.9236000000000004</v>
      </c>
      <c r="K27" s="112">
        <v>9.5744744527282606</v>
      </c>
      <c r="L27" s="126"/>
      <c r="M27" s="112"/>
      <c r="N27" s="126"/>
      <c r="O27" s="147"/>
      <c r="P27" s="147"/>
      <c r="Q27" s="147"/>
      <c r="R27" s="112"/>
      <c r="S27" s="112"/>
      <c r="T27" s="112"/>
      <c r="U27" s="146"/>
      <c r="V27" s="113"/>
      <c r="W27" s="113"/>
      <c r="X27" s="126"/>
      <c r="Y27" s="126"/>
    </row>
    <row r="28" spans="1:25" ht="14.7" customHeight="1">
      <c r="A28" s="131" t="s">
        <v>261</v>
      </c>
      <c r="B28" s="131"/>
      <c r="C28">
        <v>12.253420302826308</v>
      </c>
      <c r="D28">
        <v>16.552963536607894</v>
      </c>
      <c r="E28">
        <v>10.660915985546577</v>
      </c>
      <c r="F28">
        <v>10.763867678260903</v>
      </c>
      <c r="G28">
        <v>13.736200046366248</v>
      </c>
      <c r="H28">
        <v>16.817005921931234</v>
      </c>
      <c r="I28" s="147">
        <v>12.656600000000001</v>
      </c>
      <c r="J28" s="112">
        <v>11.837200000000001</v>
      </c>
      <c r="K28" s="112">
        <v>16.689668699331779</v>
      </c>
      <c r="L28" s="126"/>
      <c r="M28" s="112"/>
      <c r="N28" s="126"/>
      <c r="O28" s="147"/>
      <c r="P28" s="147"/>
      <c r="Q28" s="147"/>
      <c r="R28" s="112"/>
      <c r="S28" s="112"/>
      <c r="T28" s="112"/>
      <c r="U28" s="146"/>
      <c r="V28" s="113"/>
      <c r="W28" s="113"/>
      <c r="X28" s="126"/>
      <c r="Y28" s="126"/>
    </row>
    <row r="29" spans="1:25" ht="14.7" customHeight="1">
      <c r="A29" s="131" t="s">
        <v>17</v>
      </c>
      <c r="B29" s="131"/>
      <c r="C29">
        <v>9.4385492555599253</v>
      </c>
      <c r="D29">
        <v>11.25213587893418</v>
      </c>
      <c r="E29">
        <v>6.7617920104635392</v>
      </c>
      <c r="F29">
        <v>11.901234364950364</v>
      </c>
      <c r="G29">
        <v>5.914279509132534</v>
      </c>
      <c r="H29">
        <v>10.080618332149561</v>
      </c>
      <c r="I29" s="147">
        <v>8.8589000000000002</v>
      </c>
      <c r="J29" s="112">
        <v>8.2865000000000002</v>
      </c>
      <c r="K29" s="112">
        <v>10.370491390965189</v>
      </c>
      <c r="L29" s="126"/>
      <c r="M29" s="112"/>
      <c r="N29" s="126"/>
      <c r="O29" s="147"/>
      <c r="P29" s="147"/>
      <c r="Q29" s="147"/>
      <c r="R29" s="112"/>
      <c r="S29" s="112"/>
      <c r="T29" s="112"/>
      <c r="U29" s="146"/>
      <c r="V29" s="113"/>
      <c r="W29" s="113"/>
      <c r="X29" s="126"/>
      <c r="Y29" s="126"/>
    </row>
    <row r="30" spans="1:25" ht="14.7" customHeight="1">
      <c r="A30" s="131" t="s">
        <v>224</v>
      </c>
      <c r="B30" s="131"/>
      <c r="C30">
        <v>8.8510059946231934</v>
      </c>
      <c r="D30">
        <v>9.8223897421941064</v>
      </c>
      <c r="E30">
        <v>6.8861557464234249</v>
      </c>
      <c r="F30">
        <v>7.9376282314320878</v>
      </c>
      <c r="G30">
        <v>10.674682645905781</v>
      </c>
      <c r="H30">
        <v>10.118778060770531</v>
      </c>
      <c r="I30" s="147">
        <v>8.4908999999999999</v>
      </c>
      <c r="J30" s="112">
        <v>10.5847</v>
      </c>
      <c r="K30" s="112">
        <v>7.3055113461282533</v>
      </c>
      <c r="L30" s="126"/>
      <c r="M30" s="112"/>
      <c r="N30" s="126"/>
      <c r="O30" s="147"/>
      <c r="P30" s="147"/>
      <c r="Q30" s="147"/>
      <c r="R30" s="112"/>
      <c r="S30" s="112"/>
      <c r="T30" s="112"/>
      <c r="U30" s="146"/>
      <c r="V30" s="113"/>
      <c r="W30" s="113"/>
      <c r="X30" s="126"/>
      <c r="Y30" s="126"/>
    </row>
    <row r="31" spans="1:25" ht="14.7" customHeight="1">
      <c r="A31" s="131" t="s">
        <v>18</v>
      </c>
      <c r="B31" s="131"/>
      <c r="C31">
        <v>17.776700045034215</v>
      </c>
      <c r="D31">
        <v>19.336939971655241</v>
      </c>
      <c r="E31">
        <v>23.803439947574354</v>
      </c>
      <c r="F31">
        <v>16.614341303404029</v>
      </c>
      <c r="G31">
        <v>15.906302558560903</v>
      </c>
      <c r="H31">
        <v>21.673531200402842</v>
      </c>
      <c r="I31" s="147">
        <v>25.597799999999999</v>
      </c>
      <c r="J31" s="112">
        <v>19.843900000000001</v>
      </c>
      <c r="K31" s="112">
        <v>24.043796902288534</v>
      </c>
      <c r="L31" s="126"/>
      <c r="M31" s="112"/>
      <c r="N31" s="126"/>
      <c r="O31" s="147"/>
      <c r="P31" s="147"/>
      <c r="Q31" s="147"/>
      <c r="R31" s="112"/>
      <c r="S31" s="112"/>
      <c r="T31" s="112"/>
      <c r="U31" s="147"/>
      <c r="V31" s="149"/>
      <c r="W31" s="149"/>
      <c r="X31" s="126"/>
      <c r="Y31" s="126"/>
    </row>
    <row r="32" spans="1:25" ht="14.7" customHeight="1">
      <c r="A32" s="131" t="s">
        <v>262</v>
      </c>
      <c r="B32" s="131"/>
      <c r="C32">
        <v>19.274608821051999</v>
      </c>
      <c r="D32">
        <v>15.529644421738146</v>
      </c>
      <c r="E32">
        <v>22.457269115750531</v>
      </c>
      <c r="F32">
        <v>23.197338612568114</v>
      </c>
      <c r="G32">
        <v>17.881378668202728</v>
      </c>
      <c r="H32">
        <v>21.779457660534412</v>
      </c>
      <c r="I32" s="147">
        <v>22.792399999999997</v>
      </c>
      <c r="J32" s="112">
        <v>15.9916</v>
      </c>
      <c r="K32" s="112"/>
      <c r="L32" s="126"/>
      <c r="M32" s="112"/>
      <c r="N32" s="126"/>
      <c r="O32" s="147"/>
      <c r="P32" s="147"/>
      <c r="Q32" s="147"/>
      <c r="R32" s="112"/>
      <c r="S32" s="112"/>
      <c r="T32" s="112"/>
      <c r="U32" s="146"/>
      <c r="V32" s="113"/>
      <c r="W32" s="113"/>
      <c r="X32" s="126"/>
      <c r="Y32" s="126"/>
    </row>
    <row r="33" spans="1:25" ht="14.7" customHeight="1">
      <c r="A33" s="131" t="s">
        <v>906</v>
      </c>
      <c r="B33" s="131"/>
      <c r="C33"/>
      <c r="D33"/>
      <c r="E33"/>
      <c r="F33"/>
      <c r="G33"/>
      <c r="H33"/>
      <c r="I33" s="147"/>
      <c r="J33" s="112"/>
      <c r="K33" s="112">
        <v>18.608030210957686</v>
      </c>
      <c r="L33" s="126"/>
      <c r="M33" s="112"/>
      <c r="N33" s="126"/>
      <c r="O33" s="147"/>
      <c r="P33" s="147"/>
      <c r="Q33" s="147"/>
      <c r="R33" s="112"/>
      <c r="S33" s="112"/>
      <c r="T33" s="112"/>
      <c r="U33" s="146"/>
      <c r="V33" s="113"/>
      <c r="W33" s="113"/>
      <c r="X33" s="126"/>
      <c r="Y33" s="126"/>
    </row>
    <row r="34" spans="1:25" ht="14.7" customHeight="1">
      <c r="A34" s="131" t="s">
        <v>263</v>
      </c>
      <c r="B34" s="131"/>
      <c r="C34">
        <v>20.744607075750636</v>
      </c>
      <c r="D34">
        <v>19.462489626831548</v>
      </c>
      <c r="E34">
        <v>17.665681056214545</v>
      </c>
      <c r="F34">
        <v>21.932511241621423</v>
      </c>
      <c r="G34">
        <v>19.388153315711762</v>
      </c>
      <c r="H34">
        <v>16.901109558495559</v>
      </c>
      <c r="I34" s="147">
        <v>17.3962</v>
      </c>
      <c r="J34" s="112">
        <v>18.940100000000001</v>
      </c>
      <c r="K34" s="112">
        <v>16.797092986637889</v>
      </c>
      <c r="L34" s="126"/>
      <c r="M34" s="112"/>
      <c r="N34" s="126"/>
      <c r="O34" s="147"/>
      <c r="P34" s="147"/>
      <c r="Q34" s="147"/>
      <c r="R34" s="112"/>
      <c r="S34" s="112"/>
      <c r="T34" s="112"/>
      <c r="U34" s="146"/>
      <c r="V34" s="113"/>
      <c r="W34" s="113"/>
      <c r="X34" s="126"/>
      <c r="Y34" s="126"/>
    </row>
    <row r="35" spans="1:25" ht="14.7" customHeight="1">
      <c r="A35" s="131" t="s">
        <v>225</v>
      </c>
      <c r="B35" s="131"/>
      <c r="C35">
        <v>10.664537002252876</v>
      </c>
      <c r="D35">
        <v>8.2574974418425011</v>
      </c>
      <c r="E35">
        <v>10.651299478815833</v>
      </c>
      <c r="F35">
        <v>7.3538887282640131</v>
      </c>
      <c r="G35">
        <v>6.7763225836736609</v>
      </c>
      <c r="H35">
        <v>13.10682639174907</v>
      </c>
      <c r="I35" s="147">
        <v>10.38</v>
      </c>
      <c r="J35" s="112">
        <v>11.614599999999999</v>
      </c>
      <c r="K35" s="112">
        <v>10.018858636440607</v>
      </c>
      <c r="L35" s="126"/>
      <c r="M35" s="112"/>
      <c r="N35" s="126"/>
      <c r="O35" s="147"/>
      <c r="P35" s="147"/>
      <c r="Q35" s="147"/>
      <c r="R35" s="112"/>
      <c r="S35" s="112"/>
      <c r="T35" s="112"/>
      <c r="U35" s="146"/>
      <c r="V35" s="113"/>
      <c r="W35" s="113"/>
      <c r="X35" s="126"/>
      <c r="Y35" s="126"/>
    </row>
    <row r="36" spans="1:25" ht="14.7" customHeight="1">
      <c r="A36" s="131" t="s">
        <v>19</v>
      </c>
      <c r="B36" s="131"/>
      <c r="C36">
        <v>16.11615471308793</v>
      </c>
      <c r="D36">
        <v>17.920953141301553</v>
      </c>
      <c r="E36">
        <v>15.761031317119468</v>
      </c>
      <c r="F36">
        <v>11.263841471860767</v>
      </c>
      <c r="G36">
        <v>13.193943621839905</v>
      </c>
      <c r="H36">
        <v>16.546601583395077</v>
      </c>
      <c r="I36" s="147">
        <v>19.886599999999998</v>
      </c>
      <c r="J36" s="112">
        <v>15.0815</v>
      </c>
      <c r="K36" s="112">
        <v>13.221644663047666</v>
      </c>
      <c r="L36" s="126"/>
      <c r="M36" s="112"/>
      <c r="N36" s="126"/>
      <c r="O36" s="147"/>
      <c r="P36" s="147"/>
      <c r="Q36" s="147"/>
      <c r="R36" s="112"/>
      <c r="S36" s="112"/>
      <c r="T36" s="112"/>
      <c r="U36" s="146"/>
      <c r="V36" s="113"/>
      <c r="W36" s="113"/>
      <c r="X36" s="126"/>
      <c r="Y36" s="126"/>
    </row>
    <row r="37" spans="1:25" ht="14.7" customHeight="1">
      <c r="A37" s="131" t="s">
        <v>20</v>
      </c>
      <c r="B37" s="131"/>
      <c r="C37">
        <v>19.771487651046456</v>
      </c>
      <c r="D37">
        <v>15.48625330275242</v>
      </c>
      <c r="E37">
        <v>15.645391037522799</v>
      </c>
      <c r="F37">
        <v>16.540066870489316</v>
      </c>
      <c r="G37">
        <v>16.654530986543882</v>
      </c>
      <c r="H37">
        <v>17.811917444330359</v>
      </c>
      <c r="I37" s="147">
        <v>19.808999999999997</v>
      </c>
      <c r="J37" s="112">
        <v>13.816600000000001</v>
      </c>
      <c r="K37" s="112">
        <v>18.665339995359385</v>
      </c>
      <c r="L37" s="126"/>
      <c r="M37" s="112"/>
      <c r="N37" s="126"/>
      <c r="O37" s="147"/>
      <c r="P37" s="147"/>
      <c r="Q37" s="147"/>
      <c r="R37" s="112"/>
      <c r="S37" s="112"/>
      <c r="T37" s="112"/>
      <c r="U37" s="146"/>
      <c r="V37" s="113"/>
      <c r="W37" s="113"/>
      <c r="X37" s="126"/>
      <c r="Y37" s="126"/>
    </row>
    <row r="38" spans="1:25" ht="14.7" customHeight="1">
      <c r="A38" s="131" t="s">
        <v>198</v>
      </c>
      <c r="B38" s="131"/>
      <c r="C38">
        <v>13.830438946502719</v>
      </c>
      <c r="D38">
        <v>9.5588729910350327</v>
      </c>
      <c r="E38">
        <v>12.128066045364125</v>
      </c>
      <c r="F38">
        <v>11.657687458037893</v>
      </c>
      <c r="G38">
        <v>7.8738746377258417</v>
      </c>
      <c r="H38">
        <v>11.219590634937834</v>
      </c>
      <c r="I38" s="147">
        <v>9.7591000000000001</v>
      </c>
      <c r="J38" s="112">
        <v>15.963099999999999</v>
      </c>
      <c r="K38" s="112">
        <v>13.851489510931087</v>
      </c>
      <c r="L38" s="126"/>
      <c r="M38" s="112"/>
      <c r="N38" s="126"/>
      <c r="O38" s="147"/>
      <c r="P38" s="147"/>
      <c r="Q38" s="147"/>
      <c r="R38" s="112"/>
      <c r="S38" s="112"/>
      <c r="T38" s="112"/>
      <c r="U38" s="146"/>
      <c r="V38" s="113"/>
      <c r="W38" s="113"/>
      <c r="X38" s="126"/>
      <c r="Y38" s="126"/>
    </row>
    <row r="39" spans="1:25" ht="14.7" customHeight="1">
      <c r="A39" s="131" t="s">
        <v>21</v>
      </c>
      <c r="B39" s="131"/>
      <c r="C39">
        <v>11.40989995739546</v>
      </c>
      <c r="D39">
        <v>16.18665071034334</v>
      </c>
      <c r="E39">
        <v>9.5398993468314508</v>
      </c>
      <c r="F39">
        <v>11.697203175933211</v>
      </c>
      <c r="G39">
        <v>13.273379713805053</v>
      </c>
      <c r="H39">
        <v>15.839291055823827</v>
      </c>
      <c r="I39" s="147">
        <v>13.611899999999999</v>
      </c>
      <c r="J39" s="112">
        <v>10.256400000000001</v>
      </c>
      <c r="K39" s="112">
        <v>16.545630498092613</v>
      </c>
      <c r="L39" s="126"/>
      <c r="M39" s="112"/>
      <c r="N39" s="126"/>
      <c r="O39" s="147"/>
      <c r="P39" s="147"/>
      <c r="Q39" s="147"/>
      <c r="R39" s="112"/>
      <c r="S39" s="112"/>
      <c r="T39" s="112"/>
      <c r="U39" s="146"/>
      <c r="V39" s="113"/>
      <c r="W39" s="113"/>
      <c r="X39" s="126"/>
      <c r="Y39" s="126"/>
    </row>
    <row r="40" spans="1:25" ht="14.7" customHeight="1">
      <c r="A40" s="131" t="s">
        <v>811</v>
      </c>
      <c r="B40" s="131"/>
      <c r="C40">
        <v>13.075944797201744</v>
      </c>
      <c r="D40">
        <v>16.052946496049959</v>
      </c>
      <c r="E40">
        <v>15.338486391461426</v>
      </c>
      <c r="F40">
        <v>16.392670631207171</v>
      </c>
      <c r="G40">
        <v>14.507521178129743</v>
      </c>
      <c r="H40">
        <v>28.666739468392905</v>
      </c>
      <c r="I40" s="147">
        <v>22.623899999999999</v>
      </c>
      <c r="J40" s="112">
        <v>25.893699999999995</v>
      </c>
      <c r="K40" s="112">
        <v>22.50801166188295</v>
      </c>
      <c r="L40" s="126"/>
      <c r="M40" s="112"/>
      <c r="N40" s="126"/>
      <c r="O40" s="147"/>
      <c r="P40" s="147"/>
      <c r="Q40" s="147"/>
      <c r="R40" s="112"/>
      <c r="S40" s="112"/>
      <c r="T40" s="112"/>
      <c r="U40" s="146"/>
      <c r="V40" s="113"/>
      <c r="W40" s="113"/>
      <c r="X40" s="126"/>
      <c r="Y40" s="126"/>
    </row>
    <row r="41" spans="1:25" ht="14.7" customHeight="1">
      <c r="A41" s="131" t="s">
        <v>815</v>
      </c>
      <c r="B41" s="131"/>
      <c r="C41">
        <v>23.656818965825003</v>
      </c>
      <c r="D41">
        <v>23.008801831072155</v>
      </c>
      <c r="E41">
        <v>22.132941411346494</v>
      </c>
      <c r="F41">
        <v>25.903240750065461</v>
      </c>
      <c r="G41">
        <v>19.3193512967561</v>
      </c>
      <c r="H41">
        <v>25.781250722490206</v>
      </c>
      <c r="I41" s="147">
        <v>28.836499999999997</v>
      </c>
      <c r="J41" s="112">
        <v>26.273800000000001</v>
      </c>
      <c r="K41" s="112">
        <v>26.218360567306064</v>
      </c>
      <c r="L41" s="126"/>
      <c r="M41" s="112"/>
      <c r="N41" s="126"/>
      <c r="O41" s="147"/>
      <c r="P41" s="147"/>
      <c r="Q41" s="147"/>
      <c r="R41" s="112"/>
      <c r="S41" s="112"/>
      <c r="T41" s="112"/>
      <c r="U41" s="147"/>
      <c r="V41" s="149"/>
      <c r="W41" s="149"/>
      <c r="X41" s="126"/>
      <c r="Y41" s="126"/>
    </row>
    <row r="42" spans="1:25" ht="14.7" customHeight="1">
      <c r="A42" s="131" t="s">
        <v>22</v>
      </c>
      <c r="B42" s="131"/>
      <c r="C42">
        <v>17.065997980645616</v>
      </c>
      <c r="D42">
        <v>20.243645232125481</v>
      </c>
      <c r="E42">
        <v>16.318612742376995</v>
      </c>
      <c r="F42">
        <v>16.300741034855783</v>
      </c>
      <c r="G42">
        <v>14.939801109532617</v>
      </c>
      <c r="H42">
        <v>21.385759832894227</v>
      </c>
      <c r="I42" s="147">
        <v>22.380700000000001</v>
      </c>
      <c r="J42" s="112">
        <v>20.488500000000002</v>
      </c>
      <c r="K42" s="112">
        <v>18.301486340637595</v>
      </c>
      <c r="L42" s="126"/>
      <c r="M42" s="112"/>
      <c r="N42" s="126"/>
      <c r="O42" s="147"/>
      <c r="P42" s="147"/>
      <c r="Q42" s="147"/>
      <c r="R42" s="112"/>
      <c r="S42" s="112"/>
      <c r="T42" s="112"/>
      <c r="U42" s="146"/>
      <c r="V42" s="113"/>
      <c r="W42" s="113"/>
      <c r="X42" s="126"/>
      <c r="Y42" s="126"/>
    </row>
    <row r="43" spans="1:25" ht="14.7" customHeight="1">
      <c r="A43" s="131" t="s">
        <v>199</v>
      </c>
      <c r="B43" s="131"/>
      <c r="C43">
        <v>14.182713671994588</v>
      </c>
      <c r="D43">
        <v>14.211175717475335</v>
      </c>
      <c r="E43">
        <v>11.692308705182155</v>
      </c>
      <c r="F43">
        <v>12.184635172822453</v>
      </c>
      <c r="G43">
        <v>12.976753518502596</v>
      </c>
      <c r="H43">
        <v>12.942449888547458</v>
      </c>
      <c r="I43" s="147">
        <v>11.6136</v>
      </c>
      <c r="J43" s="112">
        <v>15.020200000000001</v>
      </c>
      <c r="K43" s="112">
        <v>9.0970708172497226</v>
      </c>
      <c r="L43" s="126"/>
      <c r="M43" s="112"/>
      <c r="N43" s="126"/>
      <c r="O43" s="147"/>
      <c r="P43" s="147"/>
      <c r="Q43" s="147"/>
      <c r="R43" s="112"/>
      <c r="S43" s="112"/>
      <c r="T43" s="112"/>
      <c r="U43" s="146"/>
      <c r="V43" s="113"/>
      <c r="W43" s="113"/>
      <c r="X43" s="126"/>
      <c r="Y43" s="126"/>
    </row>
    <row r="44" spans="1:25" ht="14.7" customHeight="1">
      <c r="A44" s="131" t="s">
        <v>23</v>
      </c>
      <c r="B44" s="131"/>
      <c r="C44">
        <v>16.36773485484435</v>
      </c>
      <c r="D44">
        <v>13.942114665609656</v>
      </c>
      <c r="E44">
        <v>12.804866233286925</v>
      </c>
      <c r="F44">
        <v>13.526047112368534</v>
      </c>
      <c r="G44">
        <v>13.55007688873456</v>
      </c>
      <c r="H44">
        <v>10.06110612396952</v>
      </c>
      <c r="I44" s="147">
        <v>13.203000000000001</v>
      </c>
      <c r="J44" s="112">
        <v>14.128299999999999</v>
      </c>
      <c r="K44" s="112">
        <v>11.244484734371497</v>
      </c>
      <c r="L44" s="126"/>
      <c r="M44" s="112"/>
      <c r="N44" s="126"/>
      <c r="O44" s="147"/>
      <c r="P44" s="147"/>
      <c r="Q44" s="147"/>
      <c r="R44" s="112"/>
      <c r="S44" s="112"/>
      <c r="T44" s="112"/>
      <c r="U44" s="147"/>
      <c r="V44" s="149"/>
      <c r="W44" s="149"/>
      <c r="X44" s="126"/>
      <c r="Y44" s="126"/>
    </row>
    <row r="45" spans="1:25" ht="14.7" customHeight="1">
      <c r="A45" s="131" t="s">
        <v>24</v>
      </c>
      <c r="B45" s="131"/>
      <c r="C45">
        <v>11.518766934410166</v>
      </c>
      <c r="D45">
        <v>12.665271630455871</v>
      </c>
      <c r="E45">
        <v>14.236976759398889</v>
      </c>
      <c r="F45">
        <v>13.503706792226417</v>
      </c>
      <c r="G45">
        <v>12.503971814604686</v>
      </c>
      <c r="H45">
        <v>19.552367609163117</v>
      </c>
      <c r="I45" s="147">
        <v>14.430000000000001</v>
      </c>
      <c r="J45" s="112">
        <v>11.3619</v>
      </c>
      <c r="K45" s="112">
        <v>11.843262234152634</v>
      </c>
      <c r="L45" s="126"/>
      <c r="M45" s="112"/>
      <c r="N45" s="126"/>
      <c r="O45" s="147"/>
      <c r="P45" s="147"/>
      <c r="Q45" s="147"/>
      <c r="R45" s="112"/>
      <c r="S45" s="112"/>
      <c r="T45" s="112"/>
      <c r="U45" s="146"/>
      <c r="V45" s="113"/>
      <c r="W45" s="113"/>
      <c r="X45" s="126"/>
      <c r="Y45" s="126"/>
    </row>
    <row r="46" spans="1:25" ht="14.7" customHeight="1">
      <c r="A46" s="131" t="s">
        <v>25</v>
      </c>
      <c r="B46" s="131"/>
      <c r="C46">
        <v>15.336166147271726</v>
      </c>
      <c r="D46">
        <v>16.270949988942334</v>
      </c>
      <c r="E46">
        <v>16.375755600117088</v>
      </c>
      <c r="F46">
        <v>21.822842586565738</v>
      </c>
      <c r="G46">
        <v>16.040474646974264</v>
      </c>
      <c r="H46">
        <v>20.476948786704561</v>
      </c>
      <c r="I46" s="147">
        <v>20.977699999999999</v>
      </c>
      <c r="J46" s="112">
        <v>21.013200000000001</v>
      </c>
      <c r="K46" s="112">
        <v>21.042725290543054</v>
      </c>
      <c r="L46" s="126"/>
      <c r="M46" s="112"/>
      <c r="N46" s="126"/>
      <c r="O46" s="147"/>
      <c r="P46" s="147"/>
      <c r="Q46" s="147"/>
      <c r="R46" s="112"/>
      <c r="S46" s="112"/>
      <c r="T46" s="112"/>
      <c r="U46" s="146"/>
      <c r="V46" s="113"/>
      <c r="W46" s="113"/>
      <c r="X46" s="126"/>
      <c r="Y46" s="126"/>
    </row>
    <row r="47" spans="1:25" ht="14.7" customHeight="1">
      <c r="A47" s="131" t="s">
        <v>300</v>
      </c>
      <c r="B47" s="131"/>
      <c r="C47">
        <v>15.118234535140102</v>
      </c>
      <c r="D47">
        <v>14.981655879500789</v>
      </c>
      <c r="E47">
        <v>12.514272201132309</v>
      </c>
      <c r="F47">
        <v>15.803448530291043</v>
      </c>
      <c r="G47">
        <v>14.51289233852717</v>
      </c>
      <c r="H47">
        <v>16.784462898234459</v>
      </c>
      <c r="I47" s="147">
        <v>20.605899999999998</v>
      </c>
      <c r="J47" s="112">
        <v>15.722200000000001</v>
      </c>
      <c r="K47" s="112">
        <v>17.595316909409966</v>
      </c>
      <c r="L47" s="126"/>
      <c r="M47" s="112"/>
      <c r="N47" s="126"/>
      <c r="O47" s="147"/>
      <c r="P47" s="147"/>
      <c r="Q47" s="147"/>
      <c r="R47" s="112"/>
      <c r="S47" s="112"/>
      <c r="T47" s="112"/>
      <c r="U47" s="146"/>
      <c r="V47" s="113"/>
      <c r="W47" s="113"/>
      <c r="X47" s="126"/>
      <c r="Y47" s="126"/>
    </row>
    <row r="48" spans="1:25" ht="14.7" customHeight="1">
      <c r="A48" s="131" t="s">
        <v>26</v>
      </c>
      <c r="B48" s="131"/>
      <c r="C48">
        <v>8.4785433691050471</v>
      </c>
      <c r="D48">
        <v>8.6840273275238253</v>
      </c>
      <c r="E48">
        <v>7.973418767733774</v>
      </c>
      <c r="F48">
        <v>5.8038921244343431</v>
      </c>
      <c r="G48">
        <v>4.9650729320773985</v>
      </c>
      <c r="H48">
        <v>8.105892920028408</v>
      </c>
      <c r="I48" s="147">
        <v>10.962400000000001</v>
      </c>
      <c r="J48" s="112">
        <v>7.2875999999999994</v>
      </c>
      <c r="K48" s="112">
        <v>10.998091125723644</v>
      </c>
      <c r="L48" s="126"/>
      <c r="M48" s="112"/>
      <c r="N48" s="126"/>
      <c r="O48" s="147"/>
      <c r="P48" s="147"/>
      <c r="Q48" s="147"/>
      <c r="R48" s="112"/>
      <c r="S48" s="112"/>
      <c r="T48" s="112"/>
      <c r="U48" s="146"/>
      <c r="V48" s="113"/>
      <c r="W48" s="113"/>
      <c r="X48" s="126"/>
      <c r="Y48" s="126"/>
    </row>
    <row r="49" spans="1:25" ht="14.7" customHeight="1">
      <c r="A49" s="131" t="s">
        <v>226</v>
      </c>
      <c r="B49" s="131"/>
      <c r="C49">
        <v>12.601499746058483</v>
      </c>
      <c r="D49">
        <v>10.081107785110854</v>
      </c>
      <c r="E49">
        <v>12.426098883325054</v>
      </c>
      <c r="F49">
        <v>10.634051081207199</v>
      </c>
      <c r="G49">
        <v>11.012940475031636</v>
      </c>
      <c r="H49">
        <v>12.549185777285052</v>
      </c>
      <c r="I49" s="147">
        <v>12.5006</v>
      </c>
      <c r="J49" s="112">
        <v>10.580499999999999</v>
      </c>
      <c r="K49" s="112">
        <v>13.831136986063388</v>
      </c>
      <c r="L49" s="126"/>
      <c r="M49" s="112"/>
      <c r="N49" s="126"/>
      <c r="O49" s="147"/>
      <c r="P49" s="147"/>
      <c r="Q49" s="147"/>
      <c r="R49" s="112"/>
      <c r="S49" s="112"/>
      <c r="T49" s="112"/>
      <c r="U49" s="146"/>
      <c r="V49" s="113"/>
      <c r="W49" s="113"/>
      <c r="X49" s="126"/>
      <c r="Y49" s="126"/>
    </row>
    <row r="50" spans="1:25" ht="14.7" customHeight="1">
      <c r="A50" s="131" t="s">
        <v>227</v>
      </c>
      <c r="B50" s="131"/>
      <c r="C50">
        <v>8.2387292925901114</v>
      </c>
      <c r="D50">
        <v>11.009950211534052</v>
      </c>
      <c r="E50">
        <v>9.7780240399321823</v>
      </c>
      <c r="F50">
        <v>13.76734991702763</v>
      </c>
      <c r="G50">
        <v>14.033891456423467</v>
      </c>
      <c r="H50">
        <v>10.624519998746287</v>
      </c>
      <c r="I50" s="147">
        <v>11.648300000000001</v>
      </c>
      <c r="J50" s="112">
        <v>11.113799999999999</v>
      </c>
      <c r="K50" s="112">
        <v>13.646521520589888</v>
      </c>
      <c r="L50" s="126"/>
      <c r="M50" s="112"/>
      <c r="N50" s="126"/>
      <c r="O50" s="147"/>
      <c r="P50" s="147"/>
      <c r="Q50" s="147"/>
      <c r="R50" s="112"/>
      <c r="S50" s="112"/>
      <c r="T50" s="112"/>
      <c r="U50" s="146"/>
      <c r="V50" s="113"/>
      <c r="W50" s="113"/>
      <c r="X50" s="126"/>
      <c r="Y50" s="126"/>
    </row>
    <row r="51" spans="1:25" ht="14.7" customHeight="1">
      <c r="A51" s="131" t="s">
        <v>27</v>
      </c>
      <c r="B51" s="131"/>
      <c r="C51">
        <v>58.300273311957383</v>
      </c>
      <c r="D51">
        <v>51.20571085693382</v>
      </c>
      <c r="E51">
        <v>57.911827777681282</v>
      </c>
      <c r="F51">
        <v>56.67852882301797</v>
      </c>
      <c r="G51">
        <v>57.981410305122175</v>
      </c>
      <c r="H51">
        <v>63.176116557165521</v>
      </c>
      <c r="I51" s="147">
        <v>60.656799999999997</v>
      </c>
      <c r="J51" s="112">
        <v>63.693399999999997</v>
      </c>
      <c r="K51" s="112">
        <v>60.340783380593422</v>
      </c>
      <c r="L51" s="126"/>
      <c r="M51" s="112"/>
      <c r="N51" s="126"/>
      <c r="O51" s="147"/>
      <c r="P51" s="147"/>
      <c r="Q51" s="147"/>
      <c r="R51" s="112"/>
      <c r="S51" s="112"/>
      <c r="T51" s="112"/>
      <c r="U51" s="146"/>
      <c r="V51" s="113"/>
      <c r="W51" s="113"/>
      <c r="X51" s="126"/>
      <c r="Y51" s="126"/>
    </row>
    <row r="52" spans="1:25" ht="14.7" customHeight="1">
      <c r="A52" s="131" t="s">
        <v>302</v>
      </c>
      <c r="B52" s="131"/>
      <c r="C52">
        <v>30.708938562588401</v>
      </c>
      <c r="D52">
        <v>30.050952378085999</v>
      </c>
      <c r="E52">
        <v>29.853630178152585</v>
      </c>
      <c r="F52">
        <v>29.874278860647372</v>
      </c>
      <c r="G52">
        <v>28.314866930713766</v>
      </c>
      <c r="H52">
        <v>33.122926672393113</v>
      </c>
      <c r="I52" s="147">
        <v>32.764500000000005</v>
      </c>
      <c r="J52" s="112">
        <v>32.462499999999999</v>
      </c>
      <c r="K52" s="112">
        <v>30.572479096813858</v>
      </c>
      <c r="L52" s="126"/>
      <c r="M52" s="112"/>
      <c r="N52" s="126"/>
      <c r="O52" s="147"/>
      <c r="P52" s="147"/>
      <c r="Q52" s="147"/>
      <c r="R52" s="112"/>
      <c r="S52" s="112"/>
      <c r="T52" s="112"/>
      <c r="U52" s="146"/>
      <c r="V52" s="113"/>
      <c r="W52" s="113"/>
      <c r="X52" s="126"/>
      <c r="Y52" s="126"/>
    </row>
    <row r="53" spans="1:25" ht="14.7" customHeight="1">
      <c r="A53" s="131" t="s">
        <v>200</v>
      </c>
      <c r="B53" s="131"/>
      <c r="C53">
        <v>20.374576422952853</v>
      </c>
      <c r="D53">
        <v>17.747567957505257</v>
      </c>
      <c r="E53">
        <v>16.244179119501435</v>
      </c>
      <c r="F53">
        <v>15.073814763750857</v>
      </c>
      <c r="G53">
        <v>18.818140299241552</v>
      </c>
      <c r="H53">
        <v>17.918414762290421</v>
      </c>
      <c r="I53" s="147">
        <v>21.322499999999998</v>
      </c>
      <c r="J53" s="112">
        <v>20.2057</v>
      </c>
      <c r="K53" s="112">
        <v>18.838687301045123</v>
      </c>
      <c r="L53" s="126"/>
      <c r="M53" s="112"/>
      <c r="N53" s="126"/>
      <c r="O53" s="147"/>
      <c r="P53" s="147"/>
      <c r="Q53" s="147"/>
      <c r="R53" s="112"/>
      <c r="S53" s="112"/>
      <c r="T53" s="112"/>
      <c r="U53" s="146"/>
      <c r="V53" s="113"/>
      <c r="W53" s="113"/>
      <c r="X53" s="126"/>
      <c r="Y53" s="126"/>
    </row>
    <row r="54" spans="1:25" ht="14.7" customHeight="1">
      <c r="A54" s="131" t="s">
        <v>28</v>
      </c>
      <c r="B54" s="131"/>
      <c r="C54">
        <v>12.449676489760659</v>
      </c>
      <c r="D54">
        <v>11.767788798616879</v>
      </c>
      <c r="E54">
        <v>12.6611027528511</v>
      </c>
      <c r="F54">
        <v>10.319590646891712</v>
      </c>
      <c r="G54">
        <v>10.57635105516939</v>
      </c>
      <c r="H54">
        <v>9.9193235110831139</v>
      </c>
      <c r="I54" s="147">
        <v>8.1326999999999998</v>
      </c>
      <c r="J54" s="112">
        <v>14.197399999999998</v>
      </c>
      <c r="K54" s="112">
        <v>11.827959131765803</v>
      </c>
      <c r="L54" s="126"/>
      <c r="M54" s="112"/>
      <c r="N54" s="126"/>
      <c r="O54" s="147"/>
      <c r="P54" s="147"/>
      <c r="Q54" s="147"/>
      <c r="R54" s="112"/>
      <c r="S54" s="112"/>
      <c r="T54" s="112"/>
      <c r="U54" s="147"/>
      <c r="V54" s="149"/>
      <c r="W54" s="149"/>
      <c r="X54" s="126"/>
      <c r="Y54" s="126"/>
    </row>
    <row r="55" spans="1:25" ht="14.7" customHeight="1">
      <c r="A55" s="131" t="s">
        <v>29</v>
      </c>
      <c r="B55" s="131"/>
      <c r="C55">
        <v>18.466931491731902</v>
      </c>
      <c r="D55">
        <v>20.572099615320937</v>
      </c>
      <c r="E55">
        <v>18.216069508905314</v>
      </c>
      <c r="F55">
        <v>19.58459384834811</v>
      </c>
      <c r="G55">
        <v>16.058293257530032</v>
      </c>
      <c r="H55">
        <v>19.044105188065558</v>
      </c>
      <c r="I55" s="147">
        <v>18.004300000000001</v>
      </c>
      <c r="J55" s="112">
        <v>16.826000000000001</v>
      </c>
      <c r="K55" s="112">
        <v>22.376897582224775</v>
      </c>
      <c r="L55" s="126"/>
      <c r="M55" s="112"/>
      <c r="N55" s="126"/>
      <c r="O55" s="147"/>
      <c r="P55" s="147"/>
      <c r="Q55" s="147"/>
      <c r="R55" s="112"/>
      <c r="S55" s="112"/>
      <c r="T55" s="112"/>
      <c r="U55" s="146"/>
      <c r="V55" s="113"/>
      <c r="W55" s="113"/>
      <c r="X55" s="126"/>
      <c r="Y55" s="126"/>
    </row>
    <row r="56" spans="1:25" ht="14.7" customHeight="1">
      <c r="A56" s="131" t="s">
        <v>30</v>
      </c>
      <c r="B56" s="131"/>
      <c r="C56">
        <v>18.367617133425924</v>
      </c>
      <c r="D56">
        <v>16.825637033930583</v>
      </c>
      <c r="E56">
        <v>16.400830205875284</v>
      </c>
      <c r="F56">
        <v>14.732747712375751</v>
      </c>
      <c r="G56">
        <v>12.567328844415471</v>
      </c>
      <c r="H56">
        <v>16.257756715027899</v>
      </c>
      <c r="I56" s="147">
        <v>19.010199999999998</v>
      </c>
      <c r="J56" s="112">
        <v>15.2774</v>
      </c>
      <c r="K56" s="112">
        <v>16.823734230796841</v>
      </c>
      <c r="L56" s="126"/>
      <c r="M56" s="112"/>
      <c r="N56" s="126"/>
      <c r="O56" s="147"/>
      <c r="P56" s="147"/>
      <c r="Q56" s="147"/>
      <c r="R56" s="112"/>
      <c r="S56" s="112"/>
      <c r="T56" s="112"/>
      <c r="U56" s="146"/>
      <c r="V56" s="113"/>
      <c r="W56" s="113"/>
      <c r="X56" s="126"/>
      <c r="Y56" s="126"/>
    </row>
    <row r="57" spans="1:25" ht="14.7" customHeight="1">
      <c r="A57" s="131" t="s">
        <v>31</v>
      </c>
      <c r="B57" s="131"/>
      <c r="C57">
        <v>17.25167926931503</v>
      </c>
      <c r="D57">
        <v>12.055588963414451</v>
      </c>
      <c r="E57">
        <v>12.236049493106439</v>
      </c>
      <c r="F57">
        <v>11.884848731625882</v>
      </c>
      <c r="G57">
        <v>12.78024473065563</v>
      </c>
      <c r="H57">
        <v>18.251961313504342</v>
      </c>
      <c r="I57" s="146">
        <v>12.3719</v>
      </c>
      <c r="J57" s="144">
        <v>15.299399999999999</v>
      </c>
      <c r="K57" s="144">
        <v>12.520784858601314</v>
      </c>
      <c r="L57" s="126"/>
      <c r="M57" s="144"/>
      <c r="N57" s="126"/>
      <c r="O57" s="146"/>
      <c r="P57" s="146"/>
      <c r="Q57" s="146"/>
      <c r="R57" s="144"/>
      <c r="S57" s="144"/>
      <c r="T57" s="144"/>
      <c r="U57" s="146"/>
      <c r="V57" s="113"/>
      <c r="W57" s="113"/>
      <c r="X57" s="126"/>
      <c r="Y57" s="126"/>
    </row>
    <row r="58" spans="1:25" ht="14.7" customHeight="1">
      <c r="A58" s="131" t="s">
        <v>303</v>
      </c>
      <c r="B58" s="131"/>
      <c r="C58">
        <v>16.360072470885193</v>
      </c>
      <c r="D58">
        <v>16.876867098300181</v>
      </c>
      <c r="E58">
        <v>14.037864438129544</v>
      </c>
      <c r="F58">
        <v>15.70256881138593</v>
      </c>
      <c r="G58">
        <v>15.485708006106917</v>
      </c>
      <c r="H58">
        <v>15.977860403391928</v>
      </c>
      <c r="I58" s="147">
        <v>20.218399999999999</v>
      </c>
      <c r="J58" s="112">
        <v>15.759600000000001</v>
      </c>
      <c r="K58" s="112">
        <v>14.388922175507101</v>
      </c>
      <c r="L58" s="126"/>
      <c r="M58" s="112"/>
      <c r="N58" s="126"/>
      <c r="O58" s="147"/>
      <c r="P58" s="147"/>
      <c r="Q58" s="147"/>
      <c r="R58" s="112"/>
      <c r="S58" s="112"/>
      <c r="T58" s="112"/>
      <c r="U58" s="146"/>
      <c r="V58" s="113"/>
      <c r="W58" s="113"/>
      <c r="X58" s="126"/>
      <c r="Y58" s="126"/>
    </row>
    <row r="59" spans="1:25" ht="14.7" customHeight="1">
      <c r="A59" s="131" t="s">
        <v>32</v>
      </c>
      <c r="B59" s="131"/>
      <c r="C59">
        <v>18.880076595074243</v>
      </c>
      <c r="D59">
        <v>16.785511590574352</v>
      </c>
      <c r="E59">
        <v>19.522889845630132</v>
      </c>
      <c r="F59">
        <v>23.865560089132767</v>
      </c>
      <c r="G59">
        <v>16.760274909586965</v>
      </c>
      <c r="H59">
        <v>22.125837185649537</v>
      </c>
      <c r="I59" s="147">
        <v>22.9955</v>
      </c>
      <c r="J59" s="112">
        <v>15.6739</v>
      </c>
      <c r="K59" s="112">
        <v>17.945707019887656</v>
      </c>
      <c r="L59" s="126"/>
      <c r="M59" s="112"/>
      <c r="N59" s="126"/>
      <c r="O59" s="147"/>
      <c r="P59" s="147"/>
      <c r="Q59" s="147"/>
      <c r="R59" s="112"/>
      <c r="S59" s="112"/>
      <c r="T59" s="112"/>
      <c r="U59" s="147"/>
      <c r="V59" s="149"/>
      <c r="W59" s="149"/>
      <c r="X59" s="126"/>
      <c r="Y59" s="126"/>
    </row>
    <row r="60" spans="1:25" ht="14.7" customHeight="1">
      <c r="A60" s="131" t="s">
        <v>33</v>
      </c>
      <c r="B60" s="131"/>
      <c r="C60">
        <v>20.099662317372058</v>
      </c>
      <c r="D60">
        <v>19.319899584477433</v>
      </c>
      <c r="E60">
        <v>15.994273977479473</v>
      </c>
      <c r="F60">
        <v>17.07322013847531</v>
      </c>
      <c r="G60">
        <v>20.521629557423235</v>
      </c>
      <c r="H60">
        <v>25.137066159204192</v>
      </c>
      <c r="I60" s="147">
        <v>17.6526</v>
      </c>
      <c r="J60" s="112">
        <v>20.239999999999998</v>
      </c>
      <c r="K60" s="112">
        <v>14.035180367129602</v>
      </c>
      <c r="L60" s="126"/>
      <c r="M60" s="112"/>
      <c r="N60" s="126"/>
      <c r="O60" s="147"/>
      <c r="P60" s="147"/>
      <c r="Q60" s="147"/>
      <c r="R60" s="112"/>
      <c r="S60" s="112"/>
      <c r="T60" s="112"/>
      <c r="U60" s="147"/>
      <c r="V60" s="149"/>
      <c r="W60" s="149"/>
      <c r="X60" s="126"/>
      <c r="Y60" s="126"/>
    </row>
    <row r="61" spans="1:25" ht="14.7" customHeight="1">
      <c r="A61" s="131" t="s">
        <v>34</v>
      </c>
      <c r="B61" s="131"/>
      <c r="C61">
        <v>18.466633082611356</v>
      </c>
      <c r="D61">
        <v>21.313087616693917</v>
      </c>
      <c r="E61">
        <v>19.974974016135285</v>
      </c>
      <c r="F61">
        <v>26.123695249635382</v>
      </c>
      <c r="G61">
        <v>22.95709968361902</v>
      </c>
      <c r="H61">
        <v>26.089466962163133</v>
      </c>
      <c r="I61" s="147">
        <v>21.504300000000001</v>
      </c>
      <c r="J61" s="112">
        <v>18.668100000000003</v>
      </c>
      <c r="K61" s="112">
        <v>23.141166876284405</v>
      </c>
      <c r="L61" s="126"/>
      <c r="M61" s="112"/>
      <c r="N61" s="126"/>
      <c r="O61" s="147"/>
      <c r="P61" s="147"/>
      <c r="Q61" s="147"/>
      <c r="R61" s="112"/>
      <c r="S61" s="112"/>
      <c r="T61" s="112"/>
      <c r="U61" s="146"/>
      <c r="V61" s="113"/>
      <c r="W61" s="113"/>
      <c r="X61" s="126"/>
      <c r="Y61" s="126"/>
    </row>
    <row r="62" spans="1:25" ht="14.7" customHeight="1">
      <c r="A62" s="131" t="s">
        <v>35</v>
      </c>
      <c r="B62" s="131"/>
      <c r="C62">
        <v>17.718215109625305</v>
      </c>
      <c r="D62">
        <v>17.96394437658742</v>
      </c>
      <c r="E62">
        <v>18.184015320469442</v>
      </c>
      <c r="F62">
        <v>14.90745271535391</v>
      </c>
      <c r="G62">
        <v>13.951220277984369</v>
      </c>
      <c r="H62">
        <v>18.595791043615879</v>
      </c>
      <c r="I62" s="147">
        <v>17.837299999999999</v>
      </c>
      <c r="J62" s="112">
        <v>19.321099999999998</v>
      </c>
      <c r="K62" s="112">
        <v>17.654112574739948</v>
      </c>
      <c r="L62" s="126"/>
      <c r="M62" s="112"/>
      <c r="N62" s="126"/>
      <c r="O62" s="147"/>
      <c r="P62" s="147"/>
      <c r="Q62" s="147"/>
      <c r="R62" s="112"/>
      <c r="S62" s="112"/>
      <c r="T62" s="112"/>
      <c r="U62" s="146"/>
      <c r="V62" s="113"/>
      <c r="W62" s="113"/>
      <c r="X62" s="126"/>
      <c r="Y62" s="126"/>
    </row>
    <row r="63" spans="1:25" ht="14.7" customHeight="1">
      <c r="A63" s="131" t="s">
        <v>304</v>
      </c>
      <c r="B63" s="131"/>
      <c r="C63">
        <v>17.710464927547736</v>
      </c>
      <c r="D63">
        <v>15.855633161093447</v>
      </c>
      <c r="E63">
        <v>14.406786398216692</v>
      </c>
      <c r="F63">
        <v>13.429121396873464</v>
      </c>
      <c r="G63">
        <v>15.250287541254901</v>
      </c>
      <c r="H63">
        <v>17.115251092246201</v>
      </c>
      <c r="I63" s="147">
        <v>19.839000000000002</v>
      </c>
      <c r="J63" s="112">
        <v>16.882899999999999</v>
      </c>
      <c r="K63" s="112">
        <v>12.305258547674832</v>
      </c>
      <c r="L63" s="126"/>
      <c r="M63" s="112"/>
      <c r="N63" s="126"/>
      <c r="O63" s="147"/>
      <c r="P63" s="147"/>
      <c r="Q63" s="147"/>
      <c r="R63" s="112"/>
      <c r="S63" s="112"/>
      <c r="T63" s="112"/>
      <c r="U63" s="146"/>
      <c r="V63" s="113"/>
      <c r="W63" s="113"/>
      <c r="X63" s="126"/>
      <c r="Y63" s="126"/>
    </row>
    <row r="64" spans="1:25" ht="14.7" customHeight="1">
      <c r="A64" s="131" t="s">
        <v>812</v>
      </c>
      <c r="B64" s="131"/>
      <c r="C64">
        <v>17.677841765441823</v>
      </c>
      <c r="D64">
        <v>16.129795728294194</v>
      </c>
      <c r="E64">
        <v>14.103242736584088</v>
      </c>
      <c r="F64">
        <v>18.753723006323845</v>
      </c>
      <c r="G64">
        <v>15.237422256619054</v>
      </c>
      <c r="H64">
        <v>19.250770367257299</v>
      </c>
      <c r="I64" s="147">
        <v>17.5139</v>
      </c>
      <c r="J64" s="112">
        <v>16.7745</v>
      </c>
      <c r="K64" s="112">
        <v>14.228800242680995</v>
      </c>
      <c r="L64" s="126"/>
      <c r="M64" s="112"/>
      <c r="N64" s="126"/>
      <c r="O64" s="147"/>
      <c r="P64" s="147"/>
      <c r="Q64" s="147"/>
      <c r="R64" s="112"/>
      <c r="S64" s="112"/>
      <c r="T64" s="112"/>
      <c r="U64" s="146"/>
      <c r="V64" s="113"/>
      <c r="W64" s="113"/>
      <c r="X64" s="126"/>
      <c r="Y64" s="126"/>
    </row>
    <row r="65" spans="1:25" ht="14.7" customHeight="1">
      <c r="A65" s="131" t="s">
        <v>36</v>
      </c>
      <c r="B65" s="131"/>
      <c r="C65">
        <v>12.760965239068206</v>
      </c>
      <c r="D65">
        <v>10.726687105566475</v>
      </c>
      <c r="E65">
        <v>11.777246280646068</v>
      </c>
      <c r="F65">
        <v>8.082634406840743</v>
      </c>
      <c r="G65">
        <v>6.290175738681822</v>
      </c>
      <c r="H65">
        <v>14.74087246290034</v>
      </c>
      <c r="I65" s="147">
        <v>11.354000000000001</v>
      </c>
      <c r="J65" s="112">
        <v>10.452300000000001</v>
      </c>
      <c r="K65" s="112">
        <v>11.460920519984221</v>
      </c>
      <c r="L65" s="126"/>
      <c r="M65" s="112"/>
      <c r="N65" s="126"/>
      <c r="O65" s="147"/>
      <c r="P65" s="147"/>
      <c r="Q65" s="147"/>
      <c r="R65" s="112"/>
      <c r="S65" s="112"/>
      <c r="T65" s="112"/>
      <c r="U65" s="146"/>
      <c r="V65" s="113"/>
      <c r="W65" s="113"/>
      <c r="X65" s="126"/>
      <c r="Y65" s="126"/>
    </row>
    <row r="66" spans="1:25" ht="14.7" customHeight="1">
      <c r="A66" s="131" t="s">
        <v>37</v>
      </c>
      <c r="B66" s="131"/>
      <c r="C66">
        <v>24.524472070168077</v>
      </c>
      <c r="D66">
        <v>23.90239485970314</v>
      </c>
      <c r="E66">
        <v>22.525566204414936</v>
      </c>
      <c r="F66">
        <v>22.529543006306003</v>
      </c>
      <c r="G66">
        <v>20.65966008522587</v>
      </c>
      <c r="H66">
        <v>30.338706312997193</v>
      </c>
      <c r="I66" s="147">
        <v>27.188200000000002</v>
      </c>
      <c r="J66" s="112">
        <v>23.4237</v>
      </c>
      <c r="K66" s="112">
        <v>23.761991291355585</v>
      </c>
      <c r="L66" s="126"/>
      <c r="M66" s="112"/>
      <c r="N66" s="126"/>
      <c r="O66" s="147"/>
      <c r="P66" s="147"/>
      <c r="Q66" s="147"/>
      <c r="R66" s="112"/>
      <c r="S66" s="112"/>
      <c r="T66" s="112"/>
      <c r="U66" s="146"/>
      <c r="V66" s="113"/>
      <c r="W66" s="113"/>
      <c r="X66" s="126"/>
      <c r="Y66" s="126"/>
    </row>
    <row r="67" spans="1:25" ht="14.7" customHeight="1">
      <c r="A67" s="131" t="s">
        <v>38</v>
      </c>
      <c r="B67" s="131"/>
      <c r="C67">
        <v>15.03558312646833</v>
      </c>
      <c r="D67">
        <v>16.601931433840356</v>
      </c>
      <c r="E67">
        <v>14.879512750865292</v>
      </c>
      <c r="F67">
        <v>14.919892986892322</v>
      </c>
      <c r="G67">
        <v>15.82795202017131</v>
      </c>
      <c r="H67">
        <v>15.946480197706778</v>
      </c>
      <c r="I67" s="147">
        <v>22.591799999999999</v>
      </c>
      <c r="J67" s="112">
        <v>16.6892</v>
      </c>
      <c r="K67" s="112">
        <v>21.723567066898237</v>
      </c>
      <c r="L67" s="126"/>
      <c r="M67" s="112"/>
      <c r="N67" s="126"/>
      <c r="O67" s="147"/>
      <c r="P67" s="147"/>
      <c r="Q67" s="147"/>
      <c r="R67" s="112"/>
      <c r="S67" s="112"/>
      <c r="T67" s="112"/>
      <c r="U67" s="146"/>
      <c r="V67" s="113"/>
      <c r="W67" s="113"/>
      <c r="X67" s="126"/>
      <c r="Y67" s="126"/>
    </row>
    <row r="68" spans="1:25" ht="14.7" customHeight="1">
      <c r="A68" s="131" t="s">
        <v>39</v>
      </c>
      <c r="B68" s="131"/>
      <c r="C68">
        <v>12.838938177886611</v>
      </c>
      <c r="D68">
        <v>16.154235656688801</v>
      </c>
      <c r="E68">
        <v>14.340320067247889</v>
      </c>
      <c r="F68">
        <v>17.180006951238866</v>
      </c>
      <c r="G68">
        <v>14.718075956591703</v>
      </c>
      <c r="H68">
        <v>19.309183295281404</v>
      </c>
      <c r="I68" s="147">
        <v>17.831299999999999</v>
      </c>
      <c r="J68" s="112">
        <v>15.690499999999998</v>
      </c>
      <c r="K68" s="112">
        <v>14.931839908853616</v>
      </c>
      <c r="L68" s="126"/>
      <c r="M68" s="112"/>
      <c r="N68" s="126"/>
      <c r="O68" s="147"/>
      <c r="P68" s="147"/>
      <c r="Q68" s="147"/>
      <c r="R68" s="112"/>
      <c r="S68" s="112"/>
      <c r="T68" s="112"/>
      <c r="U68" s="147"/>
      <c r="V68" s="149"/>
      <c r="W68" s="149"/>
      <c r="X68" s="126"/>
      <c r="Y68" s="126"/>
    </row>
    <row r="69" spans="1:25" ht="14.7" customHeight="1">
      <c r="A69" s="131" t="s">
        <v>40</v>
      </c>
      <c r="B69" s="131"/>
      <c r="C69">
        <v>20.036832227855044</v>
      </c>
      <c r="D69">
        <v>16.753145241706406</v>
      </c>
      <c r="E69">
        <v>16.154762869642418</v>
      </c>
      <c r="F69">
        <v>20.936851783216852</v>
      </c>
      <c r="G69">
        <v>15.517286298621785</v>
      </c>
      <c r="H69">
        <v>24.048511116290282</v>
      </c>
      <c r="I69" s="147">
        <v>21.299900000000001</v>
      </c>
      <c r="J69" s="112">
        <v>19.164000000000001</v>
      </c>
      <c r="K69" s="112"/>
      <c r="L69" s="126"/>
      <c r="M69" s="112"/>
      <c r="N69" s="126"/>
      <c r="O69" s="147"/>
      <c r="P69" s="147"/>
      <c r="Q69" s="147"/>
      <c r="R69" s="112"/>
      <c r="S69" s="112"/>
      <c r="T69" s="112"/>
      <c r="U69" s="146"/>
      <c r="V69" s="113"/>
      <c r="W69" s="113"/>
      <c r="X69" s="126"/>
      <c r="Y69" s="126"/>
    </row>
    <row r="70" spans="1:25" ht="14.7" customHeight="1">
      <c r="A70" s="131" t="s">
        <v>370</v>
      </c>
      <c r="B70" s="131"/>
      <c r="C70">
        <v>30.360015180738714</v>
      </c>
      <c r="D70">
        <v>17.730310627804521</v>
      </c>
      <c r="E70">
        <v>11.359236339415959</v>
      </c>
      <c r="F70">
        <v>7.4974139312615637</v>
      </c>
      <c r="G70">
        <v>16.853175327501717</v>
      </c>
      <c r="H70">
        <v>29.349429958768404</v>
      </c>
      <c r="I70" s="147">
        <v>19.146799999999999</v>
      </c>
      <c r="J70" s="112">
        <v>20.325199999999999</v>
      </c>
      <c r="K70" s="112">
        <v>25.734692283751198</v>
      </c>
      <c r="L70" s="126"/>
      <c r="M70" s="112"/>
      <c r="N70" s="126"/>
      <c r="O70" s="147"/>
      <c r="P70" s="147"/>
      <c r="Q70" s="147"/>
      <c r="R70" s="112"/>
      <c r="S70" s="112"/>
      <c r="T70" s="112"/>
      <c r="U70" s="146"/>
      <c r="V70" s="113"/>
      <c r="W70" s="113"/>
      <c r="X70" s="126"/>
      <c r="Y70" s="126"/>
    </row>
    <row r="71" spans="1:25" ht="14.7" customHeight="1">
      <c r="A71" s="131" t="s">
        <v>41</v>
      </c>
      <c r="B71" s="131"/>
      <c r="C71">
        <v>14.535426854811313</v>
      </c>
      <c r="D71">
        <v>19.994282198401976</v>
      </c>
      <c r="E71">
        <v>18.293117738484263</v>
      </c>
      <c r="F71">
        <v>21.404022738984533</v>
      </c>
      <c r="G71">
        <v>18.878898477741991</v>
      </c>
      <c r="H71">
        <v>19.126104144441147</v>
      </c>
      <c r="I71" s="147">
        <v>19.587699999999998</v>
      </c>
      <c r="J71" s="112">
        <v>22.773800000000001</v>
      </c>
      <c r="K71" s="112">
        <v>22.688163821930118</v>
      </c>
      <c r="L71" s="126"/>
      <c r="M71" s="112"/>
      <c r="N71" s="126"/>
      <c r="O71" s="147"/>
      <c r="P71" s="147"/>
      <c r="Q71" s="147"/>
      <c r="R71" s="112"/>
      <c r="S71" s="112"/>
      <c r="T71" s="112"/>
      <c r="U71" s="146"/>
      <c r="V71" s="113"/>
      <c r="W71" s="113"/>
      <c r="X71" s="126"/>
      <c r="Y71" s="126"/>
    </row>
    <row r="72" spans="1:25" ht="14.7" customHeight="1">
      <c r="A72" s="131" t="s">
        <v>42</v>
      </c>
      <c r="B72" s="131"/>
      <c r="C72">
        <v>10.735208314258129</v>
      </c>
      <c r="D72">
        <v>9.1985999759477775</v>
      </c>
      <c r="E72">
        <v>16.980545465911508</v>
      </c>
      <c r="F72">
        <v>12.195196498542078</v>
      </c>
      <c r="G72">
        <v>8.0868758787806261</v>
      </c>
      <c r="H72">
        <v>14.366969310039334</v>
      </c>
      <c r="I72" s="147">
        <v>16.0444</v>
      </c>
      <c r="J72" s="112">
        <v>12.8772</v>
      </c>
      <c r="K72" s="112">
        <v>8.6197321840163177</v>
      </c>
      <c r="L72" s="126"/>
      <c r="M72" s="112"/>
      <c r="N72" s="126"/>
      <c r="O72" s="147"/>
      <c r="P72" s="147"/>
      <c r="Q72" s="147"/>
      <c r="R72" s="112"/>
      <c r="S72" s="112"/>
      <c r="T72" s="112"/>
      <c r="U72" s="146"/>
      <c r="V72" s="113"/>
      <c r="W72" s="113"/>
      <c r="X72" s="126"/>
      <c r="Y72" s="126"/>
    </row>
    <row r="73" spans="1:25" ht="14.7" customHeight="1">
      <c r="A73" s="131" t="s">
        <v>43</v>
      </c>
      <c r="B73" s="131"/>
      <c r="C73">
        <v>12.554990430449781</v>
      </c>
      <c r="D73">
        <v>14.506261509901494</v>
      </c>
      <c r="E73">
        <v>13.402400730139682</v>
      </c>
      <c r="F73">
        <v>11.481941141346768</v>
      </c>
      <c r="G73">
        <v>7.3648561319611616</v>
      </c>
      <c r="H73">
        <v>18.017233678405365</v>
      </c>
      <c r="I73" s="147">
        <v>18.2956</v>
      </c>
      <c r="J73" s="112">
        <v>12.208500000000001</v>
      </c>
      <c r="K73" s="112">
        <v>11.579199149309465</v>
      </c>
      <c r="L73" s="126"/>
      <c r="M73" s="112"/>
      <c r="N73" s="126"/>
      <c r="O73" s="147"/>
      <c r="P73" s="147"/>
      <c r="Q73" s="147"/>
      <c r="R73" s="112"/>
      <c r="S73" s="112"/>
      <c r="T73" s="112"/>
      <c r="U73" s="146"/>
      <c r="V73" s="113"/>
      <c r="W73" s="113"/>
      <c r="X73" s="126"/>
      <c r="Y73" s="126"/>
    </row>
    <row r="74" spans="1:25" ht="14.7" customHeight="1">
      <c r="A74" s="131" t="s">
        <v>305</v>
      </c>
      <c r="B74" s="131"/>
      <c r="C74">
        <v>14.580341929914722</v>
      </c>
      <c r="D74">
        <v>16.936715018805902</v>
      </c>
      <c r="E74">
        <v>13.642798925358479</v>
      </c>
      <c r="F74">
        <v>12.072185976476749</v>
      </c>
      <c r="G74">
        <v>14.096306455634929</v>
      </c>
      <c r="H74">
        <v>16.451293668785191</v>
      </c>
      <c r="I74" s="147">
        <v>13.822699999999999</v>
      </c>
      <c r="J74" s="112">
        <v>12.8194</v>
      </c>
      <c r="K74" s="112">
        <v>14.736420150086701</v>
      </c>
      <c r="L74" s="126"/>
      <c r="M74" s="112"/>
      <c r="N74" s="126"/>
      <c r="O74" s="147"/>
      <c r="P74" s="147"/>
      <c r="Q74" s="147"/>
      <c r="R74" s="112"/>
      <c r="S74" s="112"/>
      <c r="T74" s="112"/>
      <c r="U74" s="146"/>
      <c r="V74" s="113"/>
      <c r="W74" s="113"/>
      <c r="X74" s="126"/>
      <c r="Y74" s="126"/>
    </row>
    <row r="75" spans="1:25" ht="14.7" customHeight="1">
      <c r="A75" s="131" t="s">
        <v>44</v>
      </c>
      <c r="B75" s="131"/>
      <c r="C75">
        <v>20.887494948809124</v>
      </c>
      <c r="D75">
        <v>16.41335958197617</v>
      </c>
      <c r="E75">
        <v>16.92087125400063</v>
      </c>
      <c r="F75">
        <v>14.231563950158563</v>
      </c>
      <c r="G75">
        <v>18.97857093909996</v>
      </c>
      <c r="H75">
        <v>19.675742044908802</v>
      </c>
      <c r="I75" s="147">
        <v>14.985599999999998</v>
      </c>
      <c r="J75" s="112">
        <v>18.014600000000002</v>
      </c>
      <c r="K75" s="112">
        <v>14.183362037295097</v>
      </c>
      <c r="L75" s="126"/>
      <c r="M75" s="112"/>
      <c r="N75" s="126"/>
      <c r="O75" s="147"/>
      <c r="P75" s="147"/>
      <c r="Q75" s="147"/>
      <c r="R75" s="112"/>
      <c r="S75" s="112"/>
      <c r="T75" s="112"/>
      <c r="U75" s="146"/>
      <c r="V75" s="113"/>
      <c r="W75" s="113"/>
      <c r="X75" s="126"/>
      <c r="Y75" s="126"/>
    </row>
    <row r="76" spans="1:25" ht="14.7" customHeight="1">
      <c r="A76" s="131" t="s">
        <v>228</v>
      </c>
      <c r="B76" s="131"/>
      <c r="C76">
        <v>11.023342186312986</v>
      </c>
      <c r="D76">
        <v>12.625890652055233</v>
      </c>
      <c r="E76">
        <v>13.373516462511715</v>
      </c>
      <c r="F76">
        <v>12.41326889386592</v>
      </c>
      <c r="G76">
        <v>12.938747550455371</v>
      </c>
      <c r="H76">
        <v>11.657636231217591</v>
      </c>
      <c r="I76" s="147">
        <v>15.043799999999999</v>
      </c>
      <c r="J76" s="112">
        <v>9.5200999999999993</v>
      </c>
      <c r="K76" s="112">
        <v>14.755879353720339</v>
      </c>
      <c r="L76" s="126"/>
      <c r="M76" s="112"/>
      <c r="N76" s="126"/>
      <c r="O76" s="147"/>
      <c r="P76" s="147"/>
      <c r="Q76" s="147"/>
      <c r="R76" s="112"/>
      <c r="S76" s="112"/>
      <c r="T76" s="112"/>
      <c r="U76" s="147"/>
      <c r="V76" s="149"/>
      <c r="W76" s="149"/>
      <c r="X76" s="126"/>
      <c r="Y76" s="126"/>
    </row>
    <row r="77" spans="1:25" ht="14.7" customHeight="1">
      <c r="A77" s="131" t="s">
        <v>45</v>
      </c>
      <c r="B77" s="131"/>
      <c r="C77">
        <v>16.405090753204842</v>
      </c>
      <c r="D77">
        <v>18.706118942963322</v>
      </c>
      <c r="E77">
        <v>15.773500613639403</v>
      </c>
      <c r="F77">
        <v>14.907961180768488</v>
      </c>
      <c r="G77">
        <v>13.45688272564839</v>
      </c>
      <c r="H77">
        <v>13.256496935756438</v>
      </c>
      <c r="I77" s="147">
        <v>18.976900000000001</v>
      </c>
      <c r="J77" s="112">
        <v>15.195</v>
      </c>
      <c r="K77" s="112">
        <v>15.410557572049409</v>
      </c>
      <c r="L77" s="126"/>
      <c r="M77" s="112"/>
      <c r="N77" s="126"/>
      <c r="O77" s="147"/>
      <c r="P77" s="147"/>
      <c r="Q77" s="147"/>
      <c r="R77" s="112"/>
      <c r="S77" s="112"/>
      <c r="T77" s="112"/>
      <c r="U77" s="147"/>
      <c r="V77" s="149"/>
      <c r="W77" s="149"/>
      <c r="X77" s="126"/>
      <c r="Y77" s="126"/>
    </row>
    <row r="78" spans="1:25" ht="14.7" customHeight="1">
      <c r="A78" s="131" t="s">
        <v>46</v>
      </c>
      <c r="B78" s="131"/>
      <c r="C78">
        <v>12.76634938640747</v>
      </c>
      <c r="D78">
        <v>14.426274087070492</v>
      </c>
      <c r="E78">
        <v>13.679261214958597</v>
      </c>
      <c r="F78">
        <v>15.94377888106221</v>
      </c>
      <c r="G78">
        <v>12.813101925152026</v>
      </c>
      <c r="H78">
        <v>18.140026560635427</v>
      </c>
      <c r="I78" s="147">
        <v>13.793800000000001</v>
      </c>
      <c r="J78" s="112">
        <v>15.3459</v>
      </c>
      <c r="K78" s="112">
        <v>15.015793404181776</v>
      </c>
      <c r="L78" s="126"/>
      <c r="M78" s="112"/>
      <c r="N78" s="126"/>
      <c r="O78" s="147"/>
      <c r="P78" s="147"/>
      <c r="Q78" s="147"/>
      <c r="R78" s="112"/>
      <c r="S78" s="112"/>
      <c r="T78" s="112"/>
      <c r="U78" s="146"/>
      <c r="V78" s="113"/>
      <c r="W78" s="113"/>
      <c r="X78" s="126"/>
      <c r="Y78" s="126"/>
    </row>
    <row r="79" spans="1:25" ht="14.7" customHeight="1">
      <c r="A79" s="131" t="s">
        <v>201</v>
      </c>
      <c r="B79" s="131"/>
      <c r="C79">
        <v>14.503022356529153</v>
      </c>
      <c r="D79">
        <v>7.8177606318172623</v>
      </c>
      <c r="E79">
        <v>11.776770610125705</v>
      </c>
      <c r="F79">
        <v>6.8456903758797774</v>
      </c>
      <c r="G79">
        <v>12.760424141870516</v>
      </c>
      <c r="H79">
        <v>10.347687757224278</v>
      </c>
      <c r="I79" s="146">
        <v>9.9460000000000015</v>
      </c>
      <c r="J79" s="144">
        <v>12.846399999999999</v>
      </c>
      <c r="K79" s="144">
        <v>6.6083539403089961</v>
      </c>
      <c r="L79" s="126"/>
      <c r="M79" s="144"/>
      <c r="N79" s="126"/>
      <c r="O79" s="146"/>
      <c r="P79" s="146"/>
      <c r="Q79" s="146"/>
      <c r="R79" s="144"/>
      <c r="S79" s="144"/>
      <c r="T79" s="144"/>
      <c r="U79" s="146"/>
      <c r="V79" s="113"/>
      <c r="W79" s="113"/>
      <c r="X79" s="126"/>
      <c r="Y79" s="126"/>
    </row>
    <row r="80" spans="1:25" ht="14.7" customHeight="1">
      <c r="A80" s="131" t="s">
        <v>306</v>
      </c>
      <c r="B80" s="131"/>
      <c r="C80">
        <v>15.337860715073898</v>
      </c>
      <c r="D80">
        <v>14.37053052699356</v>
      </c>
      <c r="E80">
        <v>15.398990265904056</v>
      </c>
      <c r="F80">
        <v>13.937738672565597</v>
      </c>
      <c r="G80">
        <v>13.90390081578577</v>
      </c>
      <c r="H80">
        <v>16.742616824433576</v>
      </c>
      <c r="I80" s="147">
        <v>17.934699999999999</v>
      </c>
      <c r="J80" s="112">
        <v>14.782300000000001</v>
      </c>
      <c r="K80" s="112">
        <v>16.018311396308022</v>
      </c>
      <c r="L80" s="126"/>
      <c r="M80" s="112"/>
      <c r="N80" s="126"/>
      <c r="O80" s="147"/>
      <c r="P80" s="147"/>
      <c r="Q80" s="147"/>
      <c r="R80" s="112"/>
      <c r="S80" s="112"/>
      <c r="T80" s="112"/>
      <c r="U80" s="146"/>
      <c r="V80" s="113"/>
      <c r="W80" s="113"/>
      <c r="X80" s="126"/>
      <c r="Y80" s="126"/>
    </row>
    <row r="81" spans="1:25" ht="14.7" customHeight="1">
      <c r="A81" s="131" t="s">
        <v>47</v>
      </c>
      <c r="B81" s="131"/>
      <c r="C81">
        <v>10.851723659274599</v>
      </c>
      <c r="D81">
        <v>15.68168137375609</v>
      </c>
      <c r="E81">
        <v>9.8498184132364042</v>
      </c>
      <c r="F81">
        <v>16.270602505427746</v>
      </c>
      <c r="G81">
        <v>14.179586117059594</v>
      </c>
      <c r="H81">
        <v>11.645707665845965</v>
      </c>
      <c r="I81" s="147">
        <v>14.468500000000001</v>
      </c>
      <c r="J81" s="112">
        <v>17.373799999999999</v>
      </c>
      <c r="K81" s="112">
        <v>13.273069196328619</v>
      </c>
      <c r="L81" s="126"/>
      <c r="M81" s="112"/>
      <c r="N81" s="126"/>
      <c r="O81" s="147"/>
      <c r="P81" s="147"/>
      <c r="Q81" s="147"/>
      <c r="R81" s="112"/>
      <c r="S81" s="112"/>
      <c r="T81" s="112"/>
      <c r="U81" s="146"/>
      <c r="V81" s="113"/>
      <c r="W81" s="113"/>
      <c r="X81" s="126"/>
      <c r="Y81" s="126"/>
    </row>
    <row r="82" spans="1:25" ht="14.7" customHeight="1">
      <c r="A82" s="131" t="s">
        <v>264</v>
      </c>
      <c r="B82" s="131"/>
      <c r="C82">
        <v>16.324491989714851</v>
      </c>
      <c r="D82">
        <v>14.061586824644973</v>
      </c>
      <c r="E82">
        <v>12.202026469376026</v>
      </c>
      <c r="F82">
        <v>9.7567138319376259</v>
      </c>
      <c r="G82">
        <v>12.060640734530494</v>
      </c>
      <c r="H82">
        <v>16.069659269218366</v>
      </c>
      <c r="I82" s="147">
        <v>12.829599999999999</v>
      </c>
      <c r="J82" s="112">
        <v>12.2546</v>
      </c>
      <c r="K82" s="112">
        <v>12.934954480666184</v>
      </c>
      <c r="L82" s="126"/>
      <c r="M82" s="112"/>
      <c r="N82" s="126"/>
      <c r="O82" s="147"/>
      <c r="P82" s="147"/>
      <c r="Q82" s="147"/>
      <c r="R82" s="112"/>
      <c r="S82" s="112"/>
      <c r="T82" s="112"/>
      <c r="U82" s="146"/>
      <c r="V82" s="113"/>
      <c r="W82" s="113"/>
      <c r="X82" s="126"/>
      <c r="Y82" s="126"/>
    </row>
    <row r="83" spans="1:25" ht="14.7" customHeight="1">
      <c r="A83" s="131" t="s">
        <v>48</v>
      </c>
      <c r="B83" s="131"/>
      <c r="C83">
        <v>10.538296971679587</v>
      </c>
      <c r="D83">
        <v>9.3277928693258882</v>
      </c>
      <c r="E83">
        <v>10.396650886056099</v>
      </c>
      <c r="F83">
        <v>10.405382150729722</v>
      </c>
      <c r="G83">
        <v>8.8583717197447118</v>
      </c>
      <c r="H83">
        <v>11.599756391881339</v>
      </c>
      <c r="I83" s="147">
        <v>16.125</v>
      </c>
      <c r="J83" s="112">
        <v>9.5865000000000009</v>
      </c>
      <c r="K83" s="112">
        <v>9.6137899400222722</v>
      </c>
      <c r="L83" s="126"/>
      <c r="M83" s="112"/>
      <c r="N83" s="126"/>
      <c r="O83" s="147"/>
      <c r="P83" s="147"/>
      <c r="Q83" s="147"/>
      <c r="R83" s="112"/>
      <c r="S83" s="112"/>
      <c r="T83" s="112"/>
      <c r="U83" s="146"/>
      <c r="V83" s="113"/>
      <c r="W83" s="113"/>
      <c r="X83" s="126"/>
      <c r="Y83" s="126"/>
    </row>
    <row r="84" spans="1:25" ht="14.7" customHeight="1">
      <c r="A84" s="131" t="s">
        <v>49</v>
      </c>
      <c r="B84" s="131"/>
      <c r="C84">
        <v>16.260847983832143</v>
      </c>
      <c r="D84">
        <v>22.00938361263356</v>
      </c>
      <c r="E84">
        <v>14.989601319194321</v>
      </c>
      <c r="F84">
        <v>13.567235668060015</v>
      </c>
      <c r="G84">
        <v>14.031733319985983</v>
      </c>
      <c r="H84">
        <v>14.734363472760847</v>
      </c>
      <c r="I84" s="147">
        <v>17.617599999999999</v>
      </c>
      <c r="J84" s="112">
        <v>12.0603</v>
      </c>
      <c r="K84" s="112">
        <v>13.325942426255821</v>
      </c>
      <c r="L84" s="126"/>
      <c r="M84" s="112"/>
      <c r="N84" s="126"/>
      <c r="O84" s="147"/>
      <c r="P84" s="147"/>
      <c r="Q84" s="147"/>
      <c r="R84" s="112"/>
      <c r="S84" s="112"/>
      <c r="T84" s="112"/>
      <c r="U84" s="146"/>
      <c r="V84" s="113"/>
      <c r="W84" s="113"/>
      <c r="X84" s="126"/>
      <c r="Y84" s="126"/>
    </row>
    <row r="85" spans="1:25" ht="14.7" customHeight="1">
      <c r="A85" s="131" t="s">
        <v>265</v>
      </c>
      <c r="B85" s="131"/>
      <c r="C85">
        <v>15.445453131052151</v>
      </c>
      <c r="D85">
        <v>17.617088558899418</v>
      </c>
      <c r="E85">
        <v>18.039836535806252</v>
      </c>
      <c r="F85">
        <v>16.309169859514689</v>
      </c>
      <c r="G85">
        <v>15.913002842789831</v>
      </c>
      <c r="H85">
        <v>18.140030954778467</v>
      </c>
      <c r="I85" s="147">
        <v>12.1685</v>
      </c>
      <c r="J85" s="112">
        <v>17.3522</v>
      </c>
      <c r="K85" s="112">
        <v>13.947962931963536</v>
      </c>
      <c r="L85" s="126"/>
      <c r="M85" s="112"/>
      <c r="N85" s="126"/>
      <c r="O85" s="147"/>
      <c r="P85" s="147"/>
      <c r="Q85" s="147"/>
      <c r="R85" s="112"/>
      <c r="S85" s="112"/>
      <c r="T85" s="112"/>
      <c r="U85" s="146"/>
      <c r="V85" s="113"/>
      <c r="W85" s="113"/>
      <c r="X85" s="126"/>
      <c r="Y85" s="126"/>
    </row>
    <row r="86" spans="1:25" ht="14.7" customHeight="1">
      <c r="A86" s="131" t="s">
        <v>307</v>
      </c>
      <c r="B86" s="131"/>
      <c r="C86">
        <v>13.440519776593977</v>
      </c>
      <c r="D86">
        <v>12.664861089820633</v>
      </c>
      <c r="E86">
        <v>12.371215371041819</v>
      </c>
      <c r="F86">
        <v>12.671420470251549</v>
      </c>
      <c r="G86">
        <v>11.760927396667764</v>
      </c>
      <c r="H86">
        <v>14.465831630743962</v>
      </c>
      <c r="I86" s="147">
        <v>14.016</v>
      </c>
      <c r="J86" s="112">
        <v>13.4884</v>
      </c>
      <c r="K86" s="112">
        <v>13.91293811582649</v>
      </c>
      <c r="L86" s="126"/>
      <c r="M86" s="112"/>
      <c r="N86" s="126"/>
      <c r="O86" s="147"/>
      <c r="P86" s="147"/>
      <c r="Q86" s="147"/>
      <c r="R86" s="112"/>
      <c r="S86" s="112"/>
      <c r="T86" s="112"/>
      <c r="U86" s="147"/>
      <c r="V86" s="149"/>
      <c r="W86" s="149"/>
      <c r="X86" s="126"/>
      <c r="Y86" s="126"/>
    </row>
    <row r="87" spans="1:25" ht="14.7" customHeight="1">
      <c r="A87" s="131" t="s">
        <v>50</v>
      </c>
      <c r="B87" s="131"/>
      <c r="C87">
        <v>15.595714115556659</v>
      </c>
      <c r="D87">
        <v>17.972364787272436</v>
      </c>
      <c r="E87">
        <v>16.087046685098322</v>
      </c>
      <c r="F87">
        <v>13.46433473580456</v>
      </c>
      <c r="G87">
        <v>16.48860947366947</v>
      </c>
      <c r="H87">
        <v>14.299729980918036</v>
      </c>
      <c r="I87" s="147">
        <v>24.218899999999998</v>
      </c>
      <c r="J87" s="112">
        <v>18.276600000000002</v>
      </c>
      <c r="K87" s="112">
        <v>17.35651758530194</v>
      </c>
      <c r="L87" s="126"/>
      <c r="M87" s="112"/>
      <c r="N87" s="126"/>
      <c r="O87" s="147"/>
      <c r="P87" s="147"/>
      <c r="Q87" s="147"/>
      <c r="R87" s="112"/>
      <c r="S87" s="112"/>
      <c r="T87" s="112"/>
      <c r="U87" s="146"/>
      <c r="V87" s="113"/>
      <c r="W87" s="113"/>
      <c r="X87" s="126"/>
      <c r="Y87" s="126"/>
    </row>
    <row r="88" spans="1:25" ht="14.7" customHeight="1">
      <c r="A88" s="131" t="s">
        <v>308</v>
      </c>
      <c r="B88" s="131"/>
      <c r="C88">
        <v>15.126634599626598</v>
      </c>
      <c r="D88">
        <v>17.778474641131364</v>
      </c>
      <c r="E88">
        <v>16.188360120979162</v>
      </c>
      <c r="F88">
        <v>17.442122355311596</v>
      </c>
      <c r="G88">
        <v>18.115702806329047</v>
      </c>
      <c r="H88">
        <v>21.609163403598615</v>
      </c>
      <c r="I88" s="147">
        <v>20.747900000000001</v>
      </c>
      <c r="J88" s="112">
        <v>18.775200000000002</v>
      </c>
      <c r="K88" s="112">
        <v>20.569845842883787</v>
      </c>
      <c r="L88" s="126"/>
      <c r="M88" s="112"/>
      <c r="N88" s="126"/>
      <c r="O88" s="147"/>
      <c r="P88" s="147"/>
      <c r="Q88" s="147"/>
      <c r="R88" s="112"/>
      <c r="S88" s="112"/>
      <c r="T88" s="112"/>
      <c r="U88" s="146"/>
      <c r="V88" s="113"/>
      <c r="W88" s="113"/>
      <c r="X88" s="126"/>
      <c r="Y88" s="126"/>
    </row>
    <row r="89" spans="1:25" ht="14.7" customHeight="1">
      <c r="A89" s="131" t="s">
        <v>229</v>
      </c>
      <c r="B89" s="131"/>
      <c r="C89">
        <v>11.01231791717619</v>
      </c>
      <c r="D89">
        <v>18.315483686646296</v>
      </c>
      <c r="E89">
        <v>13.948296154825607</v>
      </c>
      <c r="F89">
        <v>14.389008821193272</v>
      </c>
      <c r="G89">
        <v>15.448704194700305</v>
      </c>
      <c r="H89">
        <v>18.759929928947621</v>
      </c>
      <c r="I89" s="147">
        <v>14.339499999999999</v>
      </c>
      <c r="J89" s="112">
        <v>15.773100000000001</v>
      </c>
      <c r="K89" s="112">
        <v>13.564783086077096</v>
      </c>
      <c r="L89" s="126"/>
      <c r="M89" s="112"/>
      <c r="N89" s="126"/>
      <c r="O89" s="147"/>
      <c r="P89" s="147"/>
      <c r="Q89" s="147"/>
      <c r="R89" s="112"/>
      <c r="S89" s="112"/>
      <c r="T89" s="112"/>
      <c r="U89" s="146"/>
      <c r="V89" s="113"/>
      <c r="W89" s="113"/>
      <c r="X89" s="126"/>
      <c r="Y89" s="126"/>
    </row>
    <row r="90" spans="1:25" ht="14.7" customHeight="1">
      <c r="A90" s="131" t="s">
        <v>309</v>
      </c>
      <c r="B90" s="131"/>
      <c r="C90">
        <v>17.842958349798216</v>
      </c>
      <c r="D90">
        <v>16.307690143892387</v>
      </c>
      <c r="E90">
        <v>14.578579147864584</v>
      </c>
      <c r="F90">
        <v>19.623437955992841</v>
      </c>
      <c r="G90">
        <v>15.978511917907213</v>
      </c>
      <c r="H90">
        <v>20.397592161621361</v>
      </c>
      <c r="I90" s="147">
        <v>18.091799999999999</v>
      </c>
      <c r="J90" s="112">
        <v>19.596</v>
      </c>
      <c r="K90" s="112"/>
      <c r="L90" s="126"/>
      <c r="M90" s="112"/>
      <c r="N90" s="126"/>
      <c r="O90" s="147"/>
      <c r="P90" s="147"/>
      <c r="Q90" s="147"/>
      <c r="R90" s="112"/>
      <c r="S90" s="112"/>
      <c r="T90" s="112"/>
      <c r="U90" s="147"/>
      <c r="V90" s="149"/>
      <c r="W90" s="149"/>
      <c r="X90" s="126"/>
      <c r="Y90" s="126"/>
    </row>
    <row r="91" spans="1:25" ht="14.7" customHeight="1">
      <c r="A91" s="131" t="s">
        <v>907</v>
      </c>
      <c r="B91" s="131"/>
      <c r="C91"/>
      <c r="D91"/>
      <c r="E91"/>
      <c r="F91"/>
      <c r="G91"/>
      <c r="H91"/>
      <c r="I91" s="147"/>
      <c r="J91" s="112"/>
      <c r="K91" s="112">
        <v>21.214615942843405</v>
      </c>
      <c r="L91" s="126"/>
      <c r="M91" s="112"/>
      <c r="N91" s="126"/>
      <c r="O91" s="147"/>
      <c r="P91" s="147"/>
      <c r="Q91" s="147"/>
      <c r="R91" s="112"/>
      <c r="S91" s="112"/>
      <c r="T91" s="112"/>
      <c r="U91" s="146"/>
      <c r="V91" s="113"/>
      <c r="W91" s="113"/>
      <c r="X91" s="126"/>
      <c r="Y91" s="126"/>
    </row>
    <row r="92" spans="1:25" ht="14.7" customHeight="1">
      <c r="A92" s="131" t="s">
        <v>51</v>
      </c>
      <c r="B92" s="131"/>
      <c r="C92">
        <v>20.349591868052041</v>
      </c>
      <c r="D92">
        <v>9.0239373403603249</v>
      </c>
      <c r="E92">
        <v>17.43969121986272</v>
      </c>
      <c r="F92">
        <v>15.719631349178851</v>
      </c>
      <c r="G92">
        <v>17.529900295869172</v>
      </c>
      <c r="H92">
        <v>21.20047545297858</v>
      </c>
      <c r="I92" s="147">
        <v>15.666600000000001</v>
      </c>
      <c r="J92" s="112">
        <v>17.5808</v>
      </c>
      <c r="K92" s="112">
        <v>18.013729224933677</v>
      </c>
      <c r="L92" s="126"/>
      <c r="M92" s="112"/>
      <c r="N92" s="126"/>
      <c r="O92" s="147"/>
      <c r="P92" s="147"/>
      <c r="Q92" s="147"/>
      <c r="R92" s="112"/>
      <c r="S92" s="112"/>
      <c r="T92" s="112"/>
      <c r="U92" s="146"/>
      <c r="V92" s="113"/>
      <c r="W92" s="113"/>
      <c r="X92" s="126"/>
      <c r="Y92" s="126"/>
    </row>
    <row r="93" spans="1:25" ht="14.7" customHeight="1">
      <c r="A93" s="131" t="s">
        <v>230</v>
      </c>
      <c r="B93" s="131"/>
      <c r="C93">
        <v>11.207745965840992</v>
      </c>
      <c r="D93">
        <v>7.1870157497115423</v>
      </c>
      <c r="E93">
        <v>8.0371349436749089</v>
      </c>
      <c r="F93">
        <v>7.3673954495733103</v>
      </c>
      <c r="G93">
        <v>8.578024532158528</v>
      </c>
      <c r="H93">
        <v>8.1053468298074396</v>
      </c>
      <c r="I93" s="147">
        <v>8.670300000000001</v>
      </c>
      <c r="J93" s="112">
        <v>9.9254999999999995</v>
      </c>
      <c r="K93" s="112">
        <v>7.6398698929340165</v>
      </c>
      <c r="L93" s="126"/>
      <c r="M93" s="112"/>
      <c r="N93" s="126"/>
      <c r="O93" s="147"/>
      <c r="P93" s="147"/>
      <c r="Q93" s="147"/>
      <c r="R93" s="112"/>
      <c r="S93" s="112"/>
      <c r="T93" s="112"/>
      <c r="U93" s="146"/>
      <c r="V93" s="113"/>
      <c r="W93" s="113"/>
      <c r="X93" s="126"/>
      <c r="Y93" s="126"/>
    </row>
    <row r="94" spans="1:25" ht="14.7" customHeight="1">
      <c r="A94" s="131" t="s">
        <v>266</v>
      </c>
      <c r="B94" s="131"/>
      <c r="C94">
        <v>11.623733322208381</v>
      </c>
      <c r="D94">
        <v>9.9753502582577624</v>
      </c>
      <c r="E94">
        <v>11.7999472450566</v>
      </c>
      <c r="F94">
        <v>12.648195667002307</v>
      </c>
      <c r="G94">
        <v>11.53602288477985</v>
      </c>
      <c r="H94">
        <v>13.755395077508132</v>
      </c>
      <c r="I94" s="147">
        <v>13.495099999999999</v>
      </c>
      <c r="J94" s="112">
        <v>10.7942</v>
      </c>
      <c r="K94" s="112">
        <v>9.9857686634970584</v>
      </c>
      <c r="L94" s="126"/>
      <c r="M94" s="112"/>
      <c r="N94" s="126"/>
      <c r="O94" s="147"/>
      <c r="P94" s="147"/>
      <c r="Q94" s="147"/>
      <c r="R94" s="112"/>
      <c r="S94" s="112"/>
      <c r="T94" s="112"/>
      <c r="U94" s="146"/>
      <c r="V94" s="113"/>
      <c r="W94" s="113"/>
      <c r="X94" s="126"/>
      <c r="Y94" s="126"/>
    </row>
    <row r="95" spans="1:25" ht="14.7" customHeight="1">
      <c r="A95" s="131" t="s">
        <v>202</v>
      </c>
      <c r="B95" s="131"/>
      <c r="C95">
        <v>14.658354434401391</v>
      </c>
      <c r="D95">
        <v>14.46369791994648</v>
      </c>
      <c r="E95">
        <v>16.024544830448225</v>
      </c>
      <c r="F95">
        <v>13.355881262955558</v>
      </c>
      <c r="G95">
        <v>15.035812930106268</v>
      </c>
      <c r="H95">
        <v>16.393394625216619</v>
      </c>
      <c r="I95" s="147">
        <v>18.026900000000001</v>
      </c>
      <c r="J95" s="112">
        <v>16.261300000000002</v>
      </c>
      <c r="K95" s="112">
        <v>13.927509308210762</v>
      </c>
      <c r="L95" s="126"/>
      <c r="M95" s="112"/>
      <c r="N95" s="126"/>
      <c r="O95" s="147"/>
      <c r="P95" s="147"/>
      <c r="Q95" s="147"/>
      <c r="R95" s="112"/>
      <c r="S95" s="112"/>
      <c r="T95" s="112"/>
      <c r="U95" s="146"/>
      <c r="V95" s="113"/>
      <c r="W95" s="113"/>
      <c r="X95" s="126"/>
      <c r="Y95" s="126"/>
    </row>
    <row r="96" spans="1:25" ht="14.7" customHeight="1">
      <c r="A96" s="131" t="s">
        <v>52</v>
      </c>
      <c r="B96" s="131"/>
      <c r="C96">
        <v>18.568168062218245</v>
      </c>
      <c r="D96">
        <v>20.238879985428639</v>
      </c>
      <c r="E96">
        <v>20.374102394674047</v>
      </c>
      <c r="F96">
        <v>16.656038822529943</v>
      </c>
      <c r="G96">
        <v>19.65669382502611</v>
      </c>
      <c r="H96">
        <v>24.978646787933183</v>
      </c>
      <c r="I96" s="147">
        <v>22.839000000000002</v>
      </c>
      <c r="J96" s="112">
        <v>28.075199999999999</v>
      </c>
      <c r="K96" s="112">
        <v>25.915533131882306</v>
      </c>
      <c r="L96" s="126"/>
      <c r="M96" s="112"/>
      <c r="N96" s="126"/>
      <c r="O96" s="147"/>
      <c r="P96" s="147"/>
      <c r="Q96" s="147"/>
      <c r="R96" s="112"/>
      <c r="S96" s="112"/>
      <c r="T96" s="112"/>
      <c r="U96" s="146"/>
      <c r="V96" s="113"/>
      <c r="W96" s="113"/>
      <c r="X96" s="126"/>
      <c r="Y96" s="126"/>
    </row>
    <row r="97" spans="1:25" ht="14.7" customHeight="1">
      <c r="A97" s="131" t="s">
        <v>53</v>
      </c>
      <c r="B97" s="131"/>
      <c r="C97">
        <v>17.329039376210872</v>
      </c>
      <c r="D97">
        <v>14.560036448285965</v>
      </c>
      <c r="E97">
        <v>18.947468269135122</v>
      </c>
      <c r="F97">
        <v>17.910304974485385</v>
      </c>
      <c r="G97">
        <v>19.492048198433729</v>
      </c>
      <c r="H97">
        <v>22.918998735422804</v>
      </c>
      <c r="I97" s="147">
        <v>18.847799999999999</v>
      </c>
      <c r="J97" s="112">
        <v>19.642699999999998</v>
      </c>
      <c r="K97" s="112">
        <v>18.572474285437107</v>
      </c>
      <c r="L97" s="126"/>
      <c r="M97" s="112"/>
      <c r="N97" s="126"/>
      <c r="O97" s="147"/>
      <c r="P97" s="147"/>
      <c r="Q97" s="147"/>
      <c r="R97" s="112"/>
      <c r="S97" s="112"/>
      <c r="T97" s="112"/>
      <c r="U97" s="146"/>
      <c r="V97" s="113"/>
      <c r="W97" s="113"/>
      <c r="X97" s="126"/>
      <c r="Y97" s="126"/>
    </row>
    <row r="98" spans="1:25" ht="14.7" customHeight="1">
      <c r="A98" s="131" t="s">
        <v>54</v>
      </c>
      <c r="B98" s="131"/>
      <c r="C98">
        <v>16.606148985833432</v>
      </c>
      <c r="D98">
        <v>18.515294913427276</v>
      </c>
      <c r="E98">
        <v>12.915644109570405</v>
      </c>
      <c r="F98">
        <v>21.52368896116187</v>
      </c>
      <c r="G98">
        <v>12.208772537175646</v>
      </c>
      <c r="H98">
        <v>19.727787749027407</v>
      </c>
      <c r="I98" s="147">
        <v>19.281400000000001</v>
      </c>
      <c r="J98" s="112">
        <v>21.608799999999999</v>
      </c>
      <c r="K98" s="112"/>
      <c r="L98" s="126"/>
      <c r="M98" s="112"/>
      <c r="N98" s="126"/>
      <c r="O98" s="147"/>
      <c r="P98" s="147"/>
      <c r="Q98" s="147"/>
      <c r="R98" s="112"/>
      <c r="S98" s="112"/>
      <c r="T98" s="112"/>
      <c r="U98" s="146"/>
      <c r="V98" s="113"/>
      <c r="W98" s="113"/>
      <c r="X98" s="126"/>
      <c r="Y98" s="126"/>
    </row>
    <row r="99" spans="1:25" ht="14.7" customHeight="1">
      <c r="A99" s="131" t="s">
        <v>55</v>
      </c>
      <c r="B99" s="131"/>
      <c r="C99">
        <v>16.229885540776788</v>
      </c>
      <c r="D99">
        <v>21.388141019505476</v>
      </c>
      <c r="E99">
        <v>15.525496877851982</v>
      </c>
      <c r="F99">
        <v>17.332956947865874</v>
      </c>
      <c r="G99">
        <v>15.344738511826536</v>
      </c>
      <c r="H99">
        <v>19.726052831508916</v>
      </c>
      <c r="I99" s="147">
        <v>22.380300000000002</v>
      </c>
      <c r="J99" s="112">
        <v>20.985500000000002</v>
      </c>
      <c r="K99" s="112">
        <v>15.288633696193148</v>
      </c>
      <c r="L99" s="126"/>
      <c r="M99" s="112"/>
      <c r="N99" s="126"/>
      <c r="O99" s="147"/>
      <c r="P99" s="147"/>
      <c r="Q99" s="147"/>
      <c r="R99" s="112"/>
      <c r="S99" s="112"/>
      <c r="T99" s="112"/>
      <c r="U99" s="146"/>
      <c r="V99" s="113"/>
      <c r="W99" s="113"/>
      <c r="X99" s="126"/>
      <c r="Y99" s="126"/>
    </row>
    <row r="100" spans="1:25" ht="14.7" customHeight="1">
      <c r="A100" s="131" t="s">
        <v>56</v>
      </c>
      <c r="B100" s="131"/>
      <c r="C100">
        <v>11.606327068556322</v>
      </c>
      <c r="D100">
        <v>15.751815813590339</v>
      </c>
      <c r="E100">
        <v>15.549095749279115</v>
      </c>
      <c r="F100">
        <v>12.963133179321574</v>
      </c>
      <c r="G100">
        <v>14.768565529548058</v>
      </c>
      <c r="H100">
        <v>22.857111249844539</v>
      </c>
      <c r="I100" s="147">
        <v>14.1295</v>
      </c>
      <c r="J100" s="112">
        <v>14.016300000000001</v>
      </c>
      <c r="K100" s="112">
        <v>17.63569429600161</v>
      </c>
      <c r="L100" s="126"/>
      <c r="M100" s="112"/>
      <c r="N100" s="126"/>
      <c r="O100" s="147"/>
      <c r="P100" s="147"/>
      <c r="Q100" s="147"/>
      <c r="R100" s="112"/>
      <c r="S100" s="112"/>
      <c r="T100" s="112"/>
      <c r="U100" s="146"/>
      <c r="V100" s="113"/>
      <c r="W100" s="113"/>
      <c r="X100" s="126"/>
      <c r="Y100" s="126"/>
    </row>
    <row r="101" spans="1:25" ht="14.7" customHeight="1">
      <c r="A101" s="131" t="s">
        <v>57</v>
      </c>
      <c r="B101" s="131"/>
      <c r="C101">
        <v>18.94015433111775</v>
      </c>
      <c r="D101">
        <v>17.228891719310468</v>
      </c>
      <c r="E101">
        <v>15.769609080175732</v>
      </c>
      <c r="F101">
        <v>19.948134448375683</v>
      </c>
      <c r="G101">
        <v>15.813197977696841</v>
      </c>
      <c r="H101">
        <v>24.146156828333794</v>
      </c>
      <c r="I101" s="147">
        <v>12.770899999999999</v>
      </c>
      <c r="J101" s="112">
        <v>14.490300000000001</v>
      </c>
      <c r="K101" s="112">
        <v>14.783623878592769</v>
      </c>
      <c r="L101" s="126"/>
      <c r="M101" s="112"/>
      <c r="N101" s="126"/>
      <c r="O101" s="147"/>
      <c r="P101" s="147"/>
      <c r="Q101" s="147"/>
      <c r="R101" s="112"/>
      <c r="S101" s="112"/>
      <c r="T101" s="112"/>
      <c r="U101" s="146"/>
      <c r="V101" s="113"/>
      <c r="W101" s="113"/>
      <c r="X101" s="126"/>
      <c r="Y101" s="126"/>
    </row>
    <row r="102" spans="1:25" ht="14.7" customHeight="1">
      <c r="A102" s="131" t="s">
        <v>58</v>
      </c>
      <c r="B102" s="131"/>
      <c r="C102">
        <v>10.918946071535988</v>
      </c>
      <c r="D102">
        <v>20.896876095413116</v>
      </c>
      <c r="E102">
        <v>14.3584334158763</v>
      </c>
      <c r="F102">
        <v>14.061619580730206</v>
      </c>
      <c r="G102">
        <v>16.162625133300104</v>
      </c>
      <c r="H102">
        <v>14.826055827666529</v>
      </c>
      <c r="I102" s="147">
        <v>16.131599999999999</v>
      </c>
      <c r="J102" s="112">
        <v>16.948399999999999</v>
      </c>
      <c r="K102" s="112">
        <v>15.435739864575353</v>
      </c>
      <c r="L102" s="126"/>
      <c r="M102" s="112"/>
      <c r="N102" s="126"/>
      <c r="O102" s="147"/>
      <c r="P102" s="147"/>
      <c r="Q102" s="147"/>
      <c r="R102" s="112"/>
      <c r="S102" s="112"/>
      <c r="T102" s="112"/>
      <c r="U102" s="146"/>
      <c r="V102" s="113"/>
      <c r="W102" s="113"/>
      <c r="X102" s="126"/>
      <c r="Y102" s="126"/>
    </row>
    <row r="103" spans="1:25" ht="14.7" customHeight="1">
      <c r="A103" s="131" t="s">
        <v>267</v>
      </c>
      <c r="B103" s="131"/>
      <c r="C103">
        <v>20.156602888263372</v>
      </c>
      <c r="D103">
        <v>21.244365744318124</v>
      </c>
      <c r="E103">
        <v>17.416721712256436</v>
      </c>
      <c r="F103">
        <v>21.796605077362177</v>
      </c>
      <c r="G103">
        <v>20.625050102495393</v>
      </c>
      <c r="H103">
        <v>17.664647348001118</v>
      </c>
      <c r="I103" s="147">
        <v>18.607299999999999</v>
      </c>
      <c r="J103" s="112">
        <v>17.627100000000002</v>
      </c>
      <c r="K103" s="112">
        <v>17.275442292247849</v>
      </c>
      <c r="L103" s="126"/>
      <c r="M103" s="112"/>
      <c r="N103" s="126"/>
      <c r="O103" s="147"/>
      <c r="P103" s="147"/>
      <c r="Q103" s="147"/>
      <c r="R103" s="112"/>
      <c r="S103" s="112"/>
      <c r="T103" s="112"/>
      <c r="U103" s="146"/>
      <c r="V103" s="113"/>
      <c r="W103" s="113"/>
      <c r="X103" s="126"/>
      <c r="Y103" s="126"/>
    </row>
    <row r="104" spans="1:25" ht="14.7" customHeight="1">
      <c r="A104" s="131" t="s">
        <v>59</v>
      </c>
      <c r="B104" s="131"/>
      <c r="C104">
        <v>16.588094850045511</v>
      </c>
      <c r="D104">
        <v>13.797243468857424</v>
      </c>
      <c r="E104">
        <v>15.63817308647851</v>
      </c>
      <c r="F104">
        <v>14.648474862851819</v>
      </c>
      <c r="G104">
        <v>16.229963827196677</v>
      </c>
      <c r="H104">
        <v>19.889953601746182</v>
      </c>
      <c r="I104" s="147">
        <v>13.4754</v>
      </c>
      <c r="J104" s="112">
        <v>23.968700000000002</v>
      </c>
      <c r="K104" s="112">
        <v>12.883004912520324</v>
      </c>
      <c r="L104" s="126"/>
      <c r="M104" s="112"/>
      <c r="N104" s="126"/>
      <c r="O104" s="147"/>
      <c r="P104" s="147"/>
      <c r="Q104" s="147"/>
      <c r="R104" s="112"/>
      <c r="S104" s="112"/>
      <c r="T104" s="112"/>
      <c r="U104" s="146"/>
      <c r="V104" s="113"/>
      <c r="W104" s="113"/>
      <c r="X104" s="126"/>
      <c r="Y104" s="126"/>
    </row>
    <row r="105" spans="1:25" ht="14.7" customHeight="1">
      <c r="A105" s="131" t="s">
        <v>908</v>
      </c>
      <c r="B105" s="131"/>
      <c r="C105"/>
      <c r="D105"/>
      <c r="E105"/>
      <c r="F105"/>
      <c r="G105"/>
      <c r="H105"/>
      <c r="I105" s="147"/>
      <c r="J105" s="112"/>
      <c r="K105" s="112">
        <v>21.592272617150616</v>
      </c>
      <c r="L105" s="126"/>
      <c r="M105" s="112"/>
      <c r="N105" s="126"/>
      <c r="O105" s="147"/>
      <c r="P105" s="147"/>
      <c r="Q105" s="147"/>
      <c r="R105" s="112"/>
      <c r="S105" s="112"/>
      <c r="T105" s="112"/>
      <c r="U105" s="146"/>
      <c r="V105" s="113"/>
      <c r="W105" s="113"/>
      <c r="X105" s="126"/>
      <c r="Y105" s="126"/>
    </row>
    <row r="106" spans="1:25" ht="14.7" customHeight="1">
      <c r="A106" s="131" t="s">
        <v>310</v>
      </c>
      <c r="B106" s="131"/>
      <c r="C106">
        <v>13.344442917593852</v>
      </c>
      <c r="D106">
        <v>11.956850586798458</v>
      </c>
      <c r="E106">
        <v>15.356317647757114</v>
      </c>
      <c r="F106">
        <v>14.014762102663935</v>
      </c>
      <c r="G106">
        <v>13.535310482314244</v>
      </c>
      <c r="H106">
        <v>13.610674289716254</v>
      </c>
      <c r="I106" s="147">
        <v>15.1896</v>
      </c>
      <c r="J106" s="112">
        <v>12.992999999999999</v>
      </c>
      <c r="K106" s="112">
        <v>13.818832595268283</v>
      </c>
      <c r="L106" s="126"/>
      <c r="M106" s="112"/>
      <c r="N106" s="126"/>
      <c r="O106" s="147"/>
      <c r="P106" s="147"/>
      <c r="Q106" s="147"/>
      <c r="R106" s="112"/>
      <c r="S106" s="112"/>
      <c r="T106" s="112"/>
      <c r="U106" s="146"/>
      <c r="V106" s="113"/>
      <c r="W106" s="113"/>
      <c r="X106" s="126"/>
      <c r="Y106" s="126"/>
    </row>
    <row r="107" spans="1:25" ht="14.7" customHeight="1">
      <c r="A107" s="131" t="s">
        <v>60</v>
      </c>
      <c r="B107" s="131"/>
      <c r="C107">
        <v>15.067946619898459</v>
      </c>
      <c r="D107">
        <v>17.286194631935249</v>
      </c>
      <c r="E107">
        <v>15.449994983059611</v>
      </c>
      <c r="F107">
        <v>11.75792613022068</v>
      </c>
      <c r="G107">
        <v>10.536396190838365</v>
      </c>
      <c r="H107">
        <v>10.856254590527662</v>
      </c>
      <c r="I107" s="147">
        <v>16.9559</v>
      </c>
      <c r="J107" s="112">
        <v>12.3371</v>
      </c>
      <c r="K107" s="112">
        <v>13.255046238646528</v>
      </c>
      <c r="L107" s="126"/>
      <c r="M107" s="112"/>
      <c r="N107" s="126"/>
      <c r="O107" s="147"/>
      <c r="P107" s="147"/>
      <c r="Q107" s="147"/>
      <c r="R107" s="112"/>
      <c r="S107" s="112"/>
      <c r="T107" s="112"/>
      <c r="U107" s="146"/>
      <c r="V107" s="113"/>
      <c r="W107" s="113"/>
      <c r="X107" s="126"/>
      <c r="Y107" s="126"/>
    </row>
    <row r="108" spans="1:25" ht="14.7" customHeight="1">
      <c r="A108" s="131" t="s">
        <v>61</v>
      </c>
      <c r="B108" s="131"/>
      <c r="C108">
        <v>13.465917180106185</v>
      </c>
      <c r="D108">
        <v>15.701763889736656</v>
      </c>
      <c r="E108">
        <v>15.380225041039267</v>
      </c>
      <c r="F108">
        <v>17.782315503738531</v>
      </c>
      <c r="G108">
        <v>18.693674056577599</v>
      </c>
      <c r="H108">
        <v>17.669712055120122</v>
      </c>
      <c r="I108" s="147">
        <v>18.247800000000002</v>
      </c>
      <c r="J108" s="112">
        <v>18.429200000000002</v>
      </c>
      <c r="K108" s="112">
        <v>21.19133335053575</v>
      </c>
      <c r="L108" s="126"/>
      <c r="M108" s="112"/>
      <c r="N108" s="126"/>
      <c r="O108" s="147"/>
      <c r="P108" s="147"/>
      <c r="Q108" s="147"/>
      <c r="R108" s="112"/>
      <c r="S108" s="112"/>
      <c r="T108" s="112"/>
      <c r="U108" s="146"/>
      <c r="V108" s="113"/>
      <c r="W108" s="113"/>
      <c r="X108" s="126"/>
      <c r="Y108" s="126"/>
    </row>
    <row r="109" spans="1:25" ht="14.7" customHeight="1">
      <c r="A109" s="131" t="s">
        <v>62</v>
      </c>
      <c r="B109" s="131"/>
      <c r="C109">
        <v>16.845613694604992</v>
      </c>
      <c r="D109">
        <v>15.485256782089069</v>
      </c>
      <c r="E109">
        <v>17.157169494664611</v>
      </c>
      <c r="F109">
        <v>17.686695459770231</v>
      </c>
      <c r="G109">
        <v>15.478713351053777</v>
      </c>
      <c r="H109">
        <v>15.636190074436202</v>
      </c>
      <c r="I109" s="147">
        <v>14.3545</v>
      </c>
      <c r="J109" s="112">
        <v>16.996300000000002</v>
      </c>
      <c r="K109" s="112">
        <v>17.368471444255732</v>
      </c>
      <c r="L109" s="126"/>
      <c r="M109" s="112"/>
      <c r="N109" s="126"/>
      <c r="O109" s="147"/>
      <c r="P109" s="147"/>
      <c r="Q109" s="147"/>
      <c r="R109" s="112"/>
      <c r="S109" s="112"/>
      <c r="T109" s="112"/>
      <c r="U109" s="146"/>
      <c r="V109" s="113"/>
      <c r="W109" s="113"/>
      <c r="X109" s="126"/>
      <c r="Y109" s="126"/>
    </row>
    <row r="110" spans="1:25" ht="14.7" customHeight="1">
      <c r="A110" s="131" t="s">
        <v>63</v>
      </c>
      <c r="B110" s="131"/>
      <c r="C110">
        <v>23.566426257691649</v>
      </c>
      <c r="D110">
        <v>23.825978422921988</v>
      </c>
      <c r="E110">
        <v>22.320780978912623</v>
      </c>
      <c r="F110">
        <v>20.991095625241968</v>
      </c>
      <c r="G110">
        <v>20.87066630335476</v>
      </c>
      <c r="H110">
        <v>27.678258642101888</v>
      </c>
      <c r="I110" s="147">
        <v>27.810200000000002</v>
      </c>
      <c r="J110" s="112">
        <v>28.019100000000002</v>
      </c>
      <c r="K110" s="112">
        <v>23.984668805215019</v>
      </c>
      <c r="L110" s="126"/>
      <c r="M110" s="112"/>
      <c r="N110" s="126"/>
      <c r="O110" s="147"/>
      <c r="P110" s="147"/>
      <c r="Q110" s="147"/>
      <c r="R110" s="112"/>
      <c r="S110" s="112"/>
      <c r="T110" s="112"/>
      <c r="U110" s="146"/>
      <c r="V110" s="113"/>
      <c r="W110" s="113"/>
      <c r="X110" s="126"/>
      <c r="Y110" s="126"/>
    </row>
    <row r="111" spans="1:25" ht="14.7" customHeight="1">
      <c r="A111" s="131" t="s">
        <v>203</v>
      </c>
      <c r="B111" s="131"/>
      <c r="C111">
        <v>13.212667435214348</v>
      </c>
      <c r="D111">
        <v>7.5878887814378029</v>
      </c>
      <c r="E111">
        <v>8.5555054713348575</v>
      </c>
      <c r="F111">
        <v>7.8839482163311381</v>
      </c>
      <c r="G111">
        <v>7.8827157024441012</v>
      </c>
      <c r="H111">
        <v>10.818458950463656</v>
      </c>
      <c r="I111" s="147">
        <v>8.9642999999999997</v>
      </c>
      <c r="J111" s="112">
        <v>9.7216000000000005</v>
      </c>
      <c r="K111" s="112">
        <v>10.267195950180803</v>
      </c>
      <c r="L111" s="126"/>
      <c r="M111" s="112"/>
      <c r="N111" s="126"/>
      <c r="O111" s="147"/>
      <c r="P111" s="147"/>
      <c r="Q111" s="147"/>
      <c r="R111" s="112"/>
      <c r="S111" s="112"/>
      <c r="T111" s="112"/>
      <c r="U111" s="146"/>
      <c r="V111" s="113"/>
      <c r="W111" s="113"/>
      <c r="X111" s="126"/>
      <c r="Y111" s="126"/>
    </row>
    <row r="112" spans="1:25" ht="14.7" customHeight="1">
      <c r="A112" s="131" t="s">
        <v>64</v>
      </c>
      <c r="B112" s="131"/>
      <c r="C112">
        <v>10.886846741052231</v>
      </c>
      <c r="D112">
        <v>14.585309073416038</v>
      </c>
      <c r="E112">
        <v>11.242358230231941</v>
      </c>
      <c r="F112">
        <v>11.106047197941553</v>
      </c>
      <c r="G112">
        <v>10.903430455734222</v>
      </c>
      <c r="H112">
        <v>17.812105517587185</v>
      </c>
      <c r="I112" s="147">
        <v>14.0847</v>
      </c>
      <c r="J112" s="112">
        <v>13.395899999999999</v>
      </c>
      <c r="K112" s="112">
        <v>12.771000407132895</v>
      </c>
      <c r="L112" s="126"/>
      <c r="M112" s="112"/>
      <c r="N112" s="126"/>
      <c r="O112" s="147"/>
      <c r="P112" s="147"/>
      <c r="Q112" s="147"/>
      <c r="R112" s="112"/>
      <c r="S112" s="112"/>
      <c r="T112" s="112"/>
      <c r="U112" s="146"/>
      <c r="V112" s="113"/>
      <c r="W112" s="113"/>
      <c r="X112" s="126"/>
      <c r="Y112" s="126"/>
    </row>
    <row r="113" spans="1:25" ht="14.7" customHeight="1">
      <c r="A113" s="131" t="s">
        <v>344</v>
      </c>
      <c r="B113" s="131"/>
      <c r="C113">
        <v>22.502852182945336</v>
      </c>
      <c r="D113">
        <v>18.469132573067032</v>
      </c>
      <c r="E113">
        <v>15.990676502474965</v>
      </c>
      <c r="F113">
        <v>15.24474089276552</v>
      </c>
      <c r="G113">
        <v>20.086580434267542</v>
      </c>
      <c r="H113">
        <v>21.896137788804193</v>
      </c>
      <c r="I113" s="147">
        <v>21.829599999999999</v>
      </c>
      <c r="J113" s="112">
        <v>22.331400000000002</v>
      </c>
      <c r="K113" s="112">
        <v>19.66408572878446</v>
      </c>
      <c r="L113" s="126"/>
      <c r="M113" s="112"/>
      <c r="N113" s="126"/>
      <c r="O113" s="147"/>
      <c r="P113" s="147"/>
      <c r="Q113" s="147"/>
      <c r="R113" s="112"/>
      <c r="S113" s="112"/>
      <c r="T113" s="112"/>
      <c r="U113" s="146"/>
      <c r="V113" s="113"/>
      <c r="W113" s="113"/>
      <c r="X113" s="126"/>
      <c r="Y113" s="126"/>
    </row>
    <row r="114" spans="1:25" ht="14.7" customHeight="1">
      <c r="A114" s="131" t="s">
        <v>65</v>
      </c>
      <c r="B114" s="131"/>
      <c r="C114">
        <v>18.083868329446311</v>
      </c>
      <c r="D114">
        <v>19.228006182299705</v>
      </c>
      <c r="E114">
        <v>18.524982277058541</v>
      </c>
      <c r="F114">
        <v>14.803398747851254</v>
      </c>
      <c r="G114">
        <v>15.514082077031995</v>
      </c>
      <c r="H114">
        <v>17.76351873389493</v>
      </c>
      <c r="I114" s="147">
        <v>16.915299999999998</v>
      </c>
      <c r="J114" s="112">
        <v>14.8614</v>
      </c>
      <c r="K114" s="112">
        <v>17.316148345551994</v>
      </c>
      <c r="L114" s="126"/>
      <c r="M114" s="112"/>
      <c r="N114" s="126"/>
      <c r="O114" s="147"/>
      <c r="P114" s="147"/>
      <c r="Q114" s="147"/>
      <c r="R114" s="112"/>
      <c r="S114" s="112"/>
      <c r="T114" s="112"/>
      <c r="U114" s="146"/>
      <c r="V114" s="113"/>
      <c r="W114" s="113"/>
      <c r="X114" s="126"/>
      <c r="Y114" s="126"/>
    </row>
    <row r="115" spans="1:25" ht="14.7" customHeight="1">
      <c r="A115" s="131" t="s">
        <v>311</v>
      </c>
      <c r="B115" s="131"/>
      <c r="C115">
        <v>14.586461158051451</v>
      </c>
      <c r="D115">
        <v>16.49311237544444</v>
      </c>
      <c r="E115">
        <v>14.124101498327645</v>
      </c>
      <c r="F115">
        <v>13.81305878745084</v>
      </c>
      <c r="G115">
        <v>13.892836301905811</v>
      </c>
      <c r="H115">
        <v>17.228956940986411</v>
      </c>
      <c r="I115" s="147">
        <v>16.528399999999998</v>
      </c>
      <c r="J115" s="112">
        <v>15.5161</v>
      </c>
      <c r="K115" s="112">
        <v>14.894377995293434</v>
      </c>
      <c r="L115" s="126"/>
      <c r="M115" s="112"/>
      <c r="N115" s="126"/>
      <c r="O115" s="147"/>
      <c r="P115" s="147"/>
      <c r="Q115" s="147"/>
      <c r="R115" s="112"/>
      <c r="S115" s="112"/>
      <c r="T115" s="112"/>
      <c r="U115" s="146"/>
      <c r="V115" s="113"/>
      <c r="W115" s="113"/>
      <c r="X115" s="126"/>
      <c r="Y115" s="126"/>
    </row>
    <row r="116" spans="1:25" ht="14.7" customHeight="1">
      <c r="A116" s="131" t="s">
        <v>66</v>
      </c>
      <c r="B116" s="131"/>
      <c r="C116">
        <v>19.827493175886215</v>
      </c>
      <c r="D116">
        <v>28.065608857183179</v>
      </c>
      <c r="E116">
        <v>22.745022097222922</v>
      </c>
      <c r="F116">
        <v>22.569476858635344</v>
      </c>
      <c r="G116">
        <v>26.186363781081855</v>
      </c>
      <c r="H116">
        <v>27.692960778078657</v>
      </c>
      <c r="I116" s="147">
        <v>33.292000000000002</v>
      </c>
      <c r="J116" s="112">
        <v>27.678000000000004</v>
      </c>
      <c r="K116" s="112">
        <v>32.224554012680088</v>
      </c>
      <c r="L116" s="126"/>
      <c r="M116" s="112"/>
      <c r="N116" s="126"/>
      <c r="O116" s="147"/>
      <c r="P116" s="147"/>
      <c r="Q116" s="147"/>
      <c r="R116" s="112"/>
      <c r="S116" s="112"/>
      <c r="T116" s="112"/>
      <c r="U116" s="147"/>
      <c r="V116" s="149"/>
      <c r="W116" s="149"/>
      <c r="X116" s="126"/>
      <c r="Y116" s="126"/>
    </row>
    <row r="117" spans="1:25" ht="14.7" customHeight="1">
      <c r="A117" s="131" t="s">
        <v>67</v>
      </c>
      <c r="B117" s="131"/>
      <c r="C117">
        <v>18.32887808538581</v>
      </c>
      <c r="D117">
        <v>20.895148988085879</v>
      </c>
      <c r="E117">
        <v>19.389653829250818</v>
      </c>
      <c r="F117">
        <v>25.596206099956238</v>
      </c>
      <c r="G117">
        <v>20.26867110799439</v>
      </c>
      <c r="H117">
        <v>23.252013972836338</v>
      </c>
      <c r="I117" s="147">
        <v>23.9452</v>
      </c>
      <c r="J117" s="112">
        <v>21.670500000000001</v>
      </c>
      <c r="K117" s="112">
        <v>19.598717612081344</v>
      </c>
      <c r="L117" s="126"/>
      <c r="M117" s="112"/>
      <c r="N117" s="126"/>
      <c r="O117" s="147"/>
      <c r="P117" s="147"/>
      <c r="Q117" s="147"/>
      <c r="R117" s="112"/>
      <c r="S117" s="112"/>
      <c r="T117" s="112"/>
      <c r="U117" s="146"/>
      <c r="V117" s="113"/>
      <c r="W117" s="113"/>
      <c r="X117" s="126"/>
      <c r="Y117" s="126"/>
    </row>
    <row r="118" spans="1:25" ht="14.7" customHeight="1">
      <c r="A118" s="131" t="s">
        <v>68</v>
      </c>
      <c r="B118" s="131"/>
      <c r="C118">
        <v>17.903671008585835</v>
      </c>
      <c r="D118">
        <v>19.355066263727839</v>
      </c>
      <c r="E118">
        <v>20.825722143542603</v>
      </c>
      <c r="F118">
        <v>21.542896323404118</v>
      </c>
      <c r="G118">
        <v>15.323517377654447</v>
      </c>
      <c r="H118">
        <v>15.456077411867991</v>
      </c>
      <c r="I118" s="147">
        <v>18.093500000000002</v>
      </c>
      <c r="J118" s="112">
        <v>15.3093</v>
      </c>
      <c r="K118" s="112">
        <v>19.821297621924014</v>
      </c>
      <c r="L118" s="126"/>
      <c r="M118" s="112"/>
      <c r="N118" s="126"/>
      <c r="O118" s="147"/>
      <c r="P118" s="147"/>
      <c r="Q118" s="147"/>
      <c r="R118" s="112"/>
      <c r="S118" s="112"/>
      <c r="T118" s="112"/>
      <c r="U118" s="146"/>
      <c r="V118" s="113"/>
      <c r="W118" s="113"/>
      <c r="X118" s="126"/>
      <c r="Y118" s="126"/>
    </row>
    <row r="119" spans="1:25" ht="14.7" customHeight="1">
      <c r="A119" s="131" t="s">
        <v>901</v>
      </c>
      <c r="B119" s="131"/>
      <c r="C119">
        <v>11.117422144469154</v>
      </c>
      <c r="D119">
        <v>11.547379907553633</v>
      </c>
      <c r="E119">
        <v>20.100960262937921</v>
      </c>
      <c r="F119">
        <v>15.025956487896167</v>
      </c>
      <c r="G119">
        <v>14.93975041445195</v>
      </c>
      <c r="H119">
        <v>16.221971651536617</v>
      </c>
      <c r="I119" s="147">
        <v>16.214700000000001</v>
      </c>
      <c r="J119" s="112">
        <v>21.8062</v>
      </c>
      <c r="K119" s="112">
        <v>15.540950047548899</v>
      </c>
      <c r="L119" s="126"/>
      <c r="M119" s="112"/>
      <c r="N119" s="126"/>
      <c r="O119" s="147"/>
      <c r="P119" s="147"/>
      <c r="Q119" s="147"/>
      <c r="R119" s="112"/>
      <c r="S119" s="112"/>
      <c r="T119" s="112"/>
      <c r="U119" s="146"/>
      <c r="V119" s="113"/>
      <c r="W119" s="113"/>
      <c r="X119" s="126"/>
      <c r="Y119" s="126"/>
    </row>
    <row r="120" spans="1:25" ht="14.7" customHeight="1">
      <c r="A120" s="131" t="s">
        <v>69</v>
      </c>
      <c r="B120" s="131"/>
      <c r="C120">
        <v>17.091650592300478</v>
      </c>
      <c r="D120">
        <v>18.285552620343246</v>
      </c>
      <c r="E120">
        <v>19.40207270681266</v>
      </c>
      <c r="F120">
        <v>19.227619753770441</v>
      </c>
      <c r="G120">
        <v>17.708205895237008</v>
      </c>
      <c r="H120">
        <v>19.386493932555364</v>
      </c>
      <c r="I120" s="146">
        <v>17.071000000000002</v>
      </c>
      <c r="J120" s="144">
        <v>17.561599999999999</v>
      </c>
      <c r="K120" s="144"/>
      <c r="L120" s="126"/>
      <c r="M120" s="144"/>
      <c r="N120" s="126"/>
      <c r="O120" s="146"/>
      <c r="P120" s="146"/>
      <c r="Q120" s="146"/>
      <c r="R120" s="144"/>
      <c r="S120" s="144"/>
      <c r="T120" s="144"/>
      <c r="U120" s="146"/>
      <c r="V120" s="113"/>
      <c r="W120" s="113"/>
      <c r="X120" s="126"/>
      <c r="Y120" s="126"/>
    </row>
    <row r="121" spans="1:25" ht="14.7" customHeight="1">
      <c r="A121" s="131" t="s">
        <v>70</v>
      </c>
      <c r="B121" s="131"/>
      <c r="C121">
        <v>14.346982608048926</v>
      </c>
      <c r="D121">
        <v>18.551885691268719</v>
      </c>
      <c r="E121">
        <v>12.683332104971104</v>
      </c>
      <c r="F121">
        <v>18.828170117766618</v>
      </c>
      <c r="G121">
        <v>14.877774152734563</v>
      </c>
      <c r="H121">
        <v>17.259257592938248</v>
      </c>
      <c r="I121" s="147">
        <v>16.785399999999999</v>
      </c>
      <c r="J121" s="112">
        <v>19.494</v>
      </c>
      <c r="K121" s="112">
        <v>13.704251454292013</v>
      </c>
      <c r="L121" s="126"/>
      <c r="M121" s="112"/>
      <c r="N121" s="126"/>
      <c r="O121" s="147"/>
      <c r="P121" s="147"/>
      <c r="Q121" s="147"/>
      <c r="R121" s="112"/>
      <c r="S121" s="112"/>
      <c r="T121" s="112"/>
      <c r="U121" s="146"/>
      <c r="V121" s="113"/>
      <c r="W121" s="113"/>
      <c r="X121" s="126"/>
      <c r="Y121" s="126"/>
    </row>
    <row r="122" spans="1:25" ht="14.7" customHeight="1">
      <c r="A122" s="131" t="s">
        <v>71</v>
      </c>
      <c r="B122" s="131"/>
      <c r="C122">
        <v>12.89680100403352</v>
      </c>
      <c r="D122">
        <v>13.151510943822299</v>
      </c>
      <c r="E122">
        <v>15.782745392714453</v>
      </c>
      <c r="F122">
        <v>17.169334867701416</v>
      </c>
      <c r="G122">
        <v>11.457968172860779</v>
      </c>
      <c r="H122">
        <v>19.152340326238733</v>
      </c>
      <c r="I122" s="147">
        <v>18.716699999999999</v>
      </c>
      <c r="J122" s="112">
        <v>14.486599999999999</v>
      </c>
      <c r="K122" s="112">
        <v>16.4446895856758</v>
      </c>
      <c r="L122" s="126"/>
      <c r="M122" s="112"/>
      <c r="N122" s="126"/>
      <c r="O122" s="147"/>
      <c r="P122" s="147"/>
      <c r="Q122" s="147"/>
      <c r="R122" s="112"/>
      <c r="S122" s="112"/>
      <c r="T122" s="112"/>
      <c r="U122" s="146"/>
      <c r="V122" s="113"/>
      <c r="W122" s="113"/>
      <c r="X122" s="126"/>
      <c r="Y122" s="126"/>
    </row>
    <row r="123" spans="1:25" ht="14.7" customHeight="1">
      <c r="A123" s="131" t="s">
        <v>231</v>
      </c>
      <c r="B123" s="131"/>
      <c r="C123">
        <v>9.9252150083687649</v>
      </c>
      <c r="D123">
        <v>8.974319954549598</v>
      </c>
      <c r="E123">
        <v>9.2668596017283882</v>
      </c>
      <c r="F123">
        <v>10.066868094482068</v>
      </c>
      <c r="G123">
        <v>9.2371919345731701</v>
      </c>
      <c r="H123">
        <v>11.277121998578099</v>
      </c>
      <c r="I123" s="147">
        <v>10.8033</v>
      </c>
      <c r="J123" s="112">
        <v>9.4901</v>
      </c>
      <c r="K123" s="112">
        <v>8.9452271263902716</v>
      </c>
      <c r="L123" s="126"/>
      <c r="M123" s="112"/>
      <c r="N123" s="126"/>
      <c r="O123" s="147"/>
      <c r="P123" s="147"/>
      <c r="Q123" s="147"/>
      <c r="R123" s="112"/>
      <c r="S123" s="112"/>
      <c r="T123" s="112"/>
      <c r="U123" s="146"/>
      <c r="V123" s="113"/>
      <c r="W123" s="113"/>
      <c r="X123" s="126"/>
      <c r="Y123" s="126"/>
    </row>
    <row r="124" spans="1:25" ht="14.7" customHeight="1">
      <c r="A124" s="131" t="s">
        <v>72</v>
      </c>
      <c r="B124" s="131"/>
      <c r="C124">
        <v>11.575646715998499</v>
      </c>
      <c r="D124">
        <v>9.3504532725101814</v>
      </c>
      <c r="E124">
        <v>16.331117766261158</v>
      </c>
      <c r="F124">
        <v>11.417951160726645</v>
      </c>
      <c r="G124">
        <v>13.139413872272138</v>
      </c>
      <c r="H124">
        <v>13.392933201602011</v>
      </c>
      <c r="I124" s="147">
        <v>12.623599999999998</v>
      </c>
      <c r="J124" s="112">
        <v>14.4361</v>
      </c>
      <c r="K124" s="112">
        <v>10.398923260996039</v>
      </c>
      <c r="L124" s="126"/>
      <c r="M124" s="112"/>
      <c r="N124" s="126"/>
      <c r="O124" s="147"/>
      <c r="P124" s="147"/>
      <c r="Q124" s="147"/>
      <c r="R124" s="112"/>
      <c r="S124" s="112"/>
      <c r="T124" s="112"/>
      <c r="U124" s="146"/>
      <c r="V124" s="113"/>
      <c r="W124" s="113"/>
      <c r="X124" s="126"/>
      <c r="Y124" s="126"/>
    </row>
    <row r="125" spans="1:25" ht="14.7" customHeight="1">
      <c r="A125" s="131" t="s">
        <v>73</v>
      </c>
      <c r="B125" s="131"/>
      <c r="C125">
        <v>17.881800266605651</v>
      </c>
      <c r="D125">
        <v>20.347288784787978</v>
      </c>
      <c r="E125">
        <v>16.905841240338638</v>
      </c>
      <c r="F125">
        <v>16.738108307583506</v>
      </c>
      <c r="G125">
        <v>13.869080234833659</v>
      </c>
      <c r="H125">
        <v>15.882262737062703</v>
      </c>
      <c r="I125" s="147">
        <v>19.498899999999999</v>
      </c>
      <c r="J125" s="112">
        <v>21.085799999999999</v>
      </c>
      <c r="K125" s="112">
        <v>18.124004910345036</v>
      </c>
      <c r="L125" s="126"/>
      <c r="M125" s="112"/>
      <c r="N125" s="126"/>
      <c r="O125" s="147"/>
      <c r="P125" s="147"/>
      <c r="Q125" s="147"/>
      <c r="R125" s="112"/>
      <c r="S125" s="112"/>
      <c r="T125" s="112"/>
      <c r="U125" s="146"/>
      <c r="V125" s="113"/>
      <c r="W125" s="113"/>
      <c r="X125" s="126"/>
      <c r="Y125" s="126"/>
    </row>
    <row r="126" spans="1:25" ht="14.7" customHeight="1">
      <c r="A126" s="131" t="s">
        <v>312</v>
      </c>
      <c r="B126" s="131"/>
      <c r="C126">
        <v>18.1896825962598</v>
      </c>
      <c r="D126">
        <v>18.932754384607627</v>
      </c>
      <c r="E126">
        <v>17.644481636774525</v>
      </c>
      <c r="F126">
        <v>19.142253369286813</v>
      </c>
      <c r="G126">
        <v>17.954844398902392</v>
      </c>
      <c r="H126">
        <v>20.132779314733686</v>
      </c>
      <c r="I126" s="147">
        <v>18.7135</v>
      </c>
      <c r="J126" s="112">
        <v>18.691500000000001</v>
      </c>
      <c r="K126" s="112">
        <v>17.475104043290408</v>
      </c>
      <c r="L126" s="126"/>
      <c r="M126" s="112"/>
      <c r="N126" s="126"/>
      <c r="O126" s="147"/>
      <c r="P126" s="147"/>
      <c r="Q126" s="147"/>
      <c r="R126" s="112"/>
      <c r="S126" s="112"/>
      <c r="T126" s="112"/>
      <c r="U126" s="146"/>
      <c r="V126" s="113"/>
      <c r="W126" s="113"/>
      <c r="X126" s="126"/>
      <c r="Y126" s="126"/>
    </row>
    <row r="127" spans="1:25" ht="14.7" customHeight="1">
      <c r="A127" s="131" t="s">
        <v>74</v>
      </c>
      <c r="B127" s="131"/>
      <c r="C127">
        <v>32.461660114963301</v>
      </c>
      <c r="D127">
        <v>24.104570772941837</v>
      </c>
      <c r="E127">
        <v>23.680943054055842</v>
      </c>
      <c r="F127">
        <v>23.862300932145168</v>
      </c>
      <c r="G127">
        <v>27.627027027027022</v>
      </c>
      <c r="H127">
        <v>28.09671679016769</v>
      </c>
      <c r="I127" s="147">
        <v>27.206900000000001</v>
      </c>
      <c r="J127" s="112">
        <v>23.7958</v>
      </c>
      <c r="K127" s="112">
        <v>22.531739024673385</v>
      </c>
      <c r="L127" s="126"/>
      <c r="M127" s="112"/>
      <c r="N127" s="126"/>
      <c r="O127" s="147"/>
      <c r="P127" s="147"/>
      <c r="Q127" s="147"/>
      <c r="R127" s="112"/>
      <c r="S127" s="112"/>
      <c r="T127" s="112"/>
      <c r="U127" s="146"/>
      <c r="V127" s="113"/>
      <c r="W127" s="113"/>
      <c r="X127" s="126"/>
      <c r="Y127" s="126"/>
    </row>
    <row r="128" spans="1:25" ht="14.7" customHeight="1">
      <c r="A128" s="131" t="s">
        <v>75</v>
      </c>
      <c r="B128" s="131"/>
      <c r="C128">
        <v>14.927408345137449</v>
      </c>
      <c r="D128">
        <v>10.131423509177743</v>
      </c>
      <c r="E128">
        <v>12.967779908973556</v>
      </c>
      <c r="F128">
        <v>10.757748514369116</v>
      </c>
      <c r="G128">
        <v>12.836870406312642</v>
      </c>
      <c r="H128">
        <v>12.018433042430477</v>
      </c>
      <c r="I128" s="147">
        <v>13.752500000000001</v>
      </c>
      <c r="J128" s="112">
        <v>13.542599999999998</v>
      </c>
      <c r="K128" s="112">
        <v>11.557937706419104</v>
      </c>
      <c r="L128" s="126"/>
      <c r="M128" s="112"/>
      <c r="N128" s="126"/>
      <c r="O128" s="147"/>
      <c r="P128" s="147"/>
      <c r="Q128" s="147"/>
      <c r="R128" s="112"/>
      <c r="S128" s="112"/>
      <c r="T128" s="112"/>
      <c r="U128" s="147"/>
      <c r="V128" s="149"/>
      <c r="W128" s="149"/>
      <c r="X128" s="126"/>
      <c r="Y128" s="126"/>
    </row>
    <row r="129" spans="1:25" ht="14.7" customHeight="1">
      <c r="A129" s="131" t="s">
        <v>76</v>
      </c>
      <c r="B129" s="131"/>
      <c r="C129">
        <v>13.825673201091124</v>
      </c>
      <c r="D129">
        <v>19.262094726886147</v>
      </c>
      <c r="E129">
        <v>13.427229547054564</v>
      </c>
      <c r="F129">
        <v>10.475828956007879</v>
      </c>
      <c r="G129">
        <v>13.691417905964249</v>
      </c>
      <c r="H129">
        <v>16.385291623158334</v>
      </c>
      <c r="I129" s="147">
        <v>17.966699999999999</v>
      </c>
      <c r="J129" s="112">
        <v>15.104200000000001</v>
      </c>
      <c r="K129" s="112">
        <v>18.391647914025448</v>
      </c>
      <c r="L129" s="126"/>
      <c r="M129" s="112"/>
      <c r="N129" s="126"/>
      <c r="O129" s="147"/>
      <c r="P129" s="147"/>
      <c r="Q129" s="147"/>
      <c r="R129" s="112"/>
      <c r="S129" s="112"/>
      <c r="T129" s="112"/>
      <c r="U129" s="146"/>
      <c r="V129" s="113"/>
      <c r="W129" s="113"/>
      <c r="X129" s="126"/>
      <c r="Y129" s="126"/>
    </row>
    <row r="130" spans="1:25" ht="14.7" customHeight="1">
      <c r="A130" s="131" t="s">
        <v>204</v>
      </c>
      <c r="B130" s="131"/>
      <c r="C130">
        <v>11.715352850558929</v>
      </c>
      <c r="D130">
        <v>13.978050237885808</v>
      </c>
      <c r="E130">
        <v>11.098744735035741</v>
      </c>
      <c r="F130">
        <v>11.606152443330885</v>
      </c>
      <c r="G130">
        <v>7.6834786275068625</v>
      </c>
      <c r="H130">
        <v>13.133820863767751</v>
      </c>
      <c r="I130" s="147">
        <v>16.993200000000002</v>
      </c>
      <c r="J130" s="112">
        <v>14.804600000000001</v>
      </c>
      <c r="K130" s="112">
        <v>16.626382544027773</v>
      </c>
      <c r="L130" s="126"/>
      <c r="M130" s="112"/>
      <c r="N130" s="126"/>
      <c r="O130" s="147"/>
      <c r="P130" s="147"/>
      <c r="Q130" s="147"/>
      <c r="R130" s="112"/>
      <c r="S130" s="112"/>
      <c r="T130" s="112"/>
      <c r="U130" s="146"/>
      <c r="V130" s="113"/>
      <c r="W130" s="113"/>
      <c r="X130" s="126"/>
      <c r="Y130" s="126"/>
    </row>
    <row r="131" spans="1:25" ht="14.7" customHeight="1">
      <c r="A131" s="131" t="s">
        <v>77</v>
      </c>
      <c r="B131" s="131"/>
      <c r="C131">
        <v>19.18759415143743</v>
      </c>
      <c r="D131">
        <v>22.980841842071587</v>
      </c>
      <c r="E131">
        <v>16.77841733115697</v>
      </c>
      <c r="F131">
        <v>19.705413288540953</v>
      </c>
      <c r="G131">
        <v>21.622507479052693</v>
      </c>
      <c r="H131">
        <v>24.929179132557515</v>
      </c>
      <c r="I131" s="147">
        <v>21.7407</v>
      </c>
      <c r="J131" s="112">
        <v>23.240400000000001</v>
      </c>
      <c r="K131" s="112">
        <v>27.795212606268326</v>
      </c>
      <c r="L131" s="126"/>
      <c r="M131" s="112"/>
      <c r="N131" s="126"/>
      <c r="O131" s="147"/>
      <c r="P131" s="147"/>
      <c r="Q131" s="147"/>
      <c r="R131" s="112"/>
      <c r="S131" s="112"/>
      <c r="T131" s="112"/>
      <c r="U131" s="146"/>
      <c r="V131" s="113"/>
      <c r="W131" s="113"/>
      <c r="X131" s="126"/>
      <c r="Y131" s="126"/>
    </row>
    <row r="132" spans="1:25" ht="14.7" customHeight="1">
      <c r="A132" s="131" t="s">
        <v>205</v>
      </c>
      <c r="B132" s="131"/>
      <c r="C132">
        <v>25.887742853887268</v>
      </c>
      <c r="D132">
        <v>21.994872226484418</v>
      </c>
      <c r="E132">
        <v>21.841419779484113</v>
      </c>
      <c r="F132">
        <v>24.108132241177856</v>
      </c>
      <c r="G132">
        <v>25.215271761991925</v>
      </c>
      <c r="H132">
        <v>35.938015945786098</v>
      </c>
      <c r="I132" s="147">
        <v>30.545099999999998</v>
      </c>
      <c r="J132" s="112">
        <v>28.268300000000004</v>
      </c>
      <c r="K132" s="112">
        <v>30.801146880430242</v>
      </c>
      <c r="L132" s="126"/>
      <c r="M132" s="112"/>
      <c r="N132" s="126"/>
      <c r="O132" s="147"/>
      <c r="P132" s="147"/>
      <c r="Q132" s="147"/>
      <c r="R132" s="112"/>
      <c r="S132" s="112"/>
      <c r="T132" s="112"/>
      <c r="U132" s="146"/>
      <c r="V132" s="113"/>
      <c r="W132" s="113"/>
      <c r="X132" s="126"/>
      <c r="Y132" s="126"/>
    </row>
    <row r="133" spans="1:25" ht="14.7" customHeight="1">
      <c r="A133" s="131" t="s">
        <v>268</v>
      </c>
      <c r="B133" s="131"/>
      <c r="C133">
        <v>11.371931293982865</v>
      </c>
      <c r="D133">
        <v>11.592710889134409</v>
      </c>
      <c r="E133">
        <v>13.294218264216953</v>
      </c>
      <c r="F133">
        <v>12.221917664652555</v>
      </c>
      <c r="G133">
        <v>11.589389485742469</v>
      </c>
      <c r="H133">
        <v>14.861375536916018</v>
      </c>
      <c r="I133" s="147">
        <v>12.479899999999999</v>
      </c>
      <c r="J133" s="112">
        <v>14.2232</v>
      </c>
      <c r="K133" s="112">
        <v>12.149406744405891</v>
      </c>
      <c r="L133" s="126"/>
      <c r="M133" s="112"/>
      <c r="N133" s="126"/>
      <c r="O133" s="147"/>
      <c r="P133" s="147"/>
      <c r="Q133" s="147"/>
      <c r="R133" s="112"/>
      <c r="S133" s="112"/>
      <c r="T133" s="112"/>
      <c r="U133" s="146"/>
      <c r="V133" s="113"/>
      <c r="W133" s="113"/>
      <c r="X133" s="126"/>
      <c r="Y133" s="126"/>
    </row>
    <row r="134" spans="1:25" ht="14.7" customHeight="1">
      <c r="A134" s="131" t="s">
        <v>78</v>
      </c>
      <c r="B134" s="131"/>
      <c r="C134">
        <v>18.369107793981627</v>
      </c>
      <c r="D134">
        <v>18.540008505394077</v>
      </c>
      <c r="E134">
        <v>17.649597211762082</v>
      </c>
      <c r="F134">
        <v>17.457405460155265</v>
      </c>
      <c r="G134">
        <v>17.754558427766906</v>
      </c>
      <c r="H134">
        <v>19.170714580840759</v>
      </c>
      <c r="I134" s="147">
        <v>18.4374</v>
      </c>
      <c r="J134" s="112">
        <v>16.334699999999998</v>
      </c>
      <c r="K134" s="112">
        <v>17.455699515012597</v>
      </c>
      <c r="L134" s="126"/>
      <c r="M134" s="112"/>
      <c r="N134" s="126"/>
      <c r="O134" s="147"/>
      <c r="P134" s="147"/>
      <c r="Q134" s="147"/>
      <c r="R134" s="112"/>
      <c r="S134" s="112"/>
      <c r="T134" s="112"/>
      <c r="U134" s="146"/>
      <c r="V134" s="113"/>
      <c r="W134" s="113"/>
      <c r="X134" s="126"/>
      <c r="Y134" s="126"/>
    </row>
    <row r="135" spans="1:25" ht="14.7" customHeight="1">
      <c r="A135" s="131" t="s">
        <v>336</v>
      </c>
      <c r="B135" s="131"/>
      <c r="C135">
        <v>19.952749780408656</v>
      </c>
      <c r="D135">
        <v>19.963064960544418</v>
      </c>
      <c r="E135">
        <v>23.647913123418419</v>
      </c>
      <c r="F135">
        <v>24.033719578204565</v>
      </c>
      <c r="G135">
        <v>20.070957633541322</v>
      </c>
      <c r="H135">
        <v>36.942786074144266</v>
      </c>
      <c r="I135" s="147">
        <v>26.379300000000001</v>
      </c>
      <c r="J135" s="112">
        <v>23.710700000000003</v>
      </c>
      <c r="K135" s="112">
        <v>30.862481626002907</v>
      </c>
      <c r="L135" s="126"/>
      <c r="M135" s="112"/>
      <c r="N135" s="126"/>
      <c r="O135" s="147"/>
      <c r="P135" s="147"/>
      <c r="Q135" s="147"/>
      <c r="R135" s="112"/>
      <c r="S135" s="112"/>
      <c r="T135" s="112"/>
      <c r="U135" s="146"/>
      <c r="V135" s="113"/>
      <c r="W135" s="113"/>
      <c r="X135" s="126"/>
      <c r="Y135" s="126"/>
    </row>
    <row r="136" spans="1:25" ht="14.7" customHeight="1">
      <c r="A136" s="131" t="s">
        <v>313</v>
      </c>
      <c r="B136" s="131"/>
      <c r="C136">
        <v>20.510863251532932</v>
      </c>
      <c r="D136">
        <v>19.434783508102711</v>
      </c>
      <c r="E136">
        <v>19.605294202307569</v>
      </c>
      <c r="F136">
        <v>18.819905308582911</v>
      </c>
      <c r="G136">
        <v>18.991758135688201</v>
      </c>
      <c r="H136">
        <v>19.338391025127731</v>
      </c>
      <c r="I136" s="147">
        <v>20.968299999999999</v>
      </c>
      <c r="J136" s="112">
        <v>19.726900000000001</v>
      </c>
      <c r="K136" s="112">
        <v>18.924173536281611</v>
      </c>
      <c r="L136" s="126"/>
      <c r="M136" s="112"/>
      <c r="N136" s="126"/>
      <c r="O136" s="147"/>
      <c r="P136" s="147"/>
      <c r="Q136" s="147"/>
      <c r="R136" s="112"/>
      <c r="S136" s="112"/>
      <c r="T136" s="112"/>
      <c r="U136" s="146"/>
      <c r="V136" s="113"/>
      <c r="W136" s="113"/>
      <c r="X136" s="126"/>
      <c r="Y136" s="126"/>
    </row>
    <row r="137" spans="1:25" ht="14.7" customHeight="1">
      <c r="A137" s="131" t="s">
        <v>79</v>
      </c>
      <c r="B137" s="131"/>
      <c r="C137">
        <v>16.630590630102418</v>
      </c>
      <c r="D137">
        <v>14.787632513996998</v>
      </c>
      <c r="E137">
        <v>17.234430285541702</v>
      </c>
      <c r="F137">
        <v>17.607683294038875</v>
      </c>
      <c r="G137">
        <v>21.037835070923261</v>
      </c>
      <c r="H137">
        <v>14.367599214279839</v>
      </c>
      <c r="I137" s="147">
        <v>21.232699999999998</v>
      </c>
      <c r="J137" s="112">
        <v>17.6904</v>
      </c>
      <c r="K137" s="112">
        <v>16.172171629605756</v>
      </c>
      <c r="L137" s="126"/>
      <c r="M137" s="112"/>
      <c r="N137" s="126"/>
      <c r="O137" s="147"/>
      <c r="P137" s="147"/>
      <c r="Q137" s="147"/>
      <c r="R137" s="112"/>
      <c r="S137" s="112"/>
      <c r="T137" s="112"/>
      <c r="U137" s="146"/>
      <c r="V137" s="113"/>
      <c r="W137" s="113"/>
      <c r="X137" s="126"/>
      <c r="Y137" s="126"/>
    </row>
    <row r="138" spans="1:25" ht="14.7" customHeight="1">
      <c r="A138" s="131" t="s">
        <v>206</v>
      </c>
      <c r="B138" s="131"/>
      <c r="C138">
        <v>14.243646102598587</v>
      </c>
      <c r="D138">
        <v>15.917969294646605</v>
      </c>
      <c r="E138">
        <v>16.344903142414651</v>
      </c>
      <c r="F138">
        <v>15.227888114039171</v>
      </c>
      <c r="G138">
        <v>14.091792347678558</v>
      </c>
      <c r="H138">
        <v>18.923576085453742</v>
      </c>
      <c r="I138" s="147">
        <v>18.477799999999998</v>
      </c>
      <c r="J138" s="112">
        <v>15.552099999999999</v>
      </c>
      <c r="K138" s="112">
        <v>19.576538098379835</v>
      </c>
      <c r="L138" s="126"/>
      <c r="M138" s="112"/>
      <c r="N138" s="126"/>
      <c r="O138" s="147"/>
      <c r="P138" s="147"/>
      <c r="Q138" s="147"/>
      <c r="R138" s="112"/>
      <c r="S138" s="112"/>
      <c r="T138" s="112"/>
      <c r="U138" s="146"/>
      <c r="V138" s="113"/>
      <c r="W138" s="113"/>
      <c r="X138" s="126"/>
      <c r="Y138" s="126"/>
    </row>
    <row r="139" spans="1:25" ht="14.7" customHeight="1">
      <c r="A139" s="131" t="s">
        <v>80</v>
      </c>
      <c r="B139" s="131"/>
      <c r="C139">
        <v>13.688377933200618</v>
      </c>
      <c r="D139">
        <v>12.771504179903415</v>
      </c>
      <c r="E139">
        <v>12.309579610575213</v>
      </c>
      <c r="F139">
        <v>14.621420564557219</v>
      </c>
      <c r="G139">
        <v>9.4444941153521036</v>
      </c>
      <c r="H139">
        <v>14.81849182363297</v>
      </c>
      <c r="I139" s="147">
        <v>12.5969</v>
      </c>
      <c r="J139" s="112">
        <v>12.609500000000001</v>
      </c>
      <c r="K139" s="112">
        <v>15.959781951483409</v>
      </c>
      <c r="L139" s="126"/>
      <c r="M139" s="112"/>
      <c r="N139" s="126"/>
      <c r="O139" s="147"/>
      <c r="P139" s="147"/>
      <c r="Q139" s="147"/>
      <c r="R139" s="112"/>
      <c r="S139" s="112"/>
      <c r="T139" s="112"/>
      <c r="U139" s="146"/>
      <c r="V139" s="113"/>
      <c r="W139" s="113"/>
      <c r="X139" s="126"/>
      <c r="Y139" s="126"/>
    </row>
    <row r="140" spans="1:25" ht="14.7" customHeight="1">
      <c r="A140" s="131" t="s">
        <v>81</v>
      </c>
      <c r="B140" s="131"/>
      <c r="C140">
        <v>17.95804506853781</v>
      </c>
      <c r="D140">
        <v>18.693065686821893</v>
      </c>
      <c r="E140">
        <v>18.250911670441159</v>
      </c>
      <c r="F140">
        <v>21.054272729125483</v>
      </c>
      <c r="G140">
        <v>16.820711413740792</v>
      </c>
      <c r="H140">
        <v>17.556161019413359</v>
      </c>
      <c r="I140" s="147">
        <v>16.538499999999999</v>
      </c>
      <c r="J140" s="112">
        <v>18.883199999999999</v>
      </c>
      <c r="K140" s="112">
        <v>18.204209344717864</v>
      </c>
      <c r="L140" s="126"/>
      <c r="M140" s="112"/>
      <c r="N140" s="126"/>
      <c r="O140" s="147"/>
      <c r="P140" s="147"/>
      <c r="Q140" s="147"/>
      <c r="R140" s="112"/>
      <c r="S140" s="112"/>
      <c r="T140" s="112"/>
      <c r="U140" s="146"/>
      <c r="V140" s="113"/>
      <c r="W140" s="113"/>
      <c r="X140" s="126"/>
      <c r="Y140" s="126"/>
    </row>
    <row r="141" spans="1:25" ht="14.7" customHeight="1">
      <c r="A141" s="131" t="s">
        <v>207</v>
      </c>
      <c r="B141" s="131"/>
      <c r="C141">
        <v>9.7975182011997113</v>
      </c>
      <c r="D141">
        <v>7.706602790109196</v>
      </c>
      <c r="E141">
        <v>7.1919282650346776</v>
      </c>
      <c r="F141">
        <v>5.1332082704288631</v>
      </c>
      <c r="G141">
        <v>8.2852428823574549</v>
      </c>
      <c r="H141">
        <v>10.424973121565728</v>
      </c>
      <c r="I141" s="147">
        <v>14.112399999999999</v>
      </c>
      <c r="J141" s="112">
        <v>8.7065999999999999</v>
      </c>
      <c r="K141" s="112">
        <v>11.553801172996307</v>
      </c>
      <c r="L141" s="126"/>
      <c r="M141" s="112"/>
      <c r="N141" s="126"/>
      <c r="O141" s="147"/>
      <c r="P141" s="147"/>
      <c r="Q141" s="147"/>
      <c r="R141" s="112"/>
      <c r="S141" s="112"/>
      <c r="T141" s="112"/>
      <c r="U141" s="146"/>
      <c r="V141" s="113"/>
      <c r="W141" s="113"/>
      <c r="X141" s="126"/>
      <c r="Y141" s="126"/>
    </row>
    <row r="142" spans="1:25" ht="14.7" customHeight="1">
      <c r="A142" s="131" t="s">
        <v>82</v>
      </c>
      <c r="B142" s="131"/>
      <c r="C142">
        <v>23.71513493169676</v>
      </c>
      <c r="D142">
        <v>23.080977508843961</v>
      </c>
      <c r="E142">
        <v>18.395330803542368</v>
      </c>
      <c r="F142">
        <v>21.614504826533938</v>
      </c>
      <c r="G142">
        <v>18.257475578210745</v>
      </c>
      <c r="H142">
        <v>20.944726720110253</v>
      </c>
      <c r="I142" s="147">
        <v>20.678599999999999</v>
      </c>
      <c r="J142" s="112">
        <v>23.225899999999999</v>
      </c>
      <c r="K142" s="112">
        <v>19.381243592683777</v>
      </c>
      <c r="L142" s="126"/>
      <c r="M142" s="112"/>
      <c r="N142" s="126"/>
      <c r="O142" s="147"/>
      <c r="P142" s="147"/>
      <c r="Q142" s="147"/>
      <c r="R142" s="112"/>
      <c r="S142" s="112"/>
      <c r="T142" s="112"/>
      <c r="U142" s="146"/>
      <c r="V142" s="113"/>
      <c r="W142" s="113"/>
      <c r="X142" s="126"/>
      <c r="Y142" s="126"/>
    </row>
    <row r="143" spans="1:25" ht="14.7" customHeight="1">
      <c r="A143" s="131" t="s">
        <v>269</v>
      </c>
      <c r="B143" s="131"/>
      <c r="C143">
        <v>13.254760184723672</v>
      </c>
      <c r="D143">
        <v>9.859775756287732</v>
      </c>
      <c r="E143">
        <v>8.8659126615729633</v>
      </c>
      <c r="F143">
        <v>10.738987399475164</v>
      </c>
      <c r="G143">
        <v>11.731638665848038</v>
      </c>
      <c r="H143">
        <v>17.032030009525506</v>
      </c>
      <c r="I143" s="147">
        <v>13.3849</v>
      </c>
      <c r="J143" s="112">
        <v>10.112</v>
      </c>
      <c r="K143" s="112">
        <v>8.7389461306377818</v>
      </c>
      <c r="L143" s="126"/>
      <c r="M143" s="112"/>
      <c r="N143" s="126"/>
      <c r="O143" s="147"/>
      <c r="P143" s="147"/>
      <c r="Q143" s="147"/>
      <c r="R143" s="112"/>
      <c r="S143" s="112"/>
      <c r="T143" s="112"/>
      <c r="U143" s="146"/>
      <c r="V143" s="113"/>
      <c r="W143" s="113"/>
      <c r="X143" s="126"/>
      <c r="Y143" s="126"/>
    </row>
    <row r="144" spans="1:25" ht="14.7" customHeight="1">
      <c r="A144" s="131" t="s">
        <v>83</v>
      </c>
      <c r="B144" s="131"/>
      <c r="C144">
        <v>8.7807203238483158</v>
      </c>
      <c r="D144">
        <v>7.5100824861353432</v>
      </c>
      <c r="E144">
        <v>7.8344025966321258</v>
      </c>
      <c r="F144">
        <v>15.908642151224925</v>
      </c>
      <c r="G144">
        <v>12.547725284080249</v>
      </c>
      <c r="H144">
        <v>14.119669164161278</v>
      </c>
      <c r="I144" s="147">
        <v>10.786099999999999</v>
      </c>
      <c r="J144" s="112">
        <v>9.6898999999999997</v>
      </c>
      <c r="K144" s="112">
        <v>13.522682142818402</v>
      </c>
      <c r="L144" s="126"/>
      <c r="M144" s="112"/>
      <c r="N144" s="126"/>
      <c r="O144" s="147"/>
      <c r="P144" s="147"/>
      <c r="Q144" s="147"/>
      <c r="R144" s="112"/>
      <c r="S144" s="112"/>
      <c r="T144" s="112"/>
      <c r="U144" s="146"/>
      <c r="V144" s="113"/>
      <c r="W144" s="113"/>
      <c r="X144" s="126"/>
      <c r="Y144" s="126"/>
    </row>
    <row r="145" spans="1:25" ht="14.7" customHeight="1">
      <c r="A145" s="131" t="s">
        <v>84</v>
      </c>
      <c r="B145" s="131"/>
      <c r="C145">
        <v>20.831480482144443</v>
      </c>
      <c r="D145">
        <v>17.529447706545891</v>
      </c>
      <c r="E145">
        <v>15.577592287384221</v>
      </c>
      <c r="F145">
        <v>15.974294285964849</v>
      </c>
      <c r="G145">
        <v>19.409737833756399</v>
      </c>
      <c r="H145">
        <v>22.136384759962375</v>
      </c>
      <c r="I145" s="147">
        <v>18.180199999999999</v>
      </c>
      <c r="J145" s="112">
        <v>18.106999999999999</v>
      </c>
      <c r="K145" s="112">
        <v>19.731490905167405</v>
      </c>
      <c r="L145" s="126"/>
      <c r="M145" s="112"/>
      <c r="N145" s="126"/>
      <c r="O145" s="147"/>
      <c r="P145" s="147"/>
      <c r="Q145" s="147"/>
      <c r="R145" s="112"/>
      <c r="S145" s="112"/>
      <c r="T145" s="112"/>
      <c r="U145" s="146"/>
      <c r="V145" s="113"/>
      <c r="W145" s="113"/>
      <c r="X145" s="126"/>
      <c r="Y145" s="126"/>
    </row>
    <row r="146" spans="1:25" ht="14.7" customHeight="1">
      <c r="A146" s="131" t="s">
        <v>208</v>
      </c>
      <c r="B146" s="131"/>
      <c r="C146">
        <v>10.469752262425111</v>
      </c>
      <c r="D146">
        <v>14.899665958355707</v>
      </c>
      <c r="E146">
        <v>10.043162357341821</v>
      </c>
      <c r="F146">
        <v>9.1880341880341874</v>
      </c>
      <c r="G146">
        <v>7.8012056880786869</v>
      </c>
      <c r="H146">
        <v>9.7044844885801389</v>
      </c>
      <c r="I146" s="147">
        <v>11.7006</v>
      </c>
      <c r="J146" s="112">
        <v>5.9055999999999997</v>
      </c>
      <c r="K146" s="112">
        <v>7.4535814553064403</v>
      </c>
      <c r="L146" s="126"/>
      <c r="M146" s="112"/>
      <c r="N146" s="126"/>
      <c r="O146" s="147"/>
      <c r="P146" s="147"/>
      <c r="Q146" s="147"/>
      <c r="R146" s="112"/>
      <c r="S146" s="112"/>
      <c r="T146" s="112"/>
      <c r="U146" s="146"/>
      <c r="V146" s="113"/>
      <c r="W146" s="113"/>
      <c r="X146" s="126"/>
      <c r="Y146" s="126"/>
    </row>
    <row r="147" spans="1:25" ht="14.7" customHeight="1">
      <c r="A147" s="131" t="s">
        <v>816</v>
      </c>
      <c r="B147" s="131"/>
      <c r="C147">
        <v>14.426906872427942</v>
      </c>
      <c r="D147">
        <v>13.89641890232634</v>
      </c>
      <c r="E147">
        <v>16.900828875048603</v>
      </c>
      <c r="F147">
        <v>12.902065062269008</v>
      </c>
      <c r="G147">
        <v>16.092141838673975</v>
      </c>
      <c r="H147">
        <v>17.360244647417527</v>
      </c>
      <c r="I147" s="147">
        <v>15.248999999999999</v>
      </c>
      <c r="J147" s="112">
        <v>17.426300000000001</v>
      </c>
      <c r="K147" s="112">
        <v>17.404307650728324</v>
      </c>
      <c r="L147" s="126"/>
      <c r="M147" s="112"/>
      <c r="N147" s="126"/>
      <c r="O147" s="147"/>
      <c r="P147" s="147"/>
      <c r="Q147" s="147"/>
      <c r="R147" s="112"/>
      <c r="S147" s="112"/>
      <c r="T147" s="112"/>
      <c r="U147" s="146"/>
      <c r="V147" s="113"/>
      <c r="W147" s="113"/>
      <c r="X147" s="126"/>
      <c r="Y147" s="126"/>
    </row>
    <row r="148" spans="1:25" ht="14.7" customHeight="1">
      <c r="A148" s="131" t="s">
        <v>314</v>
      </c>
      <c r="B148" s="131"/>
      <c r="C148">
        <v>13.508835502688409</v>
      </c>
      <c r="D148">
        <v>14.74097364825834</v>
      </c>
      <c r="E148">
        <v>14.230350282217016</v>
      </c>
      <c r="F148">
        <v>14.979067836679835</v>
      </c>
      <c r="G148">
        <v>15.607602888852215</v>
      </c>
      <c r="H148">
        <v>18.102492579022794</v>
      </c>
      <c r="I148" s="147">
        <v>16.546700000000001</v>
      </c>
      <c r="J148" s="112">
        <v>15.523300000000001</v>
      </c>
      <c r="K148" s="112">
        <v>15.573799350980138</v>
      </c>
      <c r="L148" s="126"/>
      <c r="M148" s="112"/>
      <c r="N148" s="126"/>
      <c r="O148" s="147"/>
      <c r="P148" s="147"/>
      <c r="Q148" s="147"/>
      <c r="R148" s="112"/>
      <c r="S148" s="112"/>
      <c r="T148" s="112"/>
      <c r="U148" s="147"/>
      <c r="V148" s="149"/>
      <c r="W148" s="149"/>
      <c r="X148" s="126"/>
      <c r="Y148" s="126"/>
    </row>
    <row r="149" spans="1:25" ht="14.7" customHeight="1">
      <c r="A149" s="131" t="s">
        <v>85</v>
      </c>
      <c r="B149" s="131"/>
      <c r="C149">
        <v>9.493399961678616</v>
      </c>
      <c r="D149">
        <v>9.6641814091207845</v>
      </c>
      <c r="E149">
        <v>10.60417738046295</v>
      </c>
      <c r="F149">
        <v>10.90314411032424</v>
      </c>
      <c r="G149">
        <v>10.774802844495762</v>
      </c>
      <c r="H149">
        <v>10.747374242808473</v>
      </c>
      <c r="I149" s="147">
        <v>10.044400000000001</v>
      </c>
      <c r="J149" s="112">
        <v>11.494899999999999</v>
      </c>
      <c r="K149" s="112">
        <v>11.804885118965744</v>
      </c>
      <c r="L149" s="126"/>
      <c r="M149" s="112"/>
      <c r="N149" s="126"/>
      <c r="O149" s="147"/>
      <c r="P149" s="147"/>
      <c r="Q149" s="147"/>
      <c r="R149" s="112"/>
      <c r="S149" s="112"/>
      <c r="T149" s="112"/>
      <c r="U149" s="147"/>
      <c r="V149" s="149"/>
      <c r="W149" s="149"/>
      <c r="X149" s="126"/>
      <c r="Y149" s="126"/>
    </row>
    <row r="150" spans="1:25" ht="14.7" customHeight="1">
      <c r="A150" s="131" t="s">
        <v>86</v>
      </c>
      <c r="B150" s="131"/>
      <c r="C150">
        <v>13.708885774228452</v>
      </c>
      <c r="D150">
        <v>12.424458804498011</v>
      </c>
      <c r="E150">
        <v>13.392545997984891</v>
      </c>
      <c r="F150">
        <v>13.988484742892105</v>
      </c>
      <c r="G150">
        <v>16.004030689108163</v>
      </c>
      <c r="H150">
        <v>15.324806309184977</v>
      </c>
      <c r="I150" s="147">
        <v>16.2151</v>
      </c>
      <c r="J150" s="112">
        <v>14.196200000000001</v>
      </c>
      <c r="K150" s="112">
        <v>13.731396221149742</v>
      </c>
      <c r="L150" s="126"/>
      <c r="M150" s="112"/>
      <c r="N150" s="126"/>
      <c r="O150" s="147"/>
      <c r="P150" s="147"/>
      <c r="Q150" s="147"/>
      <c r="R150" s="112"/>
      <c r="S150" s="112"/>
      <c r="T150" s="112"/>
      <c r="U150" s="146"/>
      <c r="V150" s="113"/>
      <c r="W150" s="113"/>
      <c r="X150" s="126"/>
      <c r="Y150" s="126"/>
    </row>
    <row r="151" spans="1:25" ht="14.7" customHeight="1">
      <c r="A151" s="131" t="s">
        <v>209</v>
      </c>
      <c r="B151" s="131"/>
      <c r="C151">
        <v>8.3805933958084573</v>
      </c>
      <c r="D151">
        <v>9.8632978070844999</v>
      </c>
      <c r="E151">
        <v>14.627994189509247</v>
      </c>
      <c r="F151">
        <v>13.310146626153482</v>
      </c>
      <c r="G151">
        <v>12.263998180226933</v>
      </c>
      <c r="H151">
        <v>10.410402088519133</v>
      </c>
      <c r="I151" s="146">
        <v>12.118500000000001</v>
      </c>
      <c r="J151" s="144">
        <v>8.7758000000000003</v>
      </c>
      <c r="K151" s="144">
        <v>17.042856649603578</v>
      </c>
      <c r="L151" s="126"/>
      <c r="M151" s="144"/>
      <c r="N151" s="126"/>
      <c r="O151" s="146"/>
      <c r="P151" s="146"/>
      <c r="Q151" s="146"/>
      <c r="R151" s="144"/>
      <c r="S151" s="144"/>
      <c r="T151" s="144"/>
      <c r="U151" s="146"/>
      <c r="V151" s="113"/>
      <c r="W151" s="113"/>
      <c r="X151" s="126"/>
      <c r="Y151" s="126"/>
    </row>
    <row r="152" spans="1:25" ht="14.7" customHeight="1">
      <c r="A152" s="131" t="s">
        <v>345</v>
      </c>
      <c r="B152" s="131"/>
      <c r="C152">
        <v>17.107459682538501</v>
      </c>
      <c r="D152">
        <v>16.312661044009978</v>
      </c>
      <c r="E152">
        <v>16.305852762461846</v>
      </c>
      <c r="F152">
        <v>18.725539287359545</v>
      </c>
      <c r="G152">
        <v>14.62405666974626</v>
      </c>
      <c r="H152">
        <v>14.911543133383359</v>
      </c>
      <c r="I152" s="147">
        <v>17.4313</v>
      </c>
      <c r="J152" s="112">
        <v>11.513400000000001</v>
      </c>
      <c r="K152" s="112">
        <v>12.144200315206726</v>
      </c>
      <c r="L152" s="126"/>
      <c r="M152" s="112"/>
      <c r="N152" s="126"/>
      <c r="O152" s="147"/>
      <c r="P152" s="147"/>
      <c r="Q152" s="147"/>
      <c r="R152" s="112"/>
      <c r="S152" s="112"/>
      <c r="T152" s="112"/>
      <c r="U152" s="146"/>
      <c r="V152" s="113"/>
      <c r="W152" s="113"/>
      <c r="X152" s="126"/>
      <c r="Y152" s="126"/>
    </row>
    <row r="153" spans="1:25" ht="14.7" customHeight="1">
      <c r="A153" s="131" t="s">
        <v>87</v>
      </c>
      <c r="B153" s="131"/>
      <c r="C153">
        <v>19.470060344655788</v>
      </c>
      <c r="D153">
        <v>16.586194190955688</v>
      </c>
      <c r="E153">
        <v>17.127774485901078</v>
      </c>
      <c r="F153">
        <v>21.512947361546498</v>
      </c>
      <c r="G153">
        <v>14.66552830052866</v>
      </c>
      <c r="H153">
        <v>20.516904970180668</v>
      </c>
      <c r="I153" s="147">
        <v>19.568300000000001</v>
      </c>
      <c r="J153" s="112">
        <v>16.376799999999999</v>
      </c>
      <c r="K153" s="112">
        <v>16.778973520619829</v>
      </c>
      <c r="L153" s="126"/>
      <c r="M153" s="112"/>
      <c r="N153" s="126"/>
      <c r="O153" s="147"/>
      <c r="P153" s="147"/>
      <c r="Q153" s="147"/>
      <c r="R153" s="112"/>
      <c r="S153" s="112"/>
      <c r="T153" s="112"/>
      <c r="U153" s="146"/>
      <c r="V153" s="113"/>
      <c r="W153" s="113"/>
      <c r="X153" s="126"/>
      <c r="Y153" s="126"/>
    </row>
    <row r="154" spans="1:25" ht="14.7" customHeight="1">
      <c r="A154" s="131" t="s">
        <v>210</v>
      </c>
      <c r="B154" s="131"/>
      <c r="C154">
        <v>15.630463521935154</v>
      </c>
      <c r="D154">
        <v>18.690240987780836</v>
      </c>
      <c r="E154">
        <v>13.525112606960587</v>
      </c>
      <c r="F154">
        <v>15.292781930712968</v>
      </c>
      <c r="G154">
        <v>16.034357706211914</v>
      </c>
      <c r="H154">
        <v>13.302298299328896</v>
      </c>
      <c r="I154" s="147">
        <v>13.0878</v>
      </c>
      <c r="J154" s="112">
        <v>19.3308</v>
      </c>
      <c r="K154" s="112">
        <v>15.947905146206715</v>
      </c>
      <c r="L154" s="126"/>
      <c r="M154" s="112"/>
      <c r="N154" s="126"/>
      <c r="O154" s="147"/>
      <c r="P154" s="147"/>
      <c r="Q154" s="147"/>
      <c r="R154" s="112"/>
      <c r="S154" s="112"/>
      <c r="T154" s="112"/>
      <c r="U154" s="146"/>
      <c r="V154" s="113"/>
      <c r="W154" s="113"/>
      <c r="X154" s="126"/>
      <c r="Y154" s="126"/>
    </row>
    <row r="155" spans="1:25" ht="14.7" customHeight="1">
      <c r="A155" s="131" t="s">
        <v>88</v>
      </c>
      <c r="B155" s="131"/>
      <c r="C155">
        <v>21.756251479596127</v>
      </c>
      <c r="D155">
        <v>21.650118272612957</v>
      </c>
      <c r="E155">
        <v>20.585569716488163</v>
      </c>
      <c r="F155">
        <v>17.530881372159914</v>
      </c>
      <c r="G155">
        <v>16.54477011000008</v>
      </c>
      <c r="H155">
        <v>24.641299685949665</v>
      </c>
      <c r="I155" s="147">
        <v>19.570499999999999</v>
      </c>
      <c r="J155" s="112">
        <v>22.541499999999999</v>
      </c>
      <c r="K155" s="112">
        <v>17.117697488870427</v>
      </c>
      <c r="L155" s="126"/>
      <c r="M155" s="112"/>
      <c r="N155" s="126"/>
      <c r="O155" s="147"/>
      <c r="P155" s="147"/>
      <c r="Q155" s="147"/>
      <c r="R155" s="112"/>
      <c r="S155" s="112"/>
      <c r="T155" s="112"/>
      <c r="U155" s="146"/>
      <c r="V155" s="113"/>
      <c r="W155" s="113"/>
      <c r="X155" s="126"/>
      <c r="Y155" s="126"/>
    </row>
    <row r="156" spans="1:25" ht="14.7" customHeight="1">
      <c r="A156" s="131" t="s">
        <v>89</v>
      </c>
      <c r="B156" s="131"/>
      <c r="C156">
        <v>8.4779216021856296</v>
      </c>
      <c r="D156">
        <v>7.9966087100784264</v>
      </c>
      <c r="E156">
        <v>8.1573921833410488</v>
      </c>
      <c r="F156">
        <v>8.617323967570103</v>
      </c>
      <c r="G156">
        <v>10.892434073695991</v>
      </c>
      <c r="H156">
        <v>8.4905015500669876</v>
      </c>
      <c r="I156" s="147">
        <v>12.3408</v>
      </c>
      <c r="J156" s="112">
        <v>9.6429000000000009</v>
      </c>
      <c r="K156" s="112">
        <v>8.0346026888385378</v>
      </c>
      <c r="L156" s="126"/>
      <c r="M156" s="112"/>
      <c r="N156" s="126"/>
      <c r="O156" s="147"/>
      <c r="P156" s="147"/>
      <c r="Q156" s="147"/>
      <c r="R156" s="112"/>
      <c r="S156" s="112"/>
      <c r="T156" s="112"/>
      <c r="U156" s="146"/>
      <c r="V156" s="113"/>
      <c r="W156" s="113"/>
      <c r="X156" s="126"/>
      <c r="Y156" s="126"/>
    </row>
    <row r="157" spans="1:25" ht="14.7" customHeight="1">
      <c r="A157" s="131" t="s">
        <v>90</v>
      </c>
      <c r="B157" s="131"/>
      <c r="C157">
        <v>15.701870689029715</v>
      </c>
      <c r="D157">
        <v>20.72878368693231</v>
      </c>
      <c r="E157">
        <v>16.161176329231335</v>
      </c>
      <c r="F157">
        <v>17.706772123028802</v>
      </c>
      <c r="G157">
        <v>14.097583860209753</v>
      </c>
      <c r="H157">
        <v>19.352008780068228</v>
      </c>
      <c r="I157" s="147">
        <v>17.7971</v>
      </c>
      <c r="J157" s="112">
        <v>17.682400000000001</v>
      </c>
      <c r="K157" s="112">
        <v>17.894318722837387</v>
      </c>
      <c r="L157" s="126"/>
      <c r="M157" s="112"/>
      <c r="N157" s="126"/>
      <c r="O157" s="147"/>
      <c r="P157" s="147"/>
      <c r="Q157" s="147"/>
      <c r="R157" s="112"/>
      <c r="S157" s="112"/>
      <c r="T157" s="112"/>
      <c r="U157" s="146"/>
      <c r="V157" s="113"/>
      <c r="W157" s="113"/>
      <c r="X157" s="126"/>
      <c r="Y157" s="126"/>
    </row>
    <row r="158" spans="1:25" ht="14.7" customHeight="1">
      <c r="A158" s="131" t="s">
        <v>270</v>
      </c>
      <c r="B158" s="131"/>
      <c r="C158">
        <v>12.606630832958535</v>
      </c>
      <c r="D158">
        <v>14.358516294042674</v>
      </c>
      <c r="E158">
        <v>15.830526641242107</v>
      </c>
      <c r="F158">
        <v>15.071935115748285</v>
      </c>
      <c r="G158">
        <v>14.053521104586173</v>
      </c>
      <c r="H158">
        <v>12.268224419403996</v>
      </c>
      <c r="I158" s="147">
        <v>19.977700000000002</v>
      </c>
      <c r="J158" s="112">
        <v>12.790699999999999</v>
      </c>
      <c r="K158" s="112">
        <v>14.945418266973357</v>
      </c>
      <c r="L158" s="126"/>
      <c r="M158" s="112"/>
      <c r="N158" s="126"/>
      <c r="O158" s="147"/>
      <c r="P158" s="147"/>
      <c r="Q158" s="147"/>
      <c r="R158" s="112"/>
      <c r="S158" s="112"/>
      <c r="T158" s="112"/>
      <c r="U158" s="146"/>
      <c r="V158" s="113"/>
      <c r="W158" s="113"/>
      <c r="X158" s="126"/>
      <c r="Y158" s="126"/>
    </row>
    <row r="159" spans="1:25" ht="14.7" customHeight="1">
      <c r="A159" s="131" t="s">
        <v>2</v>
      </c>
      <c r="B159" s="131"/>
      <c r="C159">
        <v>40.6706271167428</v>
      </c>
      <c r="D159">
        <v>59.024745040222548</v>
      </c>
      <c r="E159">
        <v>35.053081067123173</v>
      </c>
      <c r="F159">
        <v>33.023490512170184</v>
      </c>
      <c r="G159">
        <v>28.200772560152647</v>
      </c>
      <c r="H159">
        <v>43.142408198152012</v>
      </c>
      <c r="I159" s="147">
        <v>33.436</v>
      </c>
      <c r="J159" s="112">
        <v>39.264099999999999</v>
      </c>
      <c r="K159" s="112">
        <v>35.150923397790166</v>
      </c>
      <c r="L159" s="126"/>
      <c r="M159" s="112"/>
      <c r="N159" s="126"/>
      <c r="O159" s="147"/>
      <c r="P159" s="147"/>
      <c r="Q159" s="147"/>
      <c r="R159" s="112"/>
      <c r="S159" s="112"/>
      <c r="T159" s="112"/>
      <c r="U159" s="146"/>
      <c r="V159" s="113"/>
      <c r="W159" s="113"/>
      <c r="X159" s="126"/>
      <c r="Y159" s="126"/>
    </row>
    <row r="160" spans="1:25" ht="14.7" customHeight="1">
      <c r="A160" s="131" t="s">
        <v>211</v>
      </c>
      <c r="B160" s="131"/>
      <c r="C160">
        <v>18.64677643685803</v>
      </c>
      <c r="D160">
        <v>24.248866236587382</v>
      </c>
      <c r="E160">
        <v>19.987226849883999</v>
      </c>
      <c r="F160">
        <v>20.97090895032526</v>
      </c>
      <c r="G160">
        <v>21.356812369443414</v>
      </c>
      <c r="H160">
        <v>26.331750558362018</v>
      </c>
      <c r="I160" s="147">
        <v>22.401499999999999</v>
      </c>
      <c r="J160" s="112">
        <v>29.770700000000001</v>
      </c>
      <c r="K160" s="112">
        <v>21.117252020241043</v>
      </c>
      <c r="L160" s="126"/>
      <c r="M160" s="112"/>
      <c r="N160" s="126"/>
      <c r="O160" s="147"/>
      <c r="P160" s="147"/>
      <c r="Q160" s="147"/>
      <c r="R160" s="112"/>
      <c r="S160" s="112"/>
      <c r="T160" s="112"/>
      <c r="U160" s="147"/>
      <c r="V160" s="149"/>
      <c r="W160" s="149"/>
      <c r="X160" s="126"/>
      <c r="Y160" s="126"/>
    </row>
    <row r="161" spans="1:25" ht="14.7" customHeight="1">
      <c r="A161" s="131" t="s">
        <v>337</v>
      </c>
      <c r="B161" s="131"/>
      <c r="C161">
        <v>19.977267100468225</v>
      </c>
      <c r="D161">
        <v>16.9447616526841</v>
      </c>
      <c r="E161">
        <v>14.744073048962674</v>
      </c>
      <c r="F161">
        <v>16.174600474651506</v>
      </c>
      <c r="G161">
        <v>16.918370484856837</v>
      </c>
      <c r="H161">
        <v>19.741162799910921</v>
      </c>
      <c r="I161" s="147">
        <v>21.1767</v>
      </c>
      <c r="J161" s="112">
        <v>20.435400000000001</v>
      </c>
      <c r="K161" s="112">
        <v>15.678181053079946</v>
      </c>
      <c r="L161" s="126"/>
      <c r="M161" s="112"/>
      <c r="N161" s="126"/>
      <c r="O161" s="147"/>
      <c r="P161" s="147"/>
      <c r="Q161" s="147"/>
      <c r="R161" s="112"/>
      <c r="S161" s="112"/>
      <c r="T161" s="112"/>
      <c r="U161" s="146"/>
      <c r="V161" s="113"/>
      <c r="W161" s="113"/>
      <c r="X161" s="126"/>
      <c r="Y161" s="126"/>
    </row>
    <row r="162" spans="1:25" ht="14.7" customHeight="1">
      <c r="A162" s="131" t="s">
        <v>315</v>
      </c>
      <c r="B162" s="131"/>
      <c r="C162">
        <v>15.735029342365916</v>
      </c>
      <c r="D162">
        <v>13.836873647654659</v>
      </c>
      <c r="E162">
        <v>14.833215468000732</v>
      </c>
      <c r="F162">
        <v>14.516233270769485</v>
      </c>
      <c r="G162">
        <v>13.516394589613812</v>
      </c>
      <c r="H162">
        <v>15.551718440610166</v>
      </c>
      <c r="I162">
        <v>15.7941</v>
      </c>
      <c r="J162">
        <v>15.9642</v>
      </c>
      <c r="K162">
        <v>16.26259547069758</v>
      </c>
      <c r="L162"/>
      <c r="M162"/>
      <c r="N162"/>
      <c r="O162"/>
      <c r="P162" s="147"/>
      <c r="Q162" s="147"/>
      <c r="R162" s="112"/>
      <c r="S162" s="112"/>
      <c r="T162" s="112"/>
      <c r="U162" s="146"/>
      <c r="V162" s="113"/>
      <c r="W162" s="113"/>
      <c r="X162" s="126"/>
      <c r="Y162" s="126"/>
    </row>
    <row r="163" spans="1:25" ht="14.7" customHeight="1">
      <c r="A163" s="131" t="s">
        <v>91</v>
      </c>
      <c r="B163" s="131"/>
      <c r="C163">
        <v>11.616216083014432</v>
      </c>
      <c r="D163">
        <v>13.396079552167595</v>
      </c>
      <c r="E163">
        <v>10.425425035244965</v>
      </c>
      <c r="F163">
        <v>12.353276948803705</v>
      </c>
      <c r="G163">
        <v>12.062934273611321</v>
      </c>
      <c r="H163">
        <v>14.765500414460156</v>
      </c>
      <c r="I163" s="147">
        <v>10.689500000000001</v>
      </c>
      <c r="J163" s="112">
        <v>10.288400000000001</v>
      </c>
      <c r="K163" s="112">
        <v>12.747957801969298</v>
      </c>
      <c r="L163" s="126"/>
      <c r="M163" s="112"/>
      <c r="N163" s="126"/>
      <c r="O163" s="147"/>
      <c r="P163" s="147"/>
      <c r="Q163" s="147"/>
      <c r="R163" s="112"/>
      <c r="S163" s="112"/>
      <c r="T163" s="112"/>
      <c r="U163" s="147"/>
      <c r="V163" s="113"/>
      <c r="W163" s="113"/>
      <c r="X163" s="126"/>
      <c r="Y163" s="126"/>
    </row>
    <row r="164" spans="1:25" ht="14.7" customHeight="1">
      <c r="A164" s="131" t="s">
        <v>377</v>
      </c>
      <c r="B164" s="131"/>
      <c r="C164">
        <v>18.898736629442585</v>
      </c>
      <c r="D164">
        <v>18.568700580167029</v>
      </c>
      <c r="E164">
        <v>20.690767644307421</v>
      </c>
      <c r="F164">
        <v>21.480706127692702</v>
      </c>
      <c r="G164">
        <v>14.387807089843635</v>
      </c>
      <c r="H164">
        <v>19.156549034804122</v>
      </c>
      <c r="I164" s="147">
        <v>17.189899999999998</v>
      </c>
      <c r="J164" s="112">
        <v>16.758700000000001</v>
      </c>
      <c r="K164" s="112">
        <v>18.768803000595355</v>
      </c>
      <c r="L164" s="126"/>
      <c r="M164" s="112"/>
      <c r="N164" s="126"/>
      <c r="O164" s="147"/>
      <c r="P164" s="147"/>
      <c r="Q164" s="147"/>
      <c r="R164" s="112"/>
      <c r="S164" s="112"/>
      <c r="T164" s="112"/>
      <c r="U164" s="147"/>
      <c r="V164" s="149"/>
      <c r="W164" s="149"/>
      <c r="X164" s="126"/>
      <c r="Y164" s="126"/>
    </row>
    <row r="165" spans="1:25" ht="14.7" customHeight="1">
      <c r="A165" s="132" t="s">
        <v>817</v>
      </c>
      <c r="B165" s="131"/>
      <c r="C165">
        <v>19.111704170428158</v>
      </c>
      <c r="D165">
        <v>18.003170884051166</v>
      </c>
      <c r="E165">
        <v>21.23507912458777</v>
      </c>
      <c r="F165">
        <v>14.176640443631412</v>
      </c>
      <c r="G165">
        <v>17.969878706071526</v>
      </c>
      <c r="H165">
        <v>19.200923041698825</v>
      </c>
      <c r="I165" s="147">
        <v>22.225300000000001</v>
      </c>
      <c r="J165" s="112">
        <v>15.259500000000001</v>
      </c>
      <c r="K165" s="112">
        <v>16.532177522431386</v>
      </c>
      <c r="L165" s="126"/>
      <c r="M165" s="112"/>
      <c r="N165" s="126"/>
      <c r="O165" s="147"/>
      <c r="P165" s="147"/>
      <c r="Q165" s="147"/>
      <c r="R165" s="112"/>
      <c r="S165" s="112"/>
      <c r="T165" s="112"/>
      <c r="U165" s="146"/>
      <c r="V165" s="113"/>
      <c r="W165" s="113"/>
      <c r="X165" s="126"/>
      <c r="Y165" s="126"/>
    </row>
    <row r="166" spans="1:25" ht="14.7" customHeight="1">
      <c r="A166" s="131" t="s">
        <v>393</v>
      </c>
      <c r="B166" s="131"/>
      <c r="C166">
        <v>16.209867128605339</v>
      </c>
      <c r="D166">
        <v>16.759732988129752</v>
      </c>
      <c r="E166">
        <v>21.651419263956932</v>
      </c>
      <c r="F166">
        <v>21.05270598023753</v>
      </c>
      <c r="G166">
        <v>20.448069023929559</v>
      </c>
      <c r="H166">
        <v>20.873170683124602</v>
      </c>
      <c r="I166" s="147">
        <v>23.773399999999999</v>
      </c>
      <c r="J166" s="112">
        <v>23.752800000000001</v>
      </c>
      <c r="K166" s="112">
        <v>24.480805822332584</v>
      </c>
      <c r="L166" s="126"/>
      <c r="M166" s="112"/>
      <c r="N166" s="126"/>
      <c r="O166" s="147"/>
      <c r="P166" s="147"/>
      <c r="Q166" s="147"/>
      <c r="R166" s="112"/>
      <c r="S166" s="112"/>
      <c r="T166" s="112"/>
      <c r="U166" s="146"/>
      <c r="V166" s="113"/>
      <c r="W166" s="113"/>
      <c r="X166" s="126"/>
      <c r="Y166" s="126"/>
    </row>
    <row r="167" spans="1:25" ht="14.7" customHeight="1">
      <c r="A167" s="131" t="s">
        <v>232</v>
      </c>
      <c r="B167" s="131"/>
      <c r="C167">
        <v>9.1731904069069241</v>
      </c>
      <c r="D167">
        <v>10.891807798095316</v>
      </c>
      <c r="E167">
        <v>10.437995519173901</v>
      </c>
      <c r="F167">
        <v>7.7623855846981078</v>
      </c>
      <c r="G167">
        <v>9.6376244032378828</v>
      </c>
      <c r="H167">
        <v>10.009655767992241</v>
      </c>
      <c r="I167" s="147">
        <v>9.7313999999999989</v>
      </c>
      <c r="J167" s="112">
        <v>11.4156</v>
      </c>
      <c r="K167" s="112">
        <v>11.306780314279793</v>
      </c>
      <c r="L167" s="126"/>
      <c r="M167" s="112"/>
      <c r="N167" s="126"/>
      <c r="O167" s="147"/>
      <c r="P167" s="147"/>
      <c r="Q167" s="147"/>
      <c r="R167" s="112"/>
      <c r="S167" s="112"/>
      <c r="T167" s="112"/>
      <c r="U167" s="146"/>
      <c r="V167" s="113"/>
      <c r="W167" s="113"/>
      <c r="X167" s="126"/>
      <c r="Y167" s="126"/>
    </row>
    <row r="168" spans="1:25" ht="14.7" customHeight="1">
      <c r="A168" s="131" t="s">
        <v>233</v>
      </c>
      <c r="B168" s="131"/>
      <c r="C168">
        <v>8.2829245463974743</v>
      </c>
      <c r="D168">
        <v>10.802583210815268</v>
      </c>
      <c r="E168">
        <v>9.2197073345570875</v>
      </c>
      <c r="F168">
        <v>7.9223537276896074</v>
      </c>
      <c r="G168">
        <v>7.7291939493267892</v>
      </c>
      <c r="H168">
        <v>13.781907503376981</v>
      </c>
      <c r="I168" s="147">
        <v>10.9878</v>
      </c>
      <c r="J168" s="112">
        <v>13.485200000000001</v>
      </c>
      <c r="K168" s="112">
        <v>11.238012128840841</v>
      </c>
      <c r="L168" s="126"/>
      <c r="M168" s="112"/>
      <c r="N168" s="126"/>
      <c r="O168" s="147"/>
      <c r="P168" s="147"/>
      <c r="Q168" s="147"/>
      <c r="R168" s="112"/>
      <c r="S168" s="112"/>
      <c r="T168" s="112"/>
      <c r="U168" s="146"/>
      <c r="V168" s="113"/>
      <c r="W168" s="113"/>
      <c r="X168" s="126"/>
      <c r="Y168" s="126"/>
    </row>
    <row r="169" spans="1:25" ht="14.7" customHeight="1">
      <c r="A169" s="131" t="s">
        <v>212</v>
      </c>
      <c r="B169" s="131"/>
      <c r="C169">
        <v>21.68064996462904</v>
      </c>
      <c r="D169">
        <v>24.893945570909985</v>
      </c>
      <c r="E169">
        <v>18.619685157574821</v>
      </c>
      <c r="F169">
        <v>20.235657678313313</v>
      </c>
      <c r="G169">
        <v>15.965185837279467</v>
      </c>
      <c r="H169">
        <v>22.906704192434486</v>
      </c>
      <c r="I169" s="147">
        <v>24.101500000000001</v>
      </c>
      <c r="J169" s="112">
        <v>20.749699999999997</v>
      </c>
      <c r="K169" s="112">
        <v>25.467390156762015</v>
      </c>
      <c r="L169" s="126"/>
      <c r="M169" s="112"/>
      <c r="N169" s="126"/>
      <c r="O169" s="147"/>
      <c r="P169" s="147"/>
      <c r="Q169" s="147"/>
      <c r="R169" s="112"/>
      <c r="S169" s="112"/>
      <c r="T169" s="112"/>
      <c r="U169" s="146"/>
      <c r="V169" s="113"/>
      <c r="W169" s="113"/>
      <c r="X169" s="126"/>
      <c r="Y169" s="126"/>
    </row>
    <row r="170" spans="1:25" ht="14.7" customHeight="1">
      <c r="A170" s="131" t="s">
        <v>316</v>
      </c>
      <c r="B170" s="131"/>
      <c r="C170">
        <v>13.920890996800017</v>
      </c>
      <c r="D170">
        <v>13.616459832507092</v>
      </c>
      <c r="E170">
        <v>13.127018370334881</v>
      </c>
      <c r="F170">
        <v>14.15245138568344</v>
      </c>
      <c r="G170">
        <v>14.357566214397904</v>
      </c>
      <c r="H170">
        <v>16.792026257986457</v>
      </c>
      <c r="I170" s="147">
        <v>14.568900000000001</v>
      </c>
      <c r="J170" s="112">
        <v>13.925699999999999</v>
      </c>
      <c r="K170" s="112">
        <v>13.756921881703718</v>
      </c>
      <c r="L170" s="126"/>
      <c r="M170" s="112"/>
      <c r="N170" s="126"/>
      <c r="O170" s="147"/>
      <c r="P170" s="147"/>
      <c r="Q170" s="147"/>
      <c r="R170" s="112"/>
      <c r="S170" s="112"/>
      <c r="T170" s="112"/>
      <c r="U170" s="146"/>
      <c r="V170" s="113"/>
      <c r="W170" s="113"/>
      <c r="X170" s="126"/>
      <c r="Y170" s="126"/>
    </row>
    <row r="171" spans="1:25" ht="14.7" customHeight="1">
      <c r="A171" s="131" t="s">
        <v>92</v>
      </c>
      <c r="B171" s="131"/>
      <c r="C171">
        <v>23.053462155823816</v>
      </c>
      <c r="D171">
        <v>16.970931340523407</v>
      </c>
      <c r="E171">
        <v>18.322093028145275</v>
      </c>
      <c r="F171">
        <v>18.412355356932082</v>
      </c>
      <c r="G171">
        <v>21.770241969069883</v>
      </c>
      <c r="H171">
        <v>26.56661609277614</v>
      </c>
      <c r="I171" s="147">
        <v>17.786099999999998</v>
      </c>
      <c r="J171" s="112">
        <v>17.0365</v>
      </c>
      <c r="K171" s="112">
        <v>18.306069117003016</v>
      </c>
      <c r="L171" s="126"/>
      <c r="M171" s="112"/>
      <c r="N171" s="126"/>
      <c r="O171" s="147"/>
      <c r="P171" s="147"/>
      <c r="Q171" s="147"/>
      <c r="R171" s="112"/>
      <c r="S171" s="112"/>
      <c r="T171" s="112"/>
      <c r="U171" s="146"/>
      <c r="V171" s="113"/>
      <c r="W171" s="113"/>
      <c r="X171" s="126"/>
      <c r="Y171" s="126"/>
    </row>
    <row r="172" spans="1:25" ht="14.7" customHeight="1">
      <c r="A172" s="131" t="s">
        <v>234</v>
      </c>
      <c r="B172" s="131"/>
      <c r="C172">
        <v>10.961582985420868</v>
      </c>
      <c r="D172">
        <v>12.907899753027541</v>
      </c>
      <c r="E172">
        <v>11.621885769274543</v>
      </c>
      <c r="F172">
        <v>11.24922187192514</v>
      </c>
      <c r="G172">
        <v>9.7672274802319645</v>
      </c>
      <c r="H172">
        <v>13.653988398554597</v>
      </c>
      <c r="I172" s="147">
        <v>14.029199999999999</v>
      </c>
      <c r="J172" s="112">
        <v>13.565900000000001</v>
      </c>
      <c r="K172" s="112">
        <v>14.596719113188399</v>
      </c>
      <c r="L172" s="126"/>
      <c r="M172" s="112"/>
      <c r="N172" s="126"/>
      <c r="O172" s="147"/>
      <c r="P172" s="147"/>
      <c r="Q172" s="147"/>
      <c r="R172" s="112"/>
      <c r="S172" s="112"/>
      <c r="T172" s="112"/>
      <c r="U172" s="146"/>
      <c r="V172" s="113"/>
      <c r="W172" s="113"/>
      <c r="X172" s="126"/>
      <c r="Y172" s="126"/>
    </row>
    <row r="173" spans="1:25" ht="14.7" customHeight="1">
      <c r="A173" s="131" t="s">
        <v>271</v>
      </c>
      <c r="B173" s="131"/>
      <c r="C173">
        <v>8.7181375377062444</v>
      </c>
      <c r="D173">
        <v>11.617233457132548</v>
      </c>
      <c r="E173">
        <v>10.724859056166904</v>
      </c>
      <c r="F173">
        <v>12.180482123901101</v>
      </c>
      <c r="G173">
        <v>11.576226091126356</v>
      </c>
      <c r="H173">
        <v>13.918567571044225</v>
      </c>
      <c r="I173" s="147">
        <v>15.725300000000001</v>
      </c>
      <c r="J173" s="112">
        <v>16.679199999999998</v>
      </c>
      <c r="K173" s="112">
        <v>14.985643119494712</v>
      </c>
      <c r="L173" s="126"/>
      <c r="M173" s="112"/>
      <c r="N173" s="126"/>
      <c r="O173" s="147"/>
      <c r="P173" s="147"/>
      <c r="Q173" s="147"/>
      <c r="R173" s="112"/>
      <c r="S173" s="112"/>
      <c r="T173" s="112"/>
      <c r="U173" s="146"/>
      <c r="V173" s="113"/>
      <c r="W173" s="113"/>
      <c r="X173" s="126"/>
      <c r="Y173" s="126"/>
    </row>
    <row r="174" spans="1:25" ht="14.7" customHeight="1">
      <c r="A174" s="131" t="s">
        <v>317</v>
      </c>
      <c r="B174" s="131"/>
      <c r="C174">
        <v>15.58718058542029</v>
      </c>
      <c r="D174">
        <v>16.469859983392617</v>
      </c>
      <c r="E174">
        <v>15.964751853579074</v>
      </c>
      <c r="F174">
        <v>18.48889583396635</v>
      </c>
      <c r="G174">
        <v>15.857547532833399</v>
      </c>
      <c r="H174">
        <v>17.719811845902868</v>
      </c>
      <c r="I174" s="147">
        <v>18.422599999999999</v>
      </c>
      <c r="J174" s="112">
        <v>14.718800000000002</v>
      </c>
      <c r="K174" s="112">
        <v>15.032629506703366</v>
      </c>
      <c r="L174" s="126"/>
      <c r="M174" s="112"/>
      <c r="N174" s="126"/>
      <c r="O174" s="147"/>
      <c r="P174" s="147"/>
      <c r="Q174" s="147"/>
      <c r="R174" s="112"/>
      <c r="S174" s="112"/>
      <c r="T174" s="112"/>
      <c r="U174" s="146"/>
      <c r="V174" s="113"/>
      <c r="W174" s="113"/>
      <c r="X174" s="126"/>
      <c r="Y174" s="126"/>
    </row>
    <row r="175" spans="1:25" ht="14.7" customHeight="1">
      <c r="A175" s="131" t="s">
        <v>93</v>
      </c>
      <c r="B175" s="131"/>
      <c r="C175">
        <v>15.565940422999624</v>
      </c>
      <c r="D175">
        <v>15.515360689201046</v>
      </c>
      <c r="E175">
        <v>19.990718188945642</v>
      </c>
      <c r="F175">
        <v>14.406536581424476</v>
      </c>
      <c r="G175">
        <v>14.170574938418627</v>
      </c>
      <c r="H175">
        <v>14.62098469556358</v>
      </c>
      <c r="I175" s="147">
        <v>18.331</v>
      </c>
      <c r="J175" s="112">
        <v>16.733600000000003</v>
      </c>
      <c r="K175" s="112">
        <v>13.830050471491706</v>
      </c>
      <c r="L175" s="126"/>
      <c r="M175" s="112"/>
      <c r="N175" s="126"/>
      <c r="O175" s="147"/>
      <c r="P175" s="147"/>
      <c r="Q175" s="147"/>
      <c r="R175" s="112"/>
      <c r="S175" s="112"/>
      <c r="T175" s="112"/>
      <c r="U175" s="146"/>
      <c r="V175" s="113"/>
      <c r="W175" s="113"/>
      <c r="X175" s="126"/>
      <c r="Y175" s="126"/>
    </row>
    <row r="176" spans="1:25" ht="14.7" customHeight="1">
      <c r="A176" s="131" t="s">
        <v>213</v>
      </c>
      <c r="B176" s="131"/>
      <c r="C176">
        <v>15.546778488362792</v>
      </c>
      <c r="D176">
        <v>13.476794783745675</v>
      </c>
      <c r="E176">
        <v>12.756482691247012</v>
      </c>
      <c r="F176">
        <v>13.114543009324173</v>
      </c>
      <c r="G176">
        <v>16.104904518179953</v>
      </c>
      <c r="H176">
        <v>18.487151852876437</v>
      </c>
      <c r="I176" s="147">
        <v>15.948200000000002</v>
      </c>
      <c r="J176" s="112">
        <v>19.697400000000002</v>
      </c>
      <c r="K176" s="112">
        <v>20.130992962174368</v>
      </c>
      <c r="L176" s="126"/>
      <c r="M176" s="112"/>
      <c r="N176" s="126"/>
      <c r="O176" s="147"/>
      <c r="P176" s="147"/>
      <c r="Q176" s="147"/>
      <c r="R176" s="112"/>
      <c r="S176" s="112"/>
      <c r="T176" s="112"/>
      <c r="U176" s="146"/>
      <c r="V176" s="113"/>
      <c r="W176" s="113"/>
      <c r="X176" s="126"/>
      <c r="Y176" s="126"/>
    </row>
    <row r="177" spans="1:25" ht="14.7" customHeight="1">
      <c r="A177" s="131" t="s">
        <v>94</v>
      </c>
      <c r="B177" s="131"/>
      <c r="C177">
        <v>16.435358514125795</v>
      </c>
      <c r="D177">
        <v>17.030560013242454</v>
      </c>
      <c r="E177">
        <v>16.95755527946892</v>
      </c>
      <c r="F177">
        <v>14.794555731912135</v>
      </c>
      <c r="G177">
        <v>19.568332225072037</v>
      </c>
      <c r="H177">
        <v>15.368100718158132</v>
      </c>
      <c r="I177" s="147">
        <v>17.316000000000003</v>
      </c>
      <c r="J177" s="112">
        <v>11.4034</v>
      </c>
      <c r="K177" s="112">
        <v>18.084489959831238</v>
      </c>
      <c r="L177" s="126"/>
      <c r="M177" s="112"/>
      <c r="N177" s="126"/>
      <c r="O177" s="147"/>
      <c r="P177" s="147"/>
      <c r="Q177" s="147"/>
      <c r="R177" s="112"/>
      <c r="S177" s="112"/>
      <c r="T177" s="112"/>
      <c r="U177" s="146"/>
      <c r="V177" s="113"/>
      <c r="W177" s="113"/>
      <c r="X177" s="126"/>
      <c r="Y177" s="126"/>
    </row>
    <row r="178" spans="1:25" ht="14.7" customHeight="1">
      <c r="A178" s="131" t="s">
        <v>95</v>
      </c>
      <c r="B178" s="131"/>
      <c r="C178">
        <v>18.073898041273775</v>
      </c>
      <c r="D178">
        <v>17.608799254858447</v>
      </c>
      <c r="E178">
        <v>18.850117411307963</v>
      </c>
      <c r="F178">
        <v>22.596712768089798</v>
      </c>
      <c r="G178">
        <v>20.570493327162691</v>
      </c>
      <c r="H178">
        <v>21.632354009824208</v>
      </c>
      <c r="I178" s="147">
        <v>22.377299999999998</v>
      </c>
      <c r="J178" s="112">
        <v>19.6555</v>
      </c>
      <c r="K178" s="112">
        <v>19.797647650234673</v>
      </c>
      <c r="L178" s="126"/>
      <c r="M178" s="112"/>
      <c r="N178" s="126"/>
      <c r="O178" s="147"/>
      <c r="P178" s="147"/>
      <c r="Q178" s="147"/>
      <c r="R178" s="112"/>
      <c r="S178" s="112"/>
      <c r="T178" s="112"/>
      <c r="U178" s="146"/>
      <c r="V178" s="113"/>
      <c r="W178" s="113"/>
      <c r="X178" s="126"/>
      <c r="Y178" s="126"/>
    </row>
    <row r="179" spans="1:25" ht="14.7" customHeight="1">
      <c r="A179" s="131" t="s">
        <v>318</v>
      </c>
      <c r="B179" s="131"/>
      <c r="C179">
        <v>18.087857510556159</v>
      </c>
      <c r="D179">
        <v>18.108768457180531</v>
      </c>
      <c r="E179">
        <v>18.020356575900532</v>
      </c>
      <c r="F179">
        <v>19.338907473522063</v>
      </c>
      <c r="G179">
        <v>16.108513444164817</v>
      </c>
      <c r="H179">
        <v>20.912843461284687</v>
      </c>
      <c r="I179" s="147">
        <v>18.845799999999997</v>
      </c>
      <c r="J179" s="112">
        <v>18.188399999999998</v>
      </c>
      <c r="K179" s="112">
        <v>16.036007901999703</v>
      </c>
      <c r="L179" s="126"/>
      <c r="M179" s="112"/>
      <c r="N179" s="126"/>
      <c r="O179" s="147"/>
      <c r="P179" s="147"/>
      <c r="Q179" s="147"/>
      <c r="R179" s="112"/>
      <c r="S179" s="112"/>
      <c r="T179" s="112"/>
      <c r="U179" s="146"/>
      <c r="V179" s="113"/>
      <c r="W179" s="113"/>
      <c r="X179" s="126"/>
      <c r="Y179" s="126"/>
    </row>
    <row r="180" spans="1:25" ht="14.7" customHeight="1">
      <c r="A180" s="131" t="s">
        <v>235</v>
      </c>
      <c r="B180" s="131"/>
      <c r="C180">
        <v>10.557177721249507</v>
      </c>
      <c r="D180">
        <v>11.983469109605666</v>
      </c>
      <c r="E180">
        <v>12.937539264700076</v>
      </c>
      <c r="F180">
        <v>11.701556629092861</v>
      </c>
      <c r="G180">
        <v>16.636523641277467</v>
      </c>
      <c r="H180">
        <v>16.625852956889325</v>
      </c>
      <c r="I180" s="147">
        <v>16.512799999999999</v>
      </c>
      <c r="J180" s="112">
        <v>14.386399999999998</v>
      </c>
      <c r="K180" s="112">
        <v>15.700942032053323</v>
      </c>
      <c r="L180" s="126"/>
      <c r="M180" s="112"/>
      <c r="N180" s="126"/>
      <c r="O180" s="147"/>
      <c r="P180" s="147"/>
      <c r="Q180" s="147"/>
      <c r="R180" s="112"/>
      <c r="S180" s="112"/>
      <c r="T180" s="112"/>
      <c r="U180" s="146"/>
      <c r="V180" s="113"/>
      <c r="W180" s="113"/>
      <c r="X180" s="126"/>
      <c r="Y180" s="126"/>
    </row>
    <row r="181" spans="1:25" ht="14.7" customHeight="1">
      <c r="A181" s="131" t="s">
        <v>272</v>
      </c>
      <c r="B181" s="131"/>
      <c r="C181">
        <v>8.4455249222075874</v>
      </c>
      <c r="D181">
        <v>8.2841173213111414</v>
      </c>
      <c r="E181">
        <v>6.1875700833578744</v>
      </c>
      <c r="F181">
        <v>9.7340043428697722</v>
      </c>
      <c r="G181">
        <v>9.3550894477676341</v>
      </c>
      <c r="H181">
        <v>13.39378769904248</v>
      </c>
      <c r="I181" s="147">
        <v>9.5130999999999997</v>
      </c>
      <c r="J181" s="112">
        <v>7.6290999999999993</v>
      </c>
      <c r="K181" s="112">
        <v>9.5349516918959196</v>
      </c>
      <c r="L181" s="126"/>
      <c r="M181" s="112"/>
      <c r="N181" s="126"/>
      <c r="O181" s="147"/>
      <c r="P181" s="147"/>
      <c r="Q181" s="147"/>
      <c r="R181" s="112"/>
      <c r="S181" s="112"/>
      <c r="T181" s="112"/>
      <c r="U181" s="146"/>
      <c r="V181" s="113"/>
      <c r="W181" s="113"/>
      <c r="X181" s="126"/>
      <c r="Y181" s="126"/>
    </row>
    <row r="182" spans="1:25" ht="14.7" customHeight="1">
      <c r="A182" s="131" t="s">
        <v>96</v>
      </c>
      <c r="B182" s="131"/>
      <c r="C182">
        <v>13.618153412376291</v>
      </c>
      <c r="D182">
        <v>11.726964940642709</v>
      </c>
      <c r="E182">
        <v>9.5247318449106704</v>
      </c>
      <c r="F182">
        <v>15.823216256573394</v>
      </c>
      <c r="G182">
        <v>10.5342155599797</v>
      </c>
      <c r="H182">
        <v>13.278213641717407</v>
      </c>
      <c r="I182" s="147">
        <v>13.8988</v>
      </c>
      <c r="J182" s="112">
        <v>17.542200000000001</v>
      </c>
      <c r="K182" s="112">
        <v>18.687446522991642</v>
      </c>
      <c r="L182" s="126"/>
      <c r="M182" s="112"/>
      <c r="N182" s="126"/>
      <c r="O182" s="147"/>
      <c r="P182" s="147"/>
      <c r="Q182" s="147"/>
      <c r="R182" s="112"/>
      <c r="S182" s="112"/>
      <c r="T182" s="112"/>
      <c r="U182" s="146"/>
      <c r="V182" s="113"/>
      <c r="W182" s="113"/>
      <c r="X182" s="126"/>
      <c r="Y182" s="126"/>
    </row>
    <row r="183" spans="1:25" ht="14.7" customHeight="1">
      <c r="A183" s="131" t="s">
        <v>97</v>
      </c>
      <c r="B183" s="131"/>
      <c r="C183">
        <v>14.337837602677658</v>
      </c>
      <c r="D183">
        <v>19.064983754482228</v>
      </c>
      <c r="E183">
        <v>13.193680430330094</v>
      </c>
      <c r="F183">
        <v>16.847809264788726</v>
      </c>
      <c r="G183">
        <v>16.645313329123194</v>
      </c>
      <c r="H183">
        <v>15.962325993603448</v>
      </c>
      <c r="I183" s="147">
        <v>19.8064</v>
      </c>
      <c r="J183" s="112">
        <v>18.558399999999999</v>
      </c>
      <c r="K183" s="112">
        <v>14.23297851074927</v>
      </c>
      <c r="L183" s="126"/>
      <c r="M183" s="112"/>
      <c r="N183" s="126"/>
      <c r="O183" s="147"/>
      <c r="P183" s="147"/>
      <c r="Q183" s="147"/>
      <c r="R183" s="112"/>
      <c r="S183" s="112"/>
      <c r="T183" s="112"/>
      <c r="U183" s="146"/>
      <c r="V183" s="113"/>
      <c r="W183" s="113"/>
      <c r="X183" s="126"/>
      <c r="Y183" s="126"/>
    </row>
    <row r="184" spans="1:25" ht="14.7" customHeight="1">
      <c r="A184" s="131" t="s">
        <v>98</v>
      </c>
      <c r="B184" s="131"/>
      <c r="C184">
        <v>12.465000809561095</v>
      </c>
      <c r="D184">
        <v>14.237832061585697</v>
      </c>
      <c r="E184">
        <v>13.574120910600184</v>
      </c>
      <c r="F184">
        <v>19.209351184513114</v>
      </c>
      <c r="G184">
        <v>10.835856373585301</v>
      </c>
      <c r="H184">
        <v>15.778845945147154</v>
      </c>
      <c r="I184" s="147">
        <v>17.579700000000003</v>
      </c>
      <c r="J184" s="112">
        <v>14.530100000000001</v>
      </c>
      <c r="K184" s="112">
        <v>15.94468128411288</v>
      </c>
      <c r="L184" s="126"/>
      <c r="M184" s="112"/>
      <c r="N184" s="126"/>
      <c r="O184" s="147"/>
      <c r="P184" s="147"/>
      <c r="Q184" s="147"/>
      <c r="R184" s="112"/>
      <c r="S184" s="112"/>
      <c r="T184" s="112"/>
      <c r="U184" s="146"/>
      <c r="V184" s="113"/>
      <c r="W184" s="113"/>
      <c r="X184" s="126"/>
      <c r="Y184" s="126"/>
    </row>
    <row r="185" spans="1:25" ht="14.7" customHeight="1">
      <c r="A185" s="131" t="s">
        <v>236</v>
      </c>
      <c r="B185" s="131"/>
      <c r="C185">
        <v>12.717381788190599</v>
      </c>
      <c r="D185">
        <v>15.197953666300892</v>
      </c>
      <c r="E185">
        <v>14.794392467526366</v>
      </c>
      <c r="F185">
        <v>13.508933316979435</v>
      </c>
      <c r="G185">
        <v>10.697056971420684</v>
      </c>
      <c r="H185">
        <v>15.777429092540963</v>
      </c>
      <c r="I185" s="147">
        <v>18.792900000000003</v>
      </c>
      <c r="J185" s="112">
        <v>17.354900000000001</v>
      </c>
      <c r="K185" s="112">
        <v>16.984962286672751</v>
      </c>
      <c r="L185" s="126"/>
      <c r="M185" s="112"/>
      <c r="N185" s="126"/>
      <c r="O185" s="147"/>
      <c r="P185" s="147"/>
      <c r="Q185" s="147"/>
      <c r="R185" s="112"/>
      <c r="S185" s="112"/>
      <c r="T185" s="112"/>
      <c r="U185" s="146"/>
      <c r="V185" s="113"/>
      <c r="W185" s="113"/>
      <c r="X185" s="126"/>
      <c r="Y185" s="126"/>
    </row>
    <row r="186" spans="1:25" ht="14.7" customHeight="1">
      <c r="A186" s="131" t="s">
        <v>99</v>
      </c>
      <c r="B186" s="131"/>
      <c r="C186">
        <v>11.610387340544451</v>
      </c>
      <c r="D186">
        <v>12.696164206012822</v>
      </c>
      <c r="E186">
        <v>10.3714466894782</v>
      </c>
      <c r="F186">
        <v>13.594571643204755</v>
      </c>
      <c r="G186">
        <v>10.204570753988218</v>
      </c>
      <c r="H186">
        <v>10.114411212016842</v>
      </c>
      <c r="I186" s="147">
        <v>14.498700000000001</v>
      </c>
      <c r="J186" s="112">
        <v>12.107200000000001</v>
      </c>
      <c r="K186" s="112">
        <v>10.572959580533785</v>
      </c>
      <c r="L186" s="126"/>
      <c r="M186" s="112"/>
      <c r="N186" s="126"/>
      <c r="O186" s="147"/>
      <c r="P186" s="147"/>
      <c r="Q186" s="147"/>
      <c r="R186" s="112"/>
      <c r="S186" s="112"/>
      <c r="T186" s="112"/>
      <c r="U186" s="146"/>
      <c r="V186" s="113"/>
      <c r="W186" s="113"/>
      <c r="X186" s="126"/>
      <c r="Y186" s="126"/>
    </row>
    <row r="187" spans="1:25" ht="14.7" customHeight="1">
      <c r="A187" s="131" t="s">
        <v>273</v>
      </c>
      <c r="B187" s="131"/>
      <c r="C187">
        <v>10.846367827606047</v>
      </c>
      <c r="D187">
        <v>7.926069789226764</v>
      </c>
      <c r="E187">
        <v>10.526080815133488</v>
      </c>
      <c r="F187">
        <v>7.9995215572904748</v>
      </c>
      <c r="G187">
        <v>9.7815161204731069</v>
      </c>
      <c r="H187">
        <v>13.541548337856391</v>
      </c>
      <c r="I187" s="147">
        <v>8.6749999999999989</v>
      </c>
      <c r="J187" s="112">
        <v>8.9322999999999997</v>
      </c>
      <c r="K187" s="112">
        <v>10.23497031433444</v>
      </c>
      <c r="L187" s="126"/>
      <c r="M187" s="112"/>
      <c r="N187" s="126"/>
      <c r="O187" s="147"/>
      <c r="P187" s="147"/>
      <c r="Q187" s="147"/>
      <c r="R187" s="112"/>
      <c r="S187" s="112"/>
      <c r="T187" s="112"/>
      <c r="U187" s="146"/>
      <c r="V187" s="113"/>
      <c r="W187" s="113"/>
      <c r="X187" s="126"/>
      <c r="Y187" s="126"/>
    </row>
    <row r="188" spans="1:25" ht="14.7" customHeight="1">
      <c r="A188" s="131" t="s">
        <v>100</v>
      </c>
      <c r="B188" s="131"/>
      <c r="C188">
        <v>19.35435689464644</v>
      </c>
      <c r="D188">
        <v>22.455196361460164</v>
      </c>
      <c r="E188">
        <v>16.688833220713512</v>
      </c>
      <c r="F188">
        <v>16.197066927891068</v>
      </c>
      <c r="G188">
        <v>14.204902074446609</v>
      </c>
      <c r="H188">
        <v>15.943861610663172</v>
      </c>
      <c r="I188" s="147">
        <v>18.4084</v>
      </c>
      <c r="J188" s="112">
        <v>16.2211</v>
      </c>
      <c r="K188" s="112">
        <v>16.144883535566787</v>
      </c>
      <c r="L188" s="126"/>
      <c r="M188" s="112"/>
      <c r="N188" s="126"/>
      <c r="O188" s="147"/>
      <c r="P188" s="147"/>
      <c r="Q188" s="147"/>
      <c r="R188" s="112"/>
      <c r="S188" s="112"/>
      <c r="T188" s="112"/>
      <c r="U188" s="146"/>
      <c r="V188" s="113"/>
      <c r="W188" s="113"/>
      <c r="X188" s="126"/>
      <c r="Y188" s="126"/>
    </row>
    <row r="189" spans="1:25" ht="14.7" customHeight="1">
      <c r="A189" s="131" t="s">
        <v>101</v>
      </c>
      <c r="B189" s="131"/>
      <c r="C189">
        <v>12.784844852293872</v>
      </c>
      <c r="D189">
        <v>18.515345603503746</v>
      </c>
      <c r="E189">
        <v>17.182440081963186</v>
      </c>
      <c r="F189">
        <v>13.235155388029153</v>
      </c>
      <c r="G189">
        <v>14.903036349755824</v>
      </c>
      <c r="H189">
        <v>20.95620716494852</v>
      </c>
      <c r="I189" s="147">
        <v>19.480900000000002</v>
      </c>
      <c r="J189" s="112">
        <v>16.4162</v>
      </c>
      <c r="K189" s="112">
        <v>19.056148089242345</v>
      </c>
      <c r="L189" s="126"/>
      <c r="M189" s="112"/>
      <c r="N189" s="126"/>
      <c r="O189" s="147"/>
      <c r="P189" s="147"/>
      <c r="Q189" s="147"/>
      <c r="R189" s="112"/>
      <c r="S189" s="112"/>
      <c r="T189" s="112"/>
      <c r="U189" s="146"/>
      <c r="V189" s="113"/>
      <c r="W189" s="113"/>
      <c r="X189" s="126"/>
      <c r="Y189" s="126"/>
    </row>
    <row r="190" spans="1:25" ht="14.7" customHeight="1">
      <c r="A190" s="131" t="s">
        <v>214</v>
      </c>
      <c r="B190" s="131"/>
      <c r="C190">
        <v>17.958128333082986</v>
      </c>
      <c r="D190">
        <v>15.78276409772092</v>
      </c>
      <c r="E190">
        <v>14.739784953113332</v>
      </c>
      <c r="F190">
        <v>19.39872825883673</v>
      </c>
      <c r="G190">
        <v>14.427754398147266</v>
      </c>
      <c r="H190">
        <v>17.2197678305421</v>
      </c>
      <c r="I190" s="147">
        <v>17.344899999999999</v>
      </c>
      <c r="J190" s="112">
        <v>16.0154</v>
      </c>
      <c r="K190" s="112">
        <v>19.804567987501024</v>
      </c>
      <c r="L190" s="126"/>
      <c r="M190" s="112"/>
      <c r="N190" s="126"/>
      <c r="O190" s="147"/>
      <c r="P190" s="147"/>
      <c r="Q190" s="147"/>
      <c r="R190" s="112"/>
      <c r="S190" s="112"/>
      <c r="T190" s="112"/>
      <c r="U190" s="146"/>
      <c r="V190" s="113"/>
      <c r="W190" s="113"/>
      <c r="X190" s="126"/>
      <c r="Y190" s="126"/>
    </row>
    <row r="191" spans="1:25" ht="14.7" customHeight="1">
      <c r="A191" s="131" t="s">
        <v>102</v>
      </c>
      <c r="B191" s="131"/>
      <c r="C191">
        <v>14.208003527342111</v>
      </c>
      <c r="D191">
        <v>15.706592395092144</v>
      </c>
      <c r="E191">
        <v>13.613562325165415</v>
      </c>
      <c r="F191">
        <v>14.271813103098019</v>
      </c>
      <c r="G191">
        <v>21.170279157965481</v>
      </c>
      <c r="H191">
        <v>23.604195274246749</v>
      </c>
      <c r="I191" s="147">
        <v>15.290899999999999</v>
      </c>
      <c r="J191" s="112">
        <v>17.099299999999999</v>
      </c>
      <c r="K191" s="112">
        <v>17.72867644453849</v>
      </c>
      <c r="L191" s="126"/>
      <c r="M191" s="112"/>
      <c r="N191" s="126"/>
      <c r="O191" s="147"/>
      <c r="P191" s="147"/>
      <c r="Q191" s="147"/>
      <c r="R191" s="112"/>
      <c r="S191" s="112"/>
      <c r="T191" s="112"/>
      <c r="U191" s="146"/>
      <c r="V191" s="113"/>
      <c r="W191" s="113"/>
      <c r="X191" s="126"/>
      <c r="Y191" s="126"/>
    </row>
    <row r="192" spans="1:25" ht="14.7" customHeight="1">
      <c r="A192" s="131" t="s">
        <v>103</v>
      </c>
      <c r="B192" s="131"/>
      <c r="C192">
        <v>23.62136122345164</v>
      </c>
      <c r="D192">
        <v>14.774798314790392</v>
      </c>
      <c r="E192">
        <v>18.672032414498986</v>
      </c>
      <c r="F192">
        <v>21.680266538667873</v>
      </c>
      <c r="G192">
        <v>16.023854345477133</v>
      </c>
      <c r="H192">
        <v>25.014464064138597</v>
      </c>
      <c r="I192" s="147">
        <v>18.210899999999999</v>
      </c>
      <c r="J192" s="112">
        <v>20.281399999999998</v>
      </c>
      <c r="K192" s="112">
        <v>17.419228824095381</v>
      </c>
      <c r="L192" s="126"/>
      <c r="M192" s="112"/>
      <c r="N192" s="126"/>
      <c r="O192" s="147"/>
      <c r="P192" s="147"/>
      <c r="Q192" s="147"/>
      <c r="R192" s="112"/>
      <c r="S192" s="112"/>
      <c r="T192" s="112"/>
      <c r="U192" s="146"/>
      <c r="V192" s="113"/>
      <c r="W192" s="113"/>
      <c r="X192" s="126"/>
      <c r="Y192" s="126"/>
    </row>
    <row r="193" spans="1:196" ht="14.7" customHeight="1">
      <c r="A193" s="131" t="s">
        <v>104</v>
      </c>
      <c r="B193" s="131"/>
      <c r="C193">
        <v>17.832000396365721</v>
      </c>
      <c r="D193">
        <v>11.590464438246899</v>
      </c>
      <c r="E193">
        <v>14.236766522710356</v>
      </c>
      <c r="F193">
        <v>19.838667675506318</v>
      </c>
      <c r="G193">
        <v>18.969678284656126</v>
      </c>
      <c r="H193">
        <v>20.749820271705609</v>
      </c>
      <c r="I193" s="147">
        <v>19.005800000000001</v>
      </c>
      <c r="J193" s="112">
        <v>12.9617</v>
      </c>
      <c r="K193" s="112">
        <v>14.190503523665186</v>
      </c>
      <c r="L193" s="126"/>
      <c r="M193" s="112"/>
      <c r="N193" s="126"/>
      <c r="O193" s="147"/>
      <c r="P193" s="147"/>
      <c r="Q193" s="147"/>
      <c r="R193" s="112"/>
      <c r="S193" s="112"/>
      <c r="T193" s="112"/>
      <c r="U193" s="146"/>
      <c r="V193" s="113"/>
      <c r="W193" s="113"/>
      <c r="X193" s="126"/>
      <c r="Y193" s="126"/>
    </row>
    <row r="194" spans="1:196" ht="14.7" customHeight="1">
      <c r="A194" s="131" t="s">
        <v>274</v>
      </c>
      <c r="B194" s="131"/>
      <c r="C194">
        <v>15.430742344148193</v>
      </c>
      <c r="D194">
        <v>18.55177653499409</v>
      </c>
      <c r="E194">
        <v>9.8425283826504266</v>
      </c>
      <c r="F194">
        <v>13.708417785789148</v>
      </c>
      <c r="G194">
        <v>11.270411223342773</v>
      </c>
      <c r="H194">
        <v>16.341990805424309</v>
      </c>
      <c r="I194" s="147">
        <v>14.547099999999999</v>
      </c>
      <c r="J194" s="112">
        <v>13.071400000000001</v>
      </c>
      <c r="K194" s="112">
        <v>11.600383016556885</v>
      </c>
      <c r="L194" s="126"/>
      <c r="M194" s="112"/>
      <c r="N194" s="126"/>
      <c r="O194" s="147"/>
      <c r="P194" s="147"/>
      <c r="Q194" s="147"/>
      <c r="R194" s="112"/>
      <c r="S194" s="112"/>
      <c r="T194" s="112"/>
      <c r="U194" s="146"/>
      <c r="V194" s="113"/>
      <c r="W194" s="113"/>
      <c r="X194" s="126"/>
      <c r="Y194" s="126"/>
    </row>
    <row r="195" spans="1:196" ht="14.7" customHeight="1">
      <c r="A195" s="131" t="s">
        <v>275</v>
      </c>
      <c r="B195" s="131"/>
      <c r="C195">
        <v>18.248217499810679</v>
      </c>
      <c r="D195">
        <v>22.050648640470488</v>
      </c>
      <c r="E195">
        <v>16.010303478722069</v>
      </c>
      <c r="F195">
        <v>19.402839121860584</v>
      </c>
      <c r="G195">
        <v>15.406836044037092</v>
      </c>
      <c r="H195">
        <v>21.520081633900254</v>
      </c>
      <c r="I195" s="147">
        <v>18.234100000000002</v>
      </c>
      <c r="J195" s="112">
        <v>17.924900000000001</v>
      </c>
      <c r="K195" s="112">
        <v>16.794923575695222</v>
      </c>
      <c r="L195" s="126"/>
      <c r="M195" s="112"/>
      <c r="N195" s="126"/>
      <c r="O195" s="147"/>
      <c r="P195" s="147"/>
      <c r="Q195" s="147"/>
      <c r="R195" s="112"/>
      <c r="S195" s="112"/>
      <c r="T195" s="112"/>
      <c r="U195" s="146"/>
      <c r="V195" s="113"/>
      <c r="W195" s="113"/>
      <c r="X195" s="126"/>
      <c r="Y195" s="126"/>
    </row>
    <row r="196" spans="1:196" ht="14.7" customHeight="1">
      <c r="A196" s="131" t="s">
        <v>105</v>
      </c>
      <c r="B196" s="131"/>
      <c r="C196">
        <v>19.999243303888314</v>
      </c>
      <c r="D196">
        <v>21.534699119421155</v>
      </c>
      <c r="E196">
        <v>16.296118928177862</v>
      </c>
      <c r="F196">
        <v>17.153769947358544</v>
      </c>
      <c r="G196">
        <v>15.96067218459995</v>
      </c>
      <c r="H196">
        <v>19.872371700202418</v>
      </c>
      <c r="I196" s="147">
        <v>19.542300000000001</v>
      </c>
      <c r="J196" s="112">
        <v>15.909999999999998</v>
      </c>
      <c r="K196" s="112">
        <v>23.631091087291487</v>
      </c>
      <c r="L196" s="126"/>
      <c r="M196" s="112"/>
      <c r="N196" s="126"/>
      <c r="O196" s="147"/>
      <c r="P196" s="147"/>
      <c r="Q196" s="147"/>
      <c r="R196" s="112"/>
      <c r="S196" s="112"/>
      <c r="T196" s="144"/>
      <c r="U196" s="146"/>
      <c r="V196" s="113"/>
      <c r="W196" s="113"/>
      <c r="X196" s="126"/>
      <c r="Y196" s="126"/>
    </row>
    <row r="197" spans="1:196" ht="14.7" customHeight="1">
      <c r="A197" s="131" t="s">
        <v>106</v>
      </c>
      <c r="B197" s="131"/>
      <c r="C197">
        <v>24.34254958496604</v>
      </c>
      <c r="D197">
        <v>20.800970776835921</v>
      </c>
      <c r="E197">
        <v>25.872587692178694</v>
      </c>
      <c r="F197">
        <v>19.60881856898455</v>
      </c>
      <c r="G197">
        <v>20.4691191360108</v>
      </c>
      <c r="H197">
        <v>18.807888226458321</v>
      </c>
      <c r="I197" s="147">
        <v>25.0031</v>
      </c>
      <c r="J197" s="112">
        <v>22.1053</v>
      </c>
      <c r="K197" s="112">
        <v>24.834003514838301</v>
      </c>
      <c r="L197" s="126"/>
      <c r="M197" s="112"/>
      <c r="N197" s="126"/>
      <c r="O197" s="147"/>
      <c r="P197" s="147"/>
      <c r="Q197" s="147"/>
      <c r="R197" s="112"/>
      <c r="S197" s="112"/>
      <c r="T197" s="112"/>
      <c r="U197" s="146"/>
      <c r="V197" s="113"/>
      <c r="W197" s="113"/>
      <c r="X197" s="126"/>
      <c r="Y197" s="126"/>
    </row>
    <row r="198" spans="1:196" ht="14.7" customHeight="1">
      <c r="A198" s="131" t="s">
        <v>346</v>
      </c>
      <c r="B198" s="131"/>
      <c r="C198">
        <v>16.116410328736205</v>
      </c>
      <c r="D198">
        <v>22.154293426755046</v>
      </c>
      <c r="E198">
        <v>19.218266728478426</v>
      </c>
      <c r="F198">
        <v>23.893560465549996</v>
      </c>
      <c r="G198">
        <v>24.735881836713265</v>
      </c>
      <c r="H198">
        <v>20.171732072264074</v>
      </c>
      <c r="I198" s="147">
        <v>23.536199999999997</v>
      </c>
      <c r="J198" s="112">
        <v>20.313300000000002</v>
      </c>
      <c r="K198" s="112">
        <v>20.450713225714221</v>
      </c>
      <c r="L198" s="126"/>
      <c r="M198" s="112"/>
      <c r="N198" s="126"/>
      <c r="O198" s="147"/>
      <c r="P198" s="147"/>
      <c r="Q198" s="147"/>
      <c r="R198" s="112"/>
      <c r="S198" s="112"/>
      <c r="T198" s="112"/>
      <c r="U198" s="147"/>
      <c r="V198" s="149"/>
      <c r="W198" s="149"/>
      <c r="X198" s="126"/>
      <c r="Y198" s="126"/>
    </row>
    <row r="199" spans="1:196" ht="14.7" customHeight="1">
      <c r="A199" s="131" t="s">
        <v>237</v>
      </c>
      <c r="B199" s="131"/>
      <c r="C199">
        <v>12.149544623059898</v>
      </c>
      <c r="D199">
        <v>16.31626895496737</v>
      </c>
      <c r="E199">
        <v>12.548050470684998</v>
      </c>
      <c r="F199">
        <v>15.313911096118126</v>
      </c>
      <c r="G199">
        <v>13.020276651728976</v>
      </c>
      <c r="H199">
        <v>17.554707247692537</v>
      </c>
      <c r="I199" s="146">
        <v>18.032299999999999</v>
      </c>
      <c r="J199" s="144">
        <v>18.301100000000002</v>
      </c>
      <c r="K199" s="144">
        <v>16.328424479689993</v>
      </c>
      <c r="L199" s="126"/>
      <c r="M199" s="144"/>
      <c r="N199" s="126"/>
      <c r="O199" s="146"/>
      <c r="P199" s="146"/>
      <c r="Q199" s="146"/>
      <c r="R199" s="144"/>
      <c r="S199" s="144"/>
      <c r="T199" s="144"/>
      <c r="U199" s="146"/>
      <c r="V199" s="113"/>
      <c r="W199" s="113"/>
      <c r="X199" s="126"/>
      <c r="Y199" s="126"/>
    </row>
    <row r="200" spans="1:196" ht="14.7" customHeight="1">
      <c r="A200" s="131" t="s">
        <v>107</v>
      </c>
      <c r="B200" s="131"/>
      <c r="C200">
        <v>8.8040599705516964</v>
      </c>
      <c r="D200">
        <v>12.192500201824439</v>
      </c>
      <c r="E200">
        <v>12.57952258122234</v>
      </c>
      <c r="F200">
        <v>10.51410458552207</v>
      </c>
      <c r="G200">
        <v>8.4986330980990523</v>
      </c>
      <c r="H200">
        <v>10.510315793161981</v>
      </c>
      <c r="I200" s="147">
        <v>10.2797</v>
      </c>
      <c r="J200" s="112">
        <v>11.4023</v>
      </c>
      <c r="K200" s="112">
        <v>10.281654250869103</v>
      </c>
      <c r="L200" s="126"/>
      <c r="M200" s="112"/>
      <c r="N200" s="126"/>
      <c r="O200" s="147"/>
      <c r="P200" s="147"/>
      <c r="Q200" s="147"/>
      <c r="R200" s="112"/>
      <c r="S200" s="112"/>
      <c r="T200" s="112"/>
      <c r="U200" s="147"/>
      <c r="V200" s="149"/>
      <c r="W200" s="149"/>
      <c r="X200" s="126"/>
      <c r="Y200" s="126"/>
    </row>
    <row r="201" spans="1:196" ht="14.7" customHeight="1">
      <c r="A201" s="131" t="s">
        <v>215</v>
      </c>
      <c r="B201" s="131"/>
      <c r="C201">
        <v>10.684526728492397</v>
      </c>
      <c r="D201">
        <v>10.520012691841298</v>
      </c>
      <c r="E201">
        <v>6.3562842146353189</v>
      </c>
      <c r="F201">
        <v>7.0832365622885769</v>
      </c>
      <c r="G201">
        <v>5.5719529809377546</v>
      </c>
      <c r="H201">
        <v>12.326278795869841</v>
      </c>
      <c r="I201" s="147">
        <v>15.908900000000001</v>
      </c>
      <c r="J201" s="112">
        <v>14.441300000000002</v>
      </c>
      <c r="K201" s="112">
        <v>17.760498099305604</v>
      </c>
      <c r="L201" s="126"/>
      <c r="M201" s="112"/>
      <c r="N201" s="126"/>
      <c r="O201" s="147"/>
      <c r="P201" s="147"/>
      <c r="Q201" s="147"/>
      <c r="R201" s="112"/>
      <c r="S201" s="112"/>
      <c r="T201" s="112"/>
      <c r="U201" s="146"/>
      <c r="V201" s="113"/>
      <c r="W201" s="113"/>
      <c r="X201" s="126"/>
      <c r="Y201" s="126"/>
    </row>
    <row r="202" spans="1:196" ht="14.7" customHeight="1">
      <c r="A202" s="131" t="s">
        <v>319</v>
      </c>
      <c r="B202" s="131"/>
      <c r="C202">
        <v>19.602795896069566</v>
      </c>
      <c r="D202">
        <v>19.947404742933092</v>
      </c>
      <c r="E202">
        <v>18.099825920421779</v>
      </c>
      <c r="F202">
        <v>17.179852385238526</v>
      </c>
      <c r="G202">
        <v>18.190228026194216</v>
      </c>
      <c r="H202">
        <v>21.622183201968522</v>
      </c>
      <c r="I202" s="147">
        <v>21.847100000000001</v>
      </c>
      <c r="J202" s="112">
        <v>18.752700000000001</v>
      </c>
      <c r="K202" s="112">
        <v>19.776634494001861</v>
      </c>
      <c r="L202" s="126"/>
      <c r="M202" s="112"/>
      <c r="N202" s="126"/>
      <c r="O202" s="147"/>
      <c r="P202" s="147"/>
      <c r="Q202" s="147"/>
      <c r="R202" s="112"/>
      <c r="S202" s="112"/>
      <c r="T202" s="112"/>
      <c r="U202" s="146"/>
      <c r="V202" s="113"/>
      <c r="W202" s="113"/>
      <c r="X202" s="126"/>
      <c r="Y202" s="126"/>
    </row>
    <row r="203" spans="1:196" ht="14.7" customHeight="1">
      <c r="A203" s="131" t="s">
        <v>108</v>
      </c>
      <c r="B203" s="131"/>
      <c r="C203">
        <v>13.447060294330962</v>
      </c>
      <c r="D203">
        <v>17.247472075336955</v>
      </c>
      <c r="E203">
        <v>15.007418125781967</v>
      </c>
      <c r="F203">
        <v>20.947380840018877</v>
      </c>
      <c r="G203">
        <v>16.422001208420784</v>
      </c>
      <c r="H203">
        <v>23.448811902366387</v>
      </c>
      <c r="I203" s="147">
        <v>18.8415</v>
      </c>
      <c r="J203" s="112">
        <v>11.4543</v>
      </c>
      <c r="K203" s="112">
        <v>20.269091247082798</v>
      </c>
      <c r="L203" s="126"/>
      <c r="M203" s="112"/>
      <c r="N203" s="126"/>
      <c r="O203" s="147"/>
      <c r="P203" s="147"/>
      <c r="Q203" s="147"/>
      <c r="R203" s="112"/>
      <c r="S203" s="112"/>
      <c r="T203" s="112"/>
      <c r="U203" s="146"/>
      <c r="V203" s="113"/>
      <c r="W203" s="113"/>
      <c r="X203" s="126"/>
      <c r="Y203" s="126"/>
    </row>
    <row r="204" spans="1:196" ht="14.7" customHeight="1">
      <c r="A204" s="131" t="s">
        <v>109</v>
      </c>
      <c r="B204" s="131"/>
      <c r="C204">
        <v>19.371729359865093</v>
      </c>
      <c r="D204">
        <v>16.395423614500295</v>
      </c>
      <c r="E204">
        <v>15.955364113435236</v>
      </c>
      <c r="F204">
        <v>20.648083751608688</v>
      </c>
      <c r="G204">
        <v>14.145229345311011</v>
      </c>
      <c r="H204">
        <v>17.911328358589621</v>
      </c>
      <c r="I204" s="147">
        <v>15.3626</v>
      </c>
      <c r="J204" s="112">
        <v>19.1374</v>
      </c>
      <c r="K204" s="112"/>
      <c r="L204" s="126"/>
      <c r="M204" s="112"/>
      <c r="N204" s="126"/>
      <c r="O204" s="147"/>
      <c r="P204" s="147"/>
      <c r="Q204" s="147"/>
      <c r="R204" s="112"/>
      <c r="S204" s="112"/>
      <c r="T204" s="112"/>
      <c r="U204" s="146"/>
      <c r="V204" s="113"/>
      <c r="W204" s="113"/>
      <c r="X204" s="126"/>
      <c r="Y204" s="126"/>
    </row>
    <row r="205" spans="1:196" ht="14.7" customHeight="1">
      <c r="A205" s="131" t="s">
        <v>110</v>
      </c>
      <c r="B205" s="131"/>
      <c r="C205">
        <v>9.5856341741767732</v>
      </c>
      <c r="D205">
        <v>9.8792315588248858</v>
      </c>
      <c r="E205">
        <v>7.5713220671845898</v>
      </c>
      <c r="F205">
        <v>10.139803723333641</v>
      </c>
      <c r="G205">
        <v>9.74167331833684</v>
      </c>
      <c r="H205">
        <v>12.0255111107526</v>
      </c>
      <c r="I205" s="147">
        <v>9.6874000000000002</v>
      </c>
      <c r="J205" s="112">
        <v>10.774799999999999</v>
      </c>
      <c r="K205" s="112">
        <v>12.393275215065955</v>
      </c>
      <c r="L205" s="126"/>
      <c r="M205" s="112"/>
      <c r="N205" s="126"/>
      <c r="O205" s="147"/>
      <c r="P205" s="147"/>
      <c r="Q205" s="147"/>
      <c r="R205" s="112"/>
      <c r="S205" s="112"/>
      <c r="T205" s="112"/>
      <c r="U205" s="147"/>
      <c r="V205" s="149"/>
      <c r="W205" s="149"/>
      <c r="X205" s="126"/>
      <c r="Y205" s="126"/>
    </row>
    <row r="206" spans="1:196" ht="14.7" customHeight="1">
      <c r="A206" s="131" t="s">
        <v>276</v>
      </c>
      <c r="B206" s="131"/>
      <c r="C206">
        <v>19.709108130992011</v>
      </c>
      <c r="D206">
        <v>15.014944437071673</v>
      </c>
      <c r="E206">
        <v>22.037251045581566</v>
      </c>
      <c r="F206">
        <v>20.662531398984978</v>
      </c>
      <c r="G206">
        <v>19.853850858546519</v>
      </c>
      <c r="H206">
        <v>15.487154845729961</v>
      </c>
      <c r="I206" s="147">
        <v>22.409399999999998</v>
      </c>
      <c r="J206" s="112">
        <v>17.3673</v>
      </c>
      <c r="K206" s="112">
        <v>17.531673375001855</v>
      </c>
      <c r="L206" s="126"/>
      <c r="M206" s="112"/>
      <c r="N206" s="126"/>
      <c r="O206" s="147"/>
      <c r="P206" s="147"/>
      <c r="Q206" s="147"/>
      <c r="R206" s="112"/>
      <c r="S206" s="112"/>
      <c r="T206" s="112"/>
      <c r="U206" s="146"/>
      <c r="V206" s="113"/>
      <c r="W206" s="113"/>
      <c r="X206" s="126"/>
      <c r="Y206" s="126"/>
    </row>
    <row r="207" spans="1:196" ht="14.7" customHeight="1">
      <c r="A207" s="171" t="s">
        <v>111</v>
      </c>
      <c r="B207" s="171"/>
      <c r="C207">
        <v>14.089428529682083</v>
      </c>
      <c r="D207">
        <v>16.784942167500702</v>
      </c>
      <c r="E207">
        <v>19.318988190692775</v>
      </c>
      <c r="F207">
        <v>19.791879125092802</v>
      </c>
      <c r="G207">
        <v>16.060121457489878</v>
      </c>
      <c r="H207">
        <v>18.447884071359308</v>
      </c>
      <c r="I207" s="147">
        <v>19.825400000000002</v>
      </c>
      <c r="J207" s="112">
        <v>17.471900000000002</v>
      </c>
      <c r="K207" s="112">
        <v>21.130332143258538</v>
      </c>
      <c r="L207" s="126"/>
      <c r="M207" s="112"/>
      <c r="N207" s="126"/>
      <c r="O207" s="147"/>
      <c r="P207" s="147"/>
      <c r="Q207" s="147"/>
      <c r="R207" s="112"/>
      <c r="S207" s="112"/>
      <c r="T207" s="112"/>
      <c r="U207" s="146"/>
      <c r="V207" s="113"/>
      <c r="W207" s="113"/>
      <c r="X207" s="126"/>
      <c r="Y207" s="126"/>
    </row>
    <row r="208" spans="1:196" s="175" customFormat="1" ht="11.25" customHeight="1">
      <c r="A208" s="172" t="s">
        <v>112</v>
      </c>
      <c r="B208" s="172"/>
      <c r="C208">
        <v>16.429933026826639</v>
      </c>
      <c r="D208">
        <v>19.980838116219555</v>
      </c>
      <c r="E208">
        <v>21.803831464301698</v>
      </c>
      <c r="F208">
        <v>19.131045713809986</v>
      </c>
      <c r="G208">
        <v>16.643848592147588</v>
      </c>
      <c r="H208">
        <v>23.67277724315678</v>
      </c>
      <c r="I208" s="173">
        <v>18.791</v>
      </c>
      <c r="J208" s="173">
        <v>21.200399999999998</v>
      </c>
      <c r="K208" s="173">
        <v>16.767137666804256</v>
      </c>
      <c r="L208" s="173"/>
      <c r="M208" s="173"/>
      <c r="N208" s="173"/>
      <c r="O208" s="173"/>
      <c r="P208" s="173"/>
      <c r="Q208" s="173"/>
      <c r="R208" s="173"/>
      <c r="S208" s="173"/>
      <c r="T208" s="173"/>
      <c r="U208" s="173"/>
      <c r="V208" s="173"/>
      <c r="W208" s="173"/>
      <c r="X208" s="173"/>
      <c r="Y208" s="173"/>
      <c r="Z208" s="173"/>
      <c r="AA208" s="173"/>
      <c r="AB208" s="173"/>
      <c r="AC208" s="173"/>
      <c r="AD208" s="173"/>
      <c r="AE208" s="173"/>
      <c r="AF208" s="173"/>
      <c r="AG208" s="173"/>
      <c r="AH208" s="173"/>
      <c r="AI208" s="173"/>
      <c r="AJ208" s="173"/>
      <c r="AK208" s="173"/>
      <c r="AL208" s="173"/>
      <c r="AM208" s="173"/>
      <c r="AN208" s="173"/>
      <c r="AO208" s="173"/>
      <c r="AP208" s="173"/>
      <c r="AQ208" s="173"/>
      <c r="AR208" s="173"/>
      <c r="AS208" s="173"/>
      <c r="AT208" s="173"/>
      <c r="AU208" s="173"/>
      <c r="AV208" s="173"/>
      <c r="AW208" s="173"/>
      <c r="AX208" s="173"/>
      <c r="AY208" s="173"/>
      <c r="AZ208" s="173"/>
      <c r="BA208" s="173"/>
      <c r="BB208" s="173"/>
      <c r="BC208" s="173"/>
      <c r="BD208" s="173"/>
      <c r="BE208" s="173"/>
      <c r="BF208" s="173"/>
      <c r="BG208" s="173"/>
      <c r="BH208" s="173"/>
      <c r="BI208" s="173"/>
      <c r="BJ208" s="173"/>
      <c r="BK208" s="173"/>
      <c r="BL208" s="174"/>
      <c r="BM208" s="174"/>
      <c r="BN208" s="174"/>
      <c r="BO208" s="173"/>
      <c r="BP208" s="173"/>
      <c r="BQ208" s="173"/>
      <c r="BR208" s="173"/>
      <c r="BS208" s="173"/>
      <c r="BT208" s="173"/>
      <c r="BU208" s="173"/>
      <c r="BV208" s="173"/>
      <c r="BW208" s="173"/>
      <c r="BX208" s="173"/>
      <c r="BY208" s="173"/>
      <c r="BZ208" s="173"/>
      <c r="CA208" s="173"/>
      <c r="CB208" s="173"/>
      <c r="CC208" s="173"/>
      <c r="CD208" s="173"/>
      <c r="CE208" s="173"/>
      <c r="CF208" s="173"/>
      <c r="CG208" s="173"/>
      <c r="CH208" s="173"/>
      <c r="CI208" s="173"/>
      <c r="CJ208" s="173"/>
      <c r="CK208" s="173"/>
      <c r="CL208" s="173"/>
      <c r="CM208" s="173"/>
      <c r="CN208" s="173"/>
      <c r="CO208" s="173"/>
      <c r="CP208" s="173"/>
      <c r="CQ208" s="173"/>
      <c r="CR208" s="173"/>
      <c r="CS208" s="173"/>
      <c r="CT208" s="173"/>
      <c r="CU208" s="173"/>
      <c r="CV208" s="173"/>
      <c r="CW208" s="173"/>
      <c r="CX208" s="173"/>
      <c r="CY208" s="173"/>
      <c r="CZ208" s="173"/>
      <c r="DA208" s="173"/>
      <c r="DB208" s="173"/>
      <c r="DC208" s="173"/>
      <c r="DD208" s="173"/>
      <c r="DE208" s="173"/>
      <c r="DF208" s="173"/>
      <c r="DG208" s="173"/>
      <c r="DH208" s="173"/>
      <c r="DI208" s="173"/>
      <c r="DJ208" s="173"/>
      <c r="DK208" s="173"/>
      <c r="DL208" s="173"/>
      <c r="DM208" s="173"/>
      <c r="DN208" s="173"/>
      <c r="DO208" s="173"/>
      <c r="DP208" s="173"/>
      <c r="DQ208" s="173"/>
      <c r="DR208" s="173"/>
      <c r="DS208" s="173"/>
      <c r="DT208" s="173"/>
      <c r="DU208" s="173"/>
      <c r="DV208" s="173"/>
      <c r="DW208" s="173"/>
      <c r="DX208" s="173"/>
      <c r="DY208" s="173"/>
      <c r="DZ208" s="173"/>
      <c r="EA208" s="173"/>
      <c r="EB208" s="173"/>
      <c r="EC208" s="173"/>
      <c r="ED208" s="173"/>
      <c r="EE208" s="173"/>
      <c r="EF208" s="173"/>
      <c r="EG208" s="173"/>
      <c r="EH208" s="173"/>
      <c r="EI208" s="173"/>
      <c r="EJ208" s="173"/>
      <c r="EK208" s="173"/>
      <c r="EL208" s="173"/>
      <c r="EM208" s="173"/>
      <c r="EN208" s="173"/>
      <c r="EO208" s="173"/>
      <c r="EP208" s="173"/>
      <c r="EQ208" s="173"/>
      <c r="ER208" s="173"/>
      <c r="ES208" s="173"/>
      <c r="ET208" s="173"/>
      <c r="EU208" s="173"/>
      <c r="EV208" s="173"/>
      <c r="EW208" s="173"/>
      <c r="EX208" s="173"/>
      <c r="EY208" s="173"/>
      <c r="EZ208" s="173"/>
      <c r="FA208" s="173"/>
      <c r="FB208" s="173"/>
      <c r="FC208" s="173"/>
      <c r="FD208" s="173"/>
      <c r="FE208" s="173"/>
      <c r="FF208" s="173"/>
      <c r="FG208" s="173"/>
      <c r="FH208" s="173"/>
      <c r="FI208" s="173"/>
      <c r="FJ208" s="173"/>
      <c r="FK208" s="173"/>
      <c r="FL208" s="173"/>
      <c r="FM208" s="173"/>
      <c r="FN208" s="173"/>
      <c r="FO208" s="173"/>
      <c r="FP208" s="173"/>
      <c r="FQ208" s="173"/>
      <c r="FR208" s="173"/>
      <c r="FS208" s="173"/>
      <c r="FT208" s="174"/>
      <c r="FU208" s="173"/>
      <c r="FV208" s="173"/>
      <c r="FW208" s="173"/>
      <c r="FX208" s="173"/>
      <c r="FY208" s="173"/>
      <c r="FZ208" s="173"/>
      <c r="GA208" s="173"/>
      <c r="GB208" s="173"/>
      <c r="GC208" s="173"/>
      <c r="GD208" s="173"/>
      <c r="GE208" s="173"/>
      <c r="GF208" s="173"/>
      <c r="GG208" s="173"/>
      <c r="GH208" s="173"/>
      <c r="GI208" s="173"/>
      <c r="GJ208" s="173"/>
      <c r="GK208" s="173"/>
      <c r="GL208" s="173"/>
      <c r="GM208" s="173"/>
      <c r="GN208" s="173"/>
    </row>
    <row r="209" spans="1:25" ht="14.7" customHeight="1">
      <c r="A209" s="110" t="s">
        <v>277</v>
      </c>
      <c r="B209" s="190"/>
      <c r="C209">
        <v>15.333820719261881</v>
      </c>
      <c r="D209">
        <v>15.909711594430467</v>
      </c>
      <c r="E209">
        <v>14.535856593756371</v>
      </c>
      <c r="F209">
        <v>11.653276287481921</v>
      </c>
      <c r="G209">
        <v>12.899888038260507</v>
      </c>
      <c r="H209">
        <v>23.12765175021843</v>
      </c>
      <c r="I209" s="147">
        <v>15.214</v>
      </c>
      <c r="J209" s="112">
        <v>14.3339</v>
      </c>
      <c r="K209" s="112">
        <v>14.605754991466737</v>
      </c>
      <c r="L209" s="126"/>
      <c r="M209" s="112"/>
      <c r="N209" s="126"/>
      <c r="O209" s="147"/>
      <c r="P209" s="147"/>
      <c r="Q209" s="147"/>
      <c r="R209" s="112"/>
      <c r="S209" s="112"/>
      <c r="T209" s="112"/>
      <c r="U209" s="146"/>
      <c r="V209" s="113"/>
      <c r="W209" s="113"/>
      <c r="X209" s="126"/>
      <c r="Y209" s="126"/>
    </row>
    <row r="210" spans="1:25" ht="14.7" customHeight="1">
      <c r="A210" s="142" t="s">
        <v>113</v>
      </c>
      <c r="B210" s="190"/>
      <c r="C210">
        <v>15.800546365707694</v>
      </c>
      <c r="D210">
        <v>19.225804794929971</v>
      </c>
      <c r="E210">
        <v>17.458473893853093</v>
      </c>
      <c r="F210">
        <v>18.137600000000003</v>
      </c>
      <c r="G210">
        <v>14.851197452253977</v>
      </c>
      <c r="H210">
        <v>20.177201844384637</v>
      </c>
      <c r="I210" s="147">
        <v>19.1525</v>
      </c>
      <c r="J210" s="112">
        <v>17.529700000000002</v>
      </c>
      <c r="K210" s="112">
        <v>19.615222699254311</v>
      </c>
      <c r="L210" s="126"/>
      <c r="M210" s="112"/>
      <c r="N210" s="126"/>
      <c r="O210" s="147"/>
      <c r="P210" s="147"/>
      <c r="Q210" s="147"/>
      <c r="R210" s="112"/>
      <c r="S210" s="112"/>
      <c r="T210" s="112"/>
      <c r="U210" s="146"/>
      <c r="V210" s="113"/>
      <c r="W210" s="113"/>
      <c r="X210" s="126"/>
      <c r="Y210" s="126"/>
    </row>
    <row r="211" spans="1:25" ht="14.7" customHeight="1">
      <c r="A211" s="110" t="s">
        <v>278</v>
      </c>
      <c r="B211" s="190"/>
      <c r="C211">
        <v>14.95903566155744</v>
      </c>
      <c r="D211">
        <v>18.047450997400425</v>
      </c>
      <c r="E211">
        <v>15.6317558516657</v>
      </c>
      <c r="F211">
        <v>17.69923708087105</v>
      </c>
      <c r="G211">
        <v>15.679623517907345</v>
      </c>
      <c r="H211">
        <v>19.948845656203229</v>
      </c>
      <c r="I211" s="147">
        <v>27.2484</v>
      </c>
      <c r="J211" s="112">
        <v>21.3142</v>
      </c>
      <c r="K211" s="112">
        <v>15.880681429760729</v>
      </c>
      <c r="L211" s="126"/>
      <c r="M211" s="112"/>
      <c r="N211" s="126"/>
      <c r="O211" s="147"/>
      <c r="P211" s="147"/>
      <c r="Q211" s="147"/>
      <c r="R211" s="112"/>
      <c r="S211" s="112"/>
      <c r="T211" s="112"/>
      <c r="U211" s="146"/>
      <c r="V211" s="113"/>
      <c r="W211" s="113"/>
      <c r="X211" s="126"/>
      <c r="Y211" s="126"/>
    </row>
    <row r="212" spans="1:25" ht="14.7" customHeight="1">
      <c r="A212" s="110" t="s">
        <v>238</v>
      </c>
      <c r="B212" s="190"/>
      <c r="C212">
        <v>14.284866096879167</v>
      </c>
      <c r="D212">
        <v>12.767120734004294</v>
      </c>
      <c r="E212">
        <v>12.627509404081014</v>
      </c>
      <c r="F212">
        <v>18.799601593625496</v>
      </c>
      <c r="G212">
        <v>9.4537236837799483</v>
      </c>
      <c r="H212">
        <v>17.483072232156687</v>
      </c>
      <c r="I212" s="147">
        <v>18.462600000000002</v>
      </c>
      <c r="J212" s="112">
        <v>14.049100000000001</v>
      </c>
      <c r="K212" s="112">
        <v>14.366258214114227</v>
      </c>
      <c r="L212" s="126"/>
      <c r="M212" s="112"/>
      <c r="N212" s="126"/>
      <c r="O212" s="147"/>
      <c r="P212" s="147"/>
      <c r="Q212" s="147"/>
      <c r="R212" s="112"/>
      <c r="S212" s="112"/>
      <c r="T212" s="112"/>
      <c r="U212" s="147"/>
      <c r="V212" s="149"/>
      <c r="W212" s="149"/>
      <c r="X212" s="126"/>
      <c r="Y212" s="126"/>
    </row>
    <row r="213" spans="1:25" ht="14.7" customHeight="1">
      <c r="A213" s="110" t="s">
        <v>114</v>
      </c>
      <c r="B213" s="190"/>
      <c r="C213">
        <v>11.449823904748932</v>
      </c>
      <c r="D213">
        <v>11.776464045374617</v>
      </c>
      <c r="E213">
        <v>11.632727838132109</v>
      </c>
      <c r="F213">
        <v>12.656215193262335</v>
      </c>
      <c r="G213">
        <v>12.952394420258381</v>
      </c>
      <c r="H213">
        <v>19.71294485862952</v>
      </c>
      <c r="I213" s="147">
        <v>12.46</v>
      </c>
      <c r="J213" s="112">
        <v>8.7186000000000003</v>
      </c>
      <c r="K213" s="112">
        <v>10.130414870695253</v>
      </c>
      <c r="L213" s="126"/>
      <c r="M213" s="112"/>
      <c r="N213" s="126"/>
      <c r="O213" s="147"/>
      <c r="P213" s="147"/>
      <c r="Q213" s="147"/>
      <c r="R213" s="112"/>
      <c r="S213" s="112"/>
      <c r="T213" s="112"/>
      <c r="U213" s="146"/>
      <c r="V213" s="113"/>
      <c r="W213" s="113"/>
      <c r="X213" s="126"/>
      <c r="Y213" s="126"/>
    </row>
    <row r="214" spans="1:25" ht="14.7" customHeight="1">
      <c r="A214" s="110" t="s">
        <v>115</v>
      </c>
      <c r="B214" s="190"/>
      <c r="C214">
        <v>9.8873600769384709</v>
      </c>
      <c r="D214">
        <v>15.211885700365352</v>
      </c>
      <c r="E214">
        <v>12.92007110665619</v>
      </c>
      <c r="F214">
        <v>18.929168221418259</v>
      </c>
      <c r="G214">
        <v>10.967041252639454</v>
      </c>
      <c r="H214">
        <v>17.077560031591489</v>
      </c>
      <c r="I214" s="147">
        <v>11.962100000000001</v>
      </c>
      <c r="J214" s="112">
        <v>13.846400000000001</v>
      </c>
      <c r="K214" s="112">
        <v>10.853965256657139</v>
      </c>
      <c r="L214" s="126"/>
      <c r="M214" s="112"/>
      <c r="N214" s="126"/>
      <c r="O214" s="147"/>
      <c r="P214" s="147"/>
      <c r="Q214" s="147"/>
      <c r="R214" s="112"/>
      <c r="S214" s="112"/>
      <c r="T214" s="112"/>
      <c r="U214" s="146"/>
      <c r="V214" s="113"/>
      <c r="W214" s="113"/>
      <c r="X214" s="126"/>
      <c r="Y214" s="126"/>
    </row>
    <row r="215" spans="1:25" ht="14.7" customHeight="1">
      <c r="A215" s="110" t="s">
        <v>320</v>
      </c>
      <c r="B215" s="190"/>
      <c r="C215">
        <v>16.836440393738776</v>
      </c>
      <c r="D215">
        <v>16.775360008335273</v>
      </c>
      <c r="E215">
        <v>16.732766424320602</v>
      </c>
      <c r="F215">
        <v>17.216700248900217</v>
      </c>
      <c r="G215">
        <v>16.271973045184136</v>
      </c>
      <c r="H215">
        <v>17.639782419348034</v>
      </c>
      <c r="I215" s="147">
        <v>17.971599999999999</v>
      </c>
      <c r="J215" s="112">
        <v>17.89</v>
      </c>
      <c r="K215" s="112">
        <v>18.088342558486225</v>
      </c>
      <c r="L215" s="126"/>
      <c r="M215" s="112"/>
      <c r="N215" s="126"/>
      <c r="O215" s="147"/>
      <c r="P215" s="147"/>
      <c r="Q215" s="147"/>
      <c r="R215" s="112"/>
      <c r="S215" s="112"/>
      <c r="T215" s="112"/>
      <c r="U215" s="147"/>
      <c r="V215" s="149"/>
      <c r="W215" s="149"/>
      <c r="X215" s="126"/>
      <c r="Y215" s="126"/>
    </row>
    <row r="216" spans="1:25" ht="14.7" customHeight="1">
      <c r="A216" s="110" t="s">
        <v>116</v>
      </c>
      <c r="B216" s="190"/>
      <c r="C216">
        <v>16.885489343138353</v>
      </c>
      <c r="D216">
        <v>16.363693671945537</v>
      </c>
      <c r="E216">
        <v>13.774275588260457</v>
      </c>
      <c r="F216">
        <v>15.754528605220314</v>
      </c>
      <c r="G216">
        <v>13.94070584240572</v>
      </c>
      <c r="H216">
        <v>15.050963320138713</v>
      </c>
      <c r="I216" s="147">
        <v>13.2331</v>
      </c>
      <c r="J216" s="112">
        <v>13.730500000000001</v>
      </c>
      <c r="K216" s="112">
        <v>15.891447821010548</v>
      </c>
      <c r="L216" s="126"/>
      <c r="M216" s="112"/>
      <c r="N216" s="126"/>
      <c r="O216" s="147"/>
      <c r="P216" s="147"/>
      <c r="Q216" s="147"/>
      <c r="R216" s="112"/>
      <c r="S216" s="112"/>
      <c r="T216" s="112"/>
      <c r="U216" s="146"/>
      <c r="V216" s="113"/>
      <c r="W216" s="113"/>
      <c r="X216" s="126"/>
      <c r="Y216" s="126"/>
    </row>
    <row r="217" spans="1:25" ht="14.7" customHeight="1">
      <c r="A217" s="110" t="s">
        <v>321</v>
      </c>
      <c r="B217" s="190"/>
      <c r="C217">
        <v>14.167552743240227</v>
      </c>
      <c r="D217">
        <v>16.194673155352799</v>
      </c>
      <c r="E217">
        <v>12.903013119417617</v>
      </c>
      <c r="F217">
        <v>14.07975606021234</v>
      </c>
      <c r="G217">
        <v>13.3276614160729</v>
      </c>
      <c r="H217">
        <v>15.085813064659364</v>
      </c>
      <c r="I217" s="147">
        <v>14.4213</v>
      </c>
      <c r="J217" s="112">
        <v>12.4666</v>
      </c>
      <c r="K217" s="112">
        <v>13.772899630201854</v>
      </c>
      <c r="L217" s="126"/>
      <c r="M217" s="112"/>
      <c r="N217" s="126"/>
      <c r="O217" s="147"/>
      <c r="P217" s="147"/>
      <c r="Q217" s="147"/>
      <c r="R217" s="112"/>
      <c r="S217" s="112"/>
      <c r="T217" s="112"/>
      <c r="U217" s="146"/>
      <c r="V217" s="113"/>
      <c r="W217" s="113"/>
      <c r="X217" s="126"/>
      <c r="Y217" s="126"/>
    </row>
    <row r="218" spans="1:25" ht="14.7" customHeight="1">
      <c r="A218" s="110" t="s">
        <v>322</v>
      </c>
      <c r="B218" s="190"/>
      <c r="C218">
        <v>14.04620774219123</v>
      </c>
      <c r="D218">
        <v>13.405331535897485</v>
      </c>
      <c r="E218">
        <v>13.764623087366534</v>
      </c>
      <c r="F218">
        <v>11.639852664763144</v>
      </c>
      <c r="G218">
        <v>12.599482433138048</v>
      </c>
      <c r="H218">
        <v>14.718547761718352</v>
      </c>
      <c r="I218" s="147">
        <v>14.235500000000002</v>
      </c>
      <c r="J218" s="112">
        <v>15.8772</v>
      </c>
      <c r="K218" s="112">
        <v>13.602503562248479</v>
      </c>
      <c r="L218" s="126"/>
      <c r="M218" s="112"/>
      <c r="N218" s="126"/>
      <c r="O218" s="147"/>
      <c r="P218" s="147"/>
      <c r="Q218" s="147"/>
      <c r="R218" s="112"/>
      <c r="S218" s="112"/>
      <c r="T218" s="112"/>
      <c r="U218" s="146"/>
      <c r="V218" s="113"/>
      <c r="W218" s="113"/>
      <c r="X218" s="126"/>
      <c r="Y218" s="126"/>
    </row>
    <row r="219" spans="1:25" ht="14.7" customHeight="1">
      <c r="A219" s="110" t="s">
        <v>117</v>
      </c>
      <c r="B219" s="190"/>
      <c r="C219">
        <v>25.70093157201347</v>
      </c>
      <c r="D219">
        <v>26.612276667219643</v>
      </c>
      <c r="E219">
        <v>24.258575571218543</v>
      </c>
      <c r="F219">
        <v>20.251592590477895</v>
      </c>
      <c r="G219">
        <v>26.14600191081561</v>
      </c>
      <c r="H219">
        <v>28.140688333417742</v>
      </c>
      <c r="I219" s="147">
        <v>30.047699999999999</v>
      </c>
      <c r="J219" s="112">
        <v>25.741000000000003</v>
      </c>
      <c r="K219" s="112">
        <v>22.438094249543692</v>
      </c>
      <c r="L219" s="126"/>
      <c r="M219" s="112"/>
      <c r="N219" s="126"/>
      <c r="O219" s="147"/>
      <c r="P219" s="147"/>
      <c r="Q219" s="147"/>
      <c r="R219" s="112"/>
      <c r="S219" s="112"/>
      <c r="T219" s="112"/>
      <c r="U219" s="146"/>
      <c r="V219" s="113"/>
      <c r="W219" s="113"/>
      <c r="X219" s="126"/>
      <c r="Y219" s="126"/>
    </row>
    <row r="220" spans="1:25" ht="14.7" customHeight="1">
      <c r="A220" s="110" t="s">
        <v>279</v>
      </c>
      <c r="B220" s="190"/>
      <c r="C220">
        <v>12.870272522802487</v>
      </c>
      <c r="D220">
        <v>11.880729225448846</v>
      </c>
      <c r="E220">
        <v>10.142352285132183</v>
      </c>
      <c r="F220">
        <v>13.158113446970852</v>
      </c>
      <c r="G220">
        <v>18.519288012442498</v>
      </c>
      <c r="H220">
        <v>14.042165168473698</v>
      </c>
      <c r="I220" s="147">
        <v>13.680200000000001</v>
      </c>
      <c r="J220" s="112">
        <v>15.1729</v>
      </c>
      <c r="K220" s="112">
        <v>15.92622509410443</v>
      </c>
      <c r="L220" s="126"/>
      <c r="M220" s="112"/>
      <c r="N220" s="126"/>
      <c r="O220" s="147"/>
      <c r="P220" s="147"/>
      <c r="Q220" s="147"/>
      <c r="R220" s="112"/>
      <c r="S220" s="112"/>
      <c r="T220" s="112"/>
      <c r="U220" s="147"/>
      <c r="V220" s="149"/>
      <c r="W220" s="149"/>
      <c r="X220" s="126"/>
      <c r="Y220" s="126"/>
    </row>
    <row r="221" spans="1:25" ht="14.7" customHeight="1">
      <c r="A221" s="110" t="s">
        <v>323</v>
      </c>
      <c r="B221" s="190"/>
      <c r="C221">
        <v>14.765967791128231</v>
      </c>
      <c r="D221">
        <v>15.540343116188964</v>
      </c>
      <c r="E221">
        <v>15.803762079721837</v>
      </c>
      <c r="F221">
        <v>17.520075547051569</v>
      </c>
      <c r="G221">
        <v>15.824452476223689</v>
      </c>
      <c r="H221">
        <v>16.369231199915539</v>
      </c>
      <c r="I221" s="147">
        <v>17.067699999999999</v>
      </c>
      <c r="J221" s="112">
        <v>17.1419</v>
      </c>
      <c r="K221" s="112">
        <v>16.292922014594303</v>
      </c>
      <c r="L221" s="126"/>
      <c r="M221" s="112"/>
      <c r="N221" s="126"/>
      <c r="O221" s="147"/>
      <c r="P221" s="147"/>
      <c r="Q221" s="147"/>
      <c r="R221" s="112"/>
      <c r="S221" s="112"/>
      <c r="T221" s="112"/>
      <c r="U221" s="146"/>
      <c r="V221" s="113"/>
      <c r="W221" s="113"/>
      <c r="X221" s="126"/>
      <c r="Y221" s="126"/>
    </row>
    <row r="222" spans="1:25" ht="14.7" customHeight="1">
      <c r="A222" s="110" t="s">
        <v>347</v>
      </c>
      <c r="B222" s="190"/>
      <c r="C222">
        <v>10.619662282585791</v>
      </c>
      <c r="D222">
        <v>10.793922389505886</v>
      </c>
      <c r="E222">
        <v>12.065957966223079</v>
      </c>
      <c r="F222">
        <v>12.868779310751391</v>
      </c>
      <c r="G222">
        <v>11.603052826971949</v>
      </c>
      <c r="H222">
        <v>11.754196067414474</v>
      </c>
      <c r="I222" s="147">
        <v>11.541500000000001</v>
      </c>
      <c r="J222" s="112">
        <v>12.2066</v>
      </c>
      <c r="K222" s="112">
        <v>10.695537407557797</v>
      </c>
      <c r="L222" s="126"/>
      <c r="M222" s="112"/>
      <c r="N222" s="126"/>
      <c r="O222" s="147"/>
      <c r="P222" s="147"/>
      <c r="Q222" s="147"/>
      <c r="R222" s="112"/>
      <c r="S222" s="112"/>
      <c r="T222" s="112"/>
      <c r="U222" s="146"/>
      <c r="V222" s="113"/>
      <c r="W222" s="113"/>
      <c r="X222" s="126"/>
      <c r="Y222" s="126"/>
    </row>
    <row r="223" spans="1:25" ht="14.7" customHeight="1">
      <c r="A223" s="110" t="s">
        <v>348</v>
      </c>
      <c r="B223" s="190"/>
      <c r="C223">
        <v>8.3517356710924417</v>
      </c>
      <c r="D223">
        <v>13.62444075288419</v>
      </c>
      <c r="E223">
        <v>11.85583099169957</v>
      </c>
      <c r="F223">
        <v>13.932360796870022</v>
      </c>
      <c r="G223">
        <v>16.488543470382151</v>
      </c>
      <c r="H223">
        <v>15.952783289670638</v>
      </c>
      <c r="I223" s="147">
        <v>13.026299999999999</v>
      </c>
      <c r="J223" s="112">
        <v>10.875300000000001</v>
      </c>
      <c r="K223" s="112">
        <v>14.816758078670947</v>
      </c>
      <c r="L223" s="126"/>
      <c r="M223" s="112"/>
      <c r="N223" s="126"/>
      <c r="O223" s="147"/>
      <c r="P223" s="147"/>
      <c r="Q223" s="147"/>
      <c r="R223" s="112"/>
      <c r="S223" s="112"/>
      <c r="T223" s="112"/>
      <c r="U223" s="146"/>
      <c r="V223" s="113"/>
      <c r="W223" s="113"/>
      <c r="X223" s="126"/>
      <c r="Y223" s="126"/>
    </row>
    <row r="224" spans="1:25" ht="14.7" customHeight="1">
      <c r="A224" s="110" t="s">
        <v>239</v>
      </c>
      <c r="B224" s="190"/>
      <c r="C224">
        <v>8.9183198562039774</v>
      </c>
      <c r="D224">
        <v>7.2117206557010745</v>
      </c>
      <c r="E224">
        <v>4.7790078137526084</v>
      </c>
      <c r="F224">
        <v>8.928248131933243</v>
      </c>
      <c r="G224">
        <v>8.5047070124879909</v>
      </c>
      <c r="H224">
        <v>10.910025127336773</v>
      </c>
      <c r="I224" s="147">
        <v>9.1488999999999994</v>
      </c>
      <c r="J224" s="112">
        <v>6.7908999999999997</v>
      </c>
      <c r="K224" s="112">
        <v>6.4708728367164721</v>
      </c>
      <c r="L224" s="126"/>
      <c r="M224" s="112"/>
      <c r="N224" s="126"/>
      <c r="O224" s="147"/>
      <c r="P224" s="147"/>
      <c r="Q224" s="147"/>
      <c r="R224" s="112"/>
      <c r="S224" s="112"/>
      <c r="T224" s="112"/>
      <c r="U224" s="146"/>
      <c r="V224" s="113"/>
      <c r="W224" s="113"/>
      <c r="X224" s="126"/>
      <c r="Y224" s="126"/>
    </row>
    <row r="225" spans="1:25" ht="14.7" customHeight="1">
      <c r="A225" s="110" t="s">
        <v>118</v>
      </c>
      <c r="B225" s="190"/>
      <c r="C225">
        <v>33.293458911487583</v>
      </c>
      <c r="D225">
        <v>33.775150448886912</v>
      </c>
      <c r="E225">
        <v>42.818700377818672</v>
      </c>
      <c r="F225">
        <v>38.60263938237398</v>
      </c>
      <c r="G225">
        <v>43.197868852134803</v>
      </c>
      <c r="H225">
        <v>42.812243148846832</v>
      </c>
      <c r="I225" s="147">
        <v>40.0291</v>
      </c>
      <c r="J225" s="112">
        <v>43.351600000000005</v>
      </c>
      <c r="K225" s="112">
        <v>44.655988715456523</v>
      </c>
      <c r="L225" s="126"/>
      <c r="M225" s="112"/>
      <c r="N225" s="126"/>
      <c r="O225" s="147"/>
      <c r="P225" s="147"/>
      <c r="Q225" s="147"/>
      <c r="R225" s="112"/>
      <c r="S225" s="112"/>
      <c r="T225" s="112"/>
      <c r="U225" s="146"/>
      <c r="V225" s="113"/>
      <c r="W225" s="113"/>
      <c r="X225" s="126"/>
      <c r="Y225" s="126"/>
    </row>
    <row r="226" spans="1:25" ht="14.7" customHeight="1">
      <c r="A226" s="110" t="s">
        <v>324</v>
      </c>
      <c r="B226" s="190"/>
      <c r="C226">
        <v>25.127796877776294</v>
      </c>
      <c r="D226">
        <v>26.085852820398607</v>
      </c>
      <c r="E226">
        <v>25.330946594213877</v>
      </c>
      <c r="F226">
        <v>23.606265663041899</v>
      </c>
      <c r="G226">
        <v>26.106650643529633</v>
      </c>
      <c r="H226">
        <v>27.196428966786822</v>
      </c>
      <c r="I226" s="147">
        <v>24.8355</v>
      </c>
      <c r="J226" s="112">
        <v>25.984099999999998</v>
      </c>
      <c r="K226" s="112">
        <v>27.360615780317239</v>
      </c>
      <c r="L226" s="126"/>
      <c r="M226" s="112"/>
      <c r="N226" s="126"/>
      <c r="O226" s="147"/>
      <c r="P226" s="147"/>
      <c r="Q226" s="147"/>
      <c r="R226" s="112"/>
      <c r="S226" s="112"/>
      <c r="T226" s="112"/>
      <c r="U226" s="146"/>
      <c r="V226" s="113"/>
      <c r="W226" s="113"/>
      <c r="X226" s="126"/>
      <c r="Y226" s="126"/>
    </row>
    <row r="227" spans="1:25" ht="14.7" customHeight="1">
      <c r="A227" s="110" t="s">
        <v>119</v>
      </c>
      <c r="B227" s="190"/>
      <c r="C227">
        <v>9.8513753155469814</v>
      </c>
      <c r="D227">
        <v>8.9456872481493885</v>
      </c>
      <c r="E227">
        <v>9.9433535885415196</v>
      </c>
      <c r="F227">
        <v>9.5825453896161861</v>
      </c>
      <c r="G227">
        <v>10.299399050671362</v>
      </c>
      <c r="H227">
        <v>11.377316274079545</v>
      </c>
      <c r="I227" s="147">
        <v>9.4343000000000004</v>
      </c>
      <c r="J227" s="112">
        <v>8.9854000000000003</v>
      </c>
      <c r="K227" s="112">
        <v>11.507243468785996</v>
      </c>
      <c r="L227" s="126"/>
      <c r="M227" s="112"/>
      <c r="N227" s="126"/>
      <c r="O227" s="147"/>
      <c r="P227" s="147"/>
      <c r="Q227" s="147"/>
      <c r="R227" s="112"/>
      <c r="S227" s="112"/>
      <c r="T227" s="112"/>
      <c r="U227" s="147"/>
      <c r="V227" s="149"/>
      <c r="W227" s="149"/>
      <c r="X227" s="126"/>
      <c r="Y227" s="126"/>
    </row>
    <row r="228" spans="1:25" ht="14.7" customHeight="1">
      <c r="A228" s="110" t="s">
        <v>280</v>
      </c>
      <c r="B228" s="190"/>
      <c r="C228">
        <v>21.178039847902895</v>
      </c>
      <c r="D228">
        <v>22.268469230417473</v>
      </c>
      <c r="E228">
        <v>17.364901010756157</v>
      </c>
      <c r="F228">
        <v>22.970110228146627</v>
      </c>
      <c r="G228">
        <v>25.12845693842835</v>
      </c>
      <c r="H228">
        <v>23.015250252419143</v>
      </c>
      <c r="I228" s="147">
        <v>23.645700000000001</v>
      </c>
      <c r="J228" s="112">
        <v>20.514299999999999</v>
      </c>
      <c r="K228" s="112">
        <v>21.239125621584083</v>
      </c>
      <c r="L228" s="126"/>
      <c r="M228" s="112"/>
      <c r="N228" s="126"/>
      <c r="O228" s="147"/>
      <c r="P228" s="147"/>
      <c r="Q228" s="147"/>
      <c r="R228" s="112"/>
      <c r="S228" s="112"/>
      <c r="T228" s="112"/>
      <c r="U228" s="146"/>
      <c r="V228" s="113"/>
      <c r="W228" s="113"/>
      <c r="X228" s="126"/>
      <c r="Y228" s="126"/>
    </row>
    <row r="229" spans="1:25" ht="14.7" customHeight="1">
      <c r="A229" s="110" t="s">
        <v>281</v>
      </c>
      <c r="B229" s="190"/>
      <c r="C229">
        <v>15.180632436778192</v>
      </c>
      <c r="D229">
        <v>12.775196654622981</v>
      </c>
      <c r="E229">
        <v>14.349802329294381</v>
      </c>
      <c r="F229">
        <v>12.346586982234212</v>
      </c>
      <c r="G229">
        <v>14.577266354542934</v>
      </c>
      <c r="H229">
        <v>12.443415320652006</v>
      </c>
      <c r="I229" s="147">
        <v>12.9682</v>
      </c>
      <c r="J229" s="112">
        <v>9.6524000000000001</v>
      </c>
      <c r="K229" s="112">
        <v>13.24467987064024</v>
      </c>
      <c r="L229" s="126"/>
      <c r="M229" s="112"/>
      <c r="N229" s="126"/>
      <c r="O229" s="147"/>
      <c r="P229" s="147"/>
      <c r="Q229" s="147"/>
      <c r="R229" s="112"/>
      <c r="S229" s="112"/>
      <c r="T229" s="112"/>
      <c r="U229" s="147"/>
      <c r="V229" s="149"/>
      <c r="W229" s="149"/>
      <c r="X229" s="126"/>
      <c r="Y229" s="126"/>
    </row>
    <row r="230" spans="1:25" ht="14.7" customHeight="1">
      <c r="A230" s="110" t="s">
        <v>282</v>
      </c>
      <c r="B230" s="190"/>
      <c r="C230">
        <v>18.59417949604218</v>
      </c>
      <c r="D230">
        <v>19.385974960883136</v>
      </c>
      <c r="E230">
        <v>18.780575846140753</v>
      </c>
      <c r="F230">
        <v>19.249022323610884</v>
      </c>
      <c r="G230">
        <v>15.926110440513627</v>
      </c>
      <c r="H230">
        <v>18.718133413576123</v>
      </c>
      <c r="I230" s="147">
        <v>18.797499999999999</v>
      </c>
      <c r="J230" s="112">
        <v>18.5747</v>
      </c>
      <c r="K230" s="112"/>
      <c r="L230" s="126"/>
      <c r="M230" s="112"/>
      <c r="N230" s="126"/>
      <c r="O230" s="147"/>
      <c r="P230" s="147"/>
      <c r="Q230" s="147"/>
      <c r="R230" s="112"/>
      <c r="S230" s="112"/>
      <c r="T230" s="112"/>
      <c r="U230" s="146"/>
      <c r="V230" s="113"/>
      <c r="W230" s="113"/>
      <c r="X230" s="126"/>
      <c r="Y230" s="126"/>
    </row>
    <row r="231" spans="1:25" ht="14.7" customHeight="1">
      <c r="A231" s="110" t="s">
        <v>283</v>
      </c>
      <c r="B231" s="190"/>
      <c r="C231">
        <v>19.721765609183326</v>
      </c>
      <c r="D231">
        <v>19.565006713131677</v>
      </c>
      <c r="E231">
        <v>21.129349006529409</v>
      </c>
      <c r="F231">
        <v>23.95449466734383</v>
      </c>
      <c r="G231">
        <v>20.425670879442141</v>
      </c>
      <c r="H231">
        <v>23.203657557631889</v>
      </c>
      <c r="I231" s="147">
        <v>23.101900000000001</v>
      </c>
      <c r="J231" s="112">
        <v>23.571000000000002</v>
      </c>
      <c r="K231" s="112">
        <v>21.447881288821478</v>
      </c>
      <c r="L231" s="126"/>
      <c r="M231" s="112"/>
      <c r="N231" s="126"/>
      <c r="O231" s="147"/>
      <c r="P231" s="147"/>
      <c r="Q231" s="147"/>
      <c r="R231" s="112"/>
      <c r="S231" s="112"/>
      <c r="T231" s="112"/>
      <c r="U231" s="147"/>
      <c r="V231" s="113"/>
      <c r="W231" s="113"/>
      <c r="X231" s="126"/>
      <c r="Y231" s="126"/>
    </row>
    <row r="232" spans="1:25" ht="14.7" customHeight="1">
      <c r="A232" s="110" t="s">
        <v>120</v>
      </c>
      <c r="B232" s="190"/>
      <c r="C232">
        <v>16.589958357468014</v>
      </c>
      <c r="D232">
        <v>15.618752713381765</v>
      </c>
      <c r="E232">
        <v>11.747077609556673</v>
      </c>
      <c r="F232">
        <v>15.108698522854013</v>
      </c>
      <c r="G232">
        <v>18.127225402601255</v>
      </c>
      <c r="H232">
        <v>16.660370585330771</v>
      </c>
      <c r="I232" s="147">
        <v>13.524900000000001</v>
      </c>
      <c r="J232" s="112">
        <v>16.238800000000001</v>
      </c>
      <c r="K232" s="112">
        <v>11.850501154014717</v>
      </c>
      <c r="L232" s="126"/>
      <c r="M232" s="112"/>
      <c r="N232" s="126"/>
      <c r="O232" s="147"/>
      <c r="P232" s="147"/>
      <c r="Q232" s="147"/>
      <c r="R232" s="112"/>
      <c r="S232" s="112"/>
      <c r="T232" s="112"/>
      <c r="U232" s="146"/>
      <c r="V232" s="113"/>
      <c r="W232" s="113"/>
      <c r="X232" s="126"/>
      <c r="Y232" s="126"/>
    </row>
    <row r="233" spans="1:25" ht="14.7" customHeight="1">
      <c r="A233" s="110" t="s">
        <v>121</v>
      </c>
      <c r="B233" s="189"/>
      <c r="C233">
        <v>19.093224250487967</v>
      </c>
      <c r="D233">
        <v>17.045110724636757</v>
      </c>
      <c r="E233">
        <v>16.251283234268559</v>
      </c>
      <c r="F233">
        <v>18.784287158786864</v>
      </c>
      <c r="G233">
        <v>13.95725401677374</v>
      </c>
      <c r="H233">
        <v>23.466320171270848</v>
      </c>
      <c r="I233" s="146">
        <v>21.206399999999999</v>
      </c>
      <c r="J233" s="144">
        <v>23.527200000000001</v>
      </c>
      <c r="K233" s="144"/>
      <c r="L233" s="126"/>
      <c r="M233" s="144"/>
      <c r="N233" s="126"/>
      <c r="O233" s="146"/>
      <c r="P233" s="146"/>
      <c r="Q233" s="146"/>
      <c r="R233" s="144"/>
      <c r="S233" s="144"/>
      <c r="T233" s="144"/>
      <c r="U233" s="146"/>
      <c r="V233" s="113"/>
      <c r="W233" s="113"/>
      <c r="X233" s="126"/>
      <c r="Y233" s="126"/>
    </row>
    <row r="234" spans="1:25" ht="14.7" customHeight="1">
      <c r="A234" s="110" t="s">
        <v>284</v>
      </c>
      <c r="B234" s="190"/>
      <c r="C234">
        <v>18.237436324458049</v>
      </c>
      <c r="D234">
        <v>15.800830543149941</v>
      </c>
      <c r="E234">
        <v>13.099511893598976</v>
      </c>
      <c r="F234">
        <v>19.537625585316366</v>
      </c>
      <c r="G234">
        <v>16.304808376377292</v>
      </c>
      <c r="H234">
        <v>23.387515856825246</v>
      </c>
      <c r="I234" s="147">
        <v>17.694499999999998</v>
      </c>
      <c r="J234" s="112">
        <v>18.520099999999999</v>
      </c>
      <c r="K234" s="112">
        <v>20.609343732176185</v>
      </c>
      <c r="L234" s="126"/>
      <c r="M234" s="112"/>
      <c r="N234" s="126"/>
      <c r="O234" s="147"/>
      <c r="P234" s="147"/>
      <c r="Q234" s="147"/>
      <c r="R234" s="112"/>
      <c r="S234" s="112"/>
      <c r="T234" s="112"/>
      <c r="U234" s="147"/>
      <c r="V234" s="149"/>
      <c r="W234" s="149"/>
      <c r="X234" s="126"/>
      <c r="Y234" s="126"/>
    </row>
    <row r="235" spans="1:25" ht="14.7" customHeight="1">
      <c r="A235" s="110" t="s">
        <v>216</v>
      </c>
      <c r="B235" s="190"/>
      <c r="C235">
        <v>10.864697666138337</v>
      </c>
      <c r="D235">
        <v>5.6479586786013609</v>
      </c>
      <c r="E235">
        <v>9.7927707241613895</v>
      </c>
      <c r="F235">
        <v>9.5328147505614194</v>
      </c>
      <c r="G235">
        <v>11.754611913608274</v>
      </c>
      <c r="H235">
        <v>12.919106517509436</v>
      </c>
      <c r="I235" s="147">
        <v>10.2042</v>
      </c>
      <c r="J235" s="112">
        <v>8.8600999999999992</v>
      </c>
      <c r="K235" s="112">
        <v>9.3640252878705414</v>
      </c>
      <c r="L235" s="126"/>
      <c r="M235" s="112"/>
      <c r="N235" s="126"/>
      <c r="O235" s="147"/>
      <c r="P235" s="147"/>
      <c r="Q235" s="147"/>
      <c r="R235" s="112"/>
      <c r="S235" s="112"/>
      <c r="T235" s="112"/>
      <c r="U235" s="146"/>
      <c r="V235" s="113"/>
      <c r="W235" s="113"/>
      <c r="X235" s="126"/>
      <c r="Y235" s="126"/>
    </row>
    <row r="236" spans="1:25" ht="14.7" customHeight="1">
      <c r="A236" s="110" t="s">
        <v>809</v>
      </c>
      <c r="B236" s="190"/>
      <c r="C236">
        <v>14.16263267570012</v>
      </c>
      <c r="D236">
        <v>13.271170167984508</v>
      </c>
      <c r="E236">
        <v>14.204233188914086</v>
      </c>
      <c r="F236">
        <v>9.6170136695221853</v>
      </c>
      <c r="G236">
        <v>9.8703165737047041</v>
      </c>
      <c r="H236">
        <v>10.740682381469064</v>
      </c>
      <c r="I236" s="147">
        <v>12.423299999999999</v>
      </c>
      <c r="J236" s="112">
        <v>12.2508</v>
      </c>
      <c r="K236" s="112">
        <v>17.638914822674185</v>
      </c>
      <c r="L236" s="126"/>
      <c r="M236" s="112"/>
      <c r="N236" s="126"/>
      <c r="O236" s="147"/>
      <c r="P236" s="147"/>
      <c r="Q236" s="147"/>
      <c r="R236" s="112"/>
      <c r="S236" s="112"/>
      <c r="T236" s="112"/>
      <c r="U236" s="146"/>
      <c r="V236" s="113"/>
      <c r="W236" s="113"/>
      <c r="X236" s="126"/>
      <c r="Y236" s="126"/>
    </row>
    <row r="237" spans="1:25" ht="14.7" customHeight="1">
      <c r="A237" s="110" t="s">
        <v>122</v>
      </c>
      <c r="B237" s="190"/>
      <c r="C237">
        <v>11.61340282788613</v>
      </c>
      <c r="D237">
        <v>12.987684063317124</v>
      </c>
      <c r="E237">
        <v>14.112011739336936</v>
      </c>
      <c r="F237">
        <v>10.799572390750308</v>
      </c>
      <c r="G237">
        <v>13.279480961634201</v>
      </c>
      <c r="H237">
        <v>14.527740859857058</v>
      </c>
      <c r="I237" s="147">
        <v>12.0183</v>
      </c>
      <c r="J237" s="112">
        <v>12.162800000000001</v>
      </c>
      <c r="K237" s="112">
        <v>12.205825836819791</v>
      </c>
      <c r="L237" s="126"/>
      <c r="M237" s="112"/>
      <c r="N237" s="126"/>
      <c r="O237" s="147"/>
      <c r="P237" s="147"/>
      <c r="Q237" s="147"/>
      <c r="R237" s="112"/>
      <c r="S237" s="112"/>
      <c r="T237" s="112"/>
      <c r="U237" s="146"/>
      <c r="V237" s="113"/>
      <c r="W237" s="113"/>
      <c r="X237" s="126"/>
      <c r="Y237" s="126"/>
    </row>
    <row r="238" spans="1:25" ht="14.7" customHeight="1">
      <c r="A238" s="110" t="s">
        <v>349</v>
      </c>
      <c r="B238" s="190"/>
      <c r="C238">
        <v>13.771609184708694</v>
      </c>
      <c r="D238">
        <v>17.332015970198693</v>
      </c>
      <c r="E238">
        <v>11.263929507795988</v>
      </c>
      <c r="F238">
        <v>15.76050002348199</v>
      </c>
      <c r="G238">
        <v>14.69540152284562</v>
      </c>
      <c r="H238">
        <v>17.070087934033126</v>
      </c>
      <c r="I238" s="147">
        <v>19.475200000000001</v>
      </c>
      <c r="J238" s="112">
        <v>16.006600000000002</v>
      </c>
      <c r="K238" s="112">
        <v>18.772847434650188</v>
      </c>
      <c r="L238" s="126"/>
      <c r="M238" s="112"/>
      <c r="N238" s="126"/>
      <c r="O238" s="147"/>
      <c r="P238" s="147"/>
      <c r="Q238" s="147"/>
      <c r="R238" s="112"/>
      <c r="S238" s="112"/>
      <c r="T238" s="112"/>
      <c r="U238" s="147"/>
      <c r="V238" s="149"/>
      <c r="W238" s="149"/>
      <c r="X238" s="126"/>
      <c r="Y238" s="126"/>
    </row>
    <row r="239" spans="1:25" ht="14.7" customHeight="1">
      <c r="A239" s="26" t="s">
        <v>123</v>
      </c>
      <c r="B239" s="190"/>
      <c r="C239">
        <v>14.563008825554883</v>
      </c>
      <c r="D239">
        <v>11.351655816195274</v>
      </c>
      <c r="E239">
        <v>15.928227586337851</v>
      </c>
      <c r="F239">
        <v>14.997835617731111</v>
      </c>
      <c r="G239">
        <v>11.88205349286309</v>
      </c>
      <c r="H239">
        <v>20.070330105749985</v>
      </c>
      <c r="I239" s="147">
        <v>13.2357</v>
      </c>
      <c r="J239" s="112">
        <v>14.44</v>
      </c>
      <c r="K239" s="112">
        <v>15.668652755814627</v>
      </c>
      <c r="L239" s="126"/>
      <c r="M239" s="112"/>
      <c r="N239" s="126"/>
      <c r="O239" s="147"/>
      <c r="P239" s="147"/>
      <c r="Q239" s="147"/>
      <c r="R239" s="112"/>
      <c r="S239" s="112"/>
      <c r="T239" s="112"/>
      <c r="U239" s="146"/>
      <c r="V239" s="113"/>
      <c r="W239" s="113"/>
      <c r="X239" s="126"/>
      <c r="Y239" s="126"/>
    </row>
    <row r="240" spans="1:25" ht="14.7" customHeight="1">
      <c r="A240" s="26" t="s">
        <v>394</v>
      </c>
      <c r="B240" s="190"/>
      <c r="C240">
        <v>29.967179327368402</v>
      </c>
      <c r="D240">
        <v>31.263701557934869</v>
      </c>
      <c r="E240">
        <v>33.732124925798338</v>
      </c>
      <c r="F240">
        <v>31.741410030077155</v>
      </c>
      <c r="G240">
        <v>33.132045323902219</v>
      </c>
      <c r="H240">
        <v>32.284848306376276</v>
      </c>
      <c r="I240" s="147">
        <v>30.352</v>
      </c>
      <c r="J240" s="112">
        <v>34.098299999999995</v>
      </c>
      <c r="K240" s="112">
        <v>36.33106038912409</v>
      </c>
      <c r="L240" s="126"/>
      <c r="M240" s="112"/>
      <c r="N240" s="126"/>
      <c r="O240" s="147"/>
      <c r="P240" s="147"/>
      <c r="Q240" s="147"/>
      <c r="R240" s="112"/>
      <c r="S240" s="112"/>
      <c r="T240" s="112"/>
      <c r="U240" s="146"/>
      <c r="V240" s="113"/>
      <c r="W240" s="113"/>
      <c r="X240" s="126"/>
      <c r="Y240" s="126"/>
    </row>
    <row r="241" spans="1:25" ht="14.7" customHeight="1">
      <c r="A241" s="110" t="s">
        <v>124</v>
      </c>
      <c r="B241" s="190"/>
      <c r="C241">
        <v>15.613958744145753</v>
      </c>
      <c r="D241">
        <v>12.8100794467959</v>
      </c>
      <c r="E241">
        <v>14.02016195199875</v>
      </c>
      <c r="F241">
        <v>13.918818119856768</v>
      </c>
      <c r="G241">
        <v>7.5236078016062153</v>
      </c>
      <c r="H241">
        <v>17.052168712429964</v>
      </c>
      <c r="I241" s="147">
        <v>18.745200000000001</v>
      </c>
      <c r="J241" s="112">
        <v>17.209800000000001</v>
      </c>
      <c r="K241" s="112">
        <v>16.035130753519304</v>
      </c>
      <c r="L241" s="126"/>
      <c r="M241" s="112"/>
      <c r="N241" s="126"/>
      <c r="O241" s="147"/>
      <c r="P241" s="147"/>
      <c r="Q241" s="147"/>
      <c r="R241" s="112"/>
      <c r="S241" s="112"/>
      <c r="T241" s="112"/>
      <c r="U241" s="146"/>
      <c r="V241" s="113"/>
      <c r="W241" s="113"/>
      <c r="X241" s="126"/>
      <c r="Y241" s="126"/>
    </row>
    <row r="242" spans="1:25" ht="14.7" customHeight="1">
      <c r="A242" s="110" t="s">
        <v>240</v>
      </c>
      <c r="B242" s="190"/>
      <c r="C242">
        <v>8.8033540745900609</v>
      </c>
      <c r="D242">
        <v>9.6898219111054473</v>
      </c>
      <c r="E242">
        <v>10.184834175693009</v>
      </c>
      <c r="F242">
        <v>8.2678029595862395</v>
      </c>
      <c r="G242">
        <v>7.3230075834864294</v>
      </c>
      <c r="H242">
        <v>7.6191149025918818</v>
      </c>
      <c r="I242" s="147">
        <v>11.5936</v>
      </c>
      <c r="J242" s="112">
        <v>7.9481999999999999</v>
      </c>
      <c r="K242" s="112">
        <v>10.12925233246307</v>
      </c>
      <c r="L242" s="126"/>
      <c r="M242" s="112"/>
      <c r="N242" s="126"/>
      <c r="O242" s="147"/>
      <c r="P242" s="147"/>
      <c r="Q242" s="147"/>
      <c r="R242" s="112"/>
      <c r="S242" s="112"/>
      <c r="T242" s="112"/>
      <c r="U242" s="146"/>
      <c r="V242" s="113"/>
      <c r="W242" s="113"/>
      <c r="X242" s="126"/>
      <c r="Y242" s="126"/>
    </row>
    <row r="243" spans="1:25" ht="14.7" customHeight="1">
      <c r="A243" s="110" t="s">
        <v>125</v>
      </c>
      <c r="B243" s="190"/>
      <c r="C243">
        <v>14.292933918737871</v>
      </c>
      <c r="D243">
        <v>17.61967444259918</v>
      </c>
      <c r="E243">
        <v>10.000940440430295</v>
      </c>
      <c r="F243">
        <v>14.190839866032888</v>
      </c>
      <c r="G243">
        <v>12.769335177781738</v>
      </c>
      <c r="H243">
        <v>16.219176364311526</v>
      </c>
      <c r="I243" s="147">
        <v>15.576799999999999</v>
      </c>
      <c r="J243" s="112">
        <v>12.9283</v>
      </c>
      <c r="K243" s="112">
        <v>15.692539888921086</v>
      </c>
      <c r="L243" s="126"/>
      <c r="M243" s="112"/>
      <c r="N243" s="126"/>
      <c r="O243" s="147"/>
      <c r="P243" s="147"/>
      <c r="Q243" s="147"/>
      <c r="R243" s="112"/>
      <c r="S243" s="112"/>
      <c r="T243" s="112"/>
      <c r="U243" s="146"/>
      <c r="V243" s="113"/>
      <c r="W243" s="113"/>
      <c r="X243" s="126"/>
      <c r="Y243" s="126"/>
    </row>
    <row r="244" spans="1:25" ht="14.7" customHeight="1">
      <c r="A244" s="110" t="s">
        <v>126</v>
      </c>
      <c r="B244" s="190"/>
      <c r="C244">
        <v>8.0856868415517056</v>
      </c>
      <c r="D244">
        <v>10.911247156495808</v>
      </c>
      <c r="E244">
        <v>13.699506909105018</v>
      </c>
      <c r="F244">
        <v>11.761609014093599</v>
      </c>
      <c r="G244">
        <v>9.9453246839936646</v>
      </c>
      <c r="H244">
        <v>8.7507279563386327</v>
      </c>
      <c r="I244" s="147">
        <v>9.5111000000000008</v>
      </c>
      <c r="J244" s="112">
        <v>9.6595999999999993</v>
      </c>
      <c r="K244" s="112">
        <v>10.366954294495082</v>
      </c>
      <c r="L244" s="126"/>
      <c r="M244" s="112"/>
      <c r="N244" s="126"/>
      <c r="O244" s="147"/>
      <c r="P244" s="147"/>
      <c r="Q244" s="147"/>
      <c r="R244" s="112"/>
      <c r="S244" s="112"/>
      <c r="T244" s="112"/>
      <c r="U244" s="146"/>
      <c r="V244" s="113"/>
      <c r="W244" s="113"/>
      <c r="X244" s="126"/>
      <c r="Y244" s="126"/>
    </row>
    <row r="245" spans="1:25" ht="14.7" customHeight="1">
      <c r="A245" s="110" t="s">
        <v>127</v>
      </c>
      <c r="B245" s="190"/>
      <c r="C245">
        <v>11.912427557749652</v>
      </c>
      <c r="D245">
        <v>12.303728247126527</v>
      </c>
      <c r="E245">
        <v>14.599890811919311</v>
      </c>
      <c r="F245">
        <v>12.080062826123037</v>
      </c>
      <c r="G245">
        <v>13.833014607967801</v>
      </c>
      <c r="H245">
        <v>13.244614246187822</v>
      </c>
      <c r="I245" s="147">
        <v>16.9297</v>
      </c>
      <c r="J245" s="112">
        <v>10.9268</v>
      </c>
      <c r="K245" s="112">
        <v>11.260383953386798</v>
      </c>
      <c r="L245" s="126"/>
      <c r="M245" s="112"/>
      <c r="N245" s="126"/>
      <c r="O245" s="147"/>
      <c r="P245" s="147"/>
      <c r="Q245" s="147"/>
      <c r="R245" s="112"/>
      <c r="S245" s="112"/>
      <c r="T245" s="112"/>
      <c r="U245" s="146"/>
      <c r="V245" s="113"/>
      <c r="W245" s="113"/>
      <c r="X245" s="126"/>
      <c r="Y245" s="126"/>
    </row>
    <row r="246" spans="1:25" ht="14.7" customHeight="1">
      <c r="A246" s="110" t="s">
        <v>241</v>
      </c>
      <c r="B246" s="190"/>
      <c r="C246">
        <v>7.7465980585682628</v>
      </c>
      <c r="D246">
        <v>11.609752055107608</v>
      </c>
      <c r="E246">
        <v>9.0874518832375166</v>
      </c>
      <c r="F246">
        <v>8.4891767319059621</v>
      </c>
      <c r="G246">
        <v>15.291722646553559</v>
      </c>
      <c r="H246">
        <v>10.07746620079099</v>
      </c>
      <c r="I246" s="147">
        <v>8.1035000000000004</v>
      </c>
      <c r="J246" s="112">
        <v>8.8308999999999997</v>
      </c>
      <c r="K246" s="112">
        <v>8.9773420997353046</v>
      </c>
      <c r="L246" s="126"/>
      <c r="M246" s="112"/>
      <c r="N246" s="126"/>
      <c r="O246" s="147"/>
      <c r="P246" s="147"/>
      <c r="Q246" s="147"/>
      <c r="R246" s="112"/>
      <c r="S246" s="112"/>
      <c r="T246" s="112"/>
      <c r="U246" s="146"/>
      <c r="V246" s="113"/>
      <c r="W246" s="113"/>
      <c r="X246" s="126"/>
      <c r="Y246" s="126"/>
    </row>
    <row r="247" spans="1:25" ht="14.7" customHeight="1">
      <c r="A247" s="110" t="s">
        <v>128</v>
      </c>
      <c r="B247" s="190"/>
      <c r="C247">
        <v>16.654713803518934</v>
      </c>
      <c r="D247">
        <v>19.695038732513293</v>
      </c>
      <c r="E247">
        <v>15.89161215785477</v>
      </c>
      <c r="F247">
        <v>13.261148686219205</v>
      </c>
      <c r="G247">
        <v>12.341887884497659</v>
      </c>
      <c r="H247">
        <v>14.562851270177953</v>
      </c>
      <c r="I247" s="147">
        <v>13.494</v>
      </c>
      <c r="J247" s="112">
        <v>17.961600000000001</v>
      </c>
      <c r="K247" s="112">
        <v>18.139179739764902</v>
      </c>
      <c r="L247" s="126"/>
      <c r="M247" s="112"/>
      <c r="N247" s="126"/>
      <c r="O247" s="147"/>
      <c r="P247" s="147"/>
      <c r="Q247" s="147"/>
      <c r="R247" s="112"/>
      <c r="S247" s="112"/>
      <c r="T247" s="112"/>
      <c r="U247" s="146"/>
      <c r="V247" s="113"/>
      <c r="W247" s="113"/>
      <c r="X247" s="126"/>
      <c r="Y247" s="126"/>
    </row>
    <row r="248" spans="1:25" ht="14.7" customHeight="1">
      <c r="A248" s="110" t="s">
        <v>129</v>
      </c>
      <c r="B248" s="190"/>
      <c r="C248">
        <v>16.562637484232564</v>
      </c>
      <c r="D248">
        <v>21.495041863956633</v>
      </c>
      <c r="E248">
        <v>13.261903183162408</v>
      </c>
      <c r="F248">
        <v>17.065683847098342</v>
      </c>
      <c r="G248">
        <v>14.193505616894075</v>
      </c>
      <c r="H248">
        <v>18.214147447688813</v>
      </c>
      <c r="I248" s="147">
        <v>22.096599999999999</v>
      </c>
      <c r="J248" s="112">
        <v>17.724599999999999</v>
      </c>
      <c r="K248" s="112">
        <v>17.008110645757036</v>
      </c>
      <c r="L248" s="126"/>
      <c r="M248" s="112"/>
      <c r="N248" s="126"/>
      <c r="O248" s="147"/>
      <c r="P248" s="147"/>
      <c r="Q248" s="147"/>
      <c r="R248" s="112"/>
      <c r="S248" s="112"/>
      <c r="T248" s="112"/>
      <c r="U248" s="146"/>
      <c r="V248" s="113"/>
      <c r="W248" s="113"/>
      <c r="X248" s="126"/>
      <c r="Y248" s="126"/>
    </row>
    <row r="249" spans="1:25" ht="14.7" customHeight="1">
      <c r="A249" s="110" t="s">
        <v>130</v>
      </c>
      <c r="B249" s="190"/>
      <c r="C249">
        <v>20.415035273801703</v>
      </c>
      <c r="D249">
        <v>20.124907989866912</v>
      </c>
      <c r="E249">
        <v>23.270480924786735</v>
      </c>
      <c r="F249">
        <v>18.249459452312813</v>
      </c>
      <c r="G249">
        <v>19.856237120009467</v>
      </c>
      <c r="H249">
        <v>22.953899353044555</v>
      </c>
      <c r="I249" s="147">
        <v>20.751799999999999</v>
      </c>
      <c r="J249" s="112">
        <v>23.005500000000001</v>
      </c>
      <c r="K249" s="112">
        <v>22.13517042122136</v>
      </c>
      <c r="L249" s="126"/>
      <c r="M249" s="112"/>
      <c r="N249" s="126"/>
      <c r="O249" s="147"/>
      <c r="P249" s="147"/>
      <c r="Q249" s="147"/>
      <c r="R249" s="112"/>
      <c r="S249" s="112"/>
      <c r="T249" s="112"/>
      <c r="U249" s="146"/>
      <c r="V249" s="113"/>
      <c r="W249" s="113"/>
      <c r="X249" s="126"/>
      <c r="Y249" s="126"/>
    </row>
    <row r="250" spans="1:25" ht="14.7" customHeight="1">
      <c r="A250" s="110" t="s">
        <v>131</v>
      </c>
      <c r="B250" s="190"/>
      <c r="C250">
        <v>19.144477810623062</v>
      </c>
      <c r="D250">
        <v>15.30003962988398</v>
      </c>
      <c r="E250">
        <v>14.462866070865498</v>
      </c>
      <c r="F250">
        <v>11.881047503195491</v>
      </c>
      <c r="G250">
        <v>19.064575498119552</v>
      </c>
      <c r="H250">
        <v>14.815809253021317</v>
      </c>
      <c r="I250" s="147">
        <v>18.2883</v>
      </c>
      <c r="J250" s="112">
        <v>14.5745</v>
      </c>
      <c r="K250" s="112">
        <v>15.228921148484579</v>
      </c>
      <c r="L250" s="126"/>
      <c r="M250" s="112"/>
      <c r="N250" s="126"/>
      <c r="O250" s="147"/>
      <c r="P250" s="147"/>
      <c r="Q250" s="147"/>
      <c r="R250" s="112"/>
      <c r="S250" s="112"/>
      <c r="T250" s="112"/>
      <c r="U250" s="146"/>
      <c r="V250" s="113"/>
      <c r="W250" s="113"/>
      <c r="X250" s="126"/>
      <c r="Y250" s="126"/>
    </row>
    <row r="251" spans="1:25" ht="14.7" customHeight="1">
      <c r="A251" s="110" t="s">
        <v>285</v>
      </c>
      <c r="B251" s="190"/>
      <c r="C251">
        <v>27.265958771919063</v>
      </c>
      <c r="D251">
        <v>26.882616444464912</v>
      </c>
      <c r="E251">
        <v>21.279455109959695</v>
      </c>
      <c r="F251">
        <v>22.398366116685949</v>
      </c>
      <c r="G251">
        <v>21.100686329586139</v>
      </c>
      <c r="H251">
        <v>26.89136939596618</v>
      </c>
      <c r="I251" s="147">
        <v>18.452999999999999</v>
      </c>
      <c r="J251" s="112">
        <v>18.917400000000001</v>
      </c>
      <c r="K251" s="112">
        <v>16.056198714101892</v>
      </c>
      <c r="L251" s="126"/>
      <c r="M251" s="112"/>
      <c r="N251" s="126"/>
      <c r="O251" s="147"/>
      <c r="P251" s="147"/>
      <c r="Q251" s="147"/>
      <c r="R251" s="112"/>
      <c r="S251" s="112"/>
      <c r="T251" s="112"/>
      <c r="U251" s="146"/>
      <c r="V251" s="113"/>
      <c r="W251" s="113"/>
      <c r="X251" s="126"/>
      <c r="Y251" s="126"/>
    </row>
    <row r="252" spans="1:25" ht="14.7" customHeight="1">
      <c r="A252" s="110" t="s">
        <v>132</v>
      </c>
      <c r="B252" s="190"/>
      <c r="C252">
        <v>21.745922673005389</v>
      </c>
      <c r="D252">
        <v>12.592519323049725</v>
      </c>
      <c r="E252">
        <v>16.519464544354694</v>
      </c>
      <c r="F252">
        <v>15.664193884606679</v>
      </c>
      <c r="G252">
        <v>19.218125421007841</v>
      </c>
      <c r="H252">
        <v>17.304398203926972</v>
      </c>
      <c r="I252" s="147">
        <v>18.031199999999998</v>
      </c>
      <c r="J252" s="112">
        <v>16.3019</v>
      </c>
      <c r="K252" s="112">
        <v>20.001733580378843</v>
      </c>
      <c r="L252" s="126"/>
      <c r="M252" s="112"/>
      <c r="N252" s="126"/>
      <c r="O252" s="147"/>
      <c r="P252" s="147"/>
      <c r="Q252" s="147"/>
      <c r="R252" s="112"/>
      <c r="S252" s="112"/>
      <c r="T252" s="112"/>
      <c r="U252" s="146"/>
      <c r="V252" s="113"/>
      <c r="W252" s="113"/>
      <c r="X252" s="126"/>
      <c r="Y252" s="126"/>
    </row>
    <row r="253" spans="1:25" ht="14.7" customHeight="1">
      <c r="A253" s="110" t="s">
        <v>242</v>
      </c>
      <c r="B253" s="190"/>
      <c r="C253">
        <v>13.342793973021724</v>
      </c>
      <c r="D253">
        <v>8.6020406052021148</v>
      </c>
      <c r="E253">
        <v>10.958630348134859</v>
      </c>
      <c r="F253">
        <v>14.358170061782808</v>
      </c>
      <c r="G253">
        <v>9.2102680421364873</v>
      </c>
      <c r="H253">
        <v>13.752630721246154</v>
      </c>
      <c r="I253" s="147">
        <v>13.867899999999999</v>
      </c>
      <c r="J253" s="112">
        <v>14.376300000000001</v>
      </c>
      <c r="K253" s="112">
        <v>11.912127904228349</v>
      </c>
      <c r="L253" s="126"/>
      <c r="M253" s="112"/>
      <c r="N253" s="126"/>
      <c r="O253" s="147"/>
      <c r="P253" s="147"/>
      <c r="Q253" s="147"/>
      <c r="R253" s="112"/>
      <c r="S253" s="112"/>
      <c r="T253" s="112"/>
      <c r="U253" s="146"/>
      <c r="V253" s="113"/>
      <c r="W253" s="113"/>
      <c r="X253" s="126"/>
      <c r="Y253" s="126"/>
    </row>
    <row r="254" spans="1:25" ht="14.7" customHeight="1">
      <c r="A254" s="110" t="s">
        <v>243</v>
      </c>
      <c r="B254" s="190"/>
      <c r="C254">
        <v>8.9015930763978339</v>
      </c>
      <c r="D254">
        <v>4.6627434672642423</v>
      </c>
      <c r="E254">
        <v>5.8727134775411258</v>
      </c>
      <c r="F254">
        <v>9.3364115772400122</v>
      </c>
      <c r="G254">
        <v>6.4877559555156283</v>
      </c>
      <c r="H254">
        <v>8.6586943920293145</v>
      </c>
      <c r="I254" s="147">
        <v>8.2711000000000006</v>
      </c>
      <c r="J254" s="112">
        <v>12.2089</v>
      </c>
      <c r="K254" s="112">
        <v>5.9172121937359528</v>
      </c>
      <c r="L254" s="126"/>
      <c r="M254" s="112"/>
      <c r="N254" s="126"/>
      <c r="O254" s="147"/>
      <c r="P254" s="147"/>
      <c r="Q254" s="147"/>
      <c r="R254" s="112"/>
      <c r="S254" s="112"/>
      <c r="T254" s="112"/>
      <c r="U254" s="146"/>
      <c r="V254" s="113"/>
      <c r="W254" s="113"/>
      <c r="X254" s="126"/>
      <c r="Y254" s="126"/>
    </row>
    <row r="255" spans="1:25" ht="14.7" customHeight="1">
      <c r="A255" s="110" t="s">
        <v>133</v>
      </c>
      <c r="B255" s="190"/>
      <c r="C255">
        <v>12.047890714278363</v>
      </c>
      <c r="D255">
        <v>13.099015009585772</v>
      </c>
      <c r="E255">
        <v>12.9654197405843</v>
      </c>
      <c r="F255">
        <v>13.235383610494672</v>
      </c>
      <c r="G255">
        <v>17.9922952663003</v>
      </c>
      <c r="H255">
        <v>18.058611996505956</v>
      </c>
      <c r="I255" s="147">
        <v>15.3512</v>
      </c>
      <c r="J255" s="112">
        <v>19.109300000000001</v>
      </c>
      <c r="K255" s="112">
        <v>16.2676909527001</v>
      </c>
      <c r="L255" s="126"/>
      <c r="M255" s="112"/>
      <c r="N255" s="126"/>
      <c r="O255" s="147"/>
      <c r="P255" s="147"/>
      <c r="Q255" s="147"/>
      <c r="R255" s="112"/>
      <c r="S255" s="112"/>
      <c r="T255" s="112"/>
      <c r="U255" s="146"/>
      <c r="V255" s="113"/>
      <c r="W255" s="113"/>
      <c r="X255" s="126"/>
      <c r="Y255" s="126"/>
    </row>
    <row r="256" spans="1:25" ht="14.7" customHeight="1">
      <c r="A256" s="110" t="s">
        <v>134</v>
      </c>
      <c r="B256" s="190"/>
      <c r="C256">
        <v>20.845442804766758</v>
      </c>
      <c r="D256">
        <v>19.032329045297324</v>
      </c>
      <c r="E256">
        <v>17.922717305618736</v>
      </c>
      <c r="F256">
        <v>21.370863878519767</v>
      </c>
      <c r="G256">
        <v>17.402525964177308</v>
      </c>
      <c r="H256">
        <v>21.576745783432031</v>
      </c>
      <c r="I256" s="147">
        <v>18.1722</v>
      </c>
      <c r="J256" s="112">
        <v>21.676300000000001</v>
      </c>
      <c r="K256" s="112">
        <v>17.991095759650065</v>
      </c>
      <c r="L256" s="126"/>
      <c r="M256" s="112"/>
      <c r="N256" s="126"/>
      <c r="O256" s="147"/>
      <c r="P256" s="147"/>
      <c r="Q256" s="147"/>
      <c r="R256" s="112"/>
      <c r="S256" s="112"/>
      <c r="T256" s="112"/>
      <c r="U256" s="146"/>
      <c r="V256" s="113"/>
      <c r="W256" s="113"/>
      <c r="X256" s="126"/>
      <c r="Y256" s="126"/>
    </row>
    <row r="257" spans="1:25" ht="14.7" customHeight="1">
      <c r="A257" s="110" t="s">
        <v>244</v>
      </c>
      <c r="B257" s="190"/>
      <c r="C257">
        <v>13.367577935327621</v>
      </c>
      <c r="D257">
        <v>14.49879435064824</v>
      </c>
      <c r="E257">
        <v>15.378490881783069</v>
      </c>
      <c r="F257">
        <v>14.566923476436521</v>
      </c>
      <c r="G257">
        <v>16.682569136720264</v>
      </c>
      <c r="H257">
        <v>18.012158837995866</v>
      </c>
      <c r="I257" s="147">
        <v>14.6402</v>
      </c>
      <c r="J257" s="112">
        <v>16.678799999999999</v>
      </c>
      <c r="K257" s="112">
        <v>16.558685379432227</v>
      </c>
      <c r="L257" s="126"/>
      <c r="M257" s="112"/>
      <c r="N257" s="126"/>
      <c r="O257" s="147"/>
      <c r="P257" s="147"/>
      <c r="Q257" s="147"/>
      <c r="R257" s="112"/>
      <c r="S257" s="112"/>
      <c r="T257" s="112"/>
      <c r="U257" s="146"/>
      <c r="V257" s="113"/>
      <c r="W257" s="113"/>
      <c r="X257" s="126"/>
      <c r="Y257" s="126"/>
    </row>
    <row r="258" spans="1:25" ht="14.7" customHeight="1">
      <c r="A258" s="110" t="s">
        <v>135</v>
      </c>
      <c r="B258" s="190"/>
      <c r="C258">
        <v>17.351260673443718</v>
      </c>
      <c r="D258">
        <v>20.158107560938294</v>
      </c>
      <c r="E258">
        <v>20.434548157505024</v>
      </c>
      <c r="F258">
        <v>19.742216243375097</v>
      </c>
      <c r="G258">
        <v>17.082935480836021</v>
      </c>
      <c r="H258">
        <v>19.085394278054828</v>
      </c>
      <c r="I258" s="147">
        <v>22.240399999999998</v>
      </c>
      <c r="J258" s="112">
        <v>19.418399999999998</v>
      </c>
      <c r="K258" s="112">
        <v>22.607385121615465</v>
      </c>
      <c r="L258" s="126"/>
      <c r="M258" s="112"/>
      <c r="N258" s="126"/>
      <c r="O258" s="147"/>
      <c r="P258" s="147"/>
      <c r="Q258" s="147"/>
      <c r="R258" s="112"/>
      <c r="S258" s="112"/>
      <c r="T258" s="112"/>
      <c r="U258" s="146"/>
      <c r="V258" s="113"/>
      <c r="W258" s="113"/>
      <c r="X258" s="126"/>
      <c r="Y258" s="126"/>
    </row>
    <row r="259" spans="1:25" ht="14.7" customHeight="1">
      <c r="A259" s="110" t="s">
        <v>136</v>
      </c>
      <c r="B259" s="190"/>
      <c r="C259">
        <v>13.495535850082597</v>
      </c>
      <c r="D259">
        <v>15.972444631021332</v>
      </c>
      <c r="E259">
        <v>13.707225032588314</v>
      </c>
      <c r="F259">
        <v>14.819289115044429</v>
      </c>
      <c r="G259">
        <v>15.982123047956362</v>
      </c>
      <c r="H259">
        <v>14.267134816536691</v>
      </c>
      <c r="I259" s="147">
        <v>13.423399999999999</v>
      </c>
      <c r="J259" s="112">
        <v>16.063400000000001</v>
      </c>
      <c r="K259" s="112">
        <v>17.85209002317049</v>
      </c>
      <c r="L259" s="126"/>
      <c r="M259" s="112"/>
      <c r="N259" s="126"/>
      <c r="O259" s="147"/>
      <c r="P259" s="147"/>
      <c r="Q259" s="147"/>
      <c r="R259" s="112"/>
      <c r="S259" s="112"/>
      <c r="T259" s="112"/>
      <c r="U259" s="146"/>
      <c r="V259" s="113"/>
      <c r="W259" s="113"/>
      <c r="X259" s="126"/>
      <c r="Y259" s="126"/>
    </row>
    <row r="260" spans="1:25" ht="14.7" customHeight="1">
      <c r="A260" s="110" t="s">
        <v>245</v>
      </c>
      <c r="B260" s="190"/>
      <c r="C260">
        <v>10.344670991185072</v>
      </c>
      <c r="D260">
        <v>12.863683300113028</v>
      </c>
      <c r="E260">
        <v>12.884510807876588</v>
      </c>
      <c r="F260">
        <v>9.7810927172397069</v>
      </c>
      <c r="G260">
        <v>12.309118118771771</v>
      </c>
      <c r="H260">
        <v>13.097401288280301</v>
      </c>
      <c r="I260" s="147">
        <v>13.956399999999999</v>
      </c>
      <c r="J260" s="112">
        <v>14.9261</v>
      </c>
      <c r="K260" s="112">
        <v>12.196818368693197</v>
      </c>
      <c r="L260" s="126"/>
      <c r="M260" s="112"/>
      <c r="N260" s="126"/>
      <c r="O260" s="147"/>
      <c r="P260" s="147"/>
      <c r="Q260" s="147"/>
      <c r="R260" s="112"/>
      <c r="S260" s="112"/>
      <c r="T260" s="112"/>
      <c r="U260" s="146"/>
      <c r="V260" s="113"/>
      <c r="W260" s="113"/>
      <c r="X260" s="126"/>
      <c r="Y260" s="126"/>
    </row>
    <row r="261" spans="1:25" ht="14.7" customHeight="1">
      <c r="A261" s="26" t="s">
        <v>325</v>
      </c>
      <c r="B261" s="190"/>
      <c r="C261">
        <v>10.932630781926735</v>
      </c>
      <c r="D261">
        <v>17.837143259718623</v>
      </c>
      <c r="E261">
        <v>15.263524066666022</v>
      </c>
      <c r="F261">
        <v>11.926416625289136</v>
      </c>
      <c r="G261">
        <v>17.469996128532713</v>
      </c>
      <c r="H261">
        <v>15.976072511381108</v>
      </c>
      <c r="I261" s="147">
        <v>15.999499999999999</v>
      </c>
      <c r="J261" s="112">
        <v>19.503799999999998</v>
      </c>
      <c r="K261" s="112">
        <v>20.382746858262379</v>
      </c>
      <c r="L261" s="126"/>
      <c r="M261" s="112"/>
      <c r="N261" s="126"/>
      <c r="O261" s="147"/>
      <c r="P261" s="147"/>
      <c r="Q261" s="147"/>
      <c r="R261" s="112"/>
      <c r="S261" s="112"/>
      <c r="T261" s="112"/>
      <c r="U261" s="146"/>
      <c r="V261" s="113"/>
      <c r="W261" s="113"/>
      <c r="X261" s="126"/>
      <c r="Y261" s="126"/>
    </row>
    <row r="262" spans="1:25" ht="14.7" customHeight="1">
      <c r="A262" s="110" t="s">
        <v>286</v>
      </c>
      <c r="B262" s="190"/>
      <c r="C262">
        <v>11.868816758988395</v>
      </c>
      <c r="D262">
        <v>9.9736643799341014</v>
      </c>
      <c r="E262">
        <v>11.297516672390854</v>
      </c>
      <c r="F262">
        <v>10.785735884213365</v>
      </c>
      <c r="G262">
        <v>12.488431421466453</v>
      </c>
      <c r="H262">
        <v>12.087609432459189</v>
      </c>
      <c r="I262" s="147">
        <v>11.9849</v>
      </c>
      <c r="J262" s="112">
        <v>9.1830999999999996</v>
      </c>
      <c r="K262" s="112">
        <v>10.600736307263475</v>
      </c>
      <c r="L262" s="126"/>
      <c r="M262" s="112"/>
      <c r="N262" s="126"/>
      <c r="O262" s="147"/>
      <c r="P262" s="147"/>
      <c r="Q262" s="147"/>
      <c r="R262" s="112"/>
      <c r="S262" s="112"/>
      <c r="T262" s="112"/>
      <c r="U262" s="146"/>
      <c r="V262" s="113"/>
      <c r="W262" s="113"/>
      <c r="X262" s="126"/>
      <c r="Y262" s="126"/>
    </row>
    <row r="263" spans="1:25" ht="14.7" customHeight="1">
      <c r="A263" s="110" t="s">
        <v>246</v>
      </c>
      <c r="B263" s="190"/>
      <c r="C263">
        <v>15.59106374162007</v>
      </c>
      <c r="D263">
        <v>11.528953919826707</v>
      </c>
      <c r="E263">
        <v>14.01049527575125</v>
      </c>
      <c r="F263">
        <v>13.291928730710371</v>
      </c>
      <c r="G263">
        <v>13.352974738141645</v>
      </c>
      <c r="H263">
        <v>13.01163263897784</v>
      </c>
      <c r="I263" s="147">
        <v>11.732800000000001</v>
      </c>
      <c r="J263" s="112">
        <v>15.7136</v>
      </c>
      <c r="K263" s="112">
        <v>14.185461246527797</v>
      </c>
      <c r="L263" s="126"/>
      <c r="M263" s="112"/>
      <c r="N263" s="126"/>
      <c r="O263" s="147"/>
      <c r="P263" s="147"/>
      <c r="Q263" s="147"/>
      <c r="R263" s="112"/>
      <c r="S263" s="112"/>
      <c r="T263" s="112"/>
      <c r="U263" s="146"/>
      <c r="V263" s="113"/>
      <c r="W263" s="113"/>
      <c r="X263" s="126"/>
      <c r="Y263" s="126"/>
    </row>
    <row r="264" spans="1:25" ht="14.7" customHeight="1">
      <c r="A264" s="26" t="s">
        <v>326</v>
      </c>
      <c r="B264" s="190"/>
      <c r="C264">
        <v>15.73922878768883</v>
      </c>
      <c r="D264">
        <v>17.792449683744977</v>
      </c>
      <c r="E264">
        <v>17.945991420577244</v>
      </c>
      <c r="F264">
        <v>18.555050202854854</v>
      </c>
      <c r="G264">
        <v>17.141876817332335</v>
      </c>
      <c r="H264">
        <v>20.927239039492822</v>
      </c>
      <c r="I264" s="147">
        <v>19.6282</v>
      </c>
      <c r="J264" s="112">
        <v>17.163800000000002</v>
      </c>
      <c r="K264" s="112">
        <v>18.082494954980437</v>
      </c>
      <c r="L264" s="126"/>
      <c r="M264" s="112"/>
      <c r="N264" s="126"/>
      <c r="O264" s="147"/>
      <c r="P264" s="147"/>
      <c r="Q264" s="147"/>
      <c r="R264" s="112"/>
      <c r="S264" s="112"/>
      <c r="T264" s="112"/>
      <c r="U264" s="147"/>
      <c r="V264" s="149"/>
      <c r="W264" s="149"/>
      <c r="X264" s="126"/>
      <c r="Y264" s="126"/>
    </row>
    <row r="265" spans="1:25" ht="14.7" customHeight="1">
      <c r="A265" s="110" t="s">
        <v>909</v>
      </c>
      <c r="B265" s="190"/>
      <c r="C265"/>
      <c r="D265"/>
      <c r="E265"/>
      <c r="F265"/>
      <c r="G265"/>
      <c r="H265"/>
      <c r="I265" s="147"/>
      <c r="J265" s="112"/>
      <c r="K265" s="112">
        <v>21.19989509621988</v>
      </c>
      <c r="L265" s="126"/>
      <c r="M265" s="112"/>
      <c r="N265" s="126"/>
      <c r="O265" s="147"/>
      <c r="P265" s="147"/>
      <c r="Q265" s="147"/>
      <c r="R265" s="112"/>
      <c r="S265" s="112"/>
      <c r="T265" s="112"/>
      <c r="U265" s="147"/>
      <c r="V265" s="149"/>
      <c r="W265" s="149"/>
      <c r="X265" s="126"/>
      <c r="Y265" s="126"/>
    </row>
    <row r="266" spans="1:25" ht="14.7" customHeight="1">
      <c r="A266" s="26" t="s">
        <v>137</v>
      </c>
      <c r="B266" s="190"/>
      <c r="C266">
        <v>15.329271128388205</v>
      </c>
      <c r="D266">
        <v>15.490386329770384</v>
      </c>
      <c r="E266">
        <v>10.684609446724085</v>
      </c>
      <c r="F266">
        <v>20.032435206569154</v>
      </c>
      <c r="G266">
        <v>15.244233200712239</v>
      </c>
      <c r="H266">
        <v>17.838397387211163</v>
      </c>
      <c r="I266" s="147">
        <v>19.2836</v>
      </c>
      <c r="J266" s="112">
        <v>17.314499999999999</v>
      </c>
      <c r="K266" s="112">
        <v>17.990922254024767</v>
      </c>
      <c r="L266" s="126"/>
      <c r="M266" s="112"/>
      <c r="N266" s="126"/>
      <c r="O266" s="147"/>
      <c r="P266" s="147"/>
      <c r="Q266" s="147"/>
      <c r="R266" s="112"/>
      <c r="S266" s="112"/>
      <c r="T266" s="112"/>
      <c r="U266" s="146"/>
      <c r="V266" s="113"/>
      <c r="W266" s="113"/>
      <c r="X266" s="126"/>
      <c r="Y266" s="126"/>
    </row>
    <row r="267" spans="1:25" ht="14.7" customHeight="1">
      <c r="A267" s="110" t="s">
        <v>138</v>
      </c>
      <c r="B267" s="190"/>
      <c r="C267">
        <v>31.541408866454546</v>
      </c>
      <c r="D267">
        <v>32.727885516794423</v>
      </c>
      <c r="E267">
        <v>27.008682103811804</v>
      </c>
      <c r="F267">
        <v>33.212457729210108</v>
      </c>
      <c r="G267">
        <v>29.302212965988595</v>
      </c>
      <c r="H267">
        <v>32.315042875354209</v>
      </c>
      <c r="I267" s="147">
        <v>38.5274</v>
      </c>
      <c r="J267" s="112">
        <v>31.257000000000001</v>
      </c>
      <c r="K267" s="112">
        <v>30.756684901048708</v>
      </c>
      <c r="L267" s="126"/>
      <c r="M267" s="112"/>
      <c r="N267" s="126"/>
      <c r="O267" s="147"/>
      <c r="P267" s="147"/>
      <c r="Q267" s="147"/>
      <c r="R267" s="112"/>
      <c r="S267" s="112"/>
      <c r="T267" s="112"/>
      <c r="U267" s="146"/>
      <c r="V267" s="113"/>
      <c r="W267" s="113"/>
      <c r="X267" s="126"/>
      <c r="Y267" s="126"/>
    </row>
    <row r="268" spans="1:25" ht="14.7" customHeight="1">
      <c r="A268" s="110" t="s">
        <v>139</v>
      </c>
      <c r="B268" s="190"/>
      <c r="C268">
        <v>14.645885949657195</v>
      </c>
      <c r="D268">
        <v>11.634136043432116</v>
      </c>
      <c r="E268">
        <v>15.752828710627265</v>
      </c>
      <c r="F268">
        <v>16.438131823695915</v>
      </c>
      <c r="G268">
        <v>10.33124569963095</v>
      </c>
      <c r="H268">
        <v>16.728590967012817</v>
      </c>
      <c r="I268" s="147">
        <v>15.563599999999999</v>
      </c>
      <c r="J268" s="112">
        <v>14.904500000000001</v>
      </c>
      <c r="K268" s="112">
        <v>13.559896465817477</v>
      </c>
      <c r="L268" s="126"/>
      <c r="M268" s="112"/>
      <c r="N268" s="126"/>
      <c r="O268" s="147"/>
      <c r="P268" s="147"/>
      <c r="Q268" s="147"/>
      <c r="R268" s="112"/>
      <c r="S268" s="112"/>
      <c r="T268" s="112"/>
      <c r="U268" s="146"/>
      <c r="V268" s="113"/>
      <c r="W268" s="113"/>
      <c r="X268" s="126"/>
      <c r="Y268" s="126"/>
    </row>
    <row r="269" spans="1:25" ht="14.7" customHeight="1">
      <c r="A269" s="110" t="s">
        <v>287</v>
      </c>
      <c r="B269" s="190"/>
      <c r="C269">
        <v>19.82059026047763</v>
      </c>
      <c r="D269">
        <v>16.654965181239806</v>
      </c>
      <c r="E269">
        <v>19.243645018081658</v>
      </c>
      <c r="F269">
        <v>23.276250885216729</v>
      </c>
      <c r="G269">
        <v>17.44449637086062</v>
      </c>
      <c r="H269">
        <v>20.526743191028256</v>
      </c>
      <c r="I269" s="147">
        <v>21.2592</v>
      </c>
      <c r="J269" s="112">
        <v>19.3751</v>
      </c>
      <c r="K269" s="112">
        <v>21.924814815145353</v>
      </c>
      <c r="L269" s="126"/>
      <c r="M269" s="112"/>
      <c r="N269" s="126"/>
      <c r="O269" s="147"/>
      <c r="P269" s="147"/>
      <c r="Q269" s="147"/>
      <c r="R269" s="112"/>
      <c r="S269" s="112"/>
      <c r="T269" s="112"/>
      <c r="U269" s="147"/>
      <c r="V269" s="149"/>
      <c r="W269" s="149"/>
      <c r="X269" s="126"/>
      <c r="Y269" s="126"/>
    </row>
    <row r="270" spans="1:25" ht="14.7" customHeight="1">
      <c r="A270" s="26" t="s">
        <v>140</v>
      </c>
      <c r="B270" s="190"/>
      <c r="C270">
        <v>10.253756467729534</v>
      </c>
      <c r="D270">
        <v>16.062346991340135</v>
      </c>
      <c r="E270">
        <v>14.528947971913217</v>
      </c>
      <c r="F270">
        <v>12.776257373958522</v>
      </c>
      <c r="G270">
        <v>13.492433521672135</v>
      </c>
      <c r="H270">
        <v>20.051598247464565</v>
      </c>
      <c r="I270" s="147">
        <v>15.721499999999999</v>
      </c>
      <c r="J270" s="112">
        <v>17.147000000000002</v>
      </c>
      <c r="K270" s="112">
        <v>18.771618260758469</v>
      </c>
      <c r="L270" s="126"/>
      <c r="M270" s="112"/>
      <c r="N270" s="126"/>
      <c r="O270" s="147"/>
      <c r="P270" s="147"/>
      <c r="Q270" s="147"/>
      <c r="R270" s="112"/>
      <c r="S270" s="112"/>
      <c r="T270" s="112"/>
      <c r="U270" s="146"/>
      <c r="V270" s="113"/>
      <c r="W270" s="113"/>
      <c r="X270" s="126"/>
      <c r="Y270" s="126"/>
    </row>
    <row r="271" spans="1:25" ht="14.7" customHeight="1">
      <c r="A271" s="26" t="s">
        <v>141</v>
      </c>
      <c r="B271" s="190"/>
      <c r="C271">
        <v>14.174541527833309</v>
      </c>
      <c r="D271">
        <v>18.271687478195087</v>
      </c>
      <c r="E271">
        <v>17.993538532047292</v>
      </c>
      <c r="F271">
        <v>18.291256793010938</v>
      </c>
      <c r="G271">
        <v>15.544757879977016</v>
      </c>
      <c r="H271">
        <v>19.470100202736194</v>
      </c>
      <c r="I271" s="147">
        <v>17.363199999999999</v>
      </c>
      <c r="J271" s="112">
        <v>16.005600000000001</v>
      </c>
      <c r="K271" s="112">
        <v>16.573870906996731</v>
      </c>
      <c r="L271" s="126"/>
      <c r="M271" s="112"/>
      <c r="N271" s="126"/>
      <c r="O271" s="147"/>
      <c r="P271" s="147"/>
      <c r="Q271" s="147"/>
      <c r="R271" s="112"/>
      <c r="S271" s="112"/>
      <c r="T271" s="112"/>
      <c r="U271" s="147"/>
      <c r="V271" s="149"/>
      <c r="W271" s="149"/>
      <c r="X271" s="126"/>
      <c r="Y271" s="126"/>
    </row>
    <row r="272" spans="1:25" ht="14.7" customHeight="1">
      <c r="A272" s="110" t="s">
        <v>142</v>
      </c>
      <c r="B272" s="190"/>
      <c r="C272">
        <v>20.364005580050645</v>
      </c>
      <c r="D272">
        <v>18.783704985600149</v>
      </c>
      <c r="E272">
        <v>14.303173597043086</v>
      </c>
      <c r="F272">
        <v>19.102675181257471</v>
      </c>
      <c r="G272">
        <v>13.631099787988383</v>
      </c>
      <c r="H272">
        <v>19.052357594139373</v>
      </c>
      <c r="I272" s="147">
        <v>18.746199999999998</v>
      </c>
      <c r="J272" s="112">
        <v>18.0594</v>
      </c>
      <c r="K272" s="112">
        <v>11.681914253805605</v>
      </c>
      <c r="L272" s="126"/>
      <c r="M272" s="112"/>
      <c r="N272" s="126"/>
      <c r="O272" s="147"/>
      <c r="P272" s="147"/>
      <c r="Q272" s="147"/>
      <c r="R272" s="112"/>
      <c r="S272" s="112"/>
      <c r="T272" s="112"/>
      <c r="U272" s="146"/>
      <c r="V272" s="113"/>
      <c r="W272" s="113"/>
      <c r="X272" s="126"/>
      <c r="Y272" s="126"/>
    </row>
    <row r="273" spans="1:25" ht="14.7" customHeight="1">
      <c r="A273" s="110" t="s">
        <v>143</v>
      </c>
      <c r="B273" s="190"/>
      <c r="C273">
        <v>17.978270361646771</v>
      </c>
      <c r="D273">
        <v>15.737823603933956</v>
      </c>
      <c r="E273">
        <v>16.180822543320694</v>
      </c>
      <c r="F273">
        <v>15.102324701709712</v>
      </c>
      <c r="G273">
        <v>14.989143967233423</v>
      </c>
      <c r="H273">
        <v>21.116913410105855</v>
      </c>
      <c r="I273" s="147">
        <v>22.790499999999998</v>
      </c>
      <c r="J273" s="112">
        <v>16.377199999999998</v>
      </c>
      <c r="K273" s="112">
        <v>20.416202840872437</v>
      </c>
      <c r="L273" s="126"/>
      <c r="M273" s="112"/>
      <c r="N273" s="126"/>
      <c r="O273" s="147"/>
      <c r="P273" s="147"/>
      <c r="Q273" s="147"/>
      <c r="R273" s="112"/>
      <c r="S273" s="112"/>
      <c r="T273" s="112"/>
      <c r="U273" s="146"/>
      <c r="V273" s="113"/>
      <c r="W273" s="113"/>
      <c r="X273" s="126"/>
      <c r="Y273" s="126"/>
    </row>
    <row r="274" spans="1:25" ht="14.7" customHeight="1">
      <c r="A274" s="110" t="s">
        <v>144</v>
      </c>
      <c r="B274" s="190"/>
      <c r="C274">
        <v>23.488050373092449</v>
      </c>
      <c r="D274">
        <v>19.0906116920948</v>
      </c>
      <c r="E274">
        <v>16.938935676151875</v>
      </c>
      <c r="F274">
        <v>14.573408836430914</v>
      </c>
      <c r="G274">
        <v>25.18293612228862</v>
      </c>
      <c r="H274">
        <v>26.73913510201033</v>
      </c>
      <c r="I274" s="147">
        <v>25.044100000000004</v>
      </c>
      <c r="J274" s="112">
        <v>20.794499999999999</v>
      </c>
      <c r="K274" s="112">
        <v>21.80392823299993</v>
      </c>
      <c r="L274" s="126"/>
      <c r="M274" s="112"/>
      <c r="N274" s="126"/>
      <c r="O274" s="147"/>
      <c r="P274" s="147"/>
      <c r="Q274" s="147"/>
      <c r="R274" s="112"/>
      <c r="S274" s="112"/>
      <c r="T274" s="112"/>
      <c r="U274" s="146"/>
      <c r="V274" s="113"/>
      <c r="W274" s="113"/>
      <c r="X274" s="126"/>
      <c r="Y274" s="126"/>
    </row>
    <row r="275" spans="1:25" ht="14.7" customHeight="1">
      <c r="A275" s="110" t="s">
        <v>145</v>
      </c>
      <c r="B275" s="190"/>
      <c r="C275">
        <v>13.419136866480294</v>
      </c>
      <c r="D275">
        <v>14.814712968288246</v>
      </c>
      <c r="E275">
        <v>11.830081741282521</v>
      </c>
      <c r="F275">
        <v>17.429241090129615</v>
      </c>
      <c r="G275">
        <v>16.239472067537307</v>
      </c>
      <c r="H275">
        <v>15.869509744098604</v>
      </c>
      <c r="I275" s="147">
        <v>17.331</v>
      </c>
      <c r="J275" s="112">
        <v>13.209099999999999</v>
      </c>
      <c r="K275" s="112">
        <v>15.239366753905493</v>
      </c>
      <c r="L275" s="126"/>
      <c r="M275" s="112"/>
      <c r="N275" s="126"/>
      <c r="O275" s="147"/>
      <c r="P275" s="147"/>
      <c r="Q275" s="147"/>
      <c r="R275" s="112"/>
      <c r="S275" s="112"/>
      <c r="T275" s="112"/>
      <c r="U275" s="146"/>
      <c r="V275" s="113"/>
      <c r="W275" s="113"/>
      <c r="X275" s="126"/>
      <c r="Y275" s="126"/>
    </row>
    <row r="276" spans="1:25" ht="14.7" customHeight="1">
      <c r="A276" s="110" t="s">
        <v>146</v>
      </c>
      <c r="B276" s="190"/>
      <c r="C276">
        <v>21.807090553996016</v>
      </c>
      <c r="D276">
        <v>27.418149687405098</v>
      </c>
      <c r="E276">
        <v>20.775967927294577</v>
      </c>
      <c r="F276">
        <v>21.435863375275204</v>
      </c>
      <c r="G276">
        <v>24.914284816083214</v>
      </c>
      <c r="H276">
        <v>22.922374023449038</v>
      </c>
      <c r="I276" s="147">
        <v>18.232300000000002</v>
      </c>
      <c r="J276" s="112">
        <v>22.413399999999999</v>
      </c>
      <c r="K276" s="112">
        <v>22.920387605543361</v>
      </c>
      <c r="L276" s="126"/>
      <c r="M276" s="112"/>
      <c r="N276" s="126"/>
      <c r="O276" s="147"/>
      <c r="P276" s="147"/>
      <c r="Q276" s="147"/>
      <c r="R276" s="112"/>
      <c r="S276" s="112"/>
      <c r="T276" s="112"/>
      <c r="U276" s="146"/>
      <c r="V276" s="113"/>
      <c r="W276" s="113"/>
      <c r="X276" s="126"/>
      <c r="Y276" s="126"/>
    </row>
    <row r="277" spans="1:25" ht="14.7" customHeight="1">
      <c r="A277" s="110" t="s">
        <v>147</v>
      </c>
      <c r="B277" s="190"/>
      <c r="C277">
        <v>14.638419559913588</v>
      </c>
      <c r="D277">
        <v>14.779096705012334</v>
      </c>
      <c r="E277">
        <v>15.422109538327081</v>
      </c>
      <c r="F277">
        <v>16.079203752097598</v>
      </c>
      <c r="G277">
        <v>19.56996574931016</v>
      </c>
      <c r="H277">
        <v>19.732694391477597</v>
      </c>
      <c r="I277" s="147">
        <v>17.271800000000002</v>
      </c>
      <c r="J277" s="112">
        <v>16.051000000000002</v>
      </c>
      <c r="K277" s="112">
        <v>15.958160950921259</v>
      </c>
      <c r="L277" s="126"/>
      <c r="M277" s="112"/>
      <c r="N277" s="126"/>
      <c r="O277" s="147"/>
      <c r="P277" s="147"/>
      <c r="Q277" s="147"/>
      <c r="R277" s="112"/>
      <c r="S277" s="112"/>
      <c r="T277" s="112"/>
      <c r="U277" s="146"/>
      <c r="V277" s="113"/>
      <c r="W277" s="113"/>
      <c r="X277" s="126"/>
      <c r="Y277" s="126"/>
    </row>
    <row r="278" spans="1:25" ht="14.7" customHeight="1">
      <c r="A278" s="26" t="s">
        <v>148</v>
      </c>
      <c r="B278" s="190"/>
      <c r="C278">
        <v>12.759810226059679</v>
      </c>
      <c r="D278">
        <v>12.626345195635682</v>
      </c>
      <c r="E278">
        <v>15.201269963215335</v>
      </c>
      <c r="F278">
        <v>17.983953342444444</v>
      </c>
      <c r="G278">
        <v>16.836499097805632</v>
      </c>
      <c r="H278">
        <v>20.194592932339336</v>
      </c>
      <c r="I278" s="147">
        <v>12.021100000000001</v>
      </c>
      <c r="J278" s="112">
        <v>12.485100000000001</v>
      </c>
      <c r="K278" s="112">
        <v>14.660315827101901</v>
      </c>
      <c r="L278" s="126"/>
      <c r="M278" s="112"/>
      <c r="N278" s="126"/>
      <c r="O278" s="147"/>
      <c r="P278" s="147"/>
      <c r="Q278" s="147"/>
      <c r="R278" s="112"/>
      <c r="S278" s="112"/>
      <c r="T278" s="112"/>
      <c r="U278" s="146"/>
      <c r="V278" s="113"/>
      <c r="W278" s="113"/>
      <c r="X278" s="126"/>
      <c r="Y278" s="126"/>
    </row>
    <row r="279" spans="1:25" ht="14.7" customHeight="1">
      <c r="A279" s="110" t="s">
        <v>149</v>
      </c>
      <c r="B279" s="190"/>
      <c r="C279">
        <v>14.781255121450334</v>
      </c>
      <c r="D279">
        <v>14.130818701194848</v>
      </c>
      <c r="E279">
        <v>12.052605181681605</v>
      </c>
      <c r="F279">
        <v>10.559136628464024</v>
      </c>
      <c r="G279">
        <v>14.428793891399621</v>
      </c>
      <c r="H279">
        <v>10.969563147271536</v>
      </c>
      <c r="I279" s="147">
        <v>14.4513</v>
      </c>
      <c r="J279" s="112">
        <v>14.120699999999999</v>
      </c>
      <c r="K279" s="112">
        <v>9.2782863857842628</v>
      </c>
      <c r="L279" s="126"/>
      <c r="M279" s="112"/>
      <c r="N279" s="126"/>
      <c r="O279" s="147"/>
      <c r="P279" s="147"/>
      <c r="Q279" s="147"/>
      <c r="R279" s="112"/>
      <c r="S279" s="112"/>
      <c r="T279" s="112"/>
      <c r="U279" s="146"/>
      <c r="V279" s="113"/>
      <c r="W279" s="113"/>
      <c r="X279" s="126"/>
      <c r="Y279" s="126"/>
    </row>
    <row r="280" spans="1:25" ht="14.7" customHeight="1">
      <c r="A280" s="110" t="s">
        <v>247</v>
      </c>
      <c r="B280" s="190"/>
      <c r="C280">
        <v>12.217239487144731</v>
      </c>
      <c r="D280">
        <v>14.610029151542179</v>
      </c>
      <c r="E280">
        <v>11.085502748297259</v>
      </c>
      <c r="F280">
        <v>13.7434343887985</v>
      </c>
      <c r="G280">
        <v>17.723101220111129</v>
      </c>
      <c r="H280">
        <v>11.110449160417604</v>
      </c>
      <c r="I280" s="147">
        <v>11.769</v>
      </c>
      <c r="J280" s="112">
        <v>11.4803</v>
      </c>
      <c r="K280" s="112">
        <v>9.5234725380652705</v>
      </c>
      <c r="L280" s="126"/>
      <c r="M280" s="112"/>
      <c r="N280" s="126"/>
      <c r="O280" s="147"/>
      <c r="P280" s="147"/>
      <c r="Q280" s="147"/>
      <c r="R280" s="112"/>
      <c r="S280" s="112"/>
      <c r="T280" s="112"/>
      <c r="U280" s="147"/>
      <c r="V280" s="149"/>
      <c r="W280" s="149"/>
      <c r="X280" s="126"/>
      <c r="Y280" s="126"/>
    </row>
    <row r="281" spans="1:25" ht="14.7" customHeight="1">
      <c r="A281" s="26" t="s">
        <v>288</v>
      </c>
      <c r="B281" s="190"/>
      <c r="C281">
        <v>13.681683937039308</v>
      </c>
      <c r="D281">
        <v>18.165460856657749</v>
      </c>
      <c r="E281">
        <v>16.892289547520576</v>
      </c>
      <c r="F281">
        <v>16.807333521786536</v>
      </c>
      <c r="G281">
        <v>12.356866685171212</v>
      </c>
      <c r="H281">
        <v>19.935420228709976</v>
      </c>
      <c r="I281" s="147">
        <v>19.718900000000001</v>
      </c>
      <c r="J281" s="112">
        <v>14.8756</v>
      </c>
      <c r="K281" s="112">
        <v>20.777569506915654</v>
      </c>
      <c r="L281" s="126"/>
      <c r="M281" s="112"/>
      <c r="N281" s="126"/>
      <c r="O281" s="147"/>
      <c r="P281" s="147"/>
      <c r="Q281" s="147"/>
      <c r="R281" s="112"/>
      <c r="S281" s="112"/>
      <c r="T281" s="112"/>
      <c r="U281" s="146"/>
      <c r="V281" s="113"/>
      <c r="W281" s="113"/>
      <c r="X281" s="126"/>
      <c r="Y281" s="126"/>
    </row>
    <row r="282" spans="1:25" ht="14.7" customHeight="1">
      <c r="A282" s="110" t="s">
        <v>289</v>
      </c>
      <c r="B282" s="190"/>
      <c r="C282">
        <v>15.489288118347751</v>
      </c>
      <c r="D282">
        <v>18.648357316101517</v>
      </c>
      <c r="E282">
        <v>17.231707268192256</v>
      </c>
      <c r="F282">
        <v>15.125586530499582</v>
      </c>
      <c r="G282">
        <v>11.161687018951923</v>
      </c>
      <c r="H282">
        <v>20.983970548423901</v>
      </c>
      <c r="I282" s="147">
        <v>15.7011</v>
      </c>
      <c r="J282" s="112">
        <v>15.168400000000002</v>
      </c>
      <c r="K282" s="112">
        <v>14.983608579520155</v>
      </c>
      <c r="L282" s="126"/>
      <c r="M282" s="112"/>
      <c r="N282" s="126"/>
      <c r="O282" s="147"/>
      <c r="P282" s="147"/>
      <c r="Q282" s="147"/>
      <c r="R282" s="112"/>
      <c r="S282" s="112"/>
      <c r="T282" s="112"/>
      <c r="U282" s="146"/>
      <c r="V282" s="113"/>
      <c r="W282" s="113"/>
      <c r="X282" s="126"/>
      <c r="Y282" s="126"/>
    </row>
    <row r="283" spans="1:25" ht="14.7" customHeight="1">
      <c r="A283" s="110" t="s">
        <v>217</v>
      </c>
      <c r="B283" s="190"/>
      <c r="C283">
        <v>20.486583840596204</v>
      </c>
      <c r="D283">
        <v>21.612830607941756</v>
      </c>
      <c r="E283">
        <v>20.987367802757877</v>
      </c>
      <c r="F283">
        <v>15.601823074322068</v>
      </c>
      <c r="G283">
        <v>20.053967160408774</v>
      </c>
      <c r="H283">
        <v>26.260251224806229</v>
      </c>
      <c r="I283" s="147">
        <v>26.907799999999998</v>
      </c>
      <c r="J283" s="112">
        <v>29.928300000000004</v>
      </c>
      <c r="K283" s="112">
        <v>25.166803450213209</v>
      </c>
      <c r="L283" s="126"/>
      <c r="M283" s="112"/>
      <c r="N283" s="126"/>
      <c r="O283" s="147"/>
      <c r="P283" s="147"/>
      <c r="Q283" s="147"/>
      <c r="R283" s="112"/>
      <c r="S283" s="112"/>
      <c r="T283" s="112"/>
      <c r="U283" s="146"/>
      <c r="V283" s="113"/>
      <c r="W283" s="113"/>
      <c r="X283" s="126"/>
      <c r="Y283" s="126"/>
    </row>
    <row r="284" spans="1:25" ht="14.7" customHeight="1">
      <c r="A284" s="110" t="s">
        <v>150</v>
      </c>
      <c r="B284" s="190"/>
      <c r="C284">
        <v>13.988765327728157</v>
      </c>
      <c r="D284">
        <v>15.264634726183083</v>
      </c>
      <c r="E284">
        <v>18.36570891982948</v>
      </c>
      <c r="F284">
        <v>19.984263720575594</v>
      </c>
      <c r="G284">
        <v>13.668659118224809</v>
      </c>
      <c r="H284">
        <v>17.623178608494118</v>
      </c>
      <c r="I284" s="147">
        <v>20.291600000000003</v>
      </c>
      <c r="J284" s="112">
        <v>19.315099999999997</v>
      </c>
      <c r="K284" s="112">
        <v>15.196960796873856</v>
      </c>
      <c r="L284" s="126"/>
      <c r="M284" s="112"/>
      <c r="N284" s="126"/>
      <c r="O284" s="147"/>
      <c r="P284" s="147"/>
      <c r="Q284" s="147"/>
      <c r="R284" s="112"/>
      <c r="S284" s="112"/>
      <c r="T284" s="112"/>
      <c r="U284" s="146"/>
      <c r="V284" s="113"/>
      <c r="W284" s="113"/>
      <c r="X284" s="126"/>
      <c r="Y284" s="126"/>
    </row>
    <row r="285" spans="1:25" ht="14.7" customHeight="1">
      <c r="A285" s="110" t="s">
        <v>151</v>
      </c>
      <c r="B285" s="190"/>
      <c r="C285">
        <v>20.400616101148707</v>
      </c>
      <c r="D285">
        <v>22.321236999774897</v>
      </c>
      <c r="E285">
        <v>18.076390005201787</v>
      </c>
      <c r="F285">
        <v>19.428079630331656</v>
      </c>
      <c r="G285">
        <v>22.955788836377469</v>
      </c>
      <c r="H285">
        <v>23.788841069769106</v>
      </c>
      <c r="I285" s="147">
        <v>23.099700000000002</v>
      </c>
      <c r="J285" s="112">
        <v>17.080200000000001</v>
      </c>
      <c r="K285" s="112">
        <v>19.774526888698318</v>
      </c>
      <c r="L285" s="126"/>
      <c r="M285" s="112"/>
      <c r="N285" s="126"/>
      <c r="O285" s="147"/>
      <c r="P285" s="147"/>
      <c r="Q285" s="147"/>
      <c r="R285" s="112"/>
      <c r="S285" s="112"/>
      <c r="T285" s="112"/>
      <c r="U285" s="146"/>
      <c r="V285" s="113"/>
      <c r="W285" s="113"/>
      <c r="X285" s="126"/>
      <c r="Y285" s="126"/>
    </row>
    <row r="286" spans="1:25" ht="14.7" customHeight="1">
      <c r="A286" s="110" t="s">
        <v>152</v>
      </c>
      <c r="B286" s="190"/>
      <c r="C286">
        <v>21.520499033080174</v>
      </c>
      <c r="D286">
        <v>13.532052806302932</v>
      </c>
      <c r="E286">
        <v>19.080423992806324</v>
      </c>
      <c r="F286">
        <v>18.144150814443556</v>
      </c>
      <c r="G286">
        <v>13.83196053932744</v>
      </c>
      <c r="H286">
        <v>17.972534110078993</v>
      </c>
      <c r="I286" s="147">
        <v>21.534400000000002</v>
      </c>
      <c r="J286" s="112">
        <v>22.9084</v>
      </c>
      <c r="K286" s="112"/>
      <c r="L286" s="126"/>
      <c r="M286" s="112"/>
      <c r="N286" s="126"/>
      <c r="O286" s="147"/>
      <c r="P286" s="147"/>
      <c r="Q286" s="147"/>
      <c r="R286" s="112"/>
      <c r="S286" s="112"/>
      <c r="T286" s="112"/>
      <c r="U286" s="146"/>
      <c r="V286" s="113"/>
      <c r="W286" s="113"/>
      <c r="X286" s="126"/>
      <c r="Y286" s="126"/>
    </row>
    <row r="287" spans="1:25" ht="14.7" customHeight="1">
      <c r="A287" s="110" t="s">
        <v>248</v>
      </c>
      <c r="B287" s="190"/>
      <c r="C287">
        <v>9.7508926048240347</v>
      </c>
      <c r="D287">
        <v>9.004647751692394</v>
      </c>
      <c r="E287">
        <v>11.329914810364238</v>
      </c>
      <c r="F287">
        <v>8.7472825308184543</v>
      </c>
      <c r="G287">
        <v>8.4544243279253859</v>
      </c>
      <c r="H287">
        <v>12.236187423529369</v>
      </c>
      <c r="I287" s="147">
        <v>8.7802000000000007</v>
      </c>
      <c r="J287" s="112">
        <v>7.8622999999999994</v>
      </c>
      <c r="K287" s="112">
        <v>9.7035495759064929</v>
      </c>
      <c r="L287" s="126"/>
      <c r="M287" s="112"/>
      <c r="N287" s="126"/>
      <c r="O287" s="147"/>
      <c r="P287" s="147"/>
      <c r="Q287" s="147"/>
      <c r="R287" s="112"/>
      <c r="S287" s="112"/>
      <c r="T287" s="112"/>
      <c r="U287" s="146"/>
      <c r="V287" s="113"/>
      <c r="W287" s="113"/>
      <c r="X287" s="126"/>
      <c r="Y287" s="126"/>
    </row>
    <row r="288" spans="1:25" ht="14.7" customHeight="1">
      <c r="A288" s="110" t="s">
        <v>153</v>
      </c>
      <c r="B288" s="190"/>
      <c r="C288">
        <v>13.867568447027786</v>
      </c>
      <c r="D288">
        <v>16.380205929923608</v>
      </c>
      <c r="E288">
        <v>13.372782196216908</v>
      </c>
      <c r="F288">
        <v>15.892849604698986</v>
      </c>
      <c r="G288">
        <v>17.689344704054783</v>
      </c>
      <c r="H288">
        <v>16.032678124208427</v>
      </c>
      <c r="I288" s="147">
        <v>15.928000000000001</v>
      </c>
      <c r="J288" s="112">
        <v>13.0099</v>
      </c>
      <c r="K288" s="112">
        <v>18.610442311559218</v>
      </c>
      <c r="L288" s="126"/>
      <c r="M288" s="112"/>
      <c r="N288" s="126"/>
      <c r="O288" s="147"/>
      <c r="P288" s="147"/>
      <c r="Q288" s="147"/>
      <c r="R288" s="112"/>
      <c r="S288" s="112"/>
      <c r="T288" s="112"/>
      <c r="U288" s="146"/>
      <c r="V288" s="113"/>
      <c r="W288" s="113"/>
      <c r="X288" s="126"/>
      <c r="Y288" s="126"/>
    </row>
    <row r="289" spans="1:25" ht="14.7" customHeight="1">
      <c r="A289" s="110" t="s">
        <v>327</v>
      </c>
      <c r="B289" s="190"/>
      <c r="C289">
        <v>14.053061988047904</v>
      </c>
      <c r="D289">
        <v>13.436209122999262</v>
      </c>
      <c r="E289">
        <v>13.720536165571747</v>
      </c>
      <c r="F289">
        <v>12.986562993634838</v>
      </c>
      <c r="G289">
        <v>13.454573621081039</v>
      </c>
      <c r="H289">
        <v>13.797235664815135</v>
      </c>
      <c r="I289" s="147">
        <v>13.292999999999999</v>
      </c>
      <c r="J289" s="112">
        <v>13.766800000000002</v>
      </c>
      <c r="K289" s="112">
        <v>13.005470928067698</v>
      </c>
      <c r="L289" s="126"/>
      <c r="M289" s="112"/>
      <c r="N289" s="126"/>
      <c r="O289" s="147"/>
      <c r="P289" s="147"/>
      <c r="Q289" s="147"/>
      <c r="R289" s="112"/>
      <c r="S289" s="112"/>
      <c r="T289" s="112"/>
      <c r="U289" s="146"/>
      <c r="V289" s="113"/>
      <c r="W289" s="113"/>
      <c r="X289" s="126"/>
      <c r="Y289" s="126"/>
    </row>
    <row r="290" spans="1:25" ht="14.7" customHeight="1">
      <c r="A290" s="110" t="s">
        <v>154</v>
      </c>
      <c r="B290" s="190"/>
      <c r="C290">
        <v>12.909184610693513</v>
      </c>
      <c r="D290">
        <v>9.0400910374643804</v>
      </c>
      <c r="E290">
        <v>12.395462800249497</v>
      </c>
      <c r="F290">
        <v>14.111621017919488</v>
      </c>
      <c r="G290">
        <v>7.090100142431023</v>
      </c>
      <c r="H290">
        <v>12.976919605684875</v>
      </c>
      <c r="I290" s="147">
        <v>10.6798</v>
      </c>
      <c r="J290" s="112">
        <v>9.5057000000000009</v>
      </c>
      <c r="K290" s="112">
        <v>9.4539717119367879</v>
      </c>
      <c r="L290" s="126"/>
      <c r="M290" s="112"/>
      <c r="N290" s="126"/>
      <c r="O290" s="147"/>
      <c r="P290" s="147"/>
      <c r="Q290" s="147"/>
      <c r="R290" s="112"/>
      <c r="S290" s="112"/>
      <c r="T290" s="112"/>
      <c r="U290" s="147"/>
      <c r="V290" s="149"/>
      <c r="W290" s="149"/>
      <c r="X290" s="126"/>
      <c r="Y290" s="126"/>
    </row>
    <row r="291" spans="1:25" ht="14.7" customHeight="1">
      <c r="A291" s="110" t="s">
        <v>155</v>
      </c>
      <c r="B291" s="190"/>
      <c r="C291">
        <v>11.18916334830287</v>
      </c>
      <c r="D291">
        <v>12.185846180584225</v>
      </c>
      <c r="E291">
        <v>16.237191651774175</v>
      </c>
      <c r="F291">
        <v>12.574945679698093</v>
      </c>
      <c r="G291">
        <v>12.391051945160161</v>
      </c>
      <c r="H291">
        <v>14.126075185776754</v>
      </c>
      <c r="I291" s="147">
        <v>18.646799999999999</v>
      </c>
      <c r="J291" s="112">
        <v>18.290500000000002</v>
      </c>
      <c r="K291" s="112">
        <v>17.943830152225964</v>
      </c>
      <c r="L291" s="126"/>
      <c r="M291" s="112"/>
      <c r="N291" s="126"/>
      <c r="O291" s="147"/>
      <c r="P291" s="147"/>
      <c r="Q291" s="147"/>
      <c r="R291" s="112"/>
      <c r="S291" s="112"/>
      <c r="T291" s="112"/>
      <c r="U291" s="147"/>
      <c r="V291" s="149"/>
      <c r="W291" s="149"/>
      <c r="X291" s="126"/>
      <c r="Y291" s="126"/>
    </row>
    <row r="292" spans="1:25" ht="14.7" customHeight="1">
      <c r="A292" s="110" t="s">
        <v>249</v>
      </c>
      <c r="B292" s="190"/>
      <c r="C292">
        <v>13.039052232247208</v>
      </c>
      <c r="D292">
        <v>13.04964640357861</v>
      </c>
      <c r="E292">
        <v>13.278788475704953</v>
      </c>
      <c r="F292">
        <v>12.110833429143696</v>
      </c>
      <c r="G292">
        <v>12.779560102893148</v>
      </c>
      <c r="H292">
        <v>14.79663382655457</v>
      </c>
      <c r="I292" s="147">
        <v>17.379799999999999</v>
      </c>
      <c r="J292" s="112">
        <v>15.055499999999999</v>
      </c>
      <c r="K292" s="112">
        <v>15.040807772198702</v>
      </c>
      <c r="L292" s="126"/>
      <c r="M292" s="112"/>
      <c r="N292" s="126"/>
      <c r="O292" s="147"/>
      <c r="P292" s="147"/>
      <c r="Q292" s="147"/>
      <c r="R292" s="112"/>
      <c r="S292" s="112"/>
      <c r="T292" s="112"/>
      <c r="U292" s="146"/>
      <c r="V292" s="113"/>
      <c r="W292" s="113"/>
      <c r="X292" s="126"/>
      <c r="Y292" s="126"/>
    </row>
    <row r="293" spans="1:25" ht="14.7" customHeight="1">
      <c r="A293" s="26" t="s">
        <v>290</v>
      </c>
      <c r="B293" s="190"/>
      <c r="C293">
        <v>13.93225803485009</v>
      </c>
      <c r="D293">
        <v>15.843877871745027</v>
      </c>
      <c r="E293">
        <v>16.574518708336583</v>
      </c>
      <c r="F293">
        <v>12.000104795608257</v>
      </c>
      <c r="G293">
        <v>11.856394606158732</v>
      </c>
      <c r="H293">
        <v>13.202757028547765</v>
      </c>
      <c r="I293" s="147">
        <v>11.0227</v>
      </c>
      <c r="J293" s="112">
        <v>15.2089</v>
      </c>
      <c r="K293" s="112">
        <v>15.40700811526424</v>
      </c>
      <c r="L293" s="126"/>
      <c r="M293" s="112"/>
      <c r="N293" s="126"/>
      <c r="O293" s="147"/>
      <c r="P293" s="147"/>
      <c r="Q293" s="147"/>
      <c r="R293" s="112"/>
      <c r="S293" s="112"/>
      <c r="T293" s="112"/>
      <c r="U293" s="146"/>
      <c r="V293" s="113"/>
      <c r="W293" s="113"/>
      <c r="X293" s="126"/>
      <c r="Y293" s="126"/>
    </row>
    <row r="294" spans="1:25" ht="14.7" customHeight="1">
      <c r="A294" s="110" t="s">
        <v>291</v>
      </c>
      <c r="B294" s="190"/>
      <c r="C294">
        <v>10.690965604380906</v>
      </c>
      <c r="D294">
        <v>7.3141046175901492</v>
      </c>
      <c r="E294">
        <v>8.8718786216073688</v>
      </c>
      <c r="F294">
        <v>7.8843624163773631</v>
      </c>
      <c r="G294">
        <v>12.70076408843833</v>
      </c>
      <c r="H294">
        <v>7.6633901118946097</v>
      </c>
      <c r="I294" s="147">
        <v>8.2546999999999997</v>
      </c>
      <c r="J294" s="112">
        <v>10.9595</v>
      </c>
      <c r="K294" s="112">
        <v>7.3844827383745137</v>
      </c>
      <c r="L294" s="126"/>
      <c r="M294" s="112"/>
      <c r="N294" s="126"/>
      <c r="O294" s="147"/>
      <c r="P294" s="147"/>
      <c r="Q294" s="147"/>
      <c r="R294" s="112"/>
      <c r="S294" s="112"/>
      <c r="T294" s="112"/>
      <c r="U294" s="146"/>
      <c r="V294" s="113"/>
      <c r="W294" s="113"/>
      <c r="X294" s="126"/>
      <c r="Y294" s="126"/>
    </row>
    <row r="295" spans="1:25" ht="14.7" customHeight="1">
      <c r="A295" s="110" t="s">
        <v>156</v>
      </c>
      <c r="B295" s="190"/>
      <c r="C295">
        <v>14.620478620252559</v>
      </c>
      <c r="D295">
        <v>16.697447199361864</v>
      </c>
      <c r="E295">
        <v>19.454445346356767</v>
      </c>
      <c r="F295">
        <v>18.266025935988285</v>
      </c>
      <c r="G295">
        <v>16.837361253247266</v>
      </c>
      <c r="H295">
        <v>14.77821604229948</v>
      </c>
      <c r="I295" s="147">
        <v>14.890500000000001</v>
      </c>
      <c r="J295" s="112">
        <v>21.3188</v>
      </c>
      <c r="K295" s="112">
        <v>18.578261442720144</v>
      </c>
      <c r="L295" s="126"/>
      <c r="M295" s="112"/>
      <c r="N295" s="126"/>
      <c r="O295" s="147"/>
      <c r="P295" s="147"/>
      <c r="Q295" s="147"/>
      <c r="R295" s="112"/>
      <c r="S295" s="112"/>
      <c r="T295" s="112"/>
      <c r="U295" s="146"/>
      <c r="V295" s="113"/>
      <c r="W295" s="113"/>
      <c r="X295" s="126"/>
      <c r="Y295" s="126"/>
    </row>
    <row r="296" spans="1:25" ht="14.7" customHeight="1">
      <c r="A296" s="26" t="s">
        <v>157</v>
      </c>
      <c r="B296" s="190"/>
      <c r="C296">
        <v>18.560504161955251</v>
      </c>
      <c r="D296">
        <v>20.215980684368727</v>
      </c>
      <c r="E296">
        <v>19.101464208631953</v>
      </c>
      <c r="F296">
        <v>20.414778532917516</v>
      </c>
      <c r="G296">
        <v>17.998777010921216</v>
      </c>
      <c r="H296">
        <v>22.307878061455298</v>
      </c>
      <c r="I296" s="147">
        <v>18.043500000000002</v>
      </c>
      <c r="J296" s="112">
        <v>17.941099999999999</v>
      </c>
      <c r="K296" s="112">
        <v>17.012967770005989</v>
      </c>
      <c r="L296" s="126"/>
      <c r="M296" s="112"/>
      <c r="N296" s="126"/>
      <c r="O296" s="147"/>
      <c r="P296" s="147"/>
      <c r="Q296" s="147"/>
      <c r="R296" s="112"/>
      <c r="S296" s="112"/>
      <c r="T296" s="112"/>
      <c r="U296" s="146"/>
      <c r="V296" s="113"/>
      <c r="W296" s="113"/>
      <c r="X296" s="126"/>
      <c r="Y296" s="126"/>
    </row>
    <row r="297" spans="1:25" ht="14.7" customHeight="1">
      <c r="A297" s="110" t="s">
        <v>328</v>
      </c>
      <c r="B297" s="190"/>
      <c r="C297">
        <v>19.408630666357553</v>
      </c>
      <c r="D297">
        <v>20.183458693199501</v>
      </c>
      <c r="E297">
        <v>18.995320332744175</v>
      </c>
      <c r="F297">
        <v>20.28813591196506</v>
      </c>
      <c r="G297">
        <v>16.244995554734238</v>
      </c>
      <c r="H297">
        <v>21.992362092988881</v>
      </c>
      <c r="I297" s="147">
        <v>20.282299999999999</v>
      </c>
      <c r="J297" s="112">
        <v>20.749100000000002</v>
      </c>
      <c r="K297" s="112">
        <v>19.764917133210222</v>
      </c>
      <c r="L297" s="126"/>
      <c r="M297" s="112"/>
      <c r="N297" s="126"/>
      <c r="O297" s="147"/>
      <c r="P297" s="147"/>
      <c r="Q297" s="147"/>
      <c r="R297" s="112"/>
      <c r="S297" s="112"/>
      <c r="T297" s="112"/>
      <c r="U297" s="146"/>
      <c r="V297" s="113"/>
      <c r="W297" s="113"/>
      <c r="X297" s="126"/>
      <c r="Y297" s="126"/>
    </row>
    <row r="298" spans="1:25" ht="14.7" customHeight="1">
      <c r="A298" s="26" t="s">
        <v>158</v>
      </c>
      <c r="B298" s="190"/>
      <c r="C298">
        <v>20.806105087530458</v>
      </c>
      <c r="D298">
        <v>28.23822421345703</v>
      </c>
      <c r="E298">
        <v>22.853836180468157</v>
      </c>
      <c r="F298">
        <v>22.931843920728223</v>
      </c>
      <c r="G298">
        <v>16.723436410137175</v>
      </c>
      <c r="H298">
        <v>26.061258746693571</v>
      </c>
      <c r="I298" s="147">
        <v>21.5914</v>
      </c>
      <c r="J298" s="112">
        <v>25.36</v>
      </c>
      <c r="K298" s="112"/>
      <c r="L298" s="126"/>
      <c r="M298" s="112"/>
      <c r="N298" s="126"/>
      <c r="O298" s="147"/>
      <c r="P298" s="147"/>
      <c r="Q298" s="147"/>
      <c r="R298" s="112"/>
      <c r="S298" s="112"/>
      <c r="T298" s="112"/>
      <c r="U298" s="146"/>
      <c r="V298" s="113"/>
      <c r="W298" s="113"/>
      <c r="X298" s="126"/>
      <c r="Y298" s="126"/>
    </row>
    <row r="299" spans="1:25" ht="14.7" customHeight="1">
      <c r="A299" s="110" t="s">
        <v>250</v>
      </c>
      <c r="B299" s="190"/>
      <c r="C299">
        <v>9.8293946458198143</v>
      </c>
      <c r="D299">
        <v>8.5609954901477323</v>
      </c>
      <c r="E299">
        <v>8.1556592186184407</v>
      </c>
      <c r="F299">
        <v>7.4714626000787234</v>
      </c>
      <c r="G299">
        <v>8.4889321125658217</v>
      </c>
      <c r="H299">
        <v>8.5299252193435766</v>
      </c>
      <c r="I299" s="147">
        <v>11.6021</v>
      </c>
      <c r="J299" s="112">
        <v>11.829099999999999</v>
      </c>
      <c r="K299" s="112">
        <v>9.3041534312813567</v>
      </c>
      <c r="L299" s="126"/>
      <c r="M299" s="112"/>
      <c r="N299" s="126"/>
      <c r="O299" s="147"/>
      <c r="P299" s="147"/>
      <c r="Q299" s="147"/>
      <c r="R299" s="112"/>
      <c r="S299" s="112"/>
      <c r="T299" s="112"/>
      <c r="U299" s="147"/>
      <c r="V299" s="149"/>
      <c r="W299" s="149"/>
      <c r="X299" s="126"/>
      <c r="Y299" s="126"/>
    </row>
    <row r="300" spans="1:25" ht="14.7" customHeight="1">
      <c r="A300" s="110" t="s">
        <v>329</v>
      </c>
      <c r="B300" s="190"/>
      <c r="C300">
        <v>18.182452868161313</v>
      </c>
      <c r="D300">
        <v>19.657210801260771</v>
      </c>
      <c r="E300">
        <v>16.980341288288137</v>
      </c>
      <c r="F300">
        <v>17.478360332765725</v>
      </c>
      <c r="G300">
        <v>17.452841160188868</v>
      </c>
      <c r="H300">
        <v>20.16919635183573</v>
      </c>
      <c r="I300" s="147">
        <v>21.081500000000002</v>
      </c>
      <c r="J300" s="112">
        <v>19.409399999999998</v>
      </c>
      <c r="K300" s="112">
        <v>20.423132463684833</v>
      </c>
      <c r="L300" s="126"/>
      <c r="M300" s="112"/>
      <c r="N300" s="126"/>
      <c r="O300" s="147"/>
      <c r="P300" s="147"/>
      <c r="Q300" s="147"/>
      <c r="R300" s="112"/>
      <c r="S300" s="112"/>
      <c r="T300" s="112"/>
      <c r="U300" s="146"/>
      <c r="V300" s="113"/>
      <c r="W300" s="113"/>
      <c r="X300" s="126"/>
      <c r="Y300" s="126"/>
    </row>
    <row r="301" spans="1:25" ht="14.7" customHeight="1">
      <c r="A301" s="110" t="s">
        <v>159</v>
      </c>
      <c r="B301" s="189"/>
      <c r="C301">
        <v>17.200681922897157</v>
      </c>
      <c r="D301">
        <v>14.628564797226598</v>
      </c>
      <c r="E301">
        <v>19.122129117625331</v>
      </c>
      <c r="F301">
        <v>11.263918164533509</v>
      </c>
      <c r="G301">
        <v>18.657823260734666</v>
      </c>
      <c r="H301">
        <v>17.407530625296957</v>
      </c>
      <c r="I301" s="146">
        <v>19.384599999999999</v>
      </c>
      <c r="J301" s="144">
        <v>16.473700000000001</v>
      </c>
      <c r="K301" s="144">
        <v>17.690280735111973</v>
      </c>
      <c r="L301" s="126"/>
      <c r="M301" s="144"/>
      <c r="N301" s="126"/>
      <c r="O301" s="146"/>
      <c r="P301" s="146"/>
      <c r="Q301" s="146"/>
      <c r="R301" s="144"/>
      <c r="S301" s="144"/>
      <c r="T301" s="144"/>
      <c r="U301" s="146"/>
      <c r="V301" s="113"/>
      <c r="W301" s="113"/>
      <c r="X301" s="126"/>
      <c r="Y301" s="126"/>
    </row>
    <row r="302" spans="1:25" ht="14.7" customHeight="1">
      <c r="A302" s="26" t="s">
        <v>218</v>
      </c>
      <c r="B302" s="190"/>
      <c r="C302">
        <v>14.933785209693994</v>
      </c>
      <c r="D302">
        <v>12.522070691058865</v>
      </c>
      <c r="E302">
        <v>9.5634289588320787</v>
      </c>
      <c r="F302">
        <v>12.458500251142391</v>
      </c>
      <c r="G302">
        <v>9.4293913056542547</v>
      </c>
      <c r="H302">
        <v>15.965008868699734</v>
      </c>
      <c r="I302" s="147">
        <v>8.3818000000000001</v>
      </c>
      <c r="J302" s="112">
        <v>10.814400000000001</v>
      </c>
      <c r="K302" s="112">
        <v>12.235117032892942</v>
      </c>
      <c r="L302" s="126"/>
      <c r="M302" s="112"/>
      <c r="N302" s="126"/>
      <c r="O302" s="147"/>
      <c r="P302" s="147"/>
      <c r="Q302" s="147"/>
      <c r="R302" s="112"/>
      <c r="S302" s="112"/>
      <c r="T302" s="112"/>
      <c r="U302" s="146"/>
      <c r="V302" s="113"/>
      <c r="W302" s="113"/>
      <c r="X302" s="126"/>
      <c r="Y302" s="126"/>
    </row>
    <row r="303" spans="1:25" ht="14.7" customHeight="1">
      <c r="A303" s="26" t="s">
        <v>160</v>
      </c>
      <c r="B303" s="190"/>
      <c r="C303">
        <v>16.757278941045513</v>
      </c>
      <c r="D303">
        <v>13.307093916140103</v>
      </c>
      <c r="E303">
        <v>13.295914680003651</v>
      </c>
      <c r="F303">
        <v>11.920307983674551</v>
      </c>
      <c r="G303">
        <v>14.053957335135886</v>
      </c>
      <c r="H303">
        <v>15.667380913186429</v>
      </c>
      <c r="I303" s="147">
        <v>12.040800000000001</v>
      </c>
      <c r="J303" s="112">
        <v>16.102599999999999</v>
      </c>
      <c r="K303" s="112">
        <v>11.817157080155718</v>
      </c>
      <c r="L303" s="126"/>
      <c r="M303" s="112"/>
      <c r="N303" s="126"/>
      <c r="O303" s="147"/>
      <c r="P303" s="147"/>
      <c r="Q303" s="147"/>
      <c r="R303" s="112"/>
      <c r="S303" s="112"/>
      <c r="T303" s="112"/>
      <c r="U303" s="146"/>
      <c r="V303" s="113"/>
      <c r="W303" s="113"/>
      <c r="X303" s="126"/>
      <c r="Y303" s="126"/>
    </row>
    <row r="304" spans="1:25" ht="14.7" customHeight="1">
      <c r="A304" s="26" t="s">
        <v>292</v>
      </c>
      <c r="B304" s="190"/>
      <c r="C304">
        <v>20.378304719924621</v>
      </c>
      <c r="D304">
        <v>17.102720598341836</v>
      </c>
      <c r="E304">
        <v>11.448639158953554</v>
      </c>
      <c r="F304">
        <v>16.264625339749632</v>
      </c>
      <c r="G304">
        <v>16.706192201353801</v>
      </c>
      <c r="H304">
        <v>18.928955569447215</v>
      </c>
      <c r="I304" s="147">
        <v>21.532200000000003</v>
      </c>
      <c r="J304" s="112">
        <v>19.200700000000001</v>
      </c>
      <c r="K304" s="112">
        <v>18.675096713437256</v>
      </c>
      <c r="L304" s="126"/>
      <c r="M304" s="112"/>
      <c r="N304" s="126"/>
      <c r="O304" s="147"/>
      <c r="P304" s="147"/>
      <c r="Q304" s="147"/>
      <c r="R304" s="112"/>
      <c r="S304" s="112"/>
      <c r="T304" s="112"/>
      <c r="U304" s="147"/>
      <c r="V304" s="149"/>
      <c r="W304" s="149"/>
      <c r="X304" s="126"/>
      <c r="Y304" s="126"/>
    </row>
    <row r="305" spans="1:25" ht="14.7" customHeight="1">
      <c r="A305" s="110" t="s">
        <v>251</v>
      </c>
      <c r="B305" s="190"/>
      <c r="C305">
        <v>11.654077298711647</v>
      </c>
      <c r="D305">
        <v>9.7208751704386245</v>
      </c>
      <c r="E305">
        <v>11.281027569323049</v>
      </c>
      <c r="F305">
        <v>9.2218879185929907</v>
      </c>
      <c r="G305">
        <v>7.2730795273525715</v>
      </c>
      <c r="H305">
        <v>9.2608923281613187</v>
      </c>
      <c r="I305" s="147">
        <v>10.696400000000001</v>
      </c>
      <c r="J305" s="112">
        <v>9.4383999999999997</v>
      </c>
      <c r="K305" s="112">
        <v>12.20584559044301</v>
      </c>
      <c r="L305" s="126"/>
      <c r="M305" s="112"/>
      <c r="N305" s="126"/>
      <c r="O305" s="147"/>
      <c r="P305" s="147"/>
      <c r="Q305" s="147"/>
      <c r="R305" s="112"/>
      <c r="S305" s="112"/>
      <c r="T305" s="112"/>
      <c r="U305" s="146"/>
      <c r="V305" s="113"/>
      <c r="W305" s="113"/>
      <c r="X305" s="126"/>
      <c r="Y305" s="126"/>
    </row>
    <row r="306" spans="1:25" ht="14.7" customHeight="1">
      <c r="A306" s="110" t="s">
        <v>161</v>
      </c>
      <c r="B306" s="190"/>
      <c r="C306">
        <v>18.939510492420681</v>
      </c>
      <c r="D306">
        <v>11.959087950958709</v>
      </c>
      <c r="E306">
        <v>14.558511771296878</v>
      </c>
      <c r="F306">
        <v>12.468100179524543</v>
      </c>
      <c r="G306">
        <v>12.442165887512651</v>
      </c>
      <c r="H306">
        <v>14.482551109069645</v>
      </c>
      <c r="I306" s="147">
        <v>16.505500000000001</v>
      </c>
      <c r="J306" s="112">
        <v>11.588700000000001</v>
      </c>
      <c r="K306" s="112">
        <v>12.663408474729168</v>
      </c>
      <c r="L306" s="126"/>
      <c r="M306" s="112"/>
      <c r="N306" s="126"/>
      <c r="O306" s="147"/>
      <c r="P306" s="147"/>
      <c r="Q306" s="147"/>
      <c r="R306" s="112"/>
      <c r="S306" s="112"/>
      <c r="T306" s="112"/>
      <c r="U306" s="146"/>
      <c r="V306" s="113"/>
      <c r="W306" s="113"/>
      <c r="X306" s="126"/>
      <c r="Y306" s="126"/>
    </row>
    <row r="307" spans="1:25" ht="14.7" customHeight="1">
      <c r="A307" s="26" t="s">
        <v>162</v>
      </c>
      <c r="B307" s="190"/>
      <c r="C307">
        <v>16.463459445978316</v>
      </c>
      <c r="D307">
        <v>11.760904487083506</v>
      </c>
      <c r="E307">
        <v>11.527330574380064</v>
      </c>
      <c r="F307">
        <v>11.952668478690478</v>
      </c>
      <c r="G307">
        <v>11.892323729106884</v>
      </c>
      <c r="H307">
        <v>13.398282136771245</v>
      </c>
      <c r="I307" s="147">
        <v>13.279299999999999</v>
      </c>
      <c r="J307" s="112">
        <v>13.931299999999998</v>
      </c>
      <c r="K307" s="112">
        <v>9.445777512017397</v>
      </c>
      <c r="L307" s="126"/>
      <c r="M307" s="112"/>
      <c r="N307" s="126"/>
      <c r="O307" s="147"/>
      <c r="P307" s="147"/>
      <c r="Q307" s="147"/>
      <c r="R307" s="112"/>
      <c r="S307" s="112"/>
      <c r="T307" s="112"/>
      <c r="U307" s="147"/>
      <c r="V307" s="149"/>
      <c r="W307" s="149"/>
      <c r="X307" s="126"/>
      <c r="Y307" s="126"/>
    </row>
    <row r="308" spans="1:25" ht="14.7" customHeight="1">
      <c r="A308" s="110" t="s">
        <v>163</v>
      </c>
      <c r="B308" s="190"/>
      <c r="C308">
        <v>18.357640055317642</v>
      </c>
      <c r="D308">
        <v>23.409229707404812</v>
      </c>
      <c r="E308">
        <v>23.378499564559263</v>
      </c>
      <c r="F308">
        <v>24.107221297157039</v>
      </c>
      <c r="G308">
        <v>21.570986998891016</v>
      </c>
      <c r="H308">
        <v>22.782099180691702</v>
      </c>
      <c r="I308" s="147">
        <v>33.015899999999995</v>
      </c>
      <c r="J308" s="112">
        <v>21.378</v>
      </c>
      <c r="K308" s="112"/>
      <c r="L308" s="126"/>
      <c r="M308" s="112"/>
      <c r="N308" s="126"/>
      <c r="O308" s="147"/>
      <c r="P308" s="147"/>
      <c r="Q308" s="147"/>
      <c r="R308" s="112"/>
      <c r="S308" s="112"/>
      <c r="T308" s="112"/>
      <c r="U308" s="146"/>
      <c r="V308" s="113"/>
      <c r="W308" s="113"/>
      <c r="X308" s="126"/>
      <c r="Y308" s="126"/>
    </row>
    <row r="309" spans="1:25" ht="14.7" customHeight="1">
      <c r="A309" s="110" t="s">
        <v>164</v>
      </c>
      <c r="B309" s="190"/>
      <c r="C309">
        <v>14.904239479492389</v>
      </c>
      <c r="D309">
        <v>18.198112520443225</v>
      </c>
      <c r="E309">
        <v>11.747377176971623</v>
      </c>
      <c r="F309">
        <v>16.849250965030048</v>
      </c>
      <c r="G309">
        <v>18.430880741011389</v>
      </c>
      <c r="H309">
        <v>19.876393476704152</v>
      </c>
      <c r="I309" s="147">
        <v>20.166999999999998</v>
      </c>
      <c r="J309" s="112">
        <v>17.926500000000001</v>
      </c>
      <c r="K309" s="112">
        <v>20.285435107826554</v>
      </c>
      <c r="L309" s="126"/>
      <c r="M309" s="112"/>
      <c r="N309" s="126"/>
      <c r="O309" s="147"/>
      <c r="P309" s="147"/>
      <c r="Q309" s="147"/>
      <c r="R309" s="112"/>
      <c r="S309" s="112"/>
      <c r="T309" s="112"/>
      <c r="U309" s="146"/>
      <c r="V309" s="113"/>
      <c r="W309" s="113"/>
      <c r="X309" s="126"/>
      <c r="Y309" s="126"/>
    </row>
    <row r="310" spans="1:25" ht="14.7" customHeight="1">
      <c r="A310" s="110" t="s">
        <v>813</v>
      </c>
      <c r="B310" s="190"/>
      <c r="C310">
        <v>13.58004384076494</v>
      </c>
      <c r="D310">
        <v>8.4868675374180977</v>
      </c>
      <c r="E310">
        <v>12.448283518672755</v>
      </c>
      <c r="F310">
        <v>12.296548351603571</v>
      </c>
      <c r="G310">
        <v>18.029214545181301</v>
      </c>
      <c r="H310">
        <v>22.208356706590322</v>
      </c>
      <c r="I310" s="147">
        <v>13.010400000000001</v>
      </c>
      <c r="J310" s="112">
        <v>12.0197</v>
      </c>
      <c r="K310" s="112">
        <v>16.401174799939319</v>
      </c>
      <c r="L310" s="126"/>
      <c r="M310" s="112"/>
      <c r="N310" s="126"/>
      <c r="O310" s="147"/>
      <c r="P310" s="147"/>
      <c r="Q310" s="147"/>
      <c r="R310" s="112"/>
      <c r="S310" s="112"/>
      <c r="T310" s="112"/>
      <c r="U310" s="146"/>
      <c r="V310" s="113"/>
      <c r="W310" s="113"/>
      <c r="X310" s="126"/>
      <c r="Y310" s="126"/>
    </row>
    <row r="311" spans="1:25" ht="14.7" customHeight="1">
      <c r="A311" s="110" t="s">
        <v>165</v>
      </c>
      <c r="B311" s="190"/>
      <c r="C311">
        <v>12.684008352278259</v>
      </c>
      <c r="D311">
        <v>13.495414491303007</v>
      </c>
      <c r="E311">
        <v>16.500204557185903</v>
      </c>
      <c r="F311">
        <v>8.3224573225336211</v>
      </c>
      <c r="G311">
        <v>11.897362370760465</v>
      </c>
      <c r="H311">
        <v>12.886422779609278</v>
      </c>
      <c r="I311" s="147">
        <v>19.409299999999998</v>
      </c>
      <c r="J311" s="112">
        <v>13.563600000000001</v>
      </c>
      <c r="K311" s="112">
        <v>14.052643515410274</v>
      </c>
      <c r="L311" s="126"/>
      <c r="M311" s="112"/>
      <c r="N311" s="126"/>
      <c r="O311" s="147"/>
      <c r="P311" s="147"/>
      <c r="Q311" s="147"/>
      <c r="R311" s="112"/>
      <c r="S311" s="112"/>
      <c r="T311" s="112"/>
      <c r="U311" s="146"/>
      <c r="V311" s="113"/>
      <c r="W311" s="113"/>
      <c r="X311" s="126"/>
      <c r="Y311" s="126"/>
    </row>
    <row r="312" spans="1:25" ht="14.7" customHeight="1">
      <c r="A312" s="110" t="s">
        <v>166</v>
      </c>
      <c r="B312" s="190"/>
      <c r="C312">
        <v>21.649988522810101</v>
      </c>
      <c r="D312">
        <v>21.298490977917524</v>
      </c>
      <c r="E312">
        <v>21.253235718085175</v>
      </c>
      <c r="F312">
        <v>21.315352437530645</v>
      </c>
      <c r="G312">
        <v>18.978004666281134</v>
      </c>
      <c r="H312">
        <v>16.06991468242056</v>
      </c>
      <c r="I312" s="147">
        <v>22.285800000000002</v>
      </c>
      <c r="J312" s="112">
        <v>15.753300000000001</v>
      </c>
      <c r="K312" s="112">
        <v>14.397984359067486</v>
      </c>
      <c r="L312" s="126"/>
      <c r="M312" s="112"/>
      <c r="N312" s="126"/>
      <c r="O312" s="147"/>
      <c r="P312" s="147"/>
      <c r="Q312" s="147"/>
      <c r="R312" s="112"/>
      <c r="S312" s="112"/>
      <c r="T312" s="112"/>
      <c r="U312" s="146"/>
      <c r="V312" s="113"/>
      <c r="W312" s="113"/>
      <c r="X312" s="126"/>
      <c r="Y312" s="126"/>
    </row>
    <row r="313" spans="1:25" ht="14.7" customHeight="1">
      <c r="A313" s="110" t="s">
        <v>167</v>
      </c>
      <c r="B313" s="190"/>
      <c r="C313">
        <v>18.878744145702584</v>
      </c>
      <c r="D313">
        <v>14.799829016174595</v>
      </c>
      <c r="E313">
        <v>19.061093880216212</v>
      </c>
      <c r="F313">
        <v>16.200321532156302</v>
      </c>
      <c r="G313">
        <v>18.915706581627205</v>
      </c>
      <c r="H313">
        <v>18.55946081502114</v>
      </c>
      <c r="I313" s="147">
        <v>20.255300000000002</v>
      </c>
      <c r="J313" s="112">
        <v>16.323999999999998</v>
      </c>
      <c r="K313" s="112">
        <v>16.876143304020886</v>
      </c>
      <c r="L313" s="126"/>
      <c r="M313" s="112"/>
      <c r="N313" s="126"/>
      <c r="O313" s="147"/>
      <c r="P313" s="147"/>
      <c r="Q313" s="147"/>
      <c r="R313" s="112"/>
      <c r="S313" s="112"/>
      <c r="T313" s="112"/>
      <c r="U313" s="146"/>
      <c r="V313" s="113"/>
      <c r="W313" s="113"/>
      <c r="X313" s="126"/>
      <c r="Y313" s="126"/>
    </row>
    <row r="314" spans="1:25" ht="14.7" customHeight="1">
      <c r="A314" s="110" t="s">
        <v>168</v>
      </c>
      <c r="B314" s="189"/>
      <c r="C314">
        <v>17.119826585729538</v>
      </c>
      <c r="D314">
        <v>11.827978436516712</v>
      </c>
      <c r="E314">
        <v>12.704050080328996</v>
      </c>
      <c r="F314">
        <v>12.574286435968679</v>
      </c>
      <c r="G314">
        <v>11.863454255648286</v>
      </c>
      <c r="H314">
        <v>14.378762986568274</v>
      </c>
      <c r="I314" s="147">
        <v>17.362300000000001</v>
      </c>
      <c r="J314" s="112">
        <v>16.095100000000002</v>
      </c>
      <c r="K314" s="112">
        <v>14.534249620300505</v>
      </c>
      <c r="L314" s="126"/>
      <c r="M314" s="112"/>
      <c r="N314" s="126"/>
      <c r="O314" s="147"/>
      <c r="P314" s="147"/>
      <c r="Q314" s="147"/>
      <c r="R314" s="112"/>
      <c r="S314" s="112"/>
      <c r="T314" s="112"/>
      <c r="U314" s="146"/>
      <c r="V314" s="113"/>
      <c r="W314" s="113"/>
      <c r="X314" s="126"/>
      <c r="Y314" s="126"/>
    </row>
    <row r="315" spans="1:25" ht="14.7" customHeight="1">
      <c r="A315" s="110" t="s">
        <v>169</v>
      </c>
      <c r="B315" s="190"/>
      <c r="C315">
        <v>13.813897344562298</v>
      </c>
      <c r="D315">
        <v>8.1747326070261259</v>
      </c>
      <c r="E315">
        <v>6.7259267733224437</v>
      </c>
      <c r="F315">
        <v>10.495762053830498</v>
      </c>
      <c r="G315">
        <v>16.082566380194972</v>
      </c>
      <c r="H315">
        <v>17.043600275293404</v>
      </c>
      <c r="I315" s="147">
        <v>13.192100000000002</v>
      </c>
      <c r="J315" s="112">
        <v>14.391999999999999</v>
      </c>
      <c r="K315" s="112">
        <v>10.050487133544655</v>
      </c>
      <c r="L315" s="126"/>
      <c r="M315" s="112"/>
      <c r="N315" s="126"/>
      <c r="O315" s="147"/>
      <c r="P315" s="147"/>
      <c r="Q315" s="147"/>
      <c r="R315" s="112"/>
      <c r="S315" s="112"/>
      <c r="T315" s="112"/>
      <c r="U315" s="146"/>
      <c r="V315" s="113"/>
      <c r="W315" s="113"/>
      <c r="X315" s="126"/>
      <c r="Y315" s="126"/>
    </row>
    <row r="316" spans="1:25" ht="14.7" customHeight="1">
      <c r="A316" s="110" t="s">
        <v>293</v>
      </c>
      <c r="B316" s="190"/>
      <c r="C316">
        <v>9.3516952430238174</v>
      </c>
      <c r="D316">
        <v>16.572725945918471</v>
      </c>
      <c r="E316">
        <v>8.5943933573978661</v>
      </c>
      <c r="F316">
        <v>14.945013364248222</v>
      </c>
      <c r="G316">
        <v>12.952573611163039</v>
      </c>
      <c r="H316">
        <v>10.53203882065511</v>
      </c>
      <c r="I316" s="147">
        <v>12.5395</v>
      </c>
      <c r="J316" s="112">
        <v>15.593099999999998</v>
      </c>
      <c r="K316" s="112">
        <v>8.7572399892260808</v>
      </c>
      <c r="L316" s="126"/>
      <c r="M316" s="112"/>
      <c r="N316" s="126"/>
      <c r="O316" s="147"/>
      <c r="P316" s="147"/>
      <c r="Q316" s="147"/>
      <c r="R316" s="112"/>
      <c r="S316" s="112"/>
      <c r="T316" s="112"/>
      <c r="U316" s="146"/>
      <c r="V316" s="113"/>
      <c r="W316" s="113"/>
      <c r="X316" s="126"/>
      <c r="Y316" s="126"/>
    </row>
    <row r="317" spans="1:25" ht="14.7" customHeight="1">
      <c r="A317" s="110" t="s">
        <v>350</v>
      </c>
      <c r="B317" s="190"/>
      <c r="C317">
        <v>16.936979530750218</v>
      </c>
      <c r="D317">
        <v>15.092463549978286</v>
      </c>
      <c r="E317">
        <v>17.965759619250374</v>
      </c>
      <c r="F317">
        <v>17.734488557015418</v>
      </c>
      <c r="G317">
        <v>15.066395813111047</v>
      </c>
      <c r="H317">
        <v>12.380136928665605</v>
      </c>
      <c r="I317" s="147">
        <v>16.553599999999999</v>
      </c>
      <c r="J317" s="112">
        <v>15.312000000000001</v>
      </c>
      <c r="K317" s="112">
        <v>15.065023021064745</v>
      </c>
      <c r="L317" s="126"/>
      <c r="M317" s="112"/>
      <c r="N317" s="126"/>
      <c r="O317" s="147"/>
      <c r="P317" s="147"/>
      <c r="Q317" s="147"/>
      <c r="R317" s="112"/>
      <c r="S317" s="112"/>
      <c r="T317" s="112"/>
      <c r="U317" s="146"/>
      <c r="V317" s="113"/>
      <c r="W317" s="113"/>
      <c r="X317" s="126"/>
      <c r="Y317" s="126"/>
    </row>
    <row r="318" spans="1:25" ht="14.7" customHeight="1">
      <c r="A318" s="110" t="s">
        <v>294</v>
      </c>
      <c r="B318" s="190"/>
      <c r="C318">
        <v>11.968827263963069</v>
      </c>
      <c r="D318">
        <v>10.85520386332241</v>
      </c>
      <c r="E318">
        <v>9.4471852154099913</v>
      </c>
      <c r="F318">
        <v>8.1016804648762637</v>
      </c>
      <c r="G318">
        <v>9.4192063951713152</v>
      </c>
      <c r="H318">
        <v>12.803805113661559</v>
      </c>
      <c r="I318" s="147">
        <v>14.289299999999999</v>
      </c>
      <c r="J318" s="112">
        <v>12.8574</v>
      </c>
      <c r="K318" s="112">
        <v>10.577693620067869</v>
      </c>
      <c r="L318" s="126"/>
      <c r="M318" s="112"/>
      <c r="N318" s="126"/>
      <c r="O318" s="147"/>
      <c r="P318" s="147"/>
      <c r="Q318" s="147"/>
      <c r="R318" s="112"/>
      <c r="S318" s="112"/>
      <c r="T318" s="112"/>
      <c r="U318" s="146"/>
      <c r="V318" s="113"/>
      <c r="W318" s="113"/>
      <c r="X318" s="126"/>
      <c r="Y318" s="126"/>
    </row>
    <row r="319" spans="1:25" ht="14.7" customHeight="1">
      <c r="A319" s="26" t="s">
        <v>170</v>
      </c>
      <c r="B319" s="190"/>
      <c r="C319">
        <v>13.657871067813662</v>
      </c>
      <c r="D319">
        <v>13.074474286543444</v>
      </c>
      <c r="E319">
        <v>14.019400761334088</v>
      </c>
      <c r="F319">
        <v>11.639187959927465</v>
      </c>
      <c r="G319">
        <v>7.5584951142011896</v>
      </c>
      <c r="H319">
        <v>13.213985074199694</v>
      </c>
      <c r="I319" s="147">
        <v>16.7775</v>
      </c>
      <c r="J319" s="112">
        <v>18.477399999999999</v>
      </c>
      <c r="K319" s="112">
        <v>14.513105559307164</v>
      </c>
      <c r="L319" s="126"/>
      <c r="M319" s="112"/>
      <c r="N319" s="126"/>
      <c r="O319" s="147"/>
      <c r="P319" s="147"/>
      <c r="Q319" s="147"/>
      <c r="R319" s="112"/>
      <c r="S319" s="112"/>
      <c r="T319" s="112"/>
      <c r="U319" s="146"/>
      <c r="V319" s="113"/>
      <c r="W319" s="113"/>
      <c r="X319" s="126"/>
      <c r="Y319" s="126"/>
    </row>
    <row r="320" spans="1:25" ht="14.7" customHeight="1">
      <c r="A320" s="26" t="s">
        <v>219</v>
      </c>
      <c r="B320" s="190"/>
      <c r="C320">
        <v>16.162691194504941</v>
      </c>
      <c r="D320">
        <v>15.494760817421549</v>
      </c>
      <c r="E320">
        <v>16.724335526264731</v>
      </c>
      <c r="F320">
        <v>19.294616663111846</v>
      </c>
      <c r="G320">
        <v>22.439891110599593</v>
      </c>
      <c r="H320">
        <v>23.773480353219014</v>
      </c>
      <c r="I320" s="147">
        <v>24.6615</v>
      </c>
      <c r="J320" s="112">
        <v>20.6812</v>
      </c>
      <c r="K320" s="112">
        <v>22.142727564496365</v>
      </c>
      <c r="L320" s="126"/>
      <c r="M320" s="112"/>
      <c r="N320" s="126"/>
      <c r="O320" s="147"/>
      <c r="P320" s="147"/>
      <c r="Q320" s="147"/>
      <c r="R320" s="112"/>
      <c r="S320" s="112"/>
      <c r="T320" s="112"/>
      <c r="U320" s="146"/>
      <c r="V320" s="113"/>
      <c r="W320" s="113"/>
      <c r="X320" s="126"/>
      <c r="Y320" s="126"/>
    </row>
    <row r="321" spans="1:25" ht="14.7" customHeight="1">
      <c r="A321" s="26" t="s">
        <v>252</v>
      </c>
      <c r="B321" s="190"/>
      <c r="C321">
        <v>14.581155385858397</v>
      </c>
      <c r="D321">
        <v>16.728145348169193</v>
      </c>
      <c r="E321">
        <v>15.895716578450653</v>
      </c>
      <c r="F321">
        <v>15.910805445553663</v>
      </c>
      <c r="G321">
        <v>17.880117932192903</v>
      </c>
      <c r="H321">
        <v>18.435727887451051</v>
      </c>
      <c r="I321" s="147">
        <v>17.0075</v>
      </c>
      <c r="J321" s="112">
        <v>18.3657</v>
      </c>
      <c r="K321" s="112">
        <v>15.140867498757132</v>
      </c>
      <c r="L321" s="126"/>
      <c r="M321" s="112"/>
      <c r="N321" s="126"/>
      <c r="O321" s="147"/>
      <c r="P321" s="147"/>
      <c r="Q321" s="147"/>
      <c r="R321" s="112"/>
      <c r="S321" s="112"/>
      <c r="T321" s="112"/>
      <c r="U321" s="146"/>
      <c r="V321" s="113"/>
      <c r="W321" s="113"/>
      <c r="X321" s="126"/>
      <c r="Y321" s="126"/>
    </row>
    <row r="322" spans="1:25" ht="14.7" customHeight="1">
      <c r="A322" s="110" t="s">
        <v>171</v>
      </c>
      <c r="B322" s="190"/>
      <c r="C322">
        <v>18.104823151737239</v>
      </c>
      <c r="D322">
        <v>14.761069203668894</v>
      </c>
      <c r="E322">
        <v>15.925449143032688</v>
      </c>
      <c r="F322">
        <v>9.8702428828770206</v>
      </c>
      <c r="G322">
        <v>11.652624341233517</v>
      </c>
      <c r="H322">
        <v>12.581551938808378</v>
      </c>
      <c r="I322" s="147">
        <v>17.491200000000003</v>
      </c>
      <c r="J322" s="112">
        <v>13.475999999999999</v>
      </c>
      <c r="K322" s="112">
        <v>19.371610272790811</v>
      </c>
      <c r="L322" s="126"/>
      <c r="M322" s="112"/>
      <c r="N322" s="126"/>
      <c r="O322" s="147"/>
      <c r="P322" s="147"/>
      <c r="Q322" s="147"/>
      <c r="R322" s="112"/>
      <c r="S322" s="112"/>
      <c r="T322" s="112"/>
      <c r="U322" s="147"/>
      <c r="V322" s="149"/>
      <c r="W322" s="149"/>
      <c r="X322" s="126"/>
      <c r="Y322" s="126"/>
    </row>
    <row r="323" spans="1:25" ht="14.7" customHeight="1">
      <c r="A323" s="110" t="s">
        <v>172</v>
      </c>
      <c r="B323" s="190"/>
      <c r="C323">
        <v>18.438542435341976</v>
      </c>
      <c r="D323">
        <v>16.59734670693307</v>
      </c>
      <c r="E323">
        <v>17.342121487831047</v>
      </c>
      <c r="F323">
        <v>14.728017898995022</v>
      </c>
      <c r="G323">
        <v>15.758810951927158</v>
      </c>
      <c r="H323">
        <v>16.927250252765063</v>
      </c>
      <c r="I323" s="147">
        <v>18.029899999999998</v>
      </c>
      <c r="J323" s="112">
        <v>15.556500000000002</v>
      </c>
      <c r="K323" s="112">
        <v>17.75202026361881</v>
      </c>
      <c r="L323" s="126"/>
      <c r="M323" s="112"/>
      <c r="N323" s="126"/>
      <c r="O323" s="147"/>
      <c r="P323" s="147"/>
      <c r="Q323" s="147"/>
      <c r="R323" s="112"/>
      <c r="S323" s="112"/>
      <c r="T323" s="112"/>
      <c r="U323" s="147"/>
      <c r="V323" s="149"/>
      <c r="W323" s="149"/>
      <c r="X323" s="126"/>
      <c r="Y323" s="126"/>
    </row>
    <row r="324" spans="1:25" ht="14.7" customHeight="1">
      <c r="A324" s="26" t="s">
        <v>173</v>
      </c>
      <c r="B324" s="190"/>
      <c r="C324">
        <v>27.357215451548782</v>
      </c>
      <c r="D324">
        <v>25.548426845127519</v>
      </c>
      <c r="E324">
        <v>22.689402105630325</v>
      </c>
      <c r="F324">
        <v>25.358520583860432</v>
      </c>
      <c r="G324">
        <v>25.774454509428747</v>
      </c>
      <c r="H324">
        <v>26.090434169089182</v>
      </c>
      <c r="I324" s="147">
        <v>25.395400000000002</v>
      </c>
      <c r="J324" s="112">
        <v>22.6448</v>
      </c>
      <c r="K324" s="112">
        <v>26.49842402479166</v>
      </c>
      <c r="L324" s="126"/>
      <c r="M324" s="112"/>
      <c r="N324" s="126"/>
      <c r="O324" s="147"/>
      <c r="P324" s="147"/>
      <c r="Q324" s="147"/>
      <c r="R324" s="112"/>
      <c r="S324" s="112"/>
      <c r="T324" s="112"/>
      <c r="U324" s="146"/>
      <c r="V324" s="113"/>
      <c r="W324" s="113"/>
      <c r="X324" s="126"/>
      <c r="Y324" s="126"/>
    </row>
    <row r="325" spans="1:25" ht="14.7" customHeight="1">
      <c r="A325" s="110" t="s">
        <v>253</v>
      </c>
      <c r="B325" s="190"/>
      <c r="C325">
        <v>10.408941058770683</v>
      </c>
      <c r="D325">
        <v>9.5470427462906926</v>
      </c>
      <c r="E325">
        <v>7.4616759041091445</v>
      </c>
      <c r="F325">
        <v>8.5222730130055613</v>
      </c>
      <c r="G325">
        <v>11.637688908792935</v>
      </c>
      <c r="H325">
        <v>10.689716004555091</v>
      </c>
      <c r="I325" s="147">
        <v>13.4932</v>
      </c>
      <c r="J325" s="112">
        <v>9.3778000000000006</v>
      </c>
      <c r="K325" s="112">
        <v>12.133830582054697</v>
      </c>
      <c r="L325" s="126"/>
      <c r="M325" s="112"/>
      <c r="N325" s="126"/>
      <c r="O325" s="147"/>
      <c r="P325" s="147"/>
      <c r="Q325" s="147"/>
      <c r="R325" s="112"/>
      <c r="S325" s="112"/>
      <c r="T325" s="112"/>
      <c r="U325" s="146"/>
      <c r="V325" s="113"/>
      <c r="W325" s="113"/>
      <c r="X325" s="126"/>
      <c r="Y325" s="126"/>
    </row>
    <row r="326" spans="1:25" ht="14.7" customHeight="1">
      <c r="A326" s="110" t="s">
        <v>254</v>
      </c>
      <c r="B326" s="190"/>
      <c r="C326">
        <v>8.8228795265589035</v>
      </c>
      <c r="D326">
        <v>10.041012267329963</v>
      </c>
      <c r="E326">
        <v>9.2185519628332795</v>
      </c>
      <c r="F326">
        <v>10.649672140825746</v>
      </c>
      <c r="G326">
        <v>11.800060440740239</v>
      </c>
      <c r="H326">
        <v>11.65834492116424</v>
      </c>
      <c r="I326" s="147">
        <v>8.6443000000000012</v>
      </c>
      <c r="J326" s="112">
        <v>8.4286999999999992</v>
      </c>
      <c r="K326" s="112">
        <v>8.1257643659947494</v>
      </c>
      <c r="L326" s="126"/>
      <c r="M326" s="112"/>
      <c r="N326" s="126"/>
      <c r="O326" s="147"/>
      <c r="P326" s="147"/>
      <c r="Q326" s="147"/>
      <c r="R326" s="112"/>
      <c r="S326" s="112"/>
      <c r="T326" s="112"/>
      <c r="U326" s="146"/>
      <c r="V326" s="113"/>
      <c r="W326" s="113"/>
      <c r="X326" s="126"/>
      <c r="Y326" s="126"/>
    </row>
    <row r="327" spans="1:25" ht="14.7" customHeight="1">
      <c r="A327" s="110" t="s">
        <v>220</v>
      </c>
      <c r="B327" s="190"/>
      <c r="C327">
        <v>14.22958935194638</v>
      </c>
      <c r="D327">
        <v>11.380449871718005</v>
      </c>
      <c r="E327">
        <v>15.575623651522664</v>
      </c>
      <c r="F327">
        <v>12.81786871961102</v>
      </c>
      <c r="G327">
        <v>12.874065559352896</v>
      </c>
      <c r="H327">
        <v>18.947017451338347</v>
      </c>
      <c r="I327" s="147">
        <v>19.754300000000001</v>
      </c>
      <c r="J327" s="112">
        <v>16.0304</v>
      </c>
      <c r="K327" s="112">
        <v>20.067281035326705</v>
      </c>
      <c r="L327" s="126"/>
      <c r="M327" s="112"/>
      <c r="N327" s="126"/>
      <c r="O327" s="147"/>
      <c r="P327" s="147"/>
      <c r="Q327" s="147"/>
      <c r="R327" s="112"/>
      <c r="S327" s="112"/>
      <c r="T327" s="112"/>
      <c r="U327" s="147"/>
      <c r="V327" s="113"/>
      <c r="W327" s="113"/>
      <c r="X327" s="126"/>
      <c r="Y327" s="126"/>
    </row>
    <row r="328" spans="1:25" ht="14.7" customHeight="1">
      <c r="A328" s="26" t="s">
        <v>221</v>
      </c>
      <c r="B328" s="190"/>
      <c r="C328">
        <v>20.127361770244587</v>
      </c>
      <c r="D328">
        <v>19.68377412044358</v>
      </c>
      <c r="E328">
        <v>22.441566215543734</v>
      </c>
      <c r="F328">
        <v>18.201232264084165</v>
      </c>
      <c r="G328">
        <v>30.669033493717013</v>
      </c>
      <c r="H328">
        <v>26.333416409706206</v>
      </c>
      <c r="I328" s="147">
        <v>22.880500000000001</v>
      </c>
      <c r="J328" s="112">
        <v>25.807600000000004</v>
      </c>
      <c r="K328" s="112">
        <v>29.707732026955952</v>
      </c>
      <c r="L328" s="126"/>
      <c r="M328" s="112"/>
      <c r="N328" s="126"/>
      <c r="O328" s="147"/>
      <c r="P328" s="147"/>
      <c r="Q328" s="147"/>
      <c r="R328" s="112"/>
      <c r="S328" s="112"/>
      <c r="T328" s="112"/>
      <c r="U328" s="146"/>
      <c r="V328" s="113"/>
      <c r="W328" s="113"/>
      <c r="X328" s="126"/>
      <c r="Y328" s="126"/>
    </row>
    <row r="329" spans="1:25" ht="14.7" customHeight="1">
      <c r="A329" s="110" t="s">
        <v>295</v>
      </c>
      <c r="B329" s="190"/>
      <c r="C329">
        <v>18.452224372273026</v>
      </c>
      <c r="D329">
        <v>16.141745766992539</v>
      </c>
      <c r="E329">
        <v>16.521426575560959</v>
      </c>
      <c r="F329">
        <v>16.334380161254892</v>
      </c>
      <c r="G329">
        <v>11.489109679668498</v>
      </c>
      <c r="H329">
        <v>18.99957185546328</v>
      </c>
      <c r="I329" s="147">
        <v>20.0807</v>
      </c>
      <c r="J329" s="112">
        <v>18.6919</v>
      </c>
      <c r="K329" s="112">
        <v>16.214350146378816</v>
      </c>
      <c r="L329" s="126"/>
      <c r="M329" s="112"/>
      <c r="N329" s="126"/>
      <c r="O329" s="147"/>
      <c r="P329" s="147"/>
      <c r="Q329" s="147"/>
      <c r="R329" s="112"/>
      <c r="S329" s="112"/>
      <c r="T329" s="112"/>
      <c r="U329" s="147"/>
      <c r="V329" s="149"/>
      <c r="W329" s="149"/>
      <c r="X329" s="126"/>
      <c r="Y329" s="126"/>
    </row>
    <row r="330" spans="1:25" ht="14.7" customHeight="1">
      <c r="A330" s="110" t="s">
        <v>174</v>
      </c>
      <c r="B330" s="190"/>
      <c r="C330">
        <v>17.594793115140927</v>
      </c>
      <c r="D330">
        <v>20.514002699509234</v>
      </c>
      <c r="E330">
        <v>16.004554563273995</v>
      </c>
      <c r="F330">
        <v>20.399969945394027</v>
      </c>
      <c r="G330">
        <v>18.015533247880374</v>
      </c>
      <c r="H330">
        <v>22.014046311942696</v>
      </c>
      <c r="I330" s="147">
        <v>17.808399999999999</v>
      </c>
      <c r="J330" s="112">
        <v>18.567499999999999</v>
      </c>
      <c r="K330" s="112">
        <v>18.344277645331683</v>
      </c>
      <c r="L330" s="126"/>
      <c r="M330" s="112"/>
      <c r="N330" s="126"/>
      <c r="O330" s="147"/>
      <c r="P330" s="147"/>
      <c r="Q330" s="147"/>
      <c r="R330" s="112"/>
      <c r="S330" s="112"/>
      <c r="T330" s="112"/>
      <c r="U330" s="147"/>
      <c r="V330" s="149"/>
      <c r="W330" s="149"/>
      <c r="X330" s="126"/>
      <c r="Y330" s="126"/>
    </row>
    <row r="331" spans="1:25" ht="14.7" customHeight="1">
      <c r="A331" s="110" t="s">
        <v>330</v>
      </c>
      <c r="B331" s="190"/>
      <c r="C331">
        <v>14.489653734222378</v>
      </c>
      <c r="D331">
        <v>16.320195399708119</v>
      </c>
      <c r="E331">
        <v>15.364223471592119</v>
      </c>
      <c r="F331">
        <v>16.055290947231089</v>
      </c>
      <c r="G331">
        <v>14.70283964367462</v>
      </c>
      <c r="H331">
        <v>16.502409402537761</v>
      </c>
      <c r="I331" s="147">
        <v>14.358699999999999</v>
      </c>
      <c r="J331" s="112">
        <v>16.5487</v>
      </c>
      <c r="K331" s="112">
        <v>15.712468668373536</v>
      </c>
      <c r="L331" s="126"/>
      <c r="M331" s="112"/>
      <c r="N331" s="126"/>
      <c r="O331" s="147"/>
      <c r="P331" s="147"/>
      <c r="Q331" s="147"/>
      <c r="R331" s="112"/>
      <c r="S331" s="112"/>
      <c r="T331" s="112"/>
      <c r="U331" s="147"/>
      <c r="V331" s="149"/>
      <c r="W331" s="149"/>
      <c r="X331" s="126"/>
      <c r="Y331" s="126"/>
    </row>
    <row r="332" spans="1:25" ht="14.7" customHeight="1">
      <c r="A332" s="26" t="s">
        <v>175</v>
      </c>
      <c r="B332" s="190"/>
      <c r="C332">
        <v>13.81744792206659</v>
      </c>
      <c r="D332">
        <v>14.044966660041561</v>
      </c>
      <c r="E332">
        <v>13.324289594434397</v>
      </c>
      <c r="F332">
        <v>12.696297860932157</v>
      </c>
      <c r="G332">
        <v>16.94930796572023</v>
      </c>
      <c r="H332">
        <v>22.627081735146355</v>
      </c>
      <c r="I332" s="147">
        <v>17.145599999999998</v>
      </c>
      <c r="J332" s="112">
        <v>11.3078</v>
      </c>
      <c r="K332" s="112">
        <v>15.404470368023723</v>
      </c>
      <c r="L332" s="126"/>
      <c r="M332" s="112"/>
      <c r="N332" s="126"/>
      <c r="O332" s="147"/>
      <c r="P332" s="147"/>
      <c r="Q332" s="147"/>
      <c r="R332" s="112"/>
      <c r="S332" s="112"/>
      <c r="T332" s="112"/>
      <c r="U332" s="146"/>
      <c r="V332" s="113"/>
      <c r="W332" s="113"/>
      <c r="X332" s="126"/>
      <c r="Y332" s="126"/>
    </row>
    <row r="333" spans="1:25" ht="14.7" customHeight="1">
      <c r="A333" s="110" t="s">
        <v>176</v>
      </c>
      <c r="B333" s="190"/>
      <c r="C333">
        <v>21.371981695878787</v>
      </c>
      <c r="D333">
        <v>19.847819834420953</v>
      </c>
      <c r="E333">
        <v>20.274218677895377</v>
      </c>
      <c r="F333">
        <v>23.123228379350468</v>
      </c>
      <c r="G333">
        <v>19.627738526390786</v>
      </c>
      <c r="H333">
        <v>25.36089072285424</v>
      </c>
      <c r="I333" s="147">
        <v>23.145199999999999</v>
      </c>
      <c r="J333" s="112">
        <v>21.876899999999999</v>
      </c>
      <c r="K333" s="112"/>
      <c r="L333" s="126"/>
      <c r="M333" s="112"/>
      <c r="N333" s="126"/>
      <c r="O333" s="147"/>
      <c r="P333" s="147"/>
      <c r="Q333" s="147"/>
      <c r="R333" s="112"/>
      <c r="S333" s="112"/>
      <c r="T333" s="112"/>
      <c r="U333" s="146"/>
      <c r="V333" s="113"/>
      <c r="W333" s="113"/>
      <c r="X333" s="126"/>
      <c r="Y333" s="126"/>
    </row>
    <row r="334" spans="1:25" ht="14.7" customHeight="1">
      <c r="A334" s="110" t="s">
        <v>177</v>
      </c>
      <c r="B334" s="147"/>
      <c r="C334" s="155">
        <v>17.089195487779246</v>
      </c>
      <c r="D334" s="155">
        <v>21.858930651003671</v>
      </c>
      <c r="E334" s="155">
        <v>19.945905983687915</v>
      </c>
      <c r="F334" s="155">
        <v>18.194637195214604</v>
      </c>
      <c r="G334" s="147">
        <v>16.73278958277297</v>
      </c>
      <c r="H334" s="147">
        <v>18.790322610675386</v>
      </c>
      <c r="I334" s="147">
        <v>19.7087</v>
      </c>
      <c r="J334" s="112">
        <v>17.8963</v>
      </c>
      <c r="K334" s="112">
        <v>21.256944158255358</v>
      </c>
      <c r="L334" s="126"/>
      <c r="M334" s="112"/>
      <c r="N334" s="126"/>
      <c r="O334" s="147"/>
      <c r="P334" s="147"/>
      <c r="Q334" s="147"/>
      <c r="R334" s="112"/>
      <c r="S334" s="112"/>
      <c r="T334" s="112"/>
      <c r="U334" s="147"/>
      <c r="V334" s="149"/>
      <c r="W334" s="149"/>
      <c r="X334" s="126"/>
      <c r="Y334" s="126"/>
    </row>
    <row r="335" spans="1:25" ht="14.7" customHeight="1">
      <c r="A335" s="110" t="s">
        <v>178</v>
      </c>
      <c r="B335" s="147"/>
      <c r="C335" s="155">
        <v>14.291989720930475</v>
      </c>
      <c r="D335" s="155">
        <v>8.3295751172659216</v>
      </c>
      <c r="E335" s="155">
        <v>17.243745310369768</v>
      </c>
      <c r="F335" s="155">
        <v>15.330067018580479</v>
      </c>
      <c r="G335" s="147">
        <v>15.566002196834813</v>
      </c>
      <c r="H335" s="147">
        <v>14.680034012030823</v>
      </c>
      <c r="I335" s="147">
        <v>13.444000000000001</v>
      </c>
      <c r="J335" s="112">
        <v>14.214099999999998</v>
      </c>
      <c r="K335" s="112">
        <v>15.922625351813391</v>
      </c>
      <c r="L335" s="126"/>
      <c r="M335" s="112"/>
      <c r="N335" s="126"/>
      <c r="O335" s="147"/>
      <c r="P335" s="147"/>
      <c r="Q335" s="147"/>
      <c r="R335" s="112"/>
      <c r="S335" s="112"/>
      <c r="T335" s="112"/>
      <c r="U335" s="147"/>
      <c r="V335" s="149"/>
      <c r="W335" s="149"/>
      <c r="X335" s="126"/>
      <c r="Y335" s="126"/>
    </row>
    <row r="336" spans="1:25" ht="14.7" customHeight="1">
      <c r="A336" s="110" t="s">
        <v>179</v>
      </c>
      <c r="B336" s="147"/>
      <c r="C336" s="155">
        <v>13.056515482857867</v>
      </c>
      <c r="D336" s="155">
        <v>10.584762114401968</v>
      </c>
      <c r="E336" s="155">
        <v>10.463700835918811</v>
      </c>
      <c r="F336" s="155">
        <v>10.398916547911425</v>
      </c>
      <c r="G336" s="147">
        <v>10.710326219272952</v>
      </c>
      <c r="H336" s="147">
        <v>12.800426732467779</v>
      </c>
      <c r="I336" s="147">
        <v>10.2933</v>
      </c>
      <c r="J336" s="112">
        <v>5.8770999999999995</v>
      </c>
      <c r="K336" s="112">
        <v>7.8881687770610762</v>
      </c>
      <c r="L336" s="126"/>
      <c r="M336" s="112"/>
      <c r="N336" s="126"/>
      <c r="O336" s="147"/>
      <c r="P336" s="147"/>
      <c r="Q336" s="147"/>
      <c r="R336" s="112"/>
      <c r="S336" s="112"/>
      <c r="T336" s="144"/>
      <c r="U336" s="146"/>
      <c r="V336" s="113"/>
      <c r="W336" s="113"/>
      <c r="X336" s="126"/>
      <c r="Y336" s="126"/>
    </row>
    <row r="337" spans="1:25" ht="14.7" customHeight="1">
      <c r="A337" s="26" t="s">
        <v>180</v>
      </c>
      <c r="B337" s="147"/>
      <c r="C337" s="155">
        <v>16.520835687987184</v>
      </c>
      <c r="D337" s="155">
        <v>14.597863707889791</v>
      </c>
      <c r="E337" s="155">
        <v>15.9652981947019</v>
      </c>
      <c r="F337" s="155">
        <v>16.776213916643577</v>
      </c>
      <c r="G337" s="146">
        <v>16.762147970789893</v>
      </c>
      <c r="H337" s="147">
        <v>18.685579364901361</v>
      </c>
      <c r="I337" s="147">
        <v>18.3995</v>
      </c>
      <c r="J337" s="112">
        <v>19.699300000000001</v>
      </c>
      <c r="K337" s="112">
        <v>13.587316599707986</v>
      </c>
      <c r="L337" s="126"/>
      <c r="M337" s="112"/>
      <c r="N337" s="126"/>
      <c r="O337" s="147"/>
      <c r="P337" s="147"/>
      <c r="Q337" s="147"/>
      <c r="R337" s="112"/>
      <c r="S337" s="112"/>
      <c r="T337" s="112"/>
      <c r="U337" s="146"/>
      <c r="V337" s="113"/>
      <c r="W337" s="113"/>
      <c r="X337" s="126"/>
      <c r="Y337" s="126"/>
    </row>
    <row r="338" spans="1:25" ht="14.7" customHeight="1">
      <c r="A338" s="26" t="s">
        <v>296</v>
      </c>
      <c r="B338" s="147"/>
      <c r="C338" s="155">
        <v>18.613203128503223</v>
      </c>
      <c r="D338" s="155">
        <v>19.510367921984837</v>
      </c>
      <c r="E338" s="155">
        <v>17.012679657684544</v>
      </c>
      <c r="F338" s="155">
        <v>21.196558203613804</v>
      </c>
      <c r="G338" s="147">
        <v>19.007323372927491</v>
      </c>
      <c r="H338" s="147">
        <v>19.104757454654713</v>
      </c>
      <c r="I338" s="147">
        <v>18.4331</v>
      </c>
      <c r="J338" s="112">
        <v>16.054199999999998</v>
      </c>
      <c r="K338" s="112">
        <v>18.712657179627712</v>
      </c>
      <c r="L338" s="126"/>
      <c r="M338" s="112"/>
      <c r="N338" s="126"/>
      <c r="O338" s="147"/>
      <c r="P338" s="147"/>
      <c r="Q338" s="147"/>
      <c r="R338" s="112"/>
      <c r="S338" s="112"/>
      <c r="T338" s="112"/>
      <c r="U338" s="147"/>
      <c r="V338" s="149"/>
      <c r="W338" s="149"/>
      <c r="X338" s="126"/>
      <c r="Y338" s="126"/>
    </row>
    <row r="339" spans="1:25" ht="14.7" customHeight="1">
      <c r="A339" s="110" t="s">
        <v>181</v>
      </c>
      <c r="B339" s="146"/>
      <c r="C339" s="155">
        <v>12.973921899822932</v>
      </c>
      <c r="D339" s="155">
        <v>13.580528322177379</v>
      </c>
      <c r="E339" s="155">
        <v>15.795608733234022</v>
      </c>
      <c r="F339" s="155">
        <v>19.172495718784887</v>
      </c>
      <c r="G339" s="146">
        <v>14.040086576359018</v>
      </c>
      <c r="H339" s="146">
        <v>14.657665992146168</v>
      </c>
      <c r="I339" s="146">
        <v>20.215</v>
      </c>
      <c r="J339" s="144">
        <v>15.2393</v>
      </c>
      <c r="K339" s="144">
        <v>13.398435317130453</v>
      </c>
      <c r="L339" s="126"/>
      <c r="M339" s="144"/>
      <c r="N339" s="126"/>
      <c r="O339" s="146"/>
      <c r="P339" s="146"/>
      <c r="Q339" s="146"/>
      <c r="R339" s="144"/>
      <c r="S339" s="144"/>
      <c r="T339" s="144"/>
      <c r="U339" s="146"/>
      <c r="V339" s="113"/>
      <c r="W339" s="113"/>
      <c r="X339" s="126"/>
      <c r="Y339" s="126"/>
    </row>
    <row r="340" spans="1:25" ht="14.7" customHeight="1">
      <c r="A340" s="108" t="s">
        <v>182</v>
      </c>
      <c r="B340" s="148"/>
      <c r="C340" s="155">
        <v>15.05040057700511</v>
      </c>
      <c r="D340" s="155">
        <v>12.679333390447498</v>
      </c>
      <c r="E340" s="155">
        <v>11.319775458486884</v>
      </c>
      <c r="F340" s="155">
        <v>17.570139948930773</v>
      </c>
      <c r="G340" s="148">
        <v>18.588039032429883</v>
      </c>
      <c r="H340" s="148">
        <v>16.403507235388641</v>
      </c>
      <c r="I340" s="148">
        <v>15.862000000000002</v>
      </c>
      <c r="J340" s="109">
        <v>15.460899999999999</v>
      </c>
      <c r="K340" s="109"/>
      <c r="L340" s="126"/>
      <c r="M340" s="109"/>
      <c r="N340" s="126"/>
      <c r="O340" s="148"/>
      <c r="P340" s="148"/>
      <c r="Q340" s="148"/>
      <c r="R340" s="109"/>
      <c r="S340" s="109"/>
      <c r="T340" s="109"/>
      <c r="U340" s="148"/>
      <c r="V340" s="150"/>
      <c r="W340" s="150"/>
      <c r="X340" s="126"/>
      <c r="Y340" s="126"/>
    </row>
    <row r="341" spans="1:25" ht="14.7" customHeight="1">
      <c r="A341" s="110" t="s">
        <v>183</v>
      </c>
      <c r="B341" s="146"/>
      <c r="C341" s="155">
        <v>14.505878527774005</v>
      </c>
      <c r="D341" s="155">
        <v>15.587327610816315</v>
      </c>
      <c r="E341" s="155">
        <v>11.669777811893759</v>
      </c>
      <c r="F341" s="155">
        <v>10.101158938025568</v>
      </c>
      <c r="G341" s="146">
        <v>9.8756772350237707</v>
      </c>
      <c r="H341" s="146">
        <v>16.32552273256961</v>
      </c>
      <c r="I341" s="146">
        <v>15.1693</v>
      </c>
      <c r="J341" s="144">
        <v>13.2439</v>
      </c>
      <c r="K341" s="144">
        <v>12.956233204007953</v>
      </c>
      <c r="L341" s="126"/>
      <c r="M341" s="144"/>
      <c r="N341" s="126"/>
      <c r="O341" s="146"/>
      <c r="P341" s="146"/>
      <c r="Q341" s="146"/>
      <c r="R341" s="144"/>
      <c r="S341" s="144"/>
      <c r="T341" s="144"/>
      <c r="U341" s="146"/>
      <c r="V341" s="113"/>
      <c r="W341" s="113"/>
      <c r="X341" s="126"/>
      <c r="Y341" s="126"/>
    </row>
    <row r="342" spans="1:25" ht="14.7" customHeight="1">
      <c r="A342" s="110" t="s">
        <v>184</v>
      </c>
      <c r="B342" s="147"/>
      <c r="C342" s="155">
        <v>19.301975671375626</v>
      </c>
      <c r="D342" s="155">
        <v>15.861221864775565</v>
      </c>
      <c r="E342" s="155">
        <v>17.423325292039067</v>
      </c>
      <c r="F342" s="155">
        <v>18.553095006596283</v>
      </c>
      <c r="G342" s="146">
        <v>15.657042924530151</v>
      </c>
      <c r="H342" s="147">
        <v>15.695234525181151</v>
      </c>
      <c r="I342" s="147">
        <v>21.240100000000002</v>
      </c>
      <c r="J342" s="112">
        <v>19.734500000000001</v>
      </c>
      <c r="K342" s="112">
        <v>13.289648360436429</v>
      </c>
      <c r="L342" s="126"/>
      <c r="M342" s="112"/>
      <c r="N342" s="126"/>
      <c r="O342" s="147"/>
      <c r="P342" s="147"/>
      <c r="Q342" s="147"/>
      <c r="R342" s="112"/>
      <c r="S342" s="112"/>
      <c r="T342" s="112"/>
      <c r="U342" s="146"/>
      <c r="V342" s="113"/>
      <c r="W342" s="113"/>
      <c r="X342" s="126"/>
      <c r="Y342" s="126"/>
    </row>
    <row r="343" spans="1:25" ht="14.7" customHeight="1">
      <c r="A343" s="110" t="s">
        <v>185</v>
      </c>
      <c r="B343" s="146"/>
      <c r="C343" s="155">
        <v>24.368475015893534</v>
      </c>
      <c r="D343" s="155">
        <v>24.069879371696317</v>
      </c>
      <c r="E343" s="155">
        <v>17.567556241623709</v>
      </c>
      <c r="F343" s="155">
        <v>13.965462562896796</v>
      </c>
      <c r="G343" s="146">
        <v>18.997303854416081</v>
      </c>
      <c r="H343" s="147">
        <v>21.368355201070152</v>
      </c>
      <c r="I343" s="147">
        <v>18.650400000000001</v>
      </c>
      <c r="J343" s="112">
        <v>18.2683</v>
      </c>
      <c r="K343" s="112">
        <v>22.316116413519676</v>
      </c>
      <c r="L343" s="126"/>
      <c r="M343" s="112"/>
      <c r="N343" s="126"/>
      <c r="O343" s="147"/>
      <c r="P343" s="147"/>
      <c r="Q343" s="147"/>
      <c r="R343" s="112"/>
      <c r="S343" s="112"/>
      <c r="T343" s="112"/>
      <c r="U343" s="146"/>
      <c r="V343" s="113"/>
      <c r="W343" s="113"/>
      <c r="X343" s="126"/>
      <c r="Y343" s="126"/>
    </row>
    <row r="344" spans="1:25" ht="14.7" customHeight="1">
      <c r="A344" s="110" t="s">
        <v>186</v>
      </c>
      <c r="B344" s="147"/>
      <c r="C344" s="154">
        <v>13.945505947091286</v>
      </c>
      <c r="D344" s="154">
        <v>17.508948175876732</v>
      </c>
      <c r="E344" s="154">
        <v>15.795849288139182</v>
      </c>
      <c r="F344" s="154">
        <v>11.161613384731616</v>
      </c>
      <c r="G344" s="146">
        <v>10.729823280036836</v>
      </c>
      <c r="H344" s="147">
        <v>16.20982833346423</v>
      </c>
      <c r="I344" s="147">
        <v>17.540900000000001</v>
      </c>
      <c r="J344" s="112">
        <v>12.1991</v>
      </c>
      <c r="K344" s="112"/>
      <c r="L344" s="126"/>
      <c r="M344" s="112"/>
      <c r="N344" s="126"/>
      <c r="O344" s="147"/>
      <c r="P344" s="147"/>
      <c r="Q344" s="147"/>
      <c r="R344" s="112"/>
      <c r="S344" s="112"/>
      <c r="T344" s="112"/>
      <c r="U344" s="146"/>
      <c r="V344" s="113"/>
      <c r="W344" s="113"/>
      <c r="X344" s="126"/>
      <c r="Y344" s="126"/>
    </row>
    <row r="345" spans="1:25" ht="14.7" customHeight="1">
      <c r="A345" s="110" t="s">
        <v>910</v>
      </c>
      <c r="B345" s="147"/>
      <c r="C345" s="153"/>
      <c r="D345" s="153"/>
      <c r="E345" s="153"/>
      <c r="F345" s="153"/>
      <c r="G345" s="147"/>
      <c r="H345" s="147"/>
      <c r="I345" s="147"/>
      <c r="J345" s="112"/>
      <c r="K345" s="112">
        <v>20.938986319148242</v>
      </c>
      <c r="L345" s="126"/>
      <c r="M345" s="112"/>
      <c r="N345" s="126"/>
      <c r="O345" s="147"/>
      <c r="P345" s="147"/>
      <c r="Q345" s="147"/>
      <c r="R345" s="112"/>
      <c r="S345" s="112"/>
      <c r="T345" s="112"/>
      <c r="U345" s="147"/>
      <c r="V345" s="149"/>
      <c r="W345" s="149"/>
      <c r="X345" s="126"/>
      <c r="Y345" s="126"/>
    </row>
    <row r="346" spans="1:25" ht="14.7" customHeight="1">
      <c r="A346" s="110" t="s">
        <v>331</v>
      </c>
      <c r="B346" s="147"/>
      <c r="C346" s="154">
        <v>19.770280487200328</v>
      </c>
      <c r="D346" s="154">
        <v>18.654959615386439</v>
      </c>
      <c r="E346" s="154">
        <v>16.39985340008521</v>
      </c>
      <c r="F346" s="154">
        <v>19.787942232519164</v>
      </c>
      <c r="G346" s="146">
        <v>17.473925552192334</v>
      </c>
      <c r="H346" s="147">
        <v>21.573779423022906</v>
      </c>
      <c r="I346" s="147">
        <v>20.786200000000001</v>
      </c>
      <c r="J346" s="112">
        <v>18.315899999999999</v>
      </c>
      <c r="K346" s="112">
        <v>18.584095297011689</v>
      </c>
      <c r="L346" s="126"/>
      <c r="M346" s="112"/>
      <c r="N346" s="126"/>
      <c r="O346" s="147"/>
      <c r="P346" s="147"/>
      <c r="Q346" s="147"/>
      <c r="R346" s="112"/>
      <c r="S346" s="112"/>
      <c r="T346" s="112"/>
      <c r="U346" s="146"/>
      <c r="V346" s="113"/>
      <c r="W346" s="113"/>
      <c r="X346" s="126"/>
      <c r="Y346" s="126"/>
    </row>
    <row r="347" spans="1:25" ht="14.7" customHeight="1">
      <c r="A347" s="110" t="s">
        <v>187</v>
      </c>
      <c r="B347" s="147"/>
      <c r="C347" s="155">
        <v>21.032650727326331</v>
      </c>
      <c r="D347" s="155">
        <v>17.355032638482577</v>
      </c>
      <c r="E347" s="155">
        <v>17.608506934190455</v>
      </c>
      <c r="F347" s="155">
        <v>18.436144632008411</v>
      </c>
      <c r="G347" s="146">
        <v>15.753784630704606</v>
      </c>
      <c r="H347" s="147">
        <v>19.204125805165752</v>
      </c>
      <c r="I347" s="147">
        <v>22.959199999999999</v>
      </c>
      <c r="J347" s="112">
        <v>18.343699999999998</v>
      </c>
      <c r="K347" s="112">
        <v>23.646432057640133</v>
      </c>
      <c r="L347" s="126"/>
      <c r="M347" s="112"/>
      <c r="N347" s="126"/>
      <c r="O347" s="147"/>
      <c r="P347" s="147"/>
      <c r="Q347" s="147"/>
      <c r="R347" s="112"/>
      <c r="S347" s="112"/>
      <c r="T347" s="112"/>
      <c r="U347" s="146"/>
      <c r="V347" s="113"/>
      <c r="W347" s="113"/>
      <c r="X347" s="126"/>
      <c r="Y347" s="126"/>
    </row>
    <row r="348" spans="1:25" ht="14.7" customHeight="1">
      <c r="A348" s="110" t="s">
        <v>351</v>
      </c>
      <c r="B348" s="146"/>
      <c r="C348" s="154">
        <v>19.742196326359046</v>
      </c>
      <c r="D348" s="155">
        <v>17.775474936009655</v>
      </c>
      <c r="E348" s="155">
        <v>18.128274044499747</v>
      </c>
      <c r="F348" s="154">
        <v>18.788312839125528</v>
      </c>
      <c r="G348" s="146">
        <v>20.82265036260484</v>
      </c>
      <c r="H348" s="147">
        <v>25.306829624012394</v>
      </c>
      <c r="I348" s="147">
        <v>18.189</v>
      </c>
      <c r="J348" s="112">
        <v>21.3368</v>
      </c>
      <c r="K348" s="112"/>
      <c r="L348" s="126"/>
      <c r="M348" s="112"/>
      <c r="N348" s="126"/>
      <c r="O348" s="147"/>
      <c r="P348" s="147"/>
      <c r="Q348" s="147"/>
      <c r="R348" s="112"/>
      <c r="S348" s="112"/>
      <c r="T348" s="112"/>
      <c r="U348" s="146"/>
      <c r="V348" s="113"/>
      <c r="W348" s="113"/>
      <c r="X348" s="126"/>
      <c r="Y348" s="126"/>
    </row>
    <row r="349" spans="1:25" ht="14.7" customHeight="1">
      <c r="A349" s="110" t="s">
        <v>255</v>
      </c>
      <c r="B349" s="147"/>
      <c r="C349" s="154">
        <v>12.133022832847494</v>
      </c>
      <c r="D349" s="155">
        <v>10.325683702101465</v>
      </c>
      <c r="E349" s="155">
        <v>11.346410329145941</v>
      </c>
      <c r="F349" s="154">
        <v>12.041290136800574</v>
      </c>
      <c r="G349" s="146">
        <v>12.260705922359358</v>
      </c>
      <c r="H349" s="147">
        <v>11.361053975092773</v>
      </c>
      <c r="I349" s="147">
        <v>12.0158</v>
      </c>
      <c r="J349" s="112">
        <v>13.530700000000001</v>
      </c>
      <c r="K349" s="112">
        <v>12.566624930086137</v>
      </c>
      <c r="L349" s="126"/>
      <c r="M349" s="112"/>
      <c r="N349" s="126"/>
      <c r="O349" s="147"/>
      <c r="P349" s="147"/>
      <c r="Q349" s="147"/>
      <c r="R349" s="112"/>
      <c r="S349" s="112"/>
      <c r="T349" s="112"/>
      <c r="U349" s="146"/>
      <c r="V349" s="113"/>
      <c r="W349" s="113"/>
      <c r="X349" s="126"/>
      <c r="Y349" s="126"/>
    </row>
    <row r="350" spans="1:25" ht="14.7" customHeight="1">
      <c r="A350" s="110" t="s">
        <v>297</v>
      </c>
      <c r="B350" s="147"/>
      <c r="C350" s="155">
        <v>19.843891652794344</v>
      </c>
      <c r="D350" s="155">
        <v>16.763666113560966</v>
      </c>
      <c r="E350" s="155">
        <v>18.668269474616238</v>
      </c>
      <c r="F350" s="155">
        <v>17.79921932528865</v>
      </c>
      <c r="G350" s="146">
        <v>15.424877638618097</v>
      </c>
      <c r="H350" s="147">
        <v>19.74567280194238</v>
      </c>
      <c r="I350" s="147">
        <v>20.427199999999999</v>
      </c>
      <c r="J350" s="112">
        <v>16.023399999999999</v>
      </c>
      <c r="K350" s="112">
        <v>17.180467203350975</v>
      </c>
      <c r="L350" s="126"/>
      <c r="M350" s="112"/>
      <c r="N350" s="126"/>
      <c r="O350" s="147"/>
      <c r="P350" s="147"/>
      <c r="Q350" s="147"/>
      <c r="R350" s="112"/>
      <c r="S350" s="112"/>
      <c r="T350" s="112"/>
      <c r="U350" s="146"/>
      <c r="V350" s="113"/>
      <c r="W350" s="113"/>
      <c r="X350" s="126"/>
      <c r="Y350" s="126"/>
    </row>
    <row r="351" spans="1:25">
      <c r="A351" s="113" t="s">
        <v>188</v>
      </c>
      <c r="B351" s="146"/>
      <c r="C351" s="155">
        <v>20.87549857923679</v>
      </c>
      <c r="D351" s="155">
        <v>20.605367919818821</v>
      </c>
      <c r="E351" s="155">
        <v>23.669147335008994</v>
      </c>
      <c r="F351" s="155">
        <v>19.980689953567754</v>
      </c>
      <c r="G351" s="146">
        <v>15.987057991230769</v>
      </c>
      <c r="H351" s="146">
        <v>20.759694539706253</v>
      </c>
      <c r="I351" s="146">
        <v>19.9785</v>
      </c>
      <c r="J351" s="146">
        <v>20.869399999999999</v>
      </c>
      <c r="K351" s="146">
        <v>18.610662031194757</v>
      </c>
      <c r="L351" s="144"/>
      <c r="M351" s="144"/>
      <c r="N351" s="144"/>
      <c r="O351" s="144"/>
      <c r="P351" s="144"/>
      <c r="Q351" s="144"/>
      <c r="R351" s="146"/>
      <c r="S351" s="146"/>
      <c r="T351" s="144"/>
      <c r="U351" s="144"/>
      <c r="V351" s="144"/>
      <c r="W351" s="146"/>
      <c r="X351" s="146"/>
      <c r="Y351" s="126"/>
    </row>
    <row r="352" spans="1:25">
      <c r="A352" s="113" t="s">
        <v>814</v>
      </c>
      <c r="B352" s="146"/>
      <c r="C352" s="155">
        <v>20.82562716982136</v>
      </c>
      <c r="D352" s="155">
        <v>25.287424873709913</v>
      </c>
      <c r="E352" s="155">
        <v>19.066279110431974</v>
      </c>
      <c r="F352" s="155">
        <v>18.476174769890434</v>
      </c>
      <c r="G352" s="146">
        <v>14.582193909871769</v>
      </c>
      <c r="H352" s="146">
        <v>26.334637161313978</v>
      </c>
      <c r="I352" s="146">
        <v>23.712199999999999</v>
      </c>
      <c r="J352" s="146">
        <v>20.001200000000001</v>
      </c>
      <c r="K352" s="146">
        <v>20.987545145842002</v>
      </c>
      <c r="L352" s="144"/>
      <c r="M352" s="144"/>
      <c r="N352" s="144"/>
      <c r="O352" s="144"/>
      <c r="P352" s="144"/>
      <c r="Q352" s="144"/>
      <c r="R352" s="146"/>
      <c r="S352" s="146"/>
      <c r="T352" s="144"/>
      <c r="U352" s="144"/>
      <c r="V352" s="144"/>
      <c r="W352" s="146"/>
      <c r="X352" s="146"/>
      <c r="Y352" s="126"/>
    </row>
    <row r="353" spans="1:25" ht="12.75" customHeight="1">
      <c r="A353" s="151" t="s">
        <v>256</v>
      </c>
      <c r="B353" s="151"/>
      <c r="C353" s="154">
        <v>11.605487356685535</v>
      </c>
      <c r="D353" s="155">
        <v>15.168562824158412</v>
      </c>
      <c r="E353" s="155">
        <v>14.231331519248283</v>
      </c>
      <c r="F353" s="154">
        <v>12.347741737927747</v>
      </c>
      <c r="G353" s="151">
        <v>12.31978658190487</v>
      </c>
      <c r="H353" s="151">
        <v>17.313547766457891</v>
      </c>
      <c r="I353" s="151">
        <v>16.156000000000002</v>
      </c>
      <c r="J353" s="151">
        <v>10.9389</v>
      </c>
      <c r="K353" s="151">
        <v>15.113145441001727</v>
      </c>
      <c r="L353" s="151"/>
      <c r="M353" s="151"/>
      <c r="N353" s="151"/>
      <c r="O353" s="151"/>
      <c r="P353" s="151"/>
      <c r="Q353" s="151"/>
      <c r="R353" s="151"/>
      <c r="S353" s="151"/>
      <c r="T353" s="151"/>
      <c r="U353" s="151"/>
      <c r="V353" s="151"/>
      <c r="W353" s="126"/>
      <c r="X353" s="126"/>
      <c r="Y353" s="126"/>
    </row>
    <row r="354" spans="1:25" ht="12.75" customHeight="1">
      <c r="A354" s="152" t="s">
        <v>189</v>
      </c>
      <c r="B354" s="152"/>
      <c r="C354" s="155">
        <v>20.218994080228939</v>
      </c>
      <c r="D354" s="155">
        <v>22.973040551307928</v>
      </c>
      <c r="E354" s="155">
        <v>20.596773851272189</v>
      </c>
      <c r="F354" s="155">
        <v>21.286836451893272</v>
      </c>
      <c r="G354" s="152">
        <v>21.540739795867523</v>
      </c>
      <c r="H354" s="152">
        <v>21.204308618053791</v>
      </c>
      <c r="I354" s="152">
        <v>24.358000000000001</v>
      </c>
      <c r="J354" s="152">
        <v>18.895999999999997</v>
      </c>
      <c r="K354" s="152">
        <v>23.819605750493743</v>
      </c>
      <c r="L354" s="152"/>
      <c r="M354" s="152"/>
      <c r="N354" s="152"/>
      <c r="O354" s="152"/>
      <c r="P354" s="152"/>
      <c r="Q354" s="152"/>
      <c r="R354" s="152"/>
      <c r="S354" s="152"/>
      <c r="T354" s="152"/>
      <c r="U354" s="152"/>
      <c r="V354" s="152"/>
      <c r="W354" s="152"/>
      <c r="X354" s="152"/>
      <c r="Y354" s="126"/>
    </row>
    <row r="355" spans="1:25">
      <c r="A355" s="105" t="s">
        <v>298</v>
      </c>
      <c r="B355" s="107"/>
      <c r="C355" s="155">
        <v>21.984657277431015</v>
      </c>
      <c r="D355" s="155">
        <v>21.449205020882765</v>
      </c>
      <c r="E355" s="155">
        <v>15.781636074940074</v>
      </c>
      <c r="F355" s="155">
        <v>21.024040116021826</v>
      </c>
      <c r="G355" s="107">
        <v>23.301543109916658</v>
      </c>
      <c r="H355" s="107">
        <v>20.387710578002295</v>
      </c>
      <c r="I355" s="107">
        <v>20.9468</v>
      </c>
      <c r="J355" s="107">
        <v>21.604300000000002</v>
      </c>
      <c r="K355" s="107">
        <v>22.857037353279054</v>
      </c>
      <c r="L355" s="107"/>
      <c r="M355" s="107"/>
      <c r="N355" s="107"/>
      <c r="O355" s="107"/>
      <c r="P355" s="107"/>
      <c r="Q355" s="107"/>
      <c r="R355" s="107"/>
      <c r="S355" s="107"/>
      <c r="T355" s="107"/>
      <c r="U355" s="107"/>
      <c r="V355" s="107"/>
      <c r="W355" s="107"/>
      <c r="X355" s="107"/>
      <c r="Y355" s="126"/>
    </row>
    <row r="356" spans="1:25">
      <c r="A356" s="107" t="s">
        <v>257</v>
      </c>
      <c r="B356" s="107"/>
      <c r="C356" s="156">
        <v>9.5568698158865395</v>
      </c>
      <c r="D356" s="163">
        <v>11.555555233213852</v>
      </c>
      <c r="E356" s="163">
        <v>10.893016123980209</v>
      </c>
      <c r="F356" s="156">
        <v>12.79136546184739</v>
      </c>
      <c r="G356" s="107">
        <v>8.3511231104902119</v>
      </c>
      <c r="H356" s="107">
        <v>11.019725005245224</v>
      </c>
      <c r="I356" s="107">
        <v>8.4072999999999993</v>
      </c>
      <c r="J356" s="107">
        <v>9.9123000000000001</v>
      </c>
      <c r="K356" s="107">
        <v>9.4451928938245775</v>
      </c>
      <c r="L356" s="107"/>
      <c r="M356" s="107"/>
      <c r="N356" s="107"/>
      <c r="O356" s="107"/>
      <c r="P356" s="107"/>
      <c r="Q356" s="107"/>
      <c r="R356" s="107"/>
      <c r="S356" s="107"/>
      <c r="T356" s="107"/>
      <c r="U356" s="107"/>
      <c r="V356" s="107"/>
      <c r="W356" s="126"/>
      <c r="X356" s="126"/>
      <c r="Y356" s="126"/>
    </row>
    <row r="357" spans="1:25">
      <c r="A357" s="126" t="s">
        <v>190</v>
      </c>
      <c r="B357" s="126"/>
      <c r="C357" s="157">
        <v>16.749642567534842</v>
      </c>
      <c r="D357" s="126">
        <v>16.717389688542905</v>
      </c>
      <c r="E357" s="164">
        <v>18.522899654702066</v>
      </c>
      <c r="F357" s="157">
        <v>12.768150054270277</v>
      </c>
      <c r="G357" s="126">
        <v>18.718913645142663</v>
      </c>
      <c r="H357" s="126">
        <v>15.987180751378357</v>
      </c>
      <c r="I357" s="126">
        <v>24.2456</v>
      </c>
      <c r="J357" s="126">
        <v>14.876100000000001</v>
      </c>
      <c r="K357" s="126">
        <v>16.871144466498237</v>
      </c>
      <c r="L357" s="126"/>
      <c r="M357" s="126"/>
      <c r="N357" s="126"/>
      <c r="O357" s="126"/>
      <c r="P357" s="126"/>
      <c r="Q357" s="126"/>
      <c r="R357" s="126"/>
      <c r="S357" s="126"/>
      <c r="T357" s="126"/>
      <c r="U357" s="126"/>
      <c r="V357" s="126"/>
      <c r="W357" s="126"/>
      <c r="X357" s="126"/>
      <c r="Y357" s="126"/>
    </row>
    <row r="358" spans="1:25">
      <c r="A358" s="145" t="s">
        <v>332</v>
      </c>
      <c r="B358" s="126"/>
      <c r="C358" s="151">
        <v>14.033912265584339</v>
      </c>
      <c r="D358" s="126">
        <v>14.747782487873693</v>
      </c>
      <c r="E358" s="151">
        <v>13.712598835705247</v>
      </c>
      <c r="F358" s="151">
        <v>12.843891516179184</v>
      </c>
      <c r="G358" s="126">
        <v>14.747963160466607</v>
      </c>
      <c r="H358" s="126">
        <v>14.776628835731245</v>
      </c>
      <c r="I358" s="126">
        <v>15.1411</v>
      </c>
      <c r="J358" s="126">
        <v>13.815199999999999</v>
      </c>
      <c r="K358" s="126">
        <v>14.778256892169054</v>
      </c>
      <c r="L358" s="126"/>
      <c r="M358" s="126"/>
      <c r="N358" s="126"/>
      <c r="O358" s="126"/>
      <c r="P358" s="126"/>
      <c r="Q358" s="126"/>
      <c r="R358" s="126"/>
      <c r="S358" s="126"/>
      <c r="T358" s="126"/>
      <c r="U358" s="126"/>
      <c r="V358" s="126"/>
      <c r="W358" s="126"/>
      <c r="X358" s="126"/>
      <c r="Y358" s="126"/>
    </row>
    <row r="359" spans="1:25" ht="12.75" customHeight="1">
      <c r="A359" s="145" t="s">
        <v>191</v>
      </c>
      <c r="B359" s="145"/>
      <c r="C359" s="158">
        <v>26.127990320635725</v>
      </c>
      <c r="D359" s="114">
        <v>17.922116147301264</v>
      </c>
      <c r="E359" s="158">
        <v>14.293876475483309</v>
      </c>
      <c r="F359" s="158">
        <v>21.222836286967006</v>
      </c>
      <c r="G359" s="114">
        <v>16.775624255152973</v>
      </c>
      <c r="H359" s="114">
        <v>21.260229278556398</v>
      </c>
      <c r="I359" s="114">
        <v>19.518899999999999</v>
      </c>
      <c r="J359" s="114">
        <v>17.9923</v>
      </c>
      <c r="K359" s="114">
        <v>19.034576327160028</v>
      </c>
      <c r="L359" s="114"/>
      <c r="M359" s="114"/>
      <c r="N359" s="114"/>
      <c r="O359" s="114"/>
      <c r="P359" s="114"/>
      <c r="Q359" s="114"/>
      <c r="R359" s="114"/>
      <c r="S359" s="114"/>
      <c r="T359" s="114"/>
      <c r="U359" s="114"/>
      <c r="V359" s="114"/>
      <c r="W359" s="114"/>
      <c r="X359" s="114"/>
      <c r="Y359" s="126"/>
    </row>
    <row r="360" spans="1:25">
      <c r="A360" s="145" t="s">
        <v>192</v>
      </c>
      <c r="B360" s="114"/>
      <c r="C360" s="159">
        <v>12.918717357319659</v>
      </c>
      <c r="D360" s="114">
        <v>15.423810232440912</v>
      </c>
      <c r="E360" s="159">
        <v>11.6792109119276</v>
      </c>
      <c r="F360" s="159">
        <v>12.189621687559187</v>
      </c>
      <c r="G360" s="114">
        <v>17.653672109952502</v>
      </c>
      <c r="H360" s="114">
        <v>15.179289821879619</v>
      </c>
      <c r="I360" s="114">
        <v>10.4709</v>
      </c>
      <c r="J360" s="114">
        <v>16.155200000000001</v>
      </c>
      <c r="K360" s="114">
        <v>17.775700212463466</v>
      </c>
      <c r="L360" s="114"/>
      <c r="M360" s="114"/>
      <c r="N360" s="114"/>
      <c r="O360" s="114"/>
      <c r="P360" s="114"/>
      <c r="Q360" s="114"/>
      <c r="R360" s="114"/>
      <c r="S360" s="114"/>
      <c r="T360" s="114"/>
      <c r="U360" s="114"/>
      <c r="V360" s="114"/>
      <c r="W360" s="114"/>
      <c r="X360" s="114"/>
      <c r="Y360" s="126"/>
    </row>
    <row r="361" spans="1:25" ht="12.75" customHeight="1">
      <c r="A361" s="145" t="s">
        <v>193</v>
      </c>
      <c r="B361" s="145"/>
      <c r="C361" s="159">
        <v>13.846085882471066</v>
      </c>
      <c r="D361" s="114">
        <v>13.860395519758582</v>
      </c>
      <c r="E361" s="159">
        <v>10.238580545753544</v>
      </c>
      <c r="F361" s="159">
        <v>14.96013667425968</v>
      </c>
      <c r="G361" s="114">
        <v>16.010836317074904</v>
      </c>
      <c r="H361" s="114">
        <v>14.880261887515356</v>
      </c>
      <c r="I361" s="114">
        <v>18.6294</v>
      </c>
      <c r="J361" s="114">
        <v>15.2782</v>
      </c>
      <c r="K361" s="114">
        <v>16.24564935464095</v>
      </c>
      <c r="L361" s="114"/>
      <c r="M361" s="114"/>
      <c r="N361" s="114"/>
      <c r="O361" s="114"/>
      <c r="P361" s="114"/>
      <c r="Q361" s="114"/>
      <c r="R361" s="114"/>
      <c r="S361" s="114"/>
      <c r="T361" s="114"/>
      <c r="U361" s="114"/>
      <c r="V361" s="114"/>
      <c r="W361" s="114"/>
      <c r="X361" s="114"/>
      <c r="Y361" s="126"/>
    </row>
    <row r="362" spans="1:25">
      <c r="A362" s="126" t="s">
        <v>194</v>
      </c>
      <c r="B362" s="126"/>
      <c r="C362" s="160">
        <v>13.726830482826779</v>
      </c>
      <c r="D362" s="126">
        <v>15.691877217824365</v>
      </c>
      <c r="E362" s="160">
        <v>12.612934927393088</v>
      </c>
      <c r="F362" s="160">
        <v>19.414768420632704</v>
      </c>
      <c r="G362" s="126">
        <v>17.918179491690793</v>
      </c>
      <c r="H362" s="126">
        <v>17.62219864314515</v>
      </c>
      <c r="I362" s="126">
        <v>14.207500000000001</v>
      </c>
      <c r="J362" s="126">
        <v>17.433799999999998</v>
      </c>
      <c r="K362" s="126">
        <v>14.426454636465577</v>
      </c>
      <c r="L362" s="126"/>
      <c r="M362" s="126"/>
      <c r="N362" s="126"/>
      <c r="O362" s="126"/>
      <c r="P362" s="126"/>
      <c r="Q362" s="126"/>
      <c r="R362" s="126"/>
      <c r="S362" s="126"/>
      <c r="T362" s="126"/>
      <c r="U362" s="126"/>
      <c r="V362" s="126"/>
      <c r="W362" s="126"/>
      <c r="X362" s="126"/>
      <c r="Y362" s="126"/>
    </row>
    <row r="363" spans="1:25">
      <c r="A363" s="16" t="s">
        <v>195</v>
      </c>
      <c r="B363" s="114"/>
      <c r="C363" s="160">
        <v>13.656629836003479</v>
      </c>
      <c r="D363" s="114">
        <v>14.59647093107872</v>
      </c>
      <c r="E363" s="160">
        <v>12.023922533852923</v>
      </c>
      <c r="F363" s="160">
        <v>9.9289968164060536</v>
      </c>
      <c r="G363" s="114">
        <v>12.668239968184047</v>
      </c>
      <c r="H363" s="114">
        <v>16.996768773376271</v>
      </c>
      <c r="I363" s="114">
        <v>14.297000000000001</v>
      </c>
      <c r="J363" s="114">
        <v>10.2773</v>
      </c>
      <c r="K363" s="114">
        <v>13.475618015263921</v>
      </c>
      <c r="L363" s="114"/>
      <c r="M363" s="114"/>
      <c r="N363" s="114"/>
      <c r="O363" s="114"/>
      <c r="P363" s="114"/>
      <c r="Q363" s="114"/>
      <c r="R363" s="114"/>
      <c r="S363" s="114"/>
      <c r="T363" s="115"/>
      <c r="U363" s="116"/>
      <c r="V363" s="126"/>
      <c r="W363" s="126"/>
      <c r="X363" s="126"/>
      <c r="Y363" s="126"/>
    </row>
    <row r="364" spans="1:25">
      <c r="A364" s="16" t="s">
        <v>299</v>
      </c>
      <c r="B364" s="114"/>
      <c r="C364" s="161">
        <v>32.03475929844025</v>
      </c>
      <c r="D364" s="114">
        <v>31.499847627946092</v>
      </c>
      <c r="E364" s="161">
        <v>27.20005597044814</v>
      </c>
      <c r="F364" s="161">
        <v>32.325555898452087</v>
      </c>
      <c r="G364" s="114">
        <v>34.179379147621177</v>
      </c>
      <c r="H364" s="114">
        <v>33.633061645679433</v>
      </c>
      <c r="I364" s="114">
        <v>29.748400000000004</v>
      </c>
      <c r="J364" s="114">
        <v>27.1175</v>
      </c>
      <c r="K364" s="114">
        <v>30.996393008873675</v>
      </c>
      <c r="L364" s="114"/>
      <c r="M364" s="114"/>
      <c r="N364" s="114"/>
      <c r="O364" s="114"/>
      <c r="P364" s="114"/>
      <c r="Q364" s="114"/>
      <c r="R364" s="114"/>
      <c r="S364" s="114"/>
      <c r="T364" s="115"/>
      <c r="U364" s="116"/>
      <c r="V364" s="126"/>
      <c r="W364" s="126"/>
      <c r="X364" s="126"/>
      <c r="Y364" s="126"/>
    </row>
    <row r="365" spans="1:25">
      <c r="A365" s="16"/>
      <c r="B365" s="126"/>
      <c r="C365" s="161"/>
      <c r="D365" s="126"/>
      <c r="E365" s="161"/>
      <c r="F365" s="161"/>
      <c r="G365" s="126"/>
      <c r="H365" s="126"/>
      <c r="I365" s="126"/>
      <c r="J365" s="126"/>
      <c r="K365" s="126"/>
      <c r="L365" s="126"/>
      <c r="M365" s="126"/>
      <c r="N365" s="126"/>
      <c r="O365" s="126"/>
      <c r="P365" s="126"/>
      <c r="Q365" s="126"/>
      <c r="R365" s="126"/>
      <c r="S365" s="126"/>
      <c r="T365" s="126"/>
      <c r="U365" s="126"/>
      <c r="V365" s="126"/>
      <c r="W365" s="126"/>
      <c r="X365" s="126"/>
      <c r="Y365" s="126"/>
    </row>
    <row r="366" spans="1:25">
      <c r="A366" s="16"/>
      <c r="B366" s="126"/>
      <c r="C366" s="161"/>
      <c r="D366" s="126"/>
      <c r="E366" s="161"/>
      <c r="F366" s="161"/>
      <c r="G366" s="126"/>
      <c r="H366" s="126"/>
      <c r="I366" s="126"/>
      <c r="J366" s="126"/>
      <c r="K366" s="126"/>
      <c r="L366" s="126"/>
      <c r="M366" s="126"/>
      <c r="N366" s="126"/>
      <c r="O366" s="126"/>
      <c r="P366" s="126"/>
      <c r="Q366" s="126"/>
      <c r="R366" s="126"/>
      <c r="S366" s="126"/>
      <c r="T366" s="126"/>
      <c r="U366" s="126"/>
      <c r="V366" s="126"/>
      <c r="W366" s="126"/>
      <c r="X366" s="126"/>
      <c r="Y366" s="126"/>
    </row>
    <row r="367" spans="1:25">
      <c r="A367" s="16"/>
      <c r="B367" s="126"/>
      <c r="C367" s="160"/>
      <c r="D367" s="126"/>
      <c r="E367" s="160"/>
      <c r="F367" s="160"/>
      <c r="G367" s="126"/>
      <c r="H367" s="126"/>
      <c r="I367" s="126"/>
      <c r="J367" s="126"/>
      <c r="K367" s="126"/>
      <c r="L367" s="126"/>
      <c r="M367" s="126"/>
      <c r="N367" s="126"/>
      <c r="O367" s="126"/>
      <c r="P367" s="126"/>
      <c r="Q367" s="126"/>
      <c r="R367" s="126"/>
      <c r="S367" s="126"/>
      <c r="T367" s="126"/>
      <c r="U367" s="126"/>
      <c r="V367" s="126"/>
      <c r="W367" s="126"/>
      <c r="X367" s="126"/>
      <c r="Y367" s="126"/>
    </row>
    <row r="368" spans="1:25">
      <c r="A368" s="16"/>
      <c r="B368" s="126"/>
      <c r="C368" s="161"/>
      <c r="D368" s="126"/>
      <c r="E368" s="161"/>
      <c r="F368" s="161"/>
      <c r="G368" s="126"/>
      <c r="H368" s="126"/>
      <c r="I368" s="126"/>
      <c r="J368" s="126"/>
      <c r="K368" s="126"/>
      <c r="L368" s="126"/>
      <c r="M368" s="126"/>
      <c r="N368" s="126"/>
      <c r="O368" s="126"/>
      <c r="P368" s="126"/>
      <c r="Q368" s="126"/>
      <c r="R368" s="126"/>
      <c r="S368" s="126"/>
      <c r="T368" s="126"/>
      <c r="U368" s="126"/>
      <c r="V368" s="126"/>
      <c r="W368" s="126"/>
      <c r="X368" s="126"/>
      <c r="Y368" s="126"/>
    </row>
    <row r="369" spans="1:25">
      <c r="A369" s="16"/>
      <c r="B369" s="126"/>
      <c r="C369" s="161"/>
      <c r="D369" s="126"/>
      <c r="E369" s="161"/>
      <c r="F369" s="161"/>
      <c r="G369" s="126"/>
      <c r="H369" s="126"/>
      <c r="I369" s="126"/>
      <c r="J369" s="126"/>
      <c r="K369" s="126"/>
      <c r="L369" s="126"/>
      <c r="M369" s="126"/>
      <c r="N369" s="126"/>
      <c r="O369" s="126"/>
      <c r="P369" s="126"/>
      <c r="Q369" s="126"/>
      <c r="R369" s="126"/>
      <c r="S369" s="126"/>
      <c r="T369" s="126"/>
      <c r="U369" s="126"/>
      <c r="V369" s="126"/>
      <c r="W369" s="126"/>
      <c r="X369" s="126"/>
      <c r="Y369" s="126"/>
    </row>
    <row r="370" spans="1:25" ht="14.4">
      <c r="A370" s="106"/>
      <c r="B370" s="126"/>
      <c r="C370" s="160"/>
      <c r="D370" s="126"/>
      <c r="E370" s="160"/>
      <c r="F370" s="160"/>
      <c r="G370" s="126"/>
      <c r="H370" s="126"/>
      <c r="I370" s="126"/>
      <c r="J370" s="126"/>
      <c r="K370" s="126"/>
      <c r="L370" s="126"/>
      <c r="M370" s="126"/>
      <c r="N370" s="126"/>
      <c r="O370" s="126"/>
      <c r="P370" s="126"/>
      <c r="Q370" s="126"/>
      <c r="R370" s="126"/>
      <c r="S370" s="126"/>
      <c r="T370" s="126"/>
      <c r="U370" s="126"/>
      <c r="V370" s="126"/>
      <c r="W370" s="126"/>
      <c r="X370" s="126"/>
      <c r="Y370" s="126"/>
    </row>
    <row r="371" spans="1:25" ht="14.4">
      <c r="A371" s="106"/>
      <c r="B371" s="126"/>
      <c r="C371" s="160"/>
      <c r="D371" s="126"/>
      <c r="E371" s="160"/>
      <c r="F371" s="160"/>
      <c r="G371" s="126"/>
      <c r="H371" s="126"/>
      <c r="I371" s="126"/>
      <c r="J371" s="126"/>
      <c r="K371" s="126"/>
      <c r="L371" s="126"/>
      <c r="M371" s="126"/>
      <c r="N371" s="126"/>
      <c r="O371" s="126"/>
      <c r="P371" s="126"/>
      <c r="Q371" s="126"/>
      <c r="R371" s="126"/>
      <c r="S371" s="126"/>
      <c r="T371" s="126"/>
      <c r="U371" s="126"/>
      <c r="V371" s="126"/>
      <c r="W371" s="126"/>
      <c r="X371" s="126"/>
      <c r="Y371" s="126"/>
    </row>
    <row r="372" spans="1:25" ht="14.4">
      <c r="A372" s="106"/>
      <c r="B372" s="126"/>
      <c r="C372" s="160"/>
      <c r="D372" s="126"/>
      <c r="E372" s="160"/>
      <c r="F372" s="160"/>
      <c r="G372" s="126"/>
      <c r="H372" s="126"/>
      <c r="I372" s="126"/>
      <c r="J372" s="126"/>
      <c r="K372" s="126"/>
      <c r="L372" s="126"/>
      <c r="M372" s="126"/>
      <c r="N372" s="126"/>
      <c r="O372" s="126"/>
      <c r="P372" s="126"/>
      <c r="Q372" s="126"/>
      <c r="R372" s="126"/>
      <c r="S372" s="126"/>
      <c r="T372" s="126"/>
      <c r="U372" s="126"/>
      <c r="V372" s="126"/>
      <c r="W372" s="126"/>
      <c r="X372" s="126"/>
      <c r="Y372" s="126"/>
    </row>
    <row r="373" spans="1:25" ht="14.4">
      <c r="A373" s="106"/>
      <c r="B373" s="126"/>
      <c r="C373" s="160"/>
      <c r="D373" s="126"/>
      <c r="E373" s="160"/>
      <c r="F373" s="160"/>
      <c r="G373" s="126"/>
      <c r="H373" s="126"/>
      <c r="I373" s="126"/>
      <c r="J373" s="126"/>
      <c r="K373" s="126"/>
      <c r="L373" s="126"/>
      <c r="M373" s="126"/>
      <c r="N373" s="126"/>
      <c r="O373" s="126"/>
      <c r="P373" s="126"/>
      <c r="Q373" s="126"/>
      <c r="R373" s="126"/>
      <c r="S373" s="126"/>
      <c r="T373" s="126"/>
      <c r="U373" s="126"/>
      <c r="V373" s="126"/>
      <c r="W373" s="126"/>
      <c r="X373" s="126"/>
      <c r="Y373" s="126"/>
    </row>
    <row r="374" spans="1:25" ht="14.4">
      <c r="A374" s="106"/>
      <c r="B374" s="126"/>
      <c r="C374" s="160"/>
      <c r="D374" s="126"/>
      <c r="E374" s="160"/>
      <c r="F374" s="160"/>
      <c r="G374" s="126"/>
      <c r="H374" s="126"/>
      <c r="I374" s="126"/>
      <c r="J374" s="126"/>
      <c r="K374" s="126"/>
      <c r="L374" s="126"/>
      <c r="M374" s="126"/>
      <c r="N374" s="126"/>
      <c r="O374" s="126"/>
      <c r="P374" s="126"/>
      <c r="Q374" s="126"/>
      <c r="R374" s="126"/>
      <c r="S374" s="126"/>
      <c r="T374" s="126"/>
      <c r="U374" s="126"/>
      <c r="V374" s="126"/>
      <c r="W374" s="126"/>
      <c r="X374" s="126"/>
      <c r="Y374" s="126"/>
    </row>
    <row r="375" spans="1:25" ht="14.4">
      <c r="A375" s="106"/>
      <c r="B375" s="126"/>
      <c r="C375" s="160"/>
      <c r="D375" s="126"/>
      <c r="E375" s="160"/>
      <c r="F375" s="160"/>
      <c r="G375" s="126"/>
      <c r="H375" s="126"/>
      <c r="I375" s="126"/>
      <c r="J375" s="126"/>
      <c r="K375" s="126"/>
      <c r="L375" s="126"/>
      <c r="M375" s="126"/>
      <c r="N375" s="126"/>
      <c r="O375" s="126"/>
      <c r="P375" s="126"/>
      <c r="Q375" s="126"/>
      <c r="R375" s="126"/>
      <c r="S375" s="126"/>
      <c r="T375" s="126"/>
      <c r="U375" s="126"/>
      <c r="V375" s="126"/>
      <c r="W375" s="126"/>
      <c r="X375" s="126"/>
      <c r="Y375" s="126"/>
    </row>
    <row r="376" spans="1:25" ht="14.4">
      <c r="A376" s="106"/>
      <c r="B376" s="126"/>
      <c r="C376" s="160"/>
      <c r="D376" s="126"/>
      <c r="E376" s="160"/>
      <c r="F376" s="160"/>
      <c r="G376" s="126"/>
      <c r="H376" s="126"/>
      <c r="I376" s="126"/>
      <c r="J376" s="126"/>
      <c r="K376" s="126"/>
      <c r="L376" s="126"/>
      <c r="M376" s="126"/>
      <c r="N376" s="126"/>
      <c r="O376" s="126"/>
      <c r="P376" s="126"/>
      <c r="Q376" s="126"/>
      <c r="R376" s="126"/>
      <c r="S376" s="126"/>
      <c r="T376" s="126"/>
      <c r="U376" s="126"/>
      <c r="V376" s="126"/>
      <c r="W376" s="126"/>
      <c r="X376" s="126"/>
      <c r="Y376" s="126"/>
    </row>
    <row r="377" spans="1:25" ht="14.4">
      <c r="A377" s="106"/>
      <c r="B377" s="126"/>
      <c r="C377" s="160"/>
      <c r="D377" s="126"/>
      <c r="E377" s="160"/>
      <c r="F377" s="160"/>
      <c r="G377" s="126"/>
      <c r="H377" s="126"/>
      <c r="I377" s="126"/>
      <c r="J377" s="126"/>
      <c r="K377" s="126"/>
      <c r="L377" s="126"/>
      <c r="M377" s="126"/>
      <c r="N377" s="126"/>
      <c r="O377" s="126"/>
      <c r="P377" s="126"/>
      <c r="Q377" s="126"/>
      <c r="R377" s="126"/>
      <c r="S377" s="126"/>
      <c r="T377" s="126"/>
      <c r="U377" s="126"/>
      <c r="V377" s="126"/>
      <c r="W377" s="126"/>
      <c r="X377" s="126"/>
      <c r="Y377" s="126"/>
    </row>
    <row r="378" spans="1:25" ht="14.4">
      <c r="A378" s="117"/>
      <c r="B378" s="126"/>
      <c r="C378" s="160"/>
      <c r="D378" s="126"/>
      <c r="E378" s="160"/>
      <c r="F378" s="160"/>
      <c r="G378" s="126"/>
      <c r="H378" s="126"/>
      <c r="I378" s="126"/>
      <c r="J378" s="126"/>
      <c r="K378" s="126"/>
      <c r="L378" s="126"/>
      <c r="M378" s="126"/>
      <c r="N378" s="126"/>
      <c r="O378" s="126"/>
      <c r="P378" s="126"/>
      <c r="Q378" s="126"/>
      <c r="R378" s="126"/>
      <c r="S378" s="126"/>
      <c r="T378" s="126"/>
      <c r="U378" s="126"/>
      <c r="V378" s="126"/>
      <c r="W378" s="126"/>
      <c r="X378" s="126"/>
      <c r="Y378" s="126"/>
    </row>
    <row r="379" spans="1:25" ht="14.4">
      <c r="A379" s="106"/>
      <c r="B379" s="126"/>
      <c r="C379" s="160"/>
      <c r="D379" s="126"/>
      <c r="E379" s="160"/>
      <c r="F379" s="160"/>
      <c r="G379" s="126"/>
      <c r="H379" s="126"/>
      <c r="I379" s="126"/>
      <c r="J379" s="126"/>
      <c r="K379" s="126"/>
      <c r="L379" s="126"/>
      <c r="M379" s="126"/>
      <c r="N379" s="126"/>
      <c r="O379" s="126"/>
      <c r="P379" s="126"/>
      <c r="Q379" s="126"/>
      <c r="R379" s="126"/>
      <c r="S379" s="126"/>
      <c r="T379" s="126"/>
      <c r="U379" s="126"/>
      <c r="V379" s="126"/>
      <c r="W379" s="126"/>
      <c r="X379" s="126"/>
      <c r="Y379" s="126"/>
    </row>
    <row r="380" spans="1:25" ht="14.4">
      <c r="A380" s="106"/>
      <c r="B380" s="126"/>
      <c r="C380" s="160"/>
      <c r="D380" s="126"/>
      <c r="E380" s="160"/>
      <c r="F380" s="160"/>
      <c r="G380" s="126"/>
      <c r="H380" s="126"/>
      <c r="I380" s="126"/>
      <c r="J380" s="126"/>
      <c r="K380" s="126"/>
      <c r="L380" s="126"/>
      <c r="M380" s="126"/>
      <c r="N380" s="126"/>
      <c r="O380" s="126"/>
      <c r="P380" s="126"/>
      <c r="Q380" s="126"/>
      <c r="R380" s="126"/>
      <c r="S380" s="126"/>
      <c r="T380" s="126"/>
      <c r="U380" s="126"/>
      <c r="V380" s="126"/>
      <c r="W380" s="126"/>
      <c r="X380" s="126"/>
      <c r="Y380" s="126"/>
    </row>
    <row r="381" spans="1:25" ht="14.4">
      <c r="A381" s="106"/>
      <c r="B381" s="126"/>
      <c r="C381" s="160"/>
      <c r="D381" s="126"/>
      <c r="E381" s="160"/>
      <c r="F381" s="160"/>
      <c r="G381" s="126"/>
      <c r="H381" s="126"/>
      <c r="I381" s="126"/>
      <c r="J381" s="126"/>
      <c r="K381" s="126"/>
      <c r="L381" s="126"/>
      <c r="M381" s="126"/>
      <c r="N381" s="126"/>
      <c r="O381" s="126"/>
      <c r="P381" s="126"/>
      <c r="Q381" s="126"/>
      <c r="R381" s="126"/>
      <c r="S381" s="126"/>
      <c r="T381" s="126"/>
      <c r="U381" s="126"/>
      <c r="V381" s="126"/>
      <c r="W381" s="126"/>
      <c r="X381" s="126"/>
      <c r="Y381" s="126"/>
    </row>
    <row r="382" spans="1:25" ht="14.4">
      <c r="A382" s="106"/>
      <c r="B382" s="126"/>
      <c r="C382" s="160"/>
      <c r="D382" s="126"/>
      <c r="E382" s="160"/>
      <c r="F382" s="160"/>
      <c r="G382" s="126"/>
      <c r="H382" s="126"/>
      <c r="I382" s="126"/>
      <c r="J382" s="126"/>
      <c r="K382" s="126"/>
      <c r="L382" s="126"/>
      <c r="M382" s="126"/>
      <c r="N382" s="126"/>
      <c r="O382" s="126"/>
      <c r="P382" s="126"/>
      <c r="Q382" s="126"/>
      <c r="R382" s="126"/>
      <c r="S382" s="126"/>
      <c r="T382" s="126"/>
      <c r="U382" s="126"/>
      <c r="V382" s="126"/>
      <c r="W382" s="126"/>
      <c r="X382" s="126"/>
      <c r="Y382" s="126"/>
    </row>
    <row r="383" spans="1:25" ht="14.4">
      <c r="A383" s="106"/>
      <c r="B383" s="126"/>
      <c r="C383" s="160"/>
      <c r="D383" s="126"/>
      <c r="E383" s="160"/>
      <c r="F383" s="160"/>
      <c r="G383" s="126"/>
      <c r="H383" s="126"/>
      <c r="I383" s="126"/>
      <c r="J383" s="126"/>
      <c r="K383" s="126"/>
      <c r="L383" s="126"/>
      <c r="M383" s="126"/>
      <c r="N383" s="126"/>
      <c r="O383" s="126"/>
      <c r="P383" s="126"/>
      <c r="Q383" s="126"/>
      <c r="R383" s="126"/>
      <c r="S383" s="126"/>
      <c r="T383" s="126"/>
      <c r="U383" s="126"/>
      <c r="V383" s="126"/>
      <c r="W383" s="126"/>
      <c r="X383" s="126"/>
      <c r="Y383" s="126"/>
    </row>
    <row r="384" spans="1:25" ht="14.4">
      <c r="A384" s="106"/>
      <c r="B384" s="126"/>
      <c r="C384" s="160"/>
      <c r="D384" s="126"/>
      <c r="E384" s="160"/>
      <c r="F384" s="160"/>
      <c r="G384" s="126"/>
      <c r="H384" s="126"/>
      <c r="I384" s="126"/>
      <c r="J384" s="126"/>
      <c r="K384" s="126"/>
      <c r="L384" s="126"/>
      <c r="M384" s="126"/>
      <c r="N384" s="126"/>
      <c r="O384" s="126"/>
      <c r="P384" s="126"/>
      <c r="Q384" s="126"/>
      <c r="R384" s="126"/>
      <c r="S384" s="126"/>
      <c r="T384" s="126"/>
      <c r="U384" s="126"/>
      <c r="V384" s="126"/>
      <c r="W384" s="126"/>
      <c r="X384" s="126"/>
      <c r="Y384" s="126"/>
    </row>
    <row r="385" spans="1:25" ht="14.4">
      <c r="A385" s="106"/>
      <c r="B385" s="126"/>
      <c r="C385" s="160"/>
      <c r="D385" s="126"/>
      <c r="E385" s="160"/>
      <c r="F385" s="160"/>
      <c r="G385" s="126"/>
      <c r="H385" s="126"/>
      <c r="I385" s="126"/>
      <c r="J385" s="126"/>
      <c r="K385" s="126"/>
      <c r="L385" s="126"/>
      <c r="M385" s="126"/>
      <c r="N385" s="126"/>
      <c r="O385" s="126"/>
      <c r="P385" s="126"/>
      <c r="Q385" s="126"/>
      <c r="R385" s="126"/>
      <c r="S385" s="126"/>
      <c r="T385" s="126"/>
      <c r="U385" s="126"/>
      <c r="V385" s="126"/>
      <c r="W385" s="126"/>
      <c r="X385" s="126"/>
      <c r="Y385" s="126"/>
    </row>
    <row r="386" spans="1:25" ht="14.4">
      <c r="A386" s="106"/>
      <c r="B386" s="126"/>
      <c r="C386" s="160"/>
      <c r="D386" s="126"/>
      <c r="E386" s="160"/>
      <c r="F386" s="160"/>
      <c r="G386" s="126"/>
      <c r="H386" s="126"/>
      <c r="I386" s="126"/>
      <c r="J386" s="126"/>
      <c r="K386" s="126"/>
      <c r="L386" s="126"/>
      <c r="M386" s="126"/>
      <c r="N386" s="126"/>
      <c r="O386" s="126"/>
      <c r="P386" s="126"/>
      <c r="Q386" s="126"/>
      <c r="R386" s="126"/>
      <c r="S386" s="126"/>
      <c r="T386" s="126"/>
      <c r="U386" s="126"/>
      <c r="V386" s="126"/>
      <c r="W386" s="126"/>
      <c r="X386" s="126"/>
      <c r="Y386" s="126"/>
    </row>
    <row r="387" spans="1:25" ht="14.4">
      <c r="A387" s="106"/>
      <c r="B387" s="126"/>
      <c r="C387" s="160"/>
      <c r="D387" s="126"/>
      <c r="E387" s="160"/>
      <c r="F387" s="160"/>
      <c r="G387" s="126"/>
      <c r="H387" s="126"/>
      <c r="I387" s="126"/>
      <c r="J387" s="126"/>
      <c r="K387" s="126"/>
      <c r="L387" s="126"/>
      <c r="M387" s="126"/>
      <c r="N387" s="126"/>
      <c r="O387" s="126"/>
      <c r="P387" s="126"/>
      <c r="Q387" s="126"/>
      <c r="R387" s="126"/>
      <c r="S387" s="126"/>
      <c r="T387" s="126"/>
      <c r="U387" s="126"/>
      <c r="V387" s="126"/>
      <c r="W387" s="126"/>
      <c r="X387" s="126"/>
      <c r="Y387" s="126"/>
    </row>
    <row r="388" spans="1:25" ht="14.4">
      <c r="A388" s="106"/>
      <c r="B388" s="126"/>
      <c r="C388" s="160"/>
      <c r="D388" s="126"/>
      <c r="E388" s="160"/>
      <c r="F388" s="160"/>
      <c r="G388" s="126"/>
      <c r="H388" s="126"/>
      <c r="I388" s="126"/>
      <c r="J388" s="126"/>
      <c r="K388" s="126"/>
      <c r="L388" s="126"/>
      <c r="M388" s="126"/>
      <c r="N388" s="126"/>
      <c r="O388" s="126"/>
      <c r="P388" s="126"/>
      <c r="Q388" s="126"/>
      <c r="R388" s="126"/>
      <c r="S388" s="126"/>
      <c r="T388" s="126"/>
      <c r="U388" s="126"/>
      <c r="V388" s="126"/>
      <c r="W388" s="126"/>
      <c r="X388" s="126"/>
      <c r="Y388" s="126"/>
    </row>
    <row r="389" spans="1:25" ht="14.4">
      <c r="A389" s="106"/>
      <c r="B389" s="126"/>
      <c r="C389" s="160"/>
      <c r="D389" s="126"/>
      <c r="E389" s="160"/>
      <c r="F389" s="160"/>
      <c r="G389" s="126"/>
      <c r="H389" s="126"/>
      <c r="I389" s="126"/>
      <c r="J389" s="126"/>
      <c r="K389" s="126"/>
      <c r="L389" s="126"/>
      <c r="M389" s="126"/>
      <c r="N389" s="126"/>
      <c r="O389" s="126"/>
      <c r="P389" s="126"/>
      <c r="Q389" s="126"/>
      <c r="R389" s="126"/>
      <c r="S389" s="126"/>
      <c r="T389" s="126"/>
      <c r="U389" s="126"/>
      <c r="V389" s="126"/>
      <c r="W389" s="126"/>
      <c r="X389" s="126"/>
      <c r="Y389" s="126"/>
    </row>
    <row r="390" spans="1:25">
      <c r="A390" s="126"/>
      <c r="B390" s="126"/>
      <c r="C390" s="160"/>
      <c r="D390" s="126"/>
      <c r="E390" s="160"/>
      <c r="F390" s="160"/>
      <c r="G390" s="126"/>
      <c r="H390" s="126"/>
      <c r="I390" s="126"/>
      <c r="J390" s="126"/>
      <c r="K390" s="126"/>
      <c r="L390" s="126"/>
      <c r="M390" s="126"/>
      <c r="N390" s="126"/>
      <c r="O390" s="126"/>
      <c r="P390" s="126"/>
      <c r="Q390" s="126"/>
      <c r="R390" s="126"/>
      <c r="S390" s="126"/>
      <c r="T390" s="126"/>
      <c r="U390" s="126"/>
      <c r="V390" s="126"/>
      <c r="W390" s="126"/>
      <c r="X390" s="126"/>
      <c r="Y390" s="126"/>
    </row>
    <row r="391" spans="1:25">
      <c r="A391" s="126"/>
      <c r="B391" s="126"/>
      <c r="C391" s="160"/>
      <c r="D391" s="126"/>
      <c r="E391" s="160"/>
      <c r="F391" s="160"/>
      <c r="G391" s="126"/>
      <c r="H391" s="126"/>
      <c r="I391" s="126"/>
      <c r="J391" s="126"/>
      <c r="K391" s="126"/>
      <c r="L391" s="126"/>
      <c r="M391" s="126"/>
      <c r="N391" s="126"/>
      <c r="O391" s="126"/>
      <c r="P391" s="126"/>
      <c r="Q391" s="126"/>
      <c r="R391" s="126"/>
      <c r="S391" s="126"/>
      <c r="T391" s="126"/>
      <c r="U391" s="126"/>
      <c r="V391" s="126"/>
      <c r="W391" s="126"/>
      <c r="X391" s="126"/>
      <c r="Y391" s="126"/>
    </row>
    <row r="392" spans="1:25">
      <c r="A392" s="126"/>
      <c r="B392" s="126"/>
      <c r="C392" s="160"/>
      <c r="D392" s="126"/>
      <c r="E392" s="160"/>
      <c r="F392" s="160"/>
      <c r="G392" s="126"/>
      <c r="H392" s="126"/>
      <c r="I392" s="126"/>
      <c r="J392" s="126"/>
      <c r="K392" s="126"/>
      <c r="L392" s="126"/>
      <c r="M392" s="126"/>
      <c r="N392" s="126"/>
      <c r="O392" s="126"/>
      <c r="P392" s="126"/>
      <c r="Q392" s="126"/>
      <c r="R392" s="126"/>
      <c r="S392" s="126"/>
      <c r="T392" s="126"/>
      <c r="U392" s="126"/>
      <c r="V392" s="126"/>
      <c r="W392" s="126"/>
      <c r="X392" s="126"/>
      <c r="Y392" s="126"/>
    </row>
    <row r="393" spans="1:25">
      <c r="A393" s="126"/>
      <c r="B393" s="126"/>
      <c r="C393" s="160"/>
      <c r="D393" s="126"/>
      <c r="E393" s="160"/>
      <c r="F393" s="160"/>
      <c r="G393" s="126"/>
      <c r="H393" s="126"/>
      <c r="I393" s="126"/>
      <c r="J393" s="126"/>
      <c r="K393" s="126"/>
      <c r="L393" s="126"/>
      <c r="M393" s="126"/>
      <c r="N393" s="126"/>
      <c r="O393" s="126"/>
      <c r="P393" s="126"/>
      <c r="Q393" s="126"/>
      <c r="R393" s="126"/>
      <c r="S393" s="126"/>
      <c r="T393" s="126"/>
      <c r="U393" s="126"/>
      <c r="V393" s="126"/>
      <c r="W393" s="126"/>
      <c r="X393" s="126"/>
      <c r="Y393" s="126"/>
    </row>
    <row r="394" spans="1:25">
      <c r="A394" s="126"/>
      <c r="B394" s="126"/>
      <c r="C394" s="160"/>
      <c r="D394" s="126"/>
      <c r="E394" s="160"/>
      <c r="F394" s="160"/>
      <c r="G394" s="126"/>
      <c r="H394" s="126"/>
      <c r="I394" s="126"/>
      <c r="J394" s="126"/>
      <c r="K394" s="126"/>
      <c r="L394" s="126"/>
      <c r="M394" s="126"/>
      <c r="N394" s="126"/>
      <c r="O394" s="126"/>
      <c r="P394" s="126"/>
      <c r="Q394" s="126"/>
      <c r="R394" s="126"/>
      <c r="S394" s="126"/>
      <c r="T394" s="126"/>
      <c r="U394" s="126"/>
      <c r="V394" s="126"/>
      <c r="W394" s="126"/>
      <c r="X394" s="126"/>
      <c r="Y394" s="126"/>
    </row>
    <row r="395" spans="1:25">
      <c r="A395" s="126"/>
      <c r="B395" s="126"/>
      <c r="C395" s="160"/>
      <c r="D395" s="126"/>
      <c r="E395" s="160"/>
      <c r="F395" s="160"/>
      <c r="G395" s="126"/>
      <c r="H395" s="126"/>
      <c r="I395" s="126"/>
      <c r="J395" s="126"/>
      <c r="K395" s="126"/>
      <c r="L395" s="126"/>
      <c r="M395" s="126"/>
      <c r="N395" s="126"/>
      <c r="O395" s="126"/>
      <c r="P395" s="126"/>
      <c r="Q395" s="126"/>
      <c r="R395" s="126"/>
      <c r="S395" s="126"/>
      <c r="T395" s="126"/>
      <c r="U395" s="126"/>
      <c r="V395" s="126"/>
      <c r="W395" s="126"/>
      <c r="X395" s="126"/>
      <c r="Y395" s="126"/>
    </row>
    <row r="396" spans="1:25">
      <c r="A396" s="126"/>
      <c r="B396" s="126"/>
      <c r="C396" s="160"/>
      <c r="D396" s="126"/>
      <c r="E396" s="160"/>
      <c r="F396" s="160"/>
      <c r="G396" s="126"/>
      <c r="H396" s="126"/>
      <c r="I396" s="126"/>
      <c r="J396" s="126"/>
      <c r="K396" s="126"/>
      <c r="L396" s="126"/>
      <c r="M396" s="126"/>
      <c r="N396" s="126"/>
      <c r="O396" s="126"/>
      <c r="P396" s="126"/>
      <c r="Q396" s="126"/>
      <c r="R396" s="126"/>
      <c r="S396" s="126"/>
      <c r="T396" s="126"/>
      <c r="U396" s="126"/>
      <c r="V396" s="126"/>
      <c r="W396" s="126"/>
      <c r="X396" s="126"/>
      <c r="Y396" s="126"/>
    </row>
    <row r="397" spans="1:25">
      <c r="A397" s="126"/>
      <c r="B397" s="126"/>
      <c r="C397" s="160"/>
      <c r="D397" s="126"/>
      <c r="E397" s="160"/>
      <c r="F397" s="160"/>
      <c r="G397" s="126"/>
      <c r="H397" s="126"/>
      <c r="I397" s="126"/>
      <c r="J397" s="126"/>
      <c r="K397" s="126"/>
      <c r="L397" s="126"/>
      <c r="M397" s="126"/>
      <c r="N397" s="126"/>
      <c r="O397" s="126"/>
      <c r="P397" s="126"/>
      <c r="Q397" s="126"/>
      <c r="R397" s="126"/>
      <c r="S397" s="126"/>
      <c r="T397" s="126"/>
      <c r="U397" s="126"/>
      <c r="V397" s="126"/>
      <c r="W397" s="126"/>
      <c r="X397" s="126"/>
      <c r="Y397" s="126"/>
    </row>
    <row r="398" spans="1:25">
      <c r="A398" s="126"/>
      <c r="B398" s="126"/>
      <c r="C398" s="160"/>
      <c r="D398" s="126"/>
      <c r="E398" s="160"/>
      <c r="F398" s="160"/>
      <c r="G398" s="126"/>
      <c r="H398" s="126"/>
      <c r="I398" s="126"/>
      <c r="J398" s="126"/>
      <c r="K398" s="126"/>
      <c r="L398" s="126"/>
      <c r="M398" s="126"/>
      <c r="N398" s="126"/>
      <c r="O398" s="126"/>
      <c r="P398" s="126"/>
      <c r="Q398" s="126"/>
      <c r="R398" s="126"/>
      <c r="S398" s="126"/>
      <c r="T398" s="126"/>
      <c r="U398" s="126"/>
      <c r="V398" s="126"/>
      <c r="W398" s="126"/>
      <c r="X398" s="126"/>
      <c r="Y398" s="126"/>
    </row>
    <row r="399" spans="1:25">
      <c r="A399" s="126"/>
      <c r="B399" s="126"/>
      <c r="C399" s="160"/>
      <c r="D399" s="126"/>
      <c r="E399" s="160"/>
      <c r="F399" s="160"/>
      <c r="G399" s="126"/>
      <c r="H399" s="126"/>
      <c r="I399" s="126"/>
      <c r="J399" s="126"/>
      <c r="K399" s="126"/>
      <c r="L399" s="126"/>
      <c r="M399" s="126"/>
      <c r="N399" s="126"/>
      <c r="O399" s="126"/>
      <c r="P399" s="126"/>
      <c r="Q399" s="126"/>
      <c r="R399" s="126"/>
      <c r="S399" s="126"/>
      <c r="T399" s="126"/>
      <c r="U399" s="126"/>
      <c r="V399" s="126"/>
      <c r="W399" s="126"/>
      <c r="X399" s="126"/>
      <c r="Y399" s="126"/>
    </row>
    <row r="400" spans="1:25">
      <c r="A400" s="126"/>
      <c r="B400" s="126"/>
      <c r="C400" s="160"/>
      <c r="D400" s="126"/>
      <c r="E400" s="160"/>
      <c r="F400" s="160"/>
      <c r="G400" s="126"/>
      <c r="H400" s="126"/>
      <c r="I400" s="126"/>
      <c r="J400" s="126"/>
      <c r="K400" s="126"/>
      <c r="L400" s="126"/>
      <c r="M400" s="126"/>
      <c r="N400" s="126"/>
      <c r="O400" s="126"/>
      <c r="P400" s="126"/>
      <c r="Q400" s="126"/>
      <c r="R400" s="126"/>
      <c r="S400" s="126"/>
      <c r="T400" s="126"/>
      <c r="U400" s="126"/>
      <c r="V400" s="126"/>
      <c r="W400" s="126"/>
      <c r="X400" s="126"/>
      <c r="Y400" s="126"/>
    </row>
    <row r="401" spans="1:25">
      <c r="A401" s="126"/>
      <c r="B401" s="126"/>
      <c r="C401" s="160"/>
      <c r="D401" s="126"/>
      <c r="E401" s="160"/>
      <c r="F401" s="160"/>
      <c r="G401" s="126"/>
      <c r="H401" s="126"/>
      <c r="I401" s="126"/>
      <c r="J401" s="126"/>
      <c r="K401" s="126"/>
      <c r="L401" s="126"/>
      <c r="M401" s="126"/>
      <c r="N401" s="126"/>
      <c r="O401" s="126"/>
      <c r="P401" s="126"/>
      <c r="Q401" s="126"/>
      <c r="R401" s="126"/>
      <c r="S401" s="126"/>
      <c r="T401" s="126"/>
      <c r="U401" s="126"/>
      <c r="V401" s="126"/>
      <c r="W401" s="126"/>
      <c r="X401" s="126"/>
      <c r="Y401" s="126"/>
    </row>
    <row r="402" spans="1:25">
      <c r="A402" s="126"/>
      <c r="B402" s="126"/>
      <c r="C402" s="160"/>
      <c r="D402" s="126"/>
      <c r="E402" s="160"/>
      <c r="F402" s="160"/>
      <c r="G402" s="126"/>
      <c r="H402" s="126"/>
      <c r="I402" s="126"/>
      <c r="J402" s="126"/>
      <c r="K402" s="126"/>
      <c r="L402" s="126"/>
      <c r="M402" s="126"/>
      <c r="N402" s="126"/>
      <c r="O402" s="126"/>
      <c r="P402" s="126"/>
      <c r="Q402" s="126"/>
      <c r="R402" s="126"/>
      <c r="S402" s="126"/>
      <c r="T402" s="126"/>
      <c r="U402" s="126"/>
      <c r="V402" s="126"/>
      <c r="W402" s="126"/>
      <c r="X402" s="126"/>
      <c r="Y402" s="126"/>
    </row>
    <row r="403" spans="1:25">
      <c r="A403" s="126"/>
      <c r="B403" s="126"/>
      <c r="C403" s="160"/>
      <c r="D403" s="126"/>
      <c r="E403" s="160"/>
      <c r="F403" s="160"/>
      <c r="G403" s="126"/>
      <c r="H403" s="126"/>
      <c r="I403" s="126"/>
      <c r="J403" s="126"/>
      <c r="K403" s="126"/>
      <c r="L403" s="126"/>
      <c r="M403" s="126"/>
      <c r="N403" s="126"/>
      <c r="O403" s="126"/>
      <c r="P403" s="126"/>
      <c r="Q403" s="126"/>
      <c r="R403" s="126"/>
      <c r="S403" s="126"/>
      <c r="T403" s="126"/>
      <c r="U403" s="126"/>
      <c r="V403" s="126"/>
      <c r="W403" s="126"/>
      <c r="X403" s="126"/>
      <c r="Y403" s="126"/>
    </row>
    <row r="404" spans="1:25">
      <c r="A404" s="126"/>
      <c r="B404" s="126"/>
      <c r="C404" s="160"/>
      <c r="D404" s="126"/>
      <c r="E404" s="160"/>
      <c r="F404" s="160"/>
      <c r="G404" s="126"/>
      <c r="H404" s="126"/>
      <c r="I404" s="126"/>
      <c r="J404" s="126"/>
      <c r="K404" s="126"/>
      <c r="L404" s="126"/>
      <c r="M404" s="126"/>
      <c r="N404" s="126"/>
      <c r="O404" s="126"/>
      <c r="P404" s="126"/>
      <c r="Q404" s="126"/>
      <c r="R404" s="126"/>
      <c r="S404" s="126"/>
      <c r="T404" s="126"/>
      <c r="U404" s="126"/>
      <c r="V404" s="126"/>
      <c r="W404" s="126"/>
      <c r="X404" s="126"/>
      <c r="Y404" s="126"/>
    </row>
    <row r="405" spans="1:25">
      <c r="A405" s="126"/>
      <c r="B405" s="126"/>
      <c r="C405" s="160"/>
      <c r="D405" s="126"/>
      <c r="E405" s="160"/>
      <c r="F405" s="160"/>
      <c r="G405" s="126"/>
      <c r="H405" s="126"/>
      <c r="I405" s="126"/>
      <c r="J405" s="126"/>
      <c r="K405" s="126"/>
      <c r="L405" s="126"/>
      <c r="M405" s="126"/>
      <c r="N405" s="126"/>
      <c r="O405" s="126"/>
      <c r="P405" s="126"/>
      <c r="Q405" s="126"/>
      <c r="R405" s="126"/>
      <c r="S405" s="126"/>
      <c r="T405" s="126"/>
      <c r="U405" s="126"/>
      <c r="V405" s="126"/>
      <c r="W405" s="126"/>
      <c r="X405" s="126"/>
      <c r="Y405" s="126"/>
    </row>
    <row r="406" spans="1:25">
      <c r="A406" s="126"/>
      <c r="B406" s="126"/>
      <c r="C406" s="160"/>
      <c r="D406" s="126"/>
      <c r="E406" s="160"/>
      <c r="F406" s="160"/>
      <c r="G406" s="126"/>
      <c r="H406" s="126"/>
      <c r="I406" s="126"/>
      <c r="J406" s="126"/>
      <c r="K406" s="126"/>
      <c r="L406" s="126"/>
      <c r="M406" s="126"/>
      <c r="N406" s="126"/>
      <c r="O406" s="126"/>
      <c r="P406" s="126"/>
      <c r="Q406" s="126"/>
      <c r="R406" s="126"/>
      <c r="S406" s="126"/>
      <c r="T406" s="126"/>
      <c r="U406" s="126"/>
      <c r="V406" s="126"/>
      <c r="W406" s="126"/>
      <c r="X406" s="126"/>
      <c r="Y406" s="126"/>
    </row>
    <row r="407" spans="1:25">
      <c r="A407" s="126"/>
      <c r="B407" s="126"/>
      <c r="C407" s="160"/>
      <c r="D407" s="126"/>
      <c r="E407" s="160"/>
      <c r="F407" s="160"/>
      <c r="G407" s="126"/>
      <c r="H407" s="126"/>
      <c r="I407" s="126"/>
      <c r="J407" s="126"/>
      <c r="K407" s="126"/>
      <c r="L407" s="126"/>
      <c r="M407" s="126"/>
      <c r="N407" s="126"/>
      <c r="O407" s="126"/>
      <c r="P407" s="126"/>
      <c r="Q407" s="126"/>
      <c r="R407" s="126"/>
      <c r="S407" s="126"/>
      <c r="T407" s="126"/>
      <c r="U407" s="126"/>
      <c r="V407" s="126"/>
      <c r="W407" s="126"/>
      <c r="X407" s="126"/>
      <c r="Y407" s="126"/>
    </row>
    <row r="408" spans="1:25">
      <c r="A408" s="126"/>
      <c r="B408" s="126"/>
      <c r="C408" s="160"/>
      <c r="D408" s="126"/>
      <c r="E408" s="160"/>
      <c r="F408" s="160"/>
      <c r="G408" s="126"/>
      <c r="H408" s="126"/>
      <c r="I408" s="126"/>
      <c r="J408" s="126"/>
      <c r="K408" s="126"/>
      <c r="L408" s="126"/>
      <c r="M408" s="126"/>
      <c r="N408" s="126"/>
      <c r="O408" s="126"/>
      <c r="P408" s="126"/>
      <c r="Q408" s="126"/>
      <c r="R408" s="126"/>
      <c r="S408" s="126"/>
      <c r="T408" s="126"/>
      <c r="U408" s="126"/>
      <c r="V408" s="126"/>
      <c r="W408" s="126"/>
      <c r="X408" s="126"/>
      <c r="Y408" s="126"/>
    </row>
    <row r="409" spans="1:25">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row>
    <row r="410" spans="1:25">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row>
    <row r="411" spans="1:25">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row>
    <row r="412" spans="1:25">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row>
    <row r="413" spans="1:25">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row>
    <row r="414" spans="1:25">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row>
    <row r="415" spans="1:25">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row>
    <row r="416" spans="1:25">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row>
    <row r="417" spans="1:25">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row>
    <row r="418" spans="1:25">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row>
    <row r="419" spans="1:25">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row>
    <row r="420" spans="1:25">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row>
    <row r="421" spans="1:25">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row>
    <row r="422" spans="1:25">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row>
    <row r="423" spans="1:25">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row>
    <row r="424" spans="1:25">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row>
    <row r="425" spans="1:25">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row>
    <row r="426" spans="1:25">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row>
    <row r="427" spans="1:25">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row>
    <row r="428" spans="1:25">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row>
    <row r="429" spans="1:25">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row>
    <row r="430" spans="1:25">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row>
    <row r="431" spans="1:25">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row>
    <row r="432" spans="1:25">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row>
    <row r="433" spans="1:25">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row>
    <row r="434" spans="1:25">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row>
    <row r="435" spans="1:25">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row>
    <row r="436" spans="1:25">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row>
    <row r="437" spans="1:25">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row>
    <row r="438" spans="1:25">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row>
    <row r="439" spans="1:25">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row>
    <row r="440" spans="1:25">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row>
    <row r="441" spans="1:25">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row>
    <row r="442" spans="1:25">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row>
    <row r="443" spans="1:25">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row>
    <row r="444" spans="1:25">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row>
    <row r="445" spans="1:25">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row>
    <row r="446" spans="1:25">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row>
    <row r="447" spans="1:25">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row>
    <row r="448" spans="1:25">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row>
    <row r="449" spans="1:25">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row>
    <row r="450" spans="1:25">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row>
    <row r="451" spans="1:25">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row>
    <row r="452" spans="1:25">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row>
    <row r="453" spans="1:25">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row>
    <row r="454" spans="1:25">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row>
    <row r="455" spans="1:25">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row>
    <row r="456" spans="1:25">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row>
    <row r="457" spans="1:25">
      <c r="C457" s="126"/>
      <c r="E457" s="126"/>
      <c r="F457" s="126"/>
    </row>
    <row r="458" spans="1:25">
      <c r="C458" s="126"/>
      <c r="E458" s="126"/>
      <c r="F458" s="126"/>
    </row>
    <row r="459" spans="1:25"/>
    <row r="460" spans="1:25"/>
    <row r="461" spans="1:25"/>
    <row r="462" spans="1:25"/>
    <row r="463" spans="1:25"/>
    <row r="464" spans="1:25"/>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sheetData>
  <mergeCells count="5">
    <mergeCell ref="A4:A6"/>
    <mergeCell ref="V3:W3"/>
    <mergeCell ref="V4:W4"/>
    <mergeCell ref="V5:W5"/>
    <mergeCell ref="V6:W6"/>
  </mergeCells>
  <phoneticPr fontId="13" type="noConversion"/>
  <pageMargins left="0.25" right="0.25" top="0.75" bottom="0.75" header="0.3" footer="0.3"/>
  <pageSetup paperSize="9" scale="40" orientation="portrait" r:id="rId1"/>
  <headerFooter alignWithMargins="0">
    <oddFooter>&amp;L&amp;C&amp;R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tint="0.59999389629810485"/>
  </sheetPr>
  <dimension ref="A1:M368"/>
  <sheetViews>
    <sheetView workbookViewId="0">
      <pane xSplit="4" ySplit="1" topLeftCell="E2" activePane="bottomRight" state="frozen"/>
      <selection activeCell="N70" sqref="N70"/>
      <selection pane="topRight" activeCell="N70" sqref="N70"/>
      <selection pane="bottomLeft" activeCell="N70" sqref="N70"/>
      <selection pane="bottomRight" activeCell="K2" sqref="K2:K359"/>
    </sheetView>
  </sheetViews>
  <sheetFormatPr defaultColWidth="11.44140625" defaultRowHeight="13.2"/>
  <cols>
    <col min="1" max="1" width="7.6640625" style="5" customWidth="1"/>
    <col min="2" max="2" width="14.33203125" style="5" customWidth="1"/>
    <col min="3" max="4" width="24" bestFit="1" customWidth="1"/>
    <col min="5" max="5" width="19.33203125" bestFit="1" customWidth="1"/>
    <col min="6" max="6" width="9.5546875" customWidth="1"/>
    <col min="7" max="7" width="20.109375" customWidth="1"/>
    <col min="8" max="8" width="17.33203125" bestFit="1" customWidth="1"/>
    <col min="9" max="9" width="26.6640625" customWidth="1"/>
    <col min="10" max="10" width="16.44140625" customWidth="1"/>
    <col min="11" max="11" width="10.6640625" customWidth="1"/>
  </cols>
  <sheetData>
    <row r="1" spans="1:13" ht="46.8">
      <c r="A1" s="5" t="s">
        <v>404</v>
      </c>
      <c r="C1" s="6" t="s">
        <v>413</v>
      </c>
      <c r="D1" s="6" t="s">
        <v>412</v>
      </c>
      <c r="E1" s="7" t="s">
        <v>339</v>
      </c>
      <c r="F1" s="7" t="s">
        <v>398</v>
      </c>
      <c r="G1" s="7" t="s">
        <v>378</v>
      </c>
      <c r="H1" s="6" t="s">
        <v>379</v>
      </c>
      <c r="I1" s="6" t="s">
        <v>380</v>
      </c>
      <c r="J1" s="6" t="s">
        <v>301</v>
      </c>
      <c r="K1" s="6" t="s">
        <v>373</v>
      </c>
      <c r="M1">
        <f>SUBTOTAL(3,K:K)</f>
        <v>111</v>
      </c>
    </row>
    <row r="2" spans="1:13" ht="14.4">
      <c r="A2" s="5" t="str">
        <f>F2&amp;(COUNTIFS(F$2:F2,F2,K$2:K2,"Sparse"))</f>
        <v>SD0</v>
      </c>
      <c r="B2" s="5" t="str">
        <f>J2&amp;(COUNTIF(J$2:J2,J2))</f>
        <v>West Sussex1</v>
      </c>
      <c r="C2" s="8" t="s">
        <v>4</v>
      </c>
      <c r="D2" s="8" t="s">
        <v>4</v>
      </c>
      <c r="E2" s="9" t="s">
        <v>0</v>
      </c>
      <c r="F2" s="9" t="s">
        <v>381</v>
      </c>
      <c r="G2" s="9" t="s">
        <v>5</v>
      </c>
      <c r="H2" s="10" t="s">
        <v>892</v>
      </c>
      <c r="I2" s="11" t="s">
        <v>384</v>
      </c>
      <c r="J2" t="s">
        <v>331</v>
      </c>
      <c r="K2" s="21"/>
    </row>
    <row r="3" spans="1:13" ht="14.4">
      <c r="A3" s="5" t="str">
        <f>F3&amp;(COUNTIFS(F$2:F3,F3,K$2:K3,"Sparse"))</f>
        <v>SD1</v>
      </c>
      <c r="B3" s="5" t="str">
        <f>J3&amp;(COUNTIF(J$2:J3,J3))</f>
        <v>Cumbria1</v>
      </c>
      <c r="C3" s="8" t="s">
        <v>6</v>
      </c>
      <c r="D3" s="8" t="s">
        <v>6</v>
      </c>
      <c r="E3" s="9" t="s">
        <v>376</v>
      </c>
      <c r="F3" s="9" t="s">
        <v>381</v>
      </c>
      <c r="G3" s="9" t="s">
        <v>5</v>
      </c>
      <c r="H3" s="10" t="s">
        <v>893</v>
      </c>
      <c r="I3" s="11" t="s">
        <v>382</v>
      </c>
      <c r="J3" t="s">
        <v>306</v>
      </c>
      <c r="K3" s="21" t="s">
        <v>335</v>
      </c>
    </row>
    <row r="4" spans="1:13" ht="14.4">
      <c r="A4" s="5" t="str">
        <f>F4&amp;(COUNTIFS(F$2:F4,F4,K$2:K4,"Sparse"))</f>
        <v>SD1</v>
      </c>
      <c r="B4" s="5" t="str">
        <f>J4&amp;(COUNTIF(J$2:J4,J4))</f>
        <v>Derbyshire1</v>
      </c>
      <c r="C4" s="8" t="s">
        <v>7</v>
      </c>
      <c r="D4" s="8" t="s">
        <v>7</v>
      </c>
      <c r="E4" s="9" t="s">
        <v>367</v>
      </c>
      <c r="F4" s="9" t="s">
        <v>381</v>
      </c>
      <c r="G4" s="9" t="s">
        <v>5</v>
      </c>
      <c r="H4" s="12" t="s">
        <v>894</v>
      </c>
      <c r="I4" s="11" t="s">
        <v>384</v>
      </c>
      <c r="J4" t="s">
        <v>307</v>
      </c>
      <c r="K4" s="21"/>
    </row>
    <row r="5" spans="1:13" ht="14.4">
      <c r="A5" s="5" t="str">
        <f>F5&amp;(COUNTIFS(F$2:F5,F5,K$2:K5,"Sparse"))</f>
        <v>SD1</v>
      </c>
      <c r="B5" s="5" t="str">
        <f>J5&amp;(COUNTIF(J$2:J5,J5))</f>
        <v>West Sussex2</v>
      </c>
      <c r="C5" s="8" t="s">
        <v>8</v>
      </c>
      <c r="D5" s="8" t="s">
        <v>8</v>
      </c>
      <c r="E5" s="9" t="s">
        <v>0</v>
      </c>
      <c r="F5" s="9" t="s">
        <v>381</v>
      </c>
      <c r="G5" s="9" t="s">
        <v>5</v>
      </c>
      <c r="H5" s="10" t="s">
        <v>892</v>
      </c>
      <c r="I5" s="11" t="s">
        <v>384</v>
      </c>
      <c r="J5" t="s">
        <v>331</v>
      </c>
      <c r="K5" s="21"/>
    </row>
    <row r="6" spans="1:13" ht="14.4">
      <c r="A6" s="5" t="str">
        <f>F6&amp;(COUNTIFS(F$2:F6,F6,K$2:K6,"Sparse"))</f>
        <v>SD1</v>
      </c>
      <c r="B6" s="5" t="str">
        <f>J6&amp;(COUNTIF(J$2:J6,J6))</f>
        <v>Nottinghamshire1</v>
      </c>
      <c r="C6" s="8" t="s">
        <v>9</v>
      </c>
      <c r="D6" s="8" t="s">
        <v>9</v>
      </c>
      <c r="E6" s="9" t="s">
        <v>367</v>
      </c>
      <c r="F6" s="9" t="s">
        <v>381</v>
      </c>
      <c r="G6" s="9" t="s">
        <v>5</v>
      </c>
      <c r="H6" s="10" t="s">
        <v>892</v>
      </c>
      <c r="I6" s="11" t="s">
        <v>384</v>
      </c>
      <c r="J6" t="s">
        <v>323</v>
      </c>
      <c r="K6" s="21"/>
    </row>
    <row r="7" spans="1:13" ht="14.4">
      <c r="A7" s="5" t="str">
        <f>F7&amp;(COUNTIFS(F$2:F7,F7,K$2:K7,"Sparse"))</f>
        <v>SD2</v>
      </c>
      <c r="B7" s="5" t="str">
        <f>J7&amp;(COUNTIF(J$2:J7,J7))</f>
        <v>Kent1</v>
      </c>
      <c r="C7" s="8" t="s">
        <v>10</v>
      </c>
      <c r="D7" s="8" t="s">
        <v>10</v>
      </c>
      <c r="E7" s="9" t="s">
        <v>0</v>
      </c>
      <c r="F7" s="9" t="s">
        <v>381</v>
      </c>
      <c r="G7" s="9" t="s">
        <v>5</v>
      </c>
      <c r="H7" s="12" t="s">
        <v>895</v>
      </c>
      <c r="I7" s="11" t="s">
        <v>371</v>
      </c>
      <c r="J7" t="s">
        <v>315</v>
      </c>
      <c r="K7" s="21" t="s">
        <v>335</v>
      </c>
    </row>
    <row r="8" spans="1:13" ht="14.4">
      <c r="A8" s="5" t="str">
        <f>F8&amp;(COUNTIFS(F$2:F8,F8,K$2:K8,"Sparse"))</f>
        <v>SD2</v>
      </c>
      <c r="B8" s="5" t="str">
        <f>J8&amp;(COUNTIF(J$2:J8,J8))</f>
        <v>Buckinghamshire1</v>
      </c>
      <c r="C8" s="8" t="s">
        <v>11</v>
      </c>
      <c r="D8" s="8" t="s">
        <v>11</v>
      </c>
      <c r="E8" s="9" t="s">
        <v>0</v>
      </c>
      <c r="F8" s="9" t="s">
        <v>381</v>
      </c>
      <c r="G8" s="9" t="s">
        <v>5</v>
      </c>
      <c r="H8" s="10" t="s">
        <v>896</v>
      </c>
      <c r="I8" s="11" t="s">
        <v>382</v>
      </c>
      <c r="J8" t="s">
        <v>300</v>
      </c>
      <c r="K8" s="21"/>
    </row>
    <row r="9" spans="1:13" ht="14.4">
      <c r="A9" s="5" t="str">
        <f>F9&amp;(COUNTIFS(F$2:F9,F9,K$2:K9,"Sparse"))</f>
        <v>SD3</v>
      </c>
      <c r="B9" s="5" t="str">
        <f>J9&amp;(COUNTIF(J$2:J9,J9))</f>
        <v>Suffolk1</v>
      </c>
      <c r="C9" s="8" t="s">
        <v>12</v>
      </c>
      <c r="D9" s="8" t="s">
        <v>12</v>
      </c>
      <c r="E9" s="9" t="s">
        <v>369</v>
      </c>
      <c r="F9" s="9" t="s">
        <v>381</v>
      </c>
      <c r="G9" s="9" t="s">
        <v>5</v>
      </c>
      <c r="H9" s="10" t="s">
        <v>893</v>
      </c>
      <c r="I9" s="11" t="s">
        <v>382</v>
      </c>
      <c r="J9" t="s">
        <v>328</v>
      </c>
      <c r="K9" s="21" t="s">
        <v>335</v>
      </c>
    </row>
    <row r="10" spans="1:13" ht="14.4">
      <c r="A10" s="5" t="str">
        <f>F10&amp;(COUNTIFS(F$2:F10,F10,K$2:K10,"Sparse"))</f>
        <v>L0</v>
      </c>
      <c r="B10" s="5" t="str">
        <f>J10&amp;(COUNTIF(J$2:J10,J10))</f>
        <v>London1</v>
      </c>
      <c r="C10" s="8" t="s">
        <v>338</v>
      </c>
      <c r="D10" s="8" t="s">
        <v>338</v>
      </c>
      <c r="E10" s="9" t="s">
        <v>383</v>
      </c>
      <c r="F10" s="9" t="s">
        <v>359</v>
      </c>
      <c r="G10" s="9" t="s">
        <v>383</v>
      </c>
      <c r="H10" s="10" t="s">
        <v>897</v>
      </c>
      <c r="I10" s="11" t="s">
        <v>384</v>
      </c>
      <c r="J10" t="str">
        <f>G10</f>
        <v>London</v>
      </c>
      <c r="K10" s="21"/>
    </row>
    <row r="11" spans="1:13" ht="14.4">
      <c r="A11" s="5" t="str">
        <f>F11&amp;(COUNTIFS(F$2:F11,F11,K$2:K11,"Sparse"))</f>
        <v>L0</v>
      </c>
      <c r="B11" s="5" t="str">
        <f>J11&amp;(COUNTIF(J$2:J11,J11))</f>
        <v>London2</v>
      </c>
      <c r="C11" s="8" t="s">
        <v>196</v>
      </c>
      <c r="D11" s="8" t="s">
        <v>196</v>
      </c>
      <c r="E11" s="9" t="s">
        <v>383</v>
      </c>
      <c r="F11" s="9" t="s">
        <v>359</v>
      </c>
      <c r="G11" s="9" t="s">
        <v>383</v>
      </c>
      <c r="H11" s="10" t="s">
        <v>897</v>
      </c>
      <c r="I11" s="11" t="s">
        <v>384</v>
      </c>
      <c r="J11" t="str">
        <f>G11</f>
        <v>London</v>
      </c>
      <c r="K11" s="21"/>
    </row>
    <row r="12" spans="1:13" ht="14.4">
      <c r="A12" s="5" t="str">
        <f>F12&amp;(COUNTIFS(F$2:F12,F12,K$2:K12,"Sparse"))</f>
        <v>MD0</v>
      </c>
      <c r="B12" s="5" t="str">
        <f>J12&amp;(COUNTIF(J$2:J12,J12))</f>
        <v>Barnsley1</v>
      </c>
      <c r="C12" s="8" t="s">
        <v>222</v>
      </c>
      <c r="D12" s="8" t="s">
        <v>222</v>
      </c>
      <c r="E12" s="9" t="s">
        <v>385</v>
      </c>
      <c r="F12" s="9" t="s">
        <v>386</v>
      </c>
      <c r="G12" s="9" t="s">
        <v>397</v>
      </c>
      <c r="H12" s="10" t="s">
        <v>894</v>
      </c>
      <c r="I12" s="11" t="s">
        <v>384</v>
      </c>
      <c r="J12" t="str">
        <f>C12</f>
        <v>Barnsley</v>
      </c>
      <c r="K12" s="21"/>
    </row>
    <row r="13" spans="1:13" ht="14.4">
      <c r="A13" s="5" t="str">
        <f>F13&amp;(COUNTIFS(F$2:F13,F13,K$2:K13,"Sparse"))</f>
        <v>SD3</v>
      </c>
      <c r="B13" s="5" t="str">
        <f>J13&amp;(COUNTIF(J$2:J13,J13))</f>
        <v>Cumbria2</v>
      </c>
      <c r="C13" s="8" t="s">
        <v>13</v>
      </c>
      <c r="D13" s="8" t="s">
        <v>13</v>
      </c>
      <c r="E13" s="9" t="s">
        <v>376</v>
      </c>
      <c r="F13" s="9" t="s">
        <v>381</v>
      </c>
      <c r="G13" s="9" t="s">
        <v>5</v>
      </c>
      <c r="H13" s="10" t="s">
        <v>895</v>
      </c>
      <c r="I13" s="11" t="s">
        <v>371</v>
      </c>
      <c r="J13" t="s">
        <v>306</v>
      </c>
      <c r="K13" s="21"/>
    </row>
    <row r="14" spans="1:13" ht="14.4">
      <c r="A14" s="5" t="str">
        <f>F14&amp;(COUNTIFS(F$2:F14,F14,K$2:K14,"Sparse"))</f>
        <v>SD3</v>
      </c>
      <c r="B14" s="5" t="str">
        <f>J14&amp;(COUNTIF(J$2:J14,J14))</f>
        <v>Essex1</v>
      </c>
      <c r="C14" s="8" t="s">
        <v>14</v>
      </c>
      <c r="D14" s="8" t="s">
        <v>14</v>
      </c>
      <c r="E14" s="9" t="s">
        <v>369</v>
      </c>
      <c r="F14" s="9" t="s">
        <v>381</v>
      </c>
      <c r="G14" s="9" t="s">
        <v>5</v>
      </c>
      <c r="H14" s="10" t="s">
        <v>892</v>
      </c>
      <c r="I14" s="11" t="s">
        <v>384</v>
      </c>
      <c r="J14" t="s">
        <v>311</v>
      </c>
      <c r="K14" s="21"/>
    </row>
    <row r="15" spans="1:13" ht="14.4">
      <c r="A15" s="5" t="str">
        <f>F15&amp;(COUNTIFS(F$2:F15,F15,K$2:K15,"Sparse"))</f>
        <v>SD3</v>
      </c>
      <c r="B15" s="5" t="str">
        <f>J15&amp;(COUNTIF(J$2:J15,J15))</f>
        <v>Hampshire1</v>
      </c>
      <c r="C15" s="8" t="s">
        <v>343</v>
      </c>
      <c r="D15" s="8" t="s">
        <v>343</v>
      </c>
      <c r="E15" s="9" t="s">
        <v>0</v>
      </c>
      <c r="F15" s="9" t="s">
        <v>381</v>
      </c>
      <c r="G15" s="9" t="s">
        <v>5</v>
      </c>
      <c r="H15" s="12" t="s">
        <v>895</v>
      </c>
      <c r="I15" s="11" t="s">
        <v>371</v>
      </c>
      <c r="J15" t="s">
        <v>313</v>
      </c>
      <c r="K15" s="21"/>
    </row>
    <row r="16" spans="1:13" ht="14.4">
      <c r="A16" s="5" t="str">
        <f>F16&amp;(COUNTIFS(F$2:F16,F16,K$2:K16,"Sparse"))</f>
        <v>SD3</v>
      </c>
      <c r="B16" s="5" t="str">
        <f>J16&amp;(COUNTIF(J$2:J16,J16))</f>
        <v>Nottinghamshire2</v>
      </c>
      <c r="C16" s="8" t="s">
        <v>15</v>
      </c>
      <c r="D16" s="8" t="s">
        <v>15</v>
      </c>
      <c r="E16" s="9" t="s">
        <v>367</v>
      </c>
      <c r="F16" s="9" t="s">
        <v>381</v>
      </c>
      <c r="G16" s="9" t="s">
        <v>5</v>
      </c>
      <c r="H16" s="10" t="s">
        <v>896</v>
      </c>
      <c r="I16" s="11" t="s">
        <v>382</v>
      </c>
      <c r="J16" t="s">
        <v>323</v>
      </c>
      <c r="K16" s="21"/>
    </row>
    <row r="17" spans="1:11" ht="14.4">
      <c r="A17" s="5" t="str">
        <f>F17&amp;(COUNTIFS(F$2:F17,F17,K$2:K17,"Sparse"))</f>
        <v>UA0</v>
      </c>
      <c r="B17" s="5" t="str">
        <f>J17&amp;(COUNTIF(J$2:J17,J17))</f>
        <v>Unitary1</v>
      </c>
      <c r="C17" s="8" t="s">
        <v>258</v>
      </c>
      <c r="D17" s="8" t="s">
        <v>258</v>
      </c>
      <c r="E17" s="9" t="s">
        <v>1</v>
      </c>
      <c r="F17" s="9" t="s">
        <v>387</v>
      </c>
      <c r="G17" s="9" t="s">
        <v>396</v>
      </c>
      <c r="H17" s="12" t="s">
        <v>895</v>
      </c>
      <c r="I17" s="11" t="s">
        <v>371</v>
      </c>
      <c r="J17" s="22" t="s">
        <v>396</v>
      </c>
      <c r="K17" s="14"/>
    </row>
    <row r="18" spans="1:11" ht="14.4">
      <c r="A18" s="5" t="str">
        <f>F18&amp;(COUNTIFS(F$2:F18,F18,K$2:K18,"Sparse"))</f>
        <v>UA0</v>
      </c>
      <c r="B18" s="5" t="str">
        <f>J18&amp;(COUNTIF(J$2:J18,J18))</f>
        <v>Unitary2</v>
      </c>
      <c r="C18" s="8" t="s">
        <v>259</v>
      </c>
      <c r="D18" s="8" t="s">
        <v>259</v>
      </c>
      <c r="E18" s="9" t="s">
        <v>369</v>
      </c>
      <c r="F18" s="9" t="s">
        <v>387</v>
      </c>
      <c r="G18" s="9" t="s">
        <v>396</v>
      </c>
      <c r="H18" s="12" t="s">
        <v>895</v>
      </c>
      <c r="I18" s="11" t="s">
        <v>371</v>
      </c>
      <c r="J18" s="22" t="s">
        <v>396</v>
      </c>
      <c r="K18" s="21"/>
    </row>
    <row r="19" spans="1:11" ht="14.4">
      <c r="A19" s="5" t="str">
        <f>F19&amp;(COUNTIFS(F$2:F19,F19,K$2:K19,"Sparse"))</f>
        <v>L0</v>
      </c>
      <c r="B19" s="5" t="str">
        <f>J19&amp;(COUNTIF(J$2:J19,J19))</f>
        <v>London3</v>
      </c>
      <c r="C19" s="8" t="s">
        <v>197</v>
      </c>
      <c r="D19" s="8" t="s">
        <v>197</v>
      </c>
      <c r="E19" s="9" t="s">
        <v>383</v>
      </c>
      <c r="F19" s="9" t="s">
        <v>359</v>
      </c>
      <c r="G19" s="9" t="s">
        <v>383</v>
      </c>
      <c r="H19" s="10" t="s">
        <v>897</v>
      </c>
      <c r="I19" s="11" t="s">
        <v>384</v>
      </c>
      <c r="J19" t="str">
        <f>G19</f>
        <v>London</v>
      </c>
      <c r="K19" s="21"/>
    </row>
    <row r="20" spans="1:11" ht="14.4">
      <c r="A20" s="5" t="str">
        <f>F20&amp;(COUNTIFS(F$2:F20,F20,K$2:K20,"Sparse"))</f>
        <v>MD0</v>
      </c>
      <c r="B20" s="5" t="str">
        <f>J20&amp;(COUNTIF(J$2:J20,J20))</f>
        <v>Birmingham1</v>
      </c>
      <c r="C20" s="8" t="s">
        <v>223</v>
      </c>
      <c r="D20" s="8" t="s">
        <v>223</v>
      </c>
      <c r="E20" s="9" t="s">
        <v>368</v>
      </c>
      <c r="F20" s="9" t="s">
        <v>386</v>
      </c>
      <c r="G20" s="9" t="s">
        <v>397</v>
      </c>
      <c r="H20" s="10" t="s">
        <v>897</v>
      </c>
      <c r="I20" s="11" t="s">
        <v>384</v>
      </c>
      <c r="J20" t="str">
        <f>C20</f>
        <v>Birmingham</v>
      </c>
      <c r="K20" s="21"/>
    </row>
    <row r="21" spans="1:11" ht="14.4">
      <c r="A21" s="5" t="str">
        <f>F21&amp;(COUNTIFS(F$2:F21,F21,K$2:K21,"Sparse"))</f>
        <v>SD3</v>
      </c>
      <c r="B21" s="5" t="str">
        <f>J21&amp;(COUNTIF(J$2:J21,J21))</f>
        <v>Leicestershire1</v>
      </c>
      <c r="C21" s="8" t="s">
        <v>16</v>
      </c>
      <c r="D21" s="8" t="s">
        <v>16</v>
      </c>
      <c r="E21" s="9" t="s">
        <v>367</v>
      </c>
      <c r="F21" s="9" t="s">
        <v>381</v>
      </c>
      <c r="G21" s="9" t="s">
        <v>5</v>
      </c>
      <c r="H21" s="10" t="s">
        <v>892</v>
      </c>
      <c r="I21" s="11" t="s">
        <v>384</v>
      </c>
      <c r="J21" t="s">
        <v>317</v>
      </c>
      <c r="K21" s="21"/>
    </row>
    <row r="22" spans="1:11" ht="14.4">
      <c r="A22" s="5" t="str">
        <f>F22&amp;(COUNTIFS(F$2:F22,F22,K$2:K22,"Sparse"))</f>
        <v>UA0</v>
      </c>
      <c r="B22" s="5" t="str">
        <f>J22&amp;(COUNTIF(J$2:J22,J22))</f>
        <v>Unitary3</v>
      </c>
      <c r="C22" s="8" t="s">
        <v>260</v>
      </c>
      <c r="D22" s="8" t="s">
        <v>260</v>
      </c>
      <c r="E22" s="9" t="s">
        <v>376</v>
      </c>
      <c r="F22" s="9" t="s">
        <v>387</v>
      </c>
      <c r="G22" s="9" t="s">
        <v>396</v>
      </c>
      <c r="H22" s="10" t="s">
        <v>892</v>
      </c>
      <c r="I22" s="11" t="s">
        <v>384</v>
      </c>
      <c r="J22" s="22" t="s">
        <v>396</v>
      </c>
      <c r="K22" s="21"/>
    </row>
    <row r="23" spans="1:11" ht="14.4">
      <c r="A23" s="5" t="str">
        <f>F23&amp;(COUNTIFS(F$2:F23,F23,K$2:K23,"Sparse"))</f>
        <v>UA0</v>
      </c>
      <c r="B23" s="5" t="str">
        <f>J23&amp;(COUNTIF(J$2:J23,J23))</f>
        <v>Unitary4</v>
      </c>
      <c r="C23" s="8" t="s">
        <v>261</v>
      </c>
      <c r="D23" s="8" t="s">
        <v>261</v>
      </c>
      <c r="E23" s="9" t="s">
        <v>376</v>
      </c>
      <c r="F23" s="9" t="s">
        <v>387</v>
      </c>
      <c r="G23" s="9" t="s">
        <v>396</v>
      </c>
      <c r="H23" s="10" t="s">
        <v>892</v>
      </c>
      <c r="I23" s="11" t="s">
        <v>384</v>
      </c>
      <c r="J23" s="22" t="s">
        <v>396</v>
      </c>
      <c r="K23" s="21"/>
    </row>
    <row r="24" spans="1:11" ht="14.4">
      <c r="A24" s="5" t="str">
        <f>F24&amp;(COUNTIFS(F$2:F24,F24,K$2:K24,"Sparse"))</f>
        <v>SD3</v>
      </c>
      <c r="B24" s="5" t="str">
        <f>J24&amp;(COUNTIF(J$2:J24,J24))</f>
        <v>Derbyshire2</v>
      </c>
      <c r="C24" s="8" t="s">
        <v>17</v>
      </c>
      <c r="D24" s="8" t="s">
        <v>17</v>
      </c>
      <c r="E24" s="9" t="s">
        <v>367</v>
      </c>
      <c r="F24" s="9" t="s">
        <v>381</v>
      </c>
      <c r="G24" s="9" t="s">
        <v>5</v>
      </c>
      <c r="H24" s="12" t="s">
        <v>895</v>
      </c>
      <c r="I24" s="11" t="s">
        <v>371</v>
      </c>
      <c r="J24" t="s">
        <v>307</v>
      </c>
      <c r="K24" s="21"/>
    </row>
    <row r="25" spans="1:11" ht="14.4">
      <c r="A25" s="5" t="str">
        <f>F25&amp;(COUNTIFS(F$2:F25,F25,K$2:K25,"Sparse"))</f>
        <v>MD0</v>
      </c>
      <c r="B25" s="5" t="str">
        <f>J25&amp;(COUNTIF(J$2:J25,J25))</f>
        <v>Bolton1</v>
      </c>
      <c r="C25" s="8" t="s">
        <v>224</v>
      </c>
      <c r="D25" s="8" t="s">
        <v>224</v>
      </c>
      <c r="E25" s="9" t="s">
        <v>376</v>
      </c>
      <c r="F25" s="9" t="s">
        <v>386</v>
      </c>
      <c r="G25" s="9" t="s">
        <v>397</v>
      </c>
      <c r="H25" s="10" t="s">
        <v>897</v>
      </c>
      <c r="I25" s="11" t="s">
        <v>384</v>
      </c>
      <c r="J25" t="str">
        <f>C25</f>
        <v>Bolton</v>
      </c>
      <c r="K25" s="21"/>
    </row>
    <row r="26" spans="1:11" ht="14.4">
      <c r="A26" s="5" t="str">
        <f>F26&amp;(COUNTIFS(F$2:F26,F26,K$2:K26,"Sparse"))</f>
        <v>SD4</v>
      </c>
      <c r="B26" s="5" t="str">
        <f>J26&amp;(COUNTIF(J$2:J26,J26))</f>
        <v>Lincolnshire1</v>
      </c>
      <c r="C26" s="8" t="s">
        <v>18</v>
      </c>
      <c r="D26" s="8" t="s">
        <v>18</v>
      </c>
      <c r="E26" s="9" t="s">
        <v>367</v>
      </c>
      <c r="F26" s="9" t="s">
        <v>381</v>
      </c>
      <c r="G26" s="9" t="s">
        <v>5</v>
      </c>
      <c r="H26" s="12" t="s">
        <v>895</v>
      </c>
      <c r="I26" s="11" t="s">
        <v>371</v>
      </c>
      <c r="J26" t="s">
        <v>318</v>
      </c>
      <c r="K26" s="21" t="s">
        <v>335</v>
      </c>
    </row>
    <row r="27" spans="1:11" ht="14.4">
      <c r="A27" s="5" t="str">
        <f>F27&amp;(COUNTIFS(F$2:F27,F27,K$2:K27,"Sparse"))</f>
        <v>UA0</v>
      </c>
      <c r="B27" s="5" t="str">
        <f>J27&amp;(COUNTIF(J$2:J27,J27))</f>
        <v>Unitary5</v>
      </c>
      <c r="C27" s="8" t="s">
        <v>262</v>
      </c>
      <c r="D27" s="8" t="s">
        <v>262</v>
      </c>
      <c r="E27" s="9" t="s">
        <v>1</v>
      </c>
      <c r="F27" s="9" t="s">
        <v>387</v>
      </c>
      <c r="G27" s="9" t="s">
        <v>396</v>
      </c>
      <c r="H27" s="10" t="s">
        <v>892</v>
      </c>
      <c r="I27" s="11" t="s">
        <v>384</v>
      </c>
      <c r="J27" s="22" t="s">
        <v>396</v>
      </c>
      <c r="K27" s="21"/>
    </row>
    <row r="28" spans="1:11" ht="14.4">
      <c r="A28" s="5" t="str">
        <f>F28&amp;(COUNTIFS(F$2:F28,F28,K$2:K28,"Sparse"))</f>
        <v>UA0</v>
      </c>
      <c r="B28" s="5" t="str">
        <f>J28&amp;(COUNTIF(J$2:J28,J28))</f>
        <v>Unitary6</v>
      </c>
      <c r="C28" t="s">
        <v>911</v>
      </c>
      <c r="D28" t="s">
        <v>911</v>
      </c>
      <c r="E28" s="282" t="s">
        <v>1</v>
      </c>
      <c r="F28" s="282" t="s">
        <v>387</v>
      </c>
      <c r="G28" s="282" t="s">
        <v>396</v>
      </c>
      <c r="H28" s="283" t="s">
        <v>384</v>
      </c>
      <c r="I28" s="284" t="s">
        <v>384</v>
      </c>
      <c r="J28" s="285" t="s">
        <v>396</v>
      </c>
    </row>
    <row r="29" spans="1:11" ht="14.4">
      <c r="A29" s="5" t="str">
        <f>F29&amp;(COUNTIFS(F$2:F29,F29,K$2:K29,"Sparse"))</f>
        <v>UA0</v>
      </c>
      <c r="B29" s="5" t="str">
        <f>J29&amp;(COUNTIF(J$2:J29,J29))</f>
        <v>Unitary7</v>
      </c>
      <c r="C29" s="8" t="s">
        <v>263</v>
      </c>
      <c r="D29" s="8" t="s">
        <v>263</v>
      </c>
      <c r="E29" s="9" t="s">
        <v>0</v>
      </c>
      <c r="F29" s="9" t="s">
        <v>387</v>
      </c>
      <c r="G29" s="9" t="s">
        <v>396</v>
      </c>
      <c r="H29" s="10" t="s">
        <v>892</v>
      </c>
      <c r="I29" s="11" t="s">
        <v>384</v>
      </c>
      <c r="J29" s="22" t="s">
        <v>396</v>
      </c>
      <c r="K29" s="21"/>
    </row>
    <row r="30" spans="1:11" ht="14.4">
      <c r="A30" s="5" t="str">
        <f>F30&amp;(COUNTIFS(F$2:F30,F30,K$2:K30,"Sparse"))</f>
        <v>MD0</v>
      </c>
      <c r="B30" s="5" t="str">
        <f>J30&amp;(COUNTIF(J$2:J30,J30))</f>
        <v>Bradford1</v>
      </c>
      <c r="C30" s="8" t="s">
        <v>225</v>
      </c>
      <c r="D30" s="8" t="s">
        <v>225</v>
      </c>
      <c r="E30" s="9" t="s">
        <v>385</v>
      </c>
      <c r="F30" s="9" t="s">
        <v>386</v>
      </c>
      <c r="G30" s="9" t="s">
        <v>397</v>
      </c>
      <c r="H30" s="10" t="s">
        <v>897</v>
      </c>
      <c r="I30" s="11" t="s">
        <v>384</v>
      </c>
      <c r="J30" t="str">
        <f>C30</f>
        <v>Bradford</v>
      </c>
      <c r="K30" s="21"/>
    </row>
    <row r="31" spans="1:11" ht="14.4">
      <c r="A31" s="5" t="str">
        <f>F31&amp;(COUNTIFS(F$2:F31,F31,K$2:K31,"Sparse"))</f>
        <v>SD5</v>
      </c>
      <c r="B31" s="5" t="str">
        <f>J31&amp;(COUNTIF(J$2:J31,J31))</f>
        <v>Essex2</v>
      </c>
      <c r="C31" s="8" t="s">
        <v>19</v>
      </c>
      <c r="D31" s="8" t="s">
        <v>19</v>
      </c>
      <c r="E31" s="9" t="s">
        <v>369</v>
      </c>
      <c r="F31" s="9" t="s">
        <v>381</v>
      </c>
      <c r="G31" s="9" t="s">
        <v>5</v>
      </c>
      <c r="H31" s="10" t="s">
        <v>896</v>
      </c>
      <c r="I31" s="11" t="s">
        <v>382</v>
      </c>
      <c r="J31" t="s">
        <v>311</v>
      </c>
      <c r="K31" s="21" t="s">
        <v>335</v>
      </c>
    </row>
    <row r="32" spans="1:11" ht="14.4">
      <c r="A32" s="5" t="str">
        <f>F32&amp;(COUNTIFS(F$2:F32,F32,K$2:K32,"Sparse"))</f>
        <v>SD6</v>
      </c>
      <c r="B32" s="5" t="str">
        <f>J32&amp;(COUNTIF(J$2:J32,J32))</f>
        <v>Norfolk1</v>
      </c>
      <c r="C32" s="8" t="s">
        <v>20</v>
      </c>
      <c r="D32" s="8" t="s">
        <v>20</v>
      </c>
      <c r="E32" s="9" t="s">
        <v>369</v>
      </c>
      <c r="F32" s="9" t="s">
        <v>381</v>
      </c>
      <c r="G32" s="9" t="s">
        <v>5</v>
      </c>
      <c r="H32" s="10" t="s">
        <v>893</v>
      </c>
      <c r="I32" s="11" t="s">
        <v>382</v>
      </c>
      <c r="J32" t="s">
        <v>319</v>
      </c>
      <c r="K32" s="21" t="s">
        <v>335</v>
      </c>
    </row>
    <row r="33" spans="1:11" ht="14.4">
      <c r="A33" s="5" t="str">
        <f>F33&amp;(COUNTIFS(F$2:F33,F33,K$2:K33,"Sparse"))</f>
        <v>L0</v>
      </c>
      <c r="B33" s="5" t="str">
        <f>J33&amp;(COUNTIF(J$2:J33,J33))</f>
        <v>London4</v>
      </c>
      <c r="C33" s="8" t="s">
        <v>198</v>
      </c>
      <c r="D33" s="8" t="s">
        <v>198</v>
      </c>
      <c r="E33" s="9" t="s">
        <v>383</v>
      </c>
      <c r="F33" s="9" t="s">
        <v>359</v>
      </c>
      <c r="G33" s="9" t="s">
        <v>383</v>
      </c>
      <c r="H33" s="10" t="s">
        <v>897</v>
      </c>
      <c r="I33" s="11" t="s">
        <v>384</v>
      </c>
      <c r="J33" t="str">
        <f>G33</f>
        <v>London</v>
      </c>
      <c r="K33" s="21"/>
    </row>
    <row r="34" spans="1:11" ht="14.4">
      <c r="A34" s="5" t="str">
        <f>F34&amp;(COUNTIFS(F$2:F34,F34,K$2:K34,"Sparse"))</f>
        <v>SD6</v>
      </c>
      <c r="B34" s="5" t="str">
        <f>J34&amp;(COUNTIF(J$2:J34,J34))</f>
        <v>Essex3</v>
      </c>
      <c r="C34" s="8" t="s">
        <v>21</v>
      </c>
      <c r="D34" s="8" t="s">
        <v>21</v>
      </c>
      <c r="E34" s="9" t="s">
        <v>369</v>
      </c>
      <c r="F34" s="9" t="s">
        <v>381</v>
      </c>
      <c r="G34" s="9" t="s">
        <v>5</v>
      </c>
      <c r="H34" s="12" t="s">
        <v>895</v>
      </c>
      <c r="I34" s="11" t="s">
        <v>371</v>
      </c>
      <c r="J34" t="s">
        <v>311</v>
      </c>
      <c r="K34" s="21"/>
    </row>
    <row r="35" spans="1:11" ht="14.4">
      <c r="A35" s="5" t="str">
        <f>F35&amp;(COUNTIFS(F$2:F35,F35,K$2:K35,"Sparse"))</f>
        <v>UA0</v>
      </c>
      <c r="B35" s="5" t="str">
        <f>J35&amp;(COUNTIF(J$2:J35,J35))</f>
        <v>Unitary8</v>
      </c>
      <c r="C35" s="8" t="s">
        <v>811</v>
      </c>
      <c r="D35" s="8" t="s">
        <v>811</v>
      </c>
      <c r="E35" s="9" t="s">
        <v>0</v>
      </c>
      <c r="F35" s="9" t="s">
        <v>387</v>
      </c>
      <c r="G35" s="9" t="s">
        <v>396</v>
      </c>
      <c r="H35" s="10" t="s">
        <v>892</v>
      </c>
      <c r="I35" s="11" t="s">
        <v>384</v>
      </c>
      <c r="J35" s="22" t="s">
        <v>396</v>
      </c>
      <c r="K35" s="21"/>
    </row>
    <row r="36" spans="1:11" ht="14.4">
      <c r="A36" s="5" t="str">
        <f>F36&amp;(COUNTIFS(F$2:F36,F36,K$2:K36,"Sparse"))</f>
        <v>UA0</v>
      </c>
      <c r="B36" s="5" t="str">
        <f>J36&amp;(COUNTIF(J$2:J36,J36))</f>
        <v>Unitary9</v>
      </c>
      <c r="C36" s="8" t="s">
        <v>815</v>
      </c>
      <c r="D36" s="8" t="s">
        <v>388</v>
      </c>
      <c r="E36" s="9" t="s">
        <v>1</v>
      </c>
      <c r="F36" s="9" t="s">
        <v>387</v>
      </c>
      <c r="G36" s="9" t="s">
        <v>396</v>
      </c>
      <c r="H36" s="10" t="s">
        <v>892</v>
      </c>
      <c r="I36" s="11" t="s">
        <v>384</v>
      </c>
      <c r="J36" s="22" t="s">
        <v>396</v>
      </c>
      <c r="K36" s="21"/>
    </row>
    <row r="37" spans="1:11" ht="14.4">
      <c r="A37" s="5" t="str">
        <f>F37&amp;(COUNTIFS(F$2:F37,F37,K$2:K37,"Sparse"))</f>
        <v>SD6</v>
      </c>
      <c r="B37" s="5" t="str">
        <f>J37&amp;(COUNTIF(J$2:J37,J37))</f>
        <v>Norfolk2</v>
      </c>
      <c r="C37" s="8" t="s">
        <v>22</v>
      </c>
      <c r="D37" s="8" t="s">
        <v>22</v>
      </c>
      <c r="E37" s="9" t="s">
        <v>369</v>
      </c>
      <c r="F37" s="9" t="s">
        <v>381</v>
      </c>
      <c r="G37" s="9" t="s">
        <v>5</v>
      </c>
      <c r="H37" s="12" t="s">
        <v>895</v>
      </c>
      <c r="I37" s="11" t="s">
        <v>371</v>
      </c>
      <c r="J37" t="s">
        <v>319</v>
      </c>
      <c r="K37" s="21"/>
    </row>
    <row r="38" spans="1:11" ht="14.4">
      <c r="A38" s="5" t="str">
        <f>F38&amp;(COUNTIFS(F$2:F38,F38,K$2:K38,"Sparse"))</f>
        <v>L0</v>
      </c>
      <c r="B38" s="5" t="str">
        <f>J38&amp;(COUNTIF(J$2:J38,J38))</f>
        <v>London5</v>
      </c>
      <c r="C38" s="8" t="s">
        <v>199</v>
      </c>
      <c r="D38" s="8" t="s">
        <v>199</v>
      </c>
      <c r="E38" s="9" t="s">
        <v>383</v>
      </c>
      <c r="F38" s="9" t="s">
        <v>359</v>
      </c>
      <c r="G38" s="9" t="s">
        <v>383</v>
      </c>
      <c r="H38" s="10" t="s">
        <v>897</v>
      </c>
      <c r="I38" s="11" t="s">
        <v>384</v>
      </c>
      <c r="J38" t="str">
        <f>G38</f>
        <v>London</v>
      </c>
      <c r="K38" s="21"/>
    </row>
    <row r="39" spans="1:11" ht="14.4">
      <c r="A39" s="5" t="str">
        <f>F39&amp;(COUNTIFS(F$2:F39,F39,K$2:K39,"Sparse"))</f>
        <v>SD6</v>
      </c>
      <c r="B39" s="5" t="str">
        <f>J39&amp;(COUNTIF(J$2:J39,J39))</f>
        <v>Worcestershire1</v>
      </c>
      <c r="C39" s="8" t="s">
        <v>23</v>
      </c>
      <c r="D39" s="8" t="s">
        <v>23</v>
      </c>
      <c r="E39" s="9" t="s">
        <v>368</v>
      </c>
      <c r="F39" s="9" t="s">
        <v>381</v>
      </c>
      <c r="G39" s="9" t="s">
        <v>5</v>
      </c>
      <c r="H39" s="12" t="s">
        <v>892</v>
      </c>
      <c r="I39" s="11" t="s">
        <v>384</v>
      </c>
      <c r="J39" t="s">
        <v>332</v>
      </c>
      <c r="K39" s="21"/>
    </row>
    <row r="40" spans="1:11" ht="14.4">
      <c r="A40" s="5" t="str">
        <f>F40&amp;(COUNTIFS(F$2:F40,F40,K$2:K40,"Sparse"))</f>
        <v>SD6</v>
      </c>
      <c r="B40" s="5" t="str">
        <f>J40&amp;(COUNTIF(J$2:J40,J40))</f>
        <v>Hertfordshire1</v>
      </c>
      <c r="C40" s="8" t="s">
        <v>24</v>
      </c>
      <c r="D40" s="8" t="s">
        <v>24</v>
      </c>
      <c r="E40" s="9" t="s">
        <v>369</v>
      </c>
      <c r="F40" s="9" t="s">
        <v>381</v>
      </c>
      <c r="G40" s="9" t="s">
        <v>5</v>
      </c>
      <c r="H40" s="10" t="s">
        <v>897</v>
      </c>
      <c r="I40" s="11" t="s">
        <v>384</v>
      </c>
      <c r="J40" t="s">
        <v>314</v>
      </c>
      <c r="K40" s="21"/>
    </row>
    <row r="41" spans="1:11" ht="14.4">
      <c r="A41" s="5" t="str">
        <f>F41&amp;(COUNTIFS(F$2:F41,F41,K$2:K41,"Sparse"))</f>
        <v>SD6</v>
      </c>
      <c r="B41" s="5" t="str">
        <f>J41&amp;(COUNTIF(J$2:J41,J41))</f>
        <v>Nottinghamshire3</v>
      </c>
      <c r="C41" s="8" t="s">
        <v>25</v>
      </c>
      <c r="D41" s="8" t="s">
        <v>25</v>
      </c>
      <c r="E41" s="9" t="s">
        <v>367</v>
      </c>
      <c r="F41" s="9" t="s">
        <v>381</v>
      </c>
      <c r="G41" s="9" t="s">
        <v>5</v>
      </c>
      <c r="H41" s="10" t="s">
        <v>894</v>
      </c>
      <c r="I41" s="11" t="s">
        <v>384</v>
      </c>
      <c r="J41" t="s">
        <v>323</v>
      </c>
      <c r="K41" s="21"/>
    </row>
    <row r="42" spans="1:11" ht="14.4">
      <c r="A42" s="5" t="str">
        <f>F42&amp;(COUNTIFS(F$2:F42,F42,K$2:K42,"Sparse"))</f>
        <v>SC0</v>
      </c>
      <c r="B42" s="5" t="str">
        <f>J42&amp;(COUNTIF(J$2:J42,J42))</f>
        <v>Buckinghamshire2</v>
      </c>
      <c r="C42" s="8" t="s">
        <v>300</v>
      </c>
      <c r="D42" s="8" t="s">
        <v>300</v>
      </c>
      <c r="E42" s="9" t="s">
        <v>0</v>
      </c>
      <c r="F42" s="9" t="s">
        <v>389</v>
      </c>
      <c r="G42" s="9" t="s">
        <v>301</v>
      </c>
      <c r="H42" s="11" t="s">
        <v>371</v>
      </c>
      <c r="I42" s="11" t="s">
        <v>371</v>
      </c>
      <c r="J42" t="str">
        <f>C42</f>
        <v>Buckinghamshire</v>
      </c>
      <c r="K42" s="21"/>
    </row>
    <row r="43" spans="1:11" ht="14.4">
      <c r="A43" s="5" t="str">
        <f>F43&amp;(COUNTIFS(F$2:F43,F43,K$2:K43,"Sparse"))</f>
        <v>SD6</v>
      </c>
      <c r="B43" s="5" t="str">
        <f>J43&amp;(COUNTIF(J$2:J43,J43))</f>
        <v>Lancashire1</v>
      </c>
      <c r="C43" s="8" t="s">
        <v>26</v>
      </c>
      <c r="D43" s="8" t="s">
        <v>26</v>
      </c>
      <c r="E43" s="9" t="s">
        <v>376</v>
      </c>
      <c r="F43" s="9" t="s">
        <v>381</v>
      </c>
      <c r="G43" s="9" t="s">
        <v>5</v>
      </c>
      <c r="H43" s="10" t="s">
        <v>892</v>
      </c>
      <c r="I43" s="11" t="s">
        <v>384</v>
      </c>
      <c r="J43" t="s">
        <v>316</v>
      </c>
      <c r="K43" s="21"/>
    </row>
    <row r="44" spans="1:11" ht="14.4">
      <c r="A44" s="5" t="str">
        <f>F44&amp;(COUNTIFS(F$2:F44,F44,K$2:K44,"Sparse"))</f>
        <v>MD0</v>
      </c>
      <c r="B44" s="5" t="str">
        <f>J44&amp;(COUNTIF(J$2:J44,J44))</f>
        <v>Bury1</v>
      </c>
      <c r="C44" s="8" t="s">
        <v>226</v>
      </c>
      <c r="D44" s="8" t="s">
        <v>226</v>
      </c>
      <c r="E44" s="9" t="s">
        <v>376</v>
      </c>
      <c r="F44" s="9" t="s">
        <v>386</v>
      </c>
      <c r="G44" s="9" t="s">
        <v>397</v>
      </c>
      <c r="H44" s="10" t="s">
        <v>897</v>
      </c>
      <c r="I44" s="11" t="s">
        <v>384</v>
      </c>
      <c r="J44" t="str">
        <f>C44</f>
        <v>Bury</v>
      </c>
      <c r="K44" s="21"/>
    </row>
    <row r="45" spans="1:11" ht="14.4">
      <c r="A45" s="5" t="str">
        <f>F45&amp;(COUNTIFS(F$2:F45,F45,K$2:K45,"Sparse"))</f>
        <v>MD0</v>
      </c>
      <c r="B45" s="5" t="str">
        <f>J45&amp;(COUNTIF(J$2:J45,J45))</f>
        <v>Calderdale1</v>
      </c>
      <c r="C45" s="8" t="s">
        <v>227</v>
      </c>
      <c r="D45" s="8" t="s">
        <v>227</v>
      </c>
      <c r="E45" s="9" t="s">
        <v>385</v>
      </c>
      <c r="F45" s="9" t="s">
        <v>386</v>
      </c>
      <c r="G45" s="9" t="s">
        <v>397</v>
      </c>
      <c r="H45" s="12" t="s">
        <v>897</v>
      </c>
      <c r="I45" s="11" t="s">
        <v>384</v>
      </c>
      <c r="J45" t="str">
        <f>C45</f>
        <v>Calderdale</v>
      </c>
      <c r="K45" s="21"/>
    </row>
    <row r="46" spans="1:11" ht="14.4">
      <c r="A46" s="5" t="str">
        <f>F46&amp;(COUNTIFS(F$2:F46,F46,K$2:K46,"Sparse"))</f>
        <v>SD6</v>
      </c>
      <c r="B46" s="5" t="str">
        <f>J46&amp;(COUNTIF(J$2:J46,J46))</f>
        <v>Cambridgeshire1</v>
      </c>
      <c r="C46" s="8" t="s">
        <v>27</v>
      </c>
      <c r="D46" s="8" t="s">
        <v>27</v>
      </c>
      <c r="E46" s="9" t="s">
        <v>369</v>
      </c>
      <c r="F46" s="9" t="s">
        <v>381</v>
      </c>
      <c r="G46" s="9" t="s">
        <v>5</v>
      </c>
      <c r="H46" s="10" t="s">
        <v>892</v>
      </c>
      <c r="I46" s="11" t="s">
        <v>384</v>
      </c>
      <c r="J46" t="s">
        <v>302</v>
      </c>
      <c r="K46" s="21"/>
    </row>
    <row r="47" spans="1:11" ht="14.4">
      <c r="A47" s="5" t="str">
        <f>F47&amp;(COUNTIFS(F$2:F47,F47,K$2:K47,"Sparse"))</f>
        <v>SC0</v>
      </c>
      <c r="B47" s="5" t="str">
        <f>J47&amp;(COUNTIF(J$2:J47,J47))</f>
        <v>Cambridgeshire2</v>
      </c>
      <c r="C47" s="8" t="s">
        <v>302</v>
      </c>
      <c r="D47" s="8" t="s">
        <v>302</v>
      </c>
      <c r="E47" s="9" t="s">
        <v>369</v>
      </c>
      <c r="F47" s="9" t="s">
        <v>389</v>
      </c>
      <c r="G47" s="9" t="s">
        <v>301</v>
      </c>
      <c r="H47" s="11" t="s">
        <v>382</v>
      </c>
      <c r="I47" s="11" t="s">
        <v>382</v>
      </c>
      <c r="J47" t="str">
        <f>C47</f>
        <v>Cambridgeshire</v>
      </c>
      <c r="K47" s="21"/>
    </row>
    <row r="48" spans="1:11" ht="14.4">
      <c r="A48" s="5" t="str">
        <f>F48&amp;(COUNTIFS(F$2:F48,F48,K$2:K48,"Sparse"))</f>
        <v>L0</v>
      </c>
      <c r="B48" s="5" t="str">
        <f>J48&amp;(COUNTIF(J$2:J48,J48))</f>
        <v>London6</v>
      </c>
      <c r="C48" s="8" t="s">
        <v>200</v>
      </c>
      <c r="D48" s="8" t="s">
        <v>200</v>
      </c>
      <c r="E48" s="9" t="s">
        <v>383</v>
      </c>
      <c r="F48" s="9" t="s">
        <v>359</v>
      </c>
      <c r="G48" s="9" t="s">
        <v>383</v>
      </c>
      <c r="H48" s="10" t="s">
        <v>897</v>
      </c>
      <c r="I48" s="11" t="s">
        <v>384</v>
      </c>
      <c r="J48" t="str">
        <f>G48</f>
        <v>London</v>
      </c>
      <c r="K48" s="21"/>
    </row>
    <row r="49" spans="1:11" ht="14.4">
      <c r="A49" s="5" t="str">
        <f>F49&amp;(COUNTIFS(F$2:F49,F49,K$2:K49,"Sparse"))</f>
        <v>SD6</v>
      </c>
      <c r="B49" s="5" t="str">
        <f>J49&amp;(COUNTIF(J$2:J49,J49))</f>
        <v>Staffordshire1</v>
      </c>
      <c r="C49" s="8" t="s">
        <v>28</v>
      </c>
      <c r="D49" s="8" t="s">
        <v>28</v>
      </c>
      <c r="E49" s="9" t="s">
        <v>368</v>
      </c>
      <c r="F49" s="9" t="s">
        <v>381</v>
      </c>
      <c r="G49" s="9" t="s">
        <v>5</v>
      </c>
      <c r="H49" s="12" t="s">
        <v>895</v>
      </c>
      <c r="I49" s="11" t="s">
        <v>371</v>
      </c>
      <c r="J49" t="s">
        <v>327</v>
      </c>
      <c r="K49" s="21"/>
    </row>
    <row r="50" spans="1:11" ht="14.4">
      <c r="A50" s="5" t="str">
        <f>F50&amp;(COUNTIFS(F$2:F50,F50,K$2:K50,"Sparse"))</f>
        <v>SD6</v>
      </c>
      <c r="B50" s="5" t="str">
        <f>J50&amp;(COUNTIF(J$2:J50,J50))</f>
        <v>Kent2</v>
      </c>
      <c r="C50" s="8" t="s">
        <v>29</v>
      </c>
      <c r="D50" s="8" t="s">
        <v>29</v>
      </c>
      <c r="E50" s="9" t="s">
        <v>0</v>
      </c>
      <c r="F50" s="9" t="s">
        <v>381</v>
      </c>
      <c r="G50" s="9" t="s">
        <v>5</v>
      </c>
      <c r="H50" s="10" t="s">
        <v>892</v>
      </c>
      <c r="I50" s="11" t="s">
        <v>384</v>
      </c>
      <c r="J50" t="s">
        <v>315</v>
      </c>
      <c r="K50" s="21"/>
    </row>
    <row r="51" spans="1:11" ht="14.4">
      <c r="A51" s="5" t="str">
        <f>F51&amp;(COUNTIFS(F$2:F51,F51,K$2:K51,"Sparse"))</f>
        <v>SD6</v>
      </c>
      <c r="B51" s="5" t="str">
        <f>J51&amp;(COUNTIF(J$2:J51,J51))</f>
        <v>Cumbria3</v>
      </c>
      <c r="C51" s="8" t="s">
        <v>30</v>
      </c>
      <c r="D51" s="8" t="s">
        <v>30</v>
      </c>
      <c r="E51" s="9" t="s">
        <v>376</v>
      </c>
      <c r="F51" s="9" t="s">
        <v>381</v>
      </c>
      <c r="G51" s="9" t="s">
        <v>5</v>
      </c>
      <c r="H51" s="12" t="s">
        <v>895</v>
      </c>
      <c r="I51" s="11" t="s">
        <v>371</v>
      </c>
      <c r="J51" t="s">
        <v>306</v>
      </c>
      <c r="K51" s="21"/>
    </row>
    <row r="52" spans="1:11" ht="14.4">
      <c r="A52" s="5" t="str">
        <f>F52&amp;(COUNTIFS(F$2:F52,F52,K$2:K52,"Sparse"))</f>
        <v>SD6</v>
      </c>
      <c r="B52" s="5" t="str">
        <f>J52&amp;(COUNTIF(J$2:J52,J52))</f>
        <v>Essex4</v>
      </c>
      <c r="C52" s="8" t="s">
        <v>31</v>
      </c>
      <c r="D52" s="8" t="s">
        <v>31</v>
      </c>
      <c r="E52" s="9" t="s">
        <v>369</v>
      </c>
      <c r="F52" s="9" t="s">
        <v>381</v>
      </c>
      <c r="G52" s="9" t="s">
        <v>5</v>
      </c>
      <c r="H52" s="10" t="s">
        <v>892</v>
      </c>
      <c r="I52" s="11" t="s">
        <v>384</v>
      </c>
      <c r="J52" t="s">
        <v>311</v>
      </c>
      <c r="K52" s="21"/>
    </row>
    <row r="53" spans="1:11" ht="14.4">
      <c r="A53" s="5" t="str">
        <f>F53&amp;(COUNTIFS(F$2:F53,F53,K$2:K53,"Sparse"))</f>
        <v>UA0</v>
      </c>
      <c r="B53" s="5" t="str">
        <f>J53&amp;(COUNTIF(J$2:J53,J53))</f>
        <v>Unitary10</v>
      </c>
      <c r="C53" s="8" t="s">
        <v>303</v>
      </c>
      <c r="D53" s="8" t="s">
        <v>303</v>
      </c>
      <c r="E53" s="9" t="s">
        <v>369</v>
      </c>
      <c r="F53" s="9" t="s">
        <v>387</v>
      </c>
      <c r="G53" s="9" t="s">
        <v>396</v>
      </c>
      <c r="H53" s="12" t="s">
        <v>896</v>
      </c>
      <c r="I53" s="11" t="s">
        <v>382</v>
      </c>
      <c r="J53" s="22" t="s">
        <v>396</v>
      </c>
      <c r="K53" s="21"/>
    </row>
    <row r="54" spans="1:11" ht="14.4">
      <c r="A54" s="5" t="str">
        <f>F54&amp;(COUNTIFS(F$2:F54,F54,K$2:K54,"Sparse"))</f>
        <v>SD6</v>
      </c>
      <c r="B54" s="5" t="str">
        <f>J54&amp;(COUNTIF(J$2:J54,J54))</f>
        <v>Leicestershire2</v>
      </c>
      <c r="C54" s="8" t="s">
        <v>32</v>
      </c>
      <c r="D54" s="8" t="s">
        <v>32</v>
      </c>
      <c r="E54" s="9" t="s">
        <v>367</v>
      </c>
      <c r="F54" s="9" t="s">
        <v>381</v>
      </c>
      <c r="G54" s="9" t="s">
        <v>5</v>
      </c>
      <c r="H54" s="10" t="s">
        <v>892</v>
      </c>
      <c r="I54" s="11" t="s">
        <v>384</v>
      </c>
      <c r="J54" t="s">
        <v>317</v>
      </c>
      <c r="K54" s="21"/>
    </row>
    <row r="55" spans="1:11" ht="14.4">
      <c r="A55" s="5" t="str">
        <f>F55&amp;(COUNTIFS(F$2:F55,F55,K$2:K55,"Sparse"))</f>
        <v>SD6</v>
      </c>
      <c r="B55" s="5" t="str">
        <f>J55&amp;(COUNTIF(J$2:J55,J55))</f>
        <v>Essex5</v>
      </c>
      <c r="C55" s="8" t="s">
        <v>33</v>
      </c>
      <c r="D55" s="8" t="s">
        <v>33</v>
      </c>
      <c r="E55" s="9" t="s">
        <v>369</v>
      </c>
      <c r="F55" s="9" t="s">
        <v>381</v>
      </c>
      <c r="G55" s="9" t="s">
        <v>5</v>
      </c>
      <c r="H55" s="10" t="s">
        <v>892</v>
      </c>
      <c r="I55" s="11" t="s">
        <v>384</v>
      </c>
      <c r="J55" t="s">
        <v>311</v>
      </c>
      <c r="K55" s="21"/>
    </row>
    <row r="56" spans="1:11" ht="14.4">
      <c r="A56" s="5" t="str">
        <f>F56&amp;(COUNTIFS(F$2:F56,F56,K$2:K56,"Sparse"))</f>
        <v>SD6</v>
      </c>
      <c r="B56" s="5" t="str">
        <f>J56&amp;(COUNTIF(J$2:J56,J56))</f>
        <v>Gloucestershire1</v>
      </c>
      <c r="C56" s="8" t="s">
        <v>34</v>
      </c>
      <c r="D56" s="8" t="s">
        <v>34</v>
      </c>
      <c r="E56" s="9" t="s">
        <v>1</v>
      </c>
      <c r="F56" s="9" t="s">
        <v>381</v>
      </c>
      <c r="G56" s="9" t="s">
        <v>5</v>
      </c>
      <c r="H56" s="10" t="s">
        <v>892</v>
      </c>
      <c r="I56" s="11" t="s">
        <v>384</v>
      </c>
      <c r="J56" t="s">
        <v>312</v>
      </c>
      <c r="K56" s="21"/>
    </row>
    <row r="57" spans="1:11" ht="14.4">
      <c r="A57" s="5" t="str">
        <f>F57&amp;(COUNTIFS(F$2:F57,F57,K$2:K57,"Sparse"))</f>
        <v>SD7</v>
      </c>
      <c r="B57" s="5" t="str">
        <f>J57&amp;(COUNTIF(J$2:J57,J57))</f>
        <v>Oxfordshire1</v>
      </c>
      <c r="C57" s="8" t="s">
        <v>35</v>
      </c>
      <c r="D57" s="8" t="s">
        <v>35</v>
      </c>
      <c r="E57" s="9" t="s">
        <v>0</v>
      </c>
      <c r="F57" s="9" t="s">
        <v>381</v>
      </c>
      <c r="G57" s="9" t="s">
        <v>5</v>
      </c>
      <c r="H57" s="12" t="s">
        <v>895</v>
      </c>
      <c r="I57" s="11" t="s">
        <v>371</v>
      </c>
      <c r="J57" t="s">
        <v>324</v>
      </c>
      <c r="K57" s="21" t="s">
        <v>335</v>
      </c>
    </row>
    <row r="58" spans="1:11" ht="14.4">
      <c r="A58" s="5" t="str">
        <f>F58&amp;(COUNTIFS(F$2:F58,F58,K$2:K58,"Sparse"))</f>
        <v>UA1</v>
      </c>
      <c r="B58" s="5" t="str">
        <f>J58&amp;(COUNTIF(J$2:J58,J58))</f>
        <v>Unitary11</v>
      </c>
      <c r="C58" s="8" t="s">
        <v>304</v>
      </c>
      <c r="D58" s="8" t="s">
        <v>304</v>
      </c>
      <c r="E58" s="9" t="s">
        <v>376</v>
      </c>
      <c r="F58" s="9" t="s">
        <v>387</v>
      </c>
      <c r="G58" s="9" t="s">
        <v>396</v>
      </c>
      <c r="H58" s="12" t="s">
        <v>895</v>
      </c>
      <c r="I58" s="11" t="s">
        <v>371</v>
      </c>
      <c r="J58" s="22" t="s">
        <v>396</v>
      </c>
      <c r="K58" s="21" t="s">
        <v>335</v>
      </c>
    </row>
    <row r="59" spans="1:11" ht="14.4">
      <c r="A59" s="5" t="str">
        <f>F59&amp;(COUNTIFS(F$2:F59,F59,K$2:K59,"Sparse"))</f>
        <v>UA1</v>
      </c>
      <c r="B59" s="5" t="str">
        <f>J59&amp;(COUNTIF(J$2:J59,J59))</f>
        <v>Unitary12</v>
      </c>
      <c r="C59" s="8" t="s">
        <v>812</v>
      </c>
      <c r="D59" s="8" t="s">
        <v>812</v>
      </c>
      <c r="E59" s="9" t="s">
        <v>376</v>
      </c>
      <c r="F59" s="9" t="s">
        <v>387</v>
      </c>
      <c r="G59" s="9" t="s">
        <v>396</v>
      </c>
      <c r="H59" s="12" t="s">
        <v>895</v>
      </c>
      <c r="I59" s="11" t="s">
        <v>371</v>
      </c>
      <c r="J59" s="22" t="s">
        <v>396</v>
      </c>
      <c r="K59" s="21"/>
    </row>
    <row r="60" spans="1:11" ht="14.4">
      <c r="A60" s="5" t="str">
        <f>F60&amp;(COUNTIFS(F$2:F60,F60,K$2:K60,"Sparse"))</f>
        <v>SD7</v>
      </c>
      <c r="B60" s="5" t="str">
        <f>J60&amp;(COUNTIF(J$2:J60,J60))</f>
        <v>Derbyshire3</v>
      </c>
      <c r="C60" s="8" t="s">
        <v>36</v>
      </c>
      <c r="D60" s="8" t="s">
        <v>36</v>
      </c>
      <c r="E60" s="9" t="s">
        <v>367</v>
      </c>
      <c r="F60" s="9" t="s">
        <v>381</v>
      </c>
      <c r="G60" s="9" t="s">
        <v>5</v>
      </c>
      <c r="H60" s="10" t="s">
        <v>892</v>
      </c>
      <c r="I60" s="11" t="s">
        <v>384</v>
      </c>
      <c r="J60" t="s">
        <v>307</v>
      </c>
      <c r="K60" s="21"/>
    </row>
    <row r="61" spans="1:11" ht="14.4">
      <c r="A61" s="5" t="str">
        <f>F61&amp;(COUNTIFS(F$2:F61,F61,K$2:K61,"Sparse"))</f>
        <v>SD8</v>
      </c>
      <c r="B61" s="5" t="str">
        <f>J61&amp;(COUNTIF(J$2:J61,J61))</f>
        <v>West Sussex3</v>
      </c>
      <c r="C61" s="8" t="s">
        <v>37</v>
      </c>
      <c r="D61" s="8" t="s">
        <v>37</v>
      </c>
      <c r="E61" s="9" t="s">
        <v>0</v>
      </c>
      <c r="F61" s="9" t="s">
        <v>381</v>
      </c>
      <c r="G61" s="9" t="s">
        <v>5</v>
      </c>
      <c r="H61" s="10" t="s">
        <v>896</v>
      </c>
      <c r="I61" s="11" t="s">
        <v>382</v>
      </c>
      <c r="J61" t="s">
        <v>331</v>
      </c>
      <c r="K61" s="21" t="s">
        <v>335</v>
      </c>
    </row>
    <row r="62" spans="1:11" ht="14.4">
      <c r="A62" s="5" t="str">
        <f>F62&amp;(COUNTIFS(F$2:F62,F62,K$2:K62,"Sparse"))</f>
        <v>SD8</v>
      </c>
      <c r="B62" s="5" t="str">
        <f>J62&amp;(COUNTIF(J$2:J62,J62))</f>
        <v>Buckinghamshire3</v>
      </c>
      <c r="C62" s="8" t="s">
        <v>38</v>
      </c>
      <c r="D62" s="8" t="s">
        <v>38</v>
      </c>
      <c r="E62" s="9" t="s">
        <v>0</v>
      </c>
      <c r="F62" s="9" t="s">
        <v>381</v>
      </c>
      <c r="G62" s="9" t="s">
        <v>5</v>
      </c>
      <c r="H62" s="12" t="s">
        <v>895</v>
      </c>
      <c r="I62" s="11" t="s">
        <v>371</v>
      </c>
      <c r="J62" t="s">
        <v>300</v>
      </c>
      <c r="K62" s="21"/>
    </row>
    <row r="63" spans="1:11" ht="14.4">
      <c r="A63" s="5" t="str">
        <f>F63&amp;(COUNTIFS(F$2:F63,F63,K$2:K63,"Sparse"))</f>
        <v>SD8</v>
      </c>
      <c r="B63" s="5" t="str">
        <f>J63&amp;(COUNTIF(J$2:J63,J63))</f>
        <v>Lancashire2</v>
      </c>
      <c r="C63" s="8" t="s">
        <v>39</v>
      </c>
      <c r="D63" s="8" t="s">
        <v>39</v>
      </c>
      <c r="E63" s="9" t="s">
        <v>376</v>
      </c>
      <c r="F63" s="9" t="s">
        <v>381</v>
      </c>
      <c r="G63" s="9" t="s">
        <v>5</v>
      </c>
      <c r="H63" s="12" t="s">
        <v>895</v>
      </c>
      <c r="I63" s="11" t="s">
        <v>371</v>
      </c>
      <c r="J63" t="s">
        <v>316</v>
      </c>
      <c r="K63" s="21"/>
    </row>
    <row r="64" spans="1:11" ht="14.4">
      <c r="A64" s="5" t="str">
        <f>F64&amp;(COUNTIFS(F$2:F64,F64,K$2:K64,"Sparse"))</f>
        <v>SD8</v>
      </c>
      <c r="B64" s="5" t="str">
        <f>J64&amp;(COUNTIF(J$2:J64,J64))</f>
        <v>Dorset1</v>
      </c>
      <c r="C64" s="8" t="s">
        <v>40</v>
      </c>
      <c r="D64" s="8" t="s">
        <v>40</v>
      </c>
      <c r="E64" s="9" t="s">
        <v>1</v>
      </c>
      <c r="F64" s="9" t="s">
        <v>381</v>
      </c>
      <c r="G64" s="9" t="s">
        <v>5</v>
      </c>
      <c r="H64" s="10" t="s">
        <v>892</v>
      </c>
      <c r="I64" s="11" t="s">
        <v>384</v>
      </c>
      <c r="J64" t="s">
        <v>309</v>
      </c>
      <c r="K64" s="21"/>
    </row>
    <row r="65" spans="1:11" ht="14.4">
      <c r="A65" s="5" t="str">
        <f>F65&amp;(COUNTIFS(F$2:F65,F65,K$2:K65,"Sparse"))</f>
        <v>L0</v>
      </c>
      <c r="B65" s="5" t="str">
        <f>J65&amp;(COUNTIF(J$2:J65,J65))</f>
        <v>London7</v>
      </c>
      <c r="C65" s="8" t="s">
        <v>370</v>
      </c>
      <c r="D65" s="8" t="s">
        <v>370</v>
      </c>
      <c r="E65" s="9" t="s">
        <v>383</v>
      </c>
      <c r="F65" s="9" t="s">
        <v>359</v>
      </c>
      <c r="G65" s="9" t="s">
        <v>383</v>
      </c>
      <c r="H65" s="13" t="s">
        <v>897</v>
      </c>
      <c r="I65" s="11" t="s">
        <v>384</v>
      </c>
      <c r="J65" t="str">
        <f>G65</f>
        <v>London</v>
      </c>
      <c r="K65" s="21"/>
    </row>
    <row r="66" spans="1:11" ht="14.4">
      <c r="A66" s="5" t="str">
        <f>F66&amp;(COUNTIFS(F$2:F66,F66,K$2:K66,"Sparse"))</f>
        <v>SD8</v>
      </c>
      <c r="B66" s="5" t="str">
        <f>J66&amp;(COUNTIF(J$2:J66,J66))</f>
        <v>Essex6</v>
      </c>
      <c r="C66" s="8" t="s">
        <v>41</v>
      </c>
      <c r="D66" s="8" t="s">
        <v>41</v>
      </c>
      <c r="E66" s="9" t="s">
        <v>369</v>
      </c>
      <c r="F66" s="9" t="s">
        <v>381</v>
      </c>
      <c r="G66" s="9" t="s">
        <v>5</v>
      </c>
      <c r="H66" s="12" t="s">
        <v>895</v>
      </c>
      <c r="I66" s="11" t="s">
        <v>371</v>
      </c>
      <c r="J66" t="s">
        <v>311</v>
      </c>
      <c r="K66" s="21"/>
    </row>
    <row r="67" spans="1:11" ht="14.4">
      <c r="A67" s="5" t="str">
        <f>F67&amp;(COUNTIFS(F$2:F67,F67,K$2:K67,"Sparse"))</f>
        <v>SD9</v>
      </c>
      <c r="B67" s="5" t="str">
        <f>J67&amp;(COUNTIF(J$2:J67,J67))</f>
        <v>Cumbria4</v>
      </c>
      <c r="C67" s="8" t="s">
        <v>42</v>
      </c>
      <c r="D67" s="8" t="s">
        <v>42</v>
      </c>
      <c r="E67" s="9" t="s">
        <v>376</v>
      </c>
      <c r="F67" s="9" t="s">
        <v>381</v>
      </c>
      <c r="G67" s="9" t="s">
        <v>5</v>
      </c>
      <c r="H67" s="10" t="s">
        <v>893</v>
      </c>
      <c r="I67" s="11" t="s">
        <v>382</v>
      </c>
      <c r="J67" t="s">
        <v>306</v>
      </c>
      <c r="K67" s="21" t="s">
        <v>335</v>
      </c>
    </row>
    <row r="68" spans="1:11" ht="14.4">
      <c r="A68" s="5" t="str">
        <f>F68&amp;(COUNTIFS(F$2:F68,F68,K$2:K68,"Sparse"))</f>
        <v>SD9</v>
      </c>
      <c r="B68" s="5" t="str">
        <f>J68&amp;(COUNTIF(J$2:J68,J68))</f>
        <v>Northamptonshire1</v>
      </c>
      <c r="C68" s="8" t="s">
        <v>43</v>
      </c>
      <c r="D68" s="8" t="s">
        <v>43</v>
      </c>
      <c r="E68" s="9" t="s">
        <v>367</v>
      </c>
      <c r="F68" s="9" t="s">
        <v>381</v>
      </c>
      <c r="G68" s="9" t="s">
        <v>5</v>
      </c>
      <c r="H68" s="10" t="s">
        <v>892</v>
      </c>
      <c r="I68" s="11" t="s">
        <v>384</v>
      </c>
      <c r="J68" t="s">
        <v>321</v>
      </c>
      <c r="K68" s="21"/>
    </row>
    <row r="69" spans="1:11" ht="14.4">
      <c r="A69" s="5" t="str">
        <f>F69&amp;(COUNTIFS(F$2:F69,F69,K$2:K69,"Sparse"))</f>
        <v>UA2</v>
      </c>
      <c r="B69" s="5" t="str">
        <f>J69&amp;(COUNTIF(J$2:J69,J69))</f>
        <v>Unitary13</v>
      </c>
      <c r="C69" s="8" t="s">
        <v>305</v>
      </c>
      <c r="D69" s="8" t="s">
        <v>305</v>
      </c>
      <c r="E69" s="9" t="s">
        <v>1</v>
      </c>
      <c r="F69" s="9" t="s">
        <v>387</v>
      </c>
      <c r="G69" s="9" t="s">
        <v>396</v>
      </c>
      <c r="H69" s="12" t="s">
        <v>893</v>
      </c>
      <c r="I69" s="11" t="s">
        <v>382</v>
      </c>
      <c r="J69" s="22" t="s">
        <v>396</v>
      </c>
      <c r="K69" s="21" t="s">
        <v>335</v>
      </c>
    </row>
    <row r="70" spans="1:11" ht="14.4">
      <c r="A70" s="5" t="str">
        <f>F70&amp;(COUNTIFS(F$2:F70,F70,K$2:K70,"Sparse"))</f>
        <v>SD10</v>
      </c>
      <c r="B70" s="5" t="str">
        <f>J70&amp;(COUNTIF(J$2:J70,J70))</f>
        <v>Gloucestershire2</v>
      </c>
      <c r="C70" s="8" t="s">
        <v>44</v>
      </c>
      <c r="D70" s="8" t="s">
        <v>44</v>
      </c>
      <c r="E70" s="9" t="s">
        <v>1</v>
      </c>
      <c r="F70" s="9" t="s">
        <v>381</v>
      </c>
      <c r="G70" s="9" t="s">
        <v>5</v>
      </c>
      <c r="H70" s="10" t="s">
        <v>893</v>
      </c>
      <c r="I70" s="11" t="s">
        <v>382</v>
      </c>
      <c r="J70" t="s">
        <v>312</v>
      </c>
      <c r="K70" s="21" t="s">
        <v>335</v>
      </c>
    </row>
    <row r="71" spans="1:11" ht="14.4">
      <c r="A71" s="5" t="str">
        <f>F71&amp;(COUNTIFS(F$2:F71,F71,K$2:K71,"Sparse"))</f>
        <v>MD0</v>
      </c>
      <c r="B71" s="5" t="str">
        <f>J71&amp;(COUNTIF(J$2:J71,J71))</f>
        <v>Coventry1</v>
      </c>
      <c r="C71" s="8" t="s">
        <v>228</v>
      </c>
      <c r="D71" s="8" t="s">
        <v>228</v>
      </c>
      <c r="E71" s="9" t="s">
        <v>368</v>
      </c>
      <c r="F71" s="9" t="s">
        <v>386</v>
      </c>
      <c r="G71" s="9" t="s">
        <v>397</v>
      </c>
      <c r="H71" s="10" t="s">
        <v>892</v>
      </c>
      <c r="I71" s="11" t="s">
        <v>384</v>
      </c>
      <c r="J71" t="str">
        <f>C71</f>
        <v>Coventry</v>
      </c>
      <c r="K71" s="21"/>
    </row>
    <row r="72" spans="1:11" ht="14.4">
      <c r="A72" s="5" t="str">
        <f>F72&amp;(COUNTIFS(F$2:F72,F72,K$2:K72,"Sparse"))</f>
        <v>SD11</v>
      </c>
      <c r="B72" s="5" t="str">
        <f>J72&amp;(COUNTIF(J$2:J72,J72))</f>
        <v>North Yorkshire1</v>
      </c>
      <c r="C72" s="8" t="s">
        <v>45</v>
      </c>
      <c r="D72" s="8" t="s">
        <v>45</v>
      </c>
      <c r="E72" s="9" t="s">
        <v>385</v>
      </c>
      <c r="F72" s="9" t="s">
        <v>381</v>
      </c>
      <c r="G72" s="9" t="s">
        <v>5</v>
      </c>
      <c r="H72" s="10" t="s">
        <v>893</v>
      </c>
      <c r="I72" s="11" t="s">
        <v>382</v>
      </c>
      <c r="J72" t="s">
        <v>320</v>
      </c>
      <c r="K72" s="21" t="s">
        <v>335</v>
      </c>
    </row>
    <row r="73" spans="1:11" ht="14.4">
      <c r="A73" s="5" t="str">
        <f>F73&amp;(COUNTIFS(F$2:F73,F73,K$2:K73,"Sparse"))</f>
        <v>SD11</v>
      </c>
      <c r="B73" s="5" t="str">
        <f>J73&amp;(COUNTIF(J$2:J73,J73))</f>
        <v>West Sussex4</v>
      </c>
      <c r="C73" s="8" t="s">
        <v>46</v>
      </c>
      <c r="D73" s="8" t="s">
        <v>46</v>
      </c>
      <c r="E73" s="9" t="s">
        <v>0</v>
      </c>
      <c r="F73" s="9" t="s">
        <v>381</v>
      </c>
      <c r="G73" s="9" t="s">
        <v>5</v>
      </c>
      <c r="H73" s="10" t="s">
        <v>892</v>
      </c>
      <c r="I73" s="11" t="s">
        <v>384</v>
      </c>
      <c r="J73" t="s">
        <v>331</v>
      </c>
      <c r="K73" s="21"/>
    </row>
    <row r="74" spans="1:11" ht="14.4">
      <c r="A74" s="5" t="str">
        <f>F74&amp;(COUNTIFS(F$2:F74,F74,K$2:K74,"Sparse"))</f>
        <v>L0</v>
      </c>
      <c r="B74" s="5" t="str">
        <f>J74&amp;(COUNTIF(J$2:J74,J74))</f>
        <v>London8</v>
      </c>
      <c r="C74" s="8" t="s">
        <v>201</v>
      </c>
      <c r="D74" s="8" t="s">
        <v>201</v>
      </c>
      <c r="E74" s="9" t="s">
        <v>383</v>
      </c>
      <c r="F74" s="9" t="s">
        <v>359</v>
      </c>
      <c r="G74" s="9" t="s">
        <v>383</v>
      </c>
      <c r="H74" s="10" t="s">
        <v>897</v>
      </c>
      <c r="I74" s="11" t="s">
        <v>384</v>
      </c>
      <c r="J74" t="str">
        <f>G74</f>
        <v>London</v>
      </c>
      <c r="K74" s="21"/>
    </row>
    <row r="75" spans="1:11" ht="14.4">
      <c r="A75" s="5" t="str">
        <f>F75&amp;(COUNTIFS(F$2:F75,F75,K$2:K75,"Sparse"))</f>
        <v>SC1</v>
      </c>
      <c r="B75" s="5" t="str">
        <f>J75&amp;(COUNTIF(J$2:J75,J75))</f>
        <v>Cumbria5</v>
      </c>
      <c r="C75" s="8" t="s">
        <v>306</v>
      </c>
      <c r="D75" s="8" t="s">
        <v>306</v>
      </c>
      <c r="E75" s="9" t="s">
        <v>376</v>
      </c>
      <c r="F75" s="9" t="s">
        <v>389</v>
      </c>
      <c r="G75" s="9" t="s">
        <v>301</v>
      </c>
      <c r="H75" s="11" t="s">
        <v>382</v>
      </c>
      <c r="I75" s="11" t="s">
        <v>382</v>
      </c>
      <c r="J75" t="str">
        <f>C75</f>
        <v>Cumbria</v>
      </c>
      <c r="K75" s="21" t="s">
        <v>335</v>
      </c>
    </row>
    <row r="76" spans="1:11" ht="14.4">
      <c r="A76" s="5" t="str">
        <f>F76&amp;(COUNTIFS(F$2:F76,F76,K$2:K76,"Sparse"))</f>
        <v>SD11</v>
      </c>
      <c r="B76" s="5" t="str">
        <f>J76&amp;(COUNTIF(J$2:J76,J76))</f>
        <v>Hertfordshire2</v>
      </c>
      <c r="C76" s="8" t="s">
        <v>47</v>
      </c>
      <c r="D76" s="8" t="s">
        <v>47</v>
      </c>
      <c r="E76" s="9" t="s">
        <v>369</v>
      </c>
      <c r="F76" s="9" t="s">
        <v>381</v>
      </c>
      <c r="G76" s="9" t="s">
        <v>5</v>
      </c>
      <c r="H76" s="12" t="s">
        <v>895</v>
      </c>
      <c r="I76" s="11" t="s">
        <v>371</v>
      </c>
      <c r="J76" t="s">
        <v>314</v>
      </c>
      <c r="K76" s="21"/>
    </row>
    <row r="77" spans="1:11" ht="14.4">
      <c r="A77" s="5" t="str">
        <f>F77&amp;(COUNTIFS(F$2:F77,F77,K$2:K77,"Sparse"))</f>
        <v>UA2</v>
      </c>
      <c r="B77" s="5" t="str">
        <f>J77&amp;(COUNTIF(J$2:J77,J77))</f>
        <v>Unitary14</v>
      </c>
      <c r="C77" s="8" t="s">
        <v>264</v>
      </c>
      <c r="D77" s="8" t="s">
        <v>264</v>
      </c>
      <c r="E77" s="9" t="s">
        <v>390</v>
      </c>
      <c r="F77" s="9" t="s">
        <v>387</v>
      </c>
      <c r="G77" s="9" t="s">
        <v>396</v>
      </c>
      <c r="H77" s="10" t="s">
        <v>892</v>
      </c>
      <c r="I77" s="11" t="s">
        <v>384</v>
      </c>
      <c r="J77" s="22" t="s">
        <v>396</v>
      </c>
      <c r="K77" s="21"/>
    </row>
    <row r="78" spans="1:11" ht="14.4">
      <c r="A78" s="5" t="str">
        <f>F78&amp;(COUNTIFS(F$2:F78,F78,K$2:K78,"Sparse"))</f>
        <v>SD11</v>
      </c>
      <c r="B78" s="5" t="str">
        <f>J78&amp;(COUNTIF(J$2:J78,J78))</f>
        <v>Kent3</v>
      </c>
      <c r="C78" s="8" t="s">
        <v>48</v>
      </c>
      <c r="D78" s="8" t="s">
        <v>48</v>
      </c>
      <c r="E78" s="9" t="s">
        <v>0</v>
      </c>
      <c r="F78" s="9" t="s">
        <v>381</v>
      </c>
      <c r="G78" s="9" t="s">
        <v>5</v>
      </c>
      <c r="H78" s="10" t="s">
        <v>897</v>
      </c>
      <c r="I78" s="11" t="s">
        <v>384</v>
      </c>
      <c r="J78" t="s">
        <v>315</v>
      </c>
      <c r="K78" s="21"/>
    </row>
    <row r="79" spans="1:11" ht="14.4">
      <c r="A79" s="5" t="str">
        <f>F79&amp;(COUNTIFS(F$2:F79,F79,K$2:K79,"Sparse"))</f>
        <v>SD12</v>
      </c>
      <c r="B79" s="5" t="str">
        <f>J79&amp;(COUNTIF(J$2:J79,J79))</f>
        <v>Northamptonshire2</v>
      </c>
      <c r="C79" s="8" t="s">
        <v>49</v>
      </c>
      <c r="D79" s="8" t="s">
        <v>49</v>
      </c>
      <c r="E79" s="9" t="s">
        <v>367</v>
      </c>
      <c r="F79" s="9" t="s">
        <v>381</v>
      </c>
      <c r="G79" s="9" t="s">
        <v>5</v>
      </c>
      <c r="H79" s="10" t="s">
        <v>893</v>
      </c>
      <c r="I79" s="11" t="s">
        <v>382</v>
      </c>
      <c r="J79" t="s">
        <v>321</v>
      </c>
      <c r="K79" s="21" t="s">
        <v>335</v>
      </c>
    </row>
    <row r="80" spans="1:11" ht="14.4">
      <c r="A80" s="5" t="str">
        <f>F80&amp;(COUNTIFS(F$2:F80,F80,K$2:K80,"Sparse"))</f>
        <v>UA2</v>
      </c>
      <c r="B80" s="5" t="str">
        <f>J80&amp;(COUNTIF(J$2:J80,J80))</f>
        <v>Unitary15</v>
      </c>
      <c r="C80" s="8" t="s">
        <v>265</v>
      </c>
      <c r="D80" s="8" t="s">
        <v>265</v>
      </c>
      <c r="E80" s="9" t="s">
        <v>367</v>
      </c>
      <c r="F80" s="9" t="s">
        <v>387</v>
      </c>
      <c r="G80" s="9" t="s">
        <v>396</v>
      </c>
      <c r="H80" s="10" t="s">
        <v>892</v>
      </c>
      <c r="I80" s="11" t="s">
        <v>384</v>
      </c>
      <c r="J80" s="22" t="s">
        <v>396</v>
      </c>
      <c r="K80" s="21"/>
    </row>
    <row r="81" spans="1:11" ht="14.4">
      <c r="A81" s="5" t="str">
        <f>F81&amp;(COUNTIFS(F$2:F81,F81,K$2:K81,"Sparse"))</f>
        <v>SC2</v>
      </c>
      <c r="B81" s="5" t="str">
        <f>J81&amp;(COUNTIF(J$2:J81,J81))</f>
        <v>Derbyshire4</v>
      </c>
      <c r="C81" s="8" t="s">
        <v>307</v>
      </c>
      <c r="D81" s="8" t="s">
        <v>307</v>
      </c>
      <c r="E81" s="9" t="s">
        <v>367</v>
      </c>
      <c r="F81" s="9" t="s">
        <v>389</v>
      </c>
      <c r="G81" s="9" t="s">
        <v>301</v>
      </c>
      <c r="H81" s="11" t="s">
        <v>371</v>
      </c>
      <c r="I81" s="11" t="s">
        <v>371</v>
      </c>
      <c r="J81" t="str">
        <f>C81</f>
        <v>Derbyshire</v>
      </c>
      <c r="K81" s="21" t="s">
        <v>335</v>
      </c>
    </row>
    <row r="82" spans="1:11" ht="14.4">
      <c r="A82" s="5" t="str">
        <f>F82&amp;(COUNTIFS(F$2:F82,F82,K$2:K82,"Sparse"))</f>
        <v>SD13</v>
      </c>
      <c r="B82" s="5" t="str">
        <f>J82&amp;(COUNTIF(J$2:J82,J82))</f>
        <v>Derbyshire5</v>
      </c>
      <c r="C82" s="8" t="s">
        <v>50</v>
      </c>
      <c r="D82" s="8" t="s">
        <v>50</v>
      </c>
      <c r="E82" s="9" t="s">
        <v>367</v>
      </c>
      <c r="F82" s="9" t="s">
        <v>381</v>
      </c>
      <c r="G82" s="9" t="s">
        <v>5</v>
      </c>
      <c r="H82" s="10" t="s">
        <v>893</v>
      </c>
      <c r="I82" s="11" t="s">
        <v>382</v>
      </c>
      <c r="J82" t="s">
        <v>307</v>
      </c>
      <c r="K82" s="21" t="s">
        <v>335</v>
      </c>
    </row>
    <row r="83" spans="1:11" ht="14.4">
      <c r="A83" s="5" t="str">
        <f>F83&amp;(COUNTIFS(F$2:F83,F83,K$2:K83,"Sparse"))</f>
        <v>SC3</v>
      </c>
      <c r="B83" s="5" t="str">
        <f>J83&amp;(COUNTIF(J$2:J83,J83))</f>
        <v>Devon1</v>
      </c>
      <c r="C83" s="8" t="s">
        <v>308</v>
      </c>
      <c r="D83" s="8" t="s">
        <v>308</v>
      </c>
      <c r="E83" s="9" t="s">
        <v>1</v>
      </c>
      <c r="F83" s="9" t="s">
        <v>389</v>
      </c>
      <c r="G83" s="9" t="s">
        <v>301</v>
      </c>
      <c r="H83" s="11" t="s">
        <v>382</v>
      </c>
      <c r="I83" s="11" t="s">
        <v>382</v>
      </c>
      <c r="J83" t="str">
        <f>C83</f>
        <v>Devon</v>
      </c>
      <c r="K83" s="21" t="s">
        <v>335</v>
      </c>
    </row>
    <row r="84" spans="1:11" ht="14.4">
      <c r="A84" s="5" t="str">
        <f>F84&amp;(COUNTIFS(F$2:F84,F84,K$2:K84,"Sparse"))</f>
        <v>MD0</v>
      </c>
      <c r="B84" s="5" t="str">
        <f>J84&amp;(COUNTIF(J$2:J84,J84))</f>
        <v>Doncaster1</v>
      </c>
      <c r="C84" s="8" t="s">
        <v>229</v>
      </c>
      <c r="D84" s="8" t="s">
        <v>229</v>
      </c>
      <c r="E84" s="9" t="s">
        <v>385</v>
      </c>
      <c r="F84" s="9" t="s">
        <v>386</v>
      </c>
      <c r="G84" s="9" t="s">
        <v>397</v>
      </c>
      <c r="H84" s="10" t="s">
        <v>894</v>
      </c>
      <c r="I84" s="11" t="s">
        <v>384</v>
      </c>
      <c r="J84" t="str">
        <f>C84</f>
        <v>Doncaster</v>
      </c>
      <c r="K84" s="21"/>
    </row>
    <row r="85" spans="1:11" ht="14.4">
      <c r="A85" s="5" t="str">
        <f>F85&amp;(COUNTIFS(F$2:F85,F85,K$2:K85,"Sparse"))</f>
        <v>SC3</v>
      </c>
      <c r="B85" s="5" t="str">
        <f>J85&amp;(COUNTIF(J$2:J85,J85))</f>
        <v>Dorset2</v>
      </c>
      <c r="C85" s="8" t="s">
        <v>309</v>
      </c>
      <c r="D85" s="8" t="s">
        <v>309</v>
      </c>
      <c r="E85" s="9" t="s">
        <v>1</v>
      </c>
      <c r="F85" s="9" t="s">
        <v>389</v>
      </c>
      <c r="G85" s="9" t="s">
        <v>301</v>
      </c>
      <c r="H85" s="11" t="s">
        <v>382</v>
      </c>
      <c r="I85" s="11" t="s">
        <v>382</v>
      </c>
      <c r="J85" t="str">
        <f>C85</f>
        <v>Dorset</v>
      </c>
      <c r="K85" s="21"/>
    </row>
    <row r="86" spans="1:11" ht="14.4">
      <c r="A86" s="5" t="str">
        <f>F86&amp;(COUNTIFS(F$2:F86,F86,K$2:K86,"Sparse"))</f>
        <v>UA2</v>
      </c>
      <c r="B86" s="5" t="str">
        <f>J86&amp;(COUNTIF(J$2:J86,J86))</f>
        <v>Unitary16</v>
      </c>
      <c r="C86" t="s">
        <v>907</v>
      </c>
      <c r="D86" t="s">
        <v>907</v>
      </c>
      <c r="E86" s="282" t="s">
        <v>1</v>
      </c>
      <c r="F86" s="285" t="s">
        <v>387</v>
      </c>
      <c r="G86" s="285" t="s">
        <v>396</v>
      </c>
      <c r="H86" s="284" t="s">
        <v>382</v>
      </c>
      <c r="I86" s="284" t="s">
        <v>382</v>
      </c>
      <c r="J86" t="s">
        <v>396</v>
      </c>
    </row>
    <row r="87" spans="1:11" ht="14.4">
      <c r="A87" s="5" t="str">
        <f>F87&amp;(COUNTIFS(F$2:F87,F87,K$2:K87,"Sparse"))</f>
        <v>SD13</v>
      </c>
      <c r="B87" s="5" t="str">
        <f>J87&amp;(COUNTIF(J$2:J87,J87))</f>
        <v>Kent4</v>
      </c>
      <c r="C87" s="19" t="s">
        <v>51</v>
      </c>
      <c r="D87" s="19" t="s">
        <v>51</v>
      </c>
      <c r="E87" s="9" t="s">
        <v>0</v>
      </c>
      <c r="F87" s="9" t="s">
        <v>381</v>
      </c>
      <c r="G87" s="9" t="s">
        <v>5</v>
      </c>
      <c r="H87" s="10" t="s">
        <v>895</v>
      </c>
      <c r="I87" s="11" t="s">
        <v>371</v>
      </c>
      <c r="J87" t="s">
        <v>315</v>
      </c>
      <c r="K87" s="21"/>
    </row>
    <row r="88" spans="1:11" ht="14.4">
      <c r="A88" s="5" t="str">
        <f>F88&amp;(COUNTIFS(F$2:F88,F88,K$2:K88,"Sparse"))</f>
        <v>UA3</v>
      </c>
      <c r="B88" s="5" t="str">
        <f>J88&amp;(COUNTIF(J$2:J88,J88))</f>
        <v>Unitary17</v>
      </c>
      <c r="C88" s="21" t="s">
        <v>266</v>
      </c>
      <c r="D88" s="19" t="s">
        <v>266</v>
      </c>
      <c r="E88" s="9" t="s">
        <v>390</v>
      </c>
      <c r="F88" s="9" t="s">
        <v>387</v>
      </c>
      <c r="G88" s="9" t="s">
        <v>396</v>
      </c>
      <c r="H88" s="12" t="s">
        <v>896</v>
      </c>
      <c r="I88" s="11" t="s">
        <v>382</v>
      </c>
      <c r="J88" s="22" t="s">
        <v>396</v>
      </c>
      <c r="K88" s="21" t="s">
        <v>335</v>
      </c>
    </row>
    <row r="89" spans="1:11" ht="14.4">
      <c r="A89" s="5" t="str">
        <f>F89&amp;(COUNTIFS(F$2:F89,F89,K$2:K89,"Sparse"))</f>
        <v>MD0</v>
      </c>
      <c r="B89" s="5" t="str">
        <f>J89&amp;(COUNTIF(J$2:J89,J89))</f>
        <v>Dudley1</v>
      </c>
      <c r="C89" s="8" t="s">
        <v>230</v>
      </c>
      <c r="D89" s="8" t="s">
        <v>230</v>
      </c>
      <c r="E89" s="9" t="s">
        <v>368</v>
      </c>
      <c r="F89" s="9" t="s">
        <v>386</v>
      </c>
      <c r="G89" s="9" t="s">
        <v>397</v>
      </c>
      <c r="H89" s="10" t="s">
        <v>897</v>
      </c>
      <c r="I89" s="11" t="s">
        <v>384</v>
      </c>
      <c r="J89" t="str">
        <f>C89</f>
        <v>Dudley</v>
      </c>
      <c r="K89" s="21"/>
    </row>
    <row r="90" spans="1:11" ht="14.4">
      <c r="A90" s="5" t="str">
        <f>F90&amp;(COUNTIFS(F$2:F90,F90,K$2:K90,"Sparse"))</f>
        <v>L0</v>
      </c>
      <c r="B90" s="5" t="str">
        <f>J90&amp;(COUNTIF(J$2:J90,J90))</f>
        <v>London9</v>
      </c>
      <c r="C90" s="8" t="s">
        <v>202</v>
      </c>
      <c r="D90" s="8" t="s">
        <v>202</v>
      </c>
      <c r="E90" s="9" t="s">
        <v>383</v>
      </c>
      <c r="F90" s="9" t="s">
        <v>359</v>
      </c>
      <c r="G90" s="9" t="s">
        <v>383</v>
      </c>
      <c r="H90" s="10" t="s">
        <v>897</v>
      </c>
      <c r="I90" s="11" t="s">
        <v>384</v>
      </c>
      <c r="J90" t="str">
        <f>G90</f>
        <v>London</v>
      </c>
      <c r="K90" s="21"/>
    </row>
    <row r="91" spans="1:11" ht="14.4">
      <c r="A91" s="5" t="str">
        <f>F91&amp;(COUNTIFS(F$2:F91,F91,K$2:K91,"Sparse"))</f>
        <v>SD14</v>
      </c>
      <c r="B91" s="5" t="str">
        <f>J91&amp;(COUNTIF(J$2:J91,J91))</f>
        <v>Cambridgeshire3</v>
      </c>
      <c r="C91" s="8" t="s">
        <v>52</v>
      </c>
      <c r="D91" s="8" t="s">
        <v>52</v>
      </c>
      <c r="E91" s="9" t="s">
        <v>369</v>
      </c>
      <c r="F91" s="9" t="s">
        <v>381</v>
      </c>
      <c r="G91" s="9" t="s">
        <v>5</v>
      </c>
      <c r="H91" s="10" t="s">
        <v>893</v>
      </c>
      <c r="I91" s="11" t="s">
        <v>382</v>
      </c>
      <c r="J91" t="s">
        <v>302</v>
      </c>
      <c r="K91" s="21" t="s">
        <v>335</v>
      </c>
    </row>
    <row r="92" spans="1:11" ht="14.4">
      <c r="A92" s="5" t="str">
        <f>F92&amp;(COUNTIFS(F$2:F92,F92,K$2:K92,"Sparse"))</f>
        <v>SD15</v>
      </c>
      <c r="B92" s="5" t="str">
        <f>J92&amp;(COUNTIF(J$2:J92,J92))</f>
        <v>Devon2</v>
      </c>
      <c r="C92" s="8" t="s">
        <v>53</v>
      </c>
      <c r="D92" s="8" t="s">
        <v>53</v>
      </c>
      <c r="E92" s="9" t="s">
        <v>1</v>
      </c>
      <c r="F92" s="9" t="s">
        <v>381</v>
      </c>
      <c r="G92" s="9" t="s">
        <v>5</v>
      </c>
      <c r="H92" s="10" t="s">
        <v>896</v>
      </c>
      <c r="I92" s="11" t="s">
        <v>382</v>
      </c>
      <c r="J92" t="s">
        <v>308</v>
      </c>
      <c r="K92" s="21" t="s">
        <v>335</v>
      </c>
    </row>
    <row r="93" spans="1:11" ht="14.4">
      <c r="A93" s="5" t="str">
        <f>F93&amp;(COUNTIFS(F$2:F93,F93,K$2:K93,"Sparse"))</f>
        <v>SD15</v>
      </c>
      <c r="B93" s="5" t="str">
        <f>J93&amp;(COUNTIF(J$2:J93,J93))</f>
        <v>Dorset3</v>
      </c>
      <c r="C93" s="8" t="s">
        <v>54</v>
      </c>
      <c r="D93" s="8" t="s">
        <v>54</v>
      </c>
      <c r="E93" s="9" t="s">
        <v>1</v>
      </c>
      <c r="F93" s="9" t="s">
        <v>381</v>
      </c>
      <c r="G93" s="9" t="s">
        <v>5</v>
      </c>
      <c r="H93" s="10" t="s">
        <v>895</v>
      </c>
      <c r="I93" s="11" t="s">
        <v>371</v>
      </c>
      <c r="J93" t="s">
        <v>309</v>
      </c>
      <c r="K93" s="21"/>
    </row>
    <row r="94" spans="1:11" ht="14.4">
      <c r="A94" s="5" t="str">
        <f>F94&amp;(COUNTIFS(F$2:F94,F94,K$2:K94,"Sparse"))</f>
        <v>SD15</v>
      </c>
      <c r="B94" s="5" t="str">
        <f>J94&amp;(COUNTIF(J$2:J94,J94))</f>
        <v>Hampshire2</v>
      </c>
      <c r="C94" s="8" t="s">
        <v>55</v>
      </c>
      <c r="D94" s="8" t="s">
        <v>55</v>
      </c>
      <c r="E94" s="9" t="s">
        <v>0</v>
      </c>
      <c r="F94" s="9" t="s">
        <v>381</v>
      </c>
      <c r="G94" s="9" t="s">
        <v>5</v>
      </c>
      <c r="H94" s="10" t="s">
        <v>893</v>
      </c>
      <c r="I94" s="11" t="s">
        <v>382</v>
      </c>
      <c r="J94" t="s">
        <v>313</v>
      </c>
      <c r="K94" s="21"/>
    </row>
    <row r="95" spans="1:11" ht="14.4">
      <c r="A95" s="5" t="str">
        <f>F95&amp;(COUNTIFS(F$2:F95,F95,K$2:K95,"Sparse"))</f>
        <v>SD16</v>
      </c>
      <c r="B95" s="5" t="str">
        <f>J95&amp;(COUNTIF(J$2:J95,J95))</f>
        <v>Hertfordshire3</v>
      </c>
      <c r="C95" s="8" t="s">
        <v>56</v>
      </c>
      <c r="D95" s="8" t="s">
        <v>56</v>
      </c>
      <c r="E95" s="9" t="s">
        <v>369</v>
      </c>
      <c r="F95" s="9" t="s">
        <v>381</v>
      </c>
      <c r="G95" s="9" t="s">
        <v>5</v>
      </c>
      <c r="H95" s="12" t="s">
        <v>895</v>
      </c>
      <c r="I95" s="11" t="s">
        <v>371</v>
      </c>
      <c r="J95" t="s">
        <v>314</v>
      </c>
      <c r="K95" s="21" t="s">
        <v>335</v>
      </c>
    </row>
    <row r="96" spans="1:11" ht="14.4">
      <c r="A96" s="5" t="str">
        <f>F96&amp;(COUNTIFS(F$2:F96,F96,K$2:K96,"Sparse"))</f>
        <v>SD17</v>
      </c>
      <c r="B96" s="5" t="str">
        <f>J96&amp;(COUNTIF(J$2:J96,J96))</f>
        <v>Lincolnshire2</v>
      </c>
      <c r="C96" s="8" t="s">
        <v>57</v>
      </c>
      <c r="D96" s="8" t="s">
        <v>57</v>
      </c>
      <c r="E96" s="9" t="s">
        <v>367</v>
      </c>
      <c r="F96" s="9" t="s">
        <v>381</v>
      </c>
      <c r="G96" s="9" t="s">
        <v>5</v>
      </c>
      <c r="H96" s="10" t="s">
        <v>893</v>
      </c>
      <c r="I96" s="11" t="s">
        <v>382</v>
      </c>
      <c r="J96" t="s">
        <v>318</v>
      </c>
      <c r="K96" s="21" t="s">
        <v>335</v>
      </c>
    </row>
    <row r="97" spans="1:11" ht="14.4">
      <c r="A97" s="5" t="str">
        <f>F97&amp;(COUNTIFS(F$2:F97,F97,K$2:K97,"Sparse"))</f>
        <v>SD18</v>
      </c>
      <c r="B97" s="5" t="str">
        <f>J97&amp;(COUNTIF(J$2:J97,J97))</f>
        <v>Northamptonshire3</v>
      </c>
      <c r="C97" s="8" t="s">
        <v>58</v>
      </c>
      <c r="D97" s="8" t="s">
        <v>58</v>
      </c>
      <c r="E97" s="9" t="s">
        <v>367</v>
      </c>
      <c r="F97" s="9" t="s">
        <v>381</v>
      </c>
      <c r="G97" s="9" t="s">
        <v>5</v>
      </c>
      <c r="H97" s="10" t="s">
        <v>896</v>
      </c>
      <c r="I97" s="11" t="s">
        <v>382</v>
      </c>
      <c r="J97" t="s">
        <v>321</v>
      </c>
      <c r="K97" s="21" t="s">
        <v>335</v>
      </c>
    </row>
    <row r="98" spans="1:11" ht="14.4">
      <c r="A98" s="5" t="str">
        <f>F98&amp;(COUNTIFS(F$2:F98,F98,K$2:K98,"Sparse"))</f>
        <v>UA4</v>
      </c>
      <c r="B98" s="5" t="str">
        <f>J98&amp;(COUNTIF(J$2:J98,J98))</f>
        <v>Unitary18</v>
      </c>
      <c r="C98" s="8" t="s">
        <v>267</v>
      </c>
      <c r="D98" s="8" t="s">
        <v>267</v>
      </c>
      <c r="E98" s="9" t="s">
        <v>385</v>
      </c>
      <c r="F98" s="9" t="s">
        <v>387</v>
      </c>
      <c r="G98" s="9" t="s">
        <v>396</v>
      </c>
      <c r="H98" s="10" t="s">
        <v>896</v>
      </c>
      <c r="I98" s="11" t="s">
        <v>382</v>
      </c>
      <c r="J98" s="22" t="s">
        <v>396</v>
      </c>
      <c r="K98" s="21" t="s">
        <v>335</v>
      </c>
    </row>
    <row r="99" spans="1:11" ht="14.4">
      <c r="A99" s="5" t="str">
        <f>F99&amp;(COUNTIFS(F$2:F99,F99,K$2:K99,"Sparse"))</f>
        <v>SD18</v>
      </c>
      <c r="B99" s="5" t="str">
        <f>J99&amp;(COUNTIF(J$2:J99,J99))</f>
        <v>Staffordshire2</v>
      </c>
      <c r="C99" s="8" t="s">
        <v>59</v>
      </c>
      <c r="D99" s="8" t="s">
        <v>59</v>
      </c>
      <c r="E99" s="9" t="s">
        <v>368</v>
      </c>
      <c r="F99" s="9" t="s">
        <v>381</v>
      </c>
      <c r="G99" s="9" t="s">
        <v>5</v>
      </c>
      <c r="H99" s="12" t="s">
        <v>895</v>
      </c>
      <c r="I99" s="11" t="s">
        <v>371</v>
      </c>
      <c r="J99" t="s">
        <v>327</v>
      </c>
      <c r="K99" s="21"/>
    </row>
    <row r="100" spans="1:11">
      <c r="A100" s="5" t="str">
        <f>F100&amp;(COUNTIFS(F$2:F100,F100,K$2:K100,"Sparse"))</f>
        <v>SD19</v>
      </c>
      <c r="B100" s="5" t="str">
        <f>J100&amp;(COUNTIF(J$2:J100,J100))</f>
        <v>Suffolk2</v>
      </c>
      <c r="C100" t="s">
        <v>908</v>
      </c>
      <c r="D100" t="s">
        <v>908</v>
      </c>
      <c r="E100" s="282" t="s">
        <v>369</v>
      </c>
      <c r="F100" s="282" t="s">
        <v>381</v>
      </c>
      <c r="G100" s="282" t="s">
        <v>5</v>
      </c>
      <c r="H100" s="283" t="s">
        <v>912</v>
      </c>
      <c r="I100" s="283" t="s">
        <v>912</v>
      </c>
      <c r="J100" t="s">
        <v>328</v>
      </c>
      <c r="K100" t="s">
        <v>335</v>
      </c>
    </row>
    <row r="101" spans="1:11" ht="14.4">
      <c r="A101" s="5" t="str">
        <f>F101&amp;(COUNTIFS(F$2:F101,F101,K$2:K101,"Sparse"))</f>
        <v>SC4</v>
      </c>
      <c r="B101" s="5" t="str">
        <f>J101&amp;(COUNTIF(J$2:J101,J101))</f>
        <v>East Sussex1</v>
      </c>
      <c r="C101" s="8" t="s">
        <v>310</v>
      </c>
      <c r="D101" s="8" t="s">
        <v>310</v>
      </c>
      <c r="E101" s="9" t="s">
        <v>0</v>
      </c>
      <c r="F101" s="9" t="s">
        <v>389</v>
      </c>
      <c r="G101" s="9" t="s">
        <v>301</v>
      </c>
      <c r="H101" s="11" t="s">
        <v>371</v>
      </c>
      <c r="I101" s="11" t="s">
        <v>371</v>
      </c>
      <c r="J101" t="str">
        <f>C101</f>
        <v>East Sussex</v>
      </c>
      <c r="K101" s="21" t="s">
        <v>335</v>
      </c>
    </row>
    <row r="102" spans="1:11" ht="14.4">
      <c r="A102" s="5" t="str">
        <f>F102&amp;(COUNTIFS(F$2:F102,F102,K$2:K102,"Sparse"))</f>
        <v>SD19</v>
      </c>
      <c r="B102" s="5" t="str">
        <f>J102&amp;(COUNTIF(J$2:J102,J102))</f>
        <v>East Sussex2</v>
      </c>
      <c r="C102" s="8" t="s">
        <v>60</v>
      </c>
      <c r="D102" s="8" t="s">
        <v>60</v>
      </c>
      <c r="E102" s="9" t="s">
        <v>0</v>
      </c>
      <c r="F102" s="9" t="s">
        <v>381</v>
      </c>
      <c r="G102" s="9" t="s">
        <v>5</v>
      </c>
      <c r="H102" s="10" t="s">
        <v>892</v>
      </c>
      <c r="I102" s="11" t="s">
        <v>384</v>
      </c>
      <c r="J102" t="s">
        <v>310</v>
      </c>
      <c r="K102" s="21"/>
    </row>
    <row r="103" spans="1:11" ht="14.4">
      <c r="A103" s="5" t="str">
        <f>F103&amp;(COUNTIFS(F$2:F103,F103,K$2:K103,"Sparse"))</f>
        <v>SD19</v>
      </c>
      <c r="B103" s="5" t="str">
        <f>J103&amp;(COUNTIF(J$2:J103,J103))</f>
        <v>Hampshire3</v>
      </c>
      <c r="C103" s="8" t="s">
        <v>61</v>
      </c>
      <c r="D103" s="8" t="s">
        <v>61</v>
      </c>
      <c r="E103" s="9" t="s">
        <v>0</v>
      </c>
      <c r="F103" s="9" t="s">
        <v>381</v>
      </c>
      <c r="G103" s="9" t="s">
        <v>5</v>
      </c>
      <c r="H103" s="12" t="s">
        <v>892</v>
      </c>
      <c r="I103" s="11" t="s">
        <v>384</v>
      </c>
      <c r="J103" t="s">
        <v>313</v>
      </c>
      <c r="K103" s="21"/>
    </row>
    <row r="104" spans="1:11" ht="14.4">
      <c r="A104" s="5" t="str">
        <f>F104&amp;(COUNTIFS(F$2:F104,F104,K$2:K104,"Sparse"))</f>
        <v>SD20</v>
      </c>
      <c r="B104" s="5" t="str">
        <f>J104&amp;(COUNTIF(J$2:J104,J104))</f>
        <v>Cumbria6</v>
      </c>
      <c r="C104" s="8" t="s">
        <v>62</v>
      </c>
      <c r="D104" s="8" t="s">
        <v>62</v>
      </c>
      <c r="E104" s="9" t="s">
        <v>376</v>
      </c>
      <c r="F104" s="9" t="s">
        <v>381</v>
      </c>
      <c r="G104" s="9" t="s">
        <v>5</v>
      </c>
      <c r="H104" s="10" t="s">
        <v>893</v>
      </c>
      <c r="I104" s="11" t="s">
        <v>382</v>
      </c>
      <c r="J104" t="s">
        <v>306</v>
      </c>
      <c r="K104" s="21" t="s">
        <v>335</v>
      </c>
    </row>
    <row r="105" spans="1:11" ht="14.4">
      <c r="A105" s="5" t="str">
        <f>F105&amp;(COUNTIFS(F$2:F105,F105,K$2:K105,"Sparse"))</f>
        <v>SD20</v>
      </c>
      <c r="B105" s="5" t="str">
        <f>J105&amp;(COUNTIF(J$2:J105,J105))</f>
        <v>Surrey1</v>
      </c>
      <c r="C105" s="8" t="s">
        <v>63</v>
      </c>
      <c r="D105" s="8" t="s">
        <v>63</v>
      </c>
      <c r="E105" s="9" t="s">
        <v>0</v>
      </c>
      <c r="F105" s="9" t="s">
        <v>381</v>
      </c>
      <c r="G105" s="9" t="s">
        <v>5</v>
      </c>
      <c r="H105" s="10" t="s">
        <v>897</v>
      </c>
      <c r="I105" s="11" t="s">
        <v>384</v>
      </c>
      <c r="J105" t="s">
        <v>329</v>
      </c>
      <c r="K105" s="21"/>
    </row>
    <row r="106" spans="1:11" ht="14.4">
      <c r="A106" s="5" t="str">
        <f>F106&amp;(COUNTIFS(F$2:F106,F106,K$2:K106,"Sparse"))</f>
        <v>L0</v>
      </c>
      <c r="B106" s="5" t="str">
        <f>J106&amp;(COUNTIF(J$2:J106,J106))</f>
        <v>London10</v>
      </c>
      <c r="C106" s="8" t="s">
        <v>203</v>
      </c>
      <c r="D106" s="8" t="s">
        <v>203</v>
      </c>
      <c r="E106" s="9" t="s">
        <v>383</v>
      </c>
      <c r="F106" s="9" t="s">
        <v>359</v>
      </c>
      <c r="G106" s="9" t="s">
        <v>383</v>
      </c>
      <c r="H106" s="10" t="s">
        <v>897</v>
      </c>
      <c r="I106" s="11" t="s">
        <v>384</v>
      </c>
      <c r="J106" t="str">
        <f>G106</f>
        <v>London</v>
      </c>
      <c r="K106" s="21"/>
    </row>
    <row r="107" spans="1:11" ht="14.4">
      <c r="A107" s="5" t="str">
        <f>F107&amp;(COUNTIFS(F$2:F107,F107,K$2:K107,"Sparse"))</f>
        <v>SD20</v>
      </c>
      <c r="B107" s="5" t="str">
        <f>J107&amp;(COUNTIF(J$2:J107,J107))</f>
        <v>Essex7</v>
      </c>
      <c r="C107" s="8" t="s">
        <v>64</v>
      </c>
      <c r="D107" s="8" t="s">
        <v>64</v>
      </c>
      <c r="E107" s="9" t="s">
        <v>369</v>
      </c>
      <c r="F107" s="9" t="s">
        <v>381</v>
      </c>
      <c r="G107" s="9" t="s">
        <v>5</v>
      </c>
      <c r="H107" s="12" t="s">
        <v>895</v>
      </c>
      <c r="I107" s="11" t="s">
        <v>371</v>
      </c>
      <c r="J107" t="s">
        <v>311</v>
      </c>
      <c r="K107" s="21"/>
    </row>
    <row r="108" spans="1:11" ht="14.4">
      <c r="A108" s="5" t="str">
        <f>F108&amp;(COUNTIFS(F$2:F108,F108,K$2:K108,"Sparse"))</f>
        <v>SD20</v>
      </c>
      <c r="B108" s="5" t="str">
        <f>J108&amp;(COUNTIF(J$2:J108,J108))</f>
        <v>Surrey2</v>
      </c>
      <c r="C108" s="8" t="s">
        <v>344</v>
      </c>
      <c r="D108" s="8" t="s">
        <v>344</v>
      </c>
      <c r="E108" s="9" t="s">
        <v>0</v>
      </c>
      <c r="F108" s="9" t="s">
        <v>381</v>
      </c>
      <c r="G108" s="9" t="s">
        <v>5</v>
      </c>
      <c r="H108" s="10" t="s">
        <v>897</v>
      </c>
      <c r="I108" s="11" t="s">
        <v>384</v>
      </c>
      <c r="J108" t="s">
        <v>329</v>
      </c>
      <c r="K108" s="21"/>
    </row>
    <row r="109" spans="1:11" ht="14.4">
      <c r="A109" s="5" t="str">
        <f>F109&amp;(COUNTIFS(F$2:F109,F109,K$2:K109,"Sparse"))</f>
        <v>SD20</v>
      </c>
      <c r="B109" s="5" t="str">
        <f>J109&amp;(COUNTIF(J$2:J109,J109))</f>
        <v>Derbyshire6</v>
      </c>
      <c r="C109" s="8" t="s">
        <v>65</v>
      </c>
      <c r="D109" s="8" t="s">
        <v>65</v>
      </c>
      <c r="E109" s="9" t="s">
        <v>367</v>
      </c>
      <c r="F109" s="9" t="s">
        <v>381</v>
      </c>
      <c r="G109" s="9" t="s">
        <v>5</v>
      </c>
      <c r="H109" s="10" t="s">
        <v>894</v>
      </c>
      <c r="I109" s="11" t="s">
        <v>384</v>
      </c>
      <c r="J109" t="s">
        <v>307</v>
      </c>
      <c r="K109" s="21"/>
    </row>
    <row r="110" spans="1:11" ht="14.4">
      <c r="A110" s="5" t="str">
        <f>F110&amp;(COUNTIFS(F$2:F110,F110,K$2:K110,"Sparse"))</f>
        <v>SC5</v>
      </c>
      <c r="B110" s="5" t="str">
        <f>J110&amp;(COUNTIF(J$2:J110,J110))</f>
        <v>Essex8</v>
      </c>
      <c r="C110" s="11" t="s">
        <v>311</v>
      </c>
      <c r="D110" s="11" t="s">
        <v>311</v>
      </c>
      <c r="E110" s="9" t="s">
        <v>369</v>
      </c>
      <c r="F110" s="9" t="s">
        <v>389</v>
      </c>
      <c r="G110" s="9" t="s">
        <v>301</v>
      </c>
      <c r="H110" s="11" t="s">
        <v>371</v>
      </c>
      <c r="I110" s="11" t="s">
        <v>371</v>
      </c>
      <c r="J110" t="str">
        <f>C110</f>
        <v>Essex</v>
      </c>
      <c r="K110" s="21" t="s">
        <v>335</v>
      </c>
    </row>
    <row r="111" spans="1:11" ht="14.4">
      <c r="A111" s="5" t="str">
        <f>F111&amp;(COUNTIFS(F$2:F111,F111,K$2:K111,"Sparse"))</f>
        <v>SD20</v>
      </c>
      <c r="B111" s="5" t="str">
        <f>J111&amp;(COUNTIF(J$2:J111,J111))</f>
        <v>Devon3</v>
      </c>
      <c r="C111" s="8" t="s">
        <v>66</v>
      </c>
      <c r="D111" s="8" t="s">
        <v>66</v>
      </c>
      <c r="E111" s="9" t="s">
        <v>1</v>
      </c>
      <c r="F111" s="9" t="s">
        <v>381</v>
      </c>
      <c r="G111" s="9" t="s">
        <v>5</v>
      </c>
      <c r="H111" s="10" t="s">
        <v>892</v>
      </c>
      <c r="I111" s="11" t="s">
        <v>384</v>
      </c>
      <c r="J111" t="s">
        <v>308</v>
      </c>
      <c r="K111" s="21"/>
    </row>
    <row r="112" spans="1:11" ht="14.4">
      <c r="A112" s="5" t="str">
        <f>F112&amp;(COUNTIFS(F$2:F112,F112,K$2:K112,"Sparse"))</f>
        <v>SD20</v>
      </c>
      <c r="B112" s="5" t="str">
        <f>J112&amp;(COUNTIF(J$2:J112,J112))</f>
        <v>Hampshire4</v>
      </c>
      <c r="C112" s="8" t="s">
        <v>67</v>
      </c>
      <c r="D112" s="8" t="s">
        <v>67</v>
      </c>
      <c r="E112" s="9" t="s">
        <v>0</v>
      </c>
      <c r="F112" s="9" t="s">
        <v>381</v>
      </c>
      <c r="G112" s="9" t="s">
        <v>5</v>
      </c>
      <c r="H112" s="10" t="s">
        <v>892</v>
      </c>
      <c r="I112" s="11" t="s">
        <v>384</v>
      </c>
      <c r="J112" t="s">
        <v>313</v>
      </c>
      <c r="K112" s="21"/>
    </row>
    <row r="113" spans="1:11" ht="14.4">
      <c r="A113" s="5" t="str">
        <f>F113&amp;(COUNTIFS(F$2:F113,F113,K$2:K113,"Sparse"))</f>
        <v>SD20</v>
      </c>
      <c r="B113" s="5" t="str">
        <f>J113&amp;(COUNTIF(J$2:J113,J113))</f>
        <v>Cambridgeshire4</v>
      </c>
      <c r="C113" s="8" t="s">
        <v>68</v>
      </c>
      <c r="D113" s="8" t="s">
        <v>68</v>
      </c>
      <c r="E113" s="9" t="s">
        <v>369</v>
      </c>
      <c r="F113" s="9" t="s">
        <v>381</v>
      </c>
      <c r="G113" s="9" t="s">
        <v>5</v>
      </c>
      <c r="H113" s="10" t="s">
        <v>896</v>
      </c>
      <c r="I113" s="11" t="s">
        <v>382</v>
      </c>
      <c r="J113" t="s">
        <v>302</v>
      </c>
      <c r="K113" s="21"/>
    </row>
    <row r="114" spans="1:11" ht="14.4">
      <c r="A114" s="5" t="str">
        <f>F114&amp;(COUNTIFS(F$2:F114,F114,K$2:K114,"Sparse"))</f>
        <v>SD21</v>
      </c>
      <c r="B114" s="5" t="str">
        <f>J114&amp;(COUNTIF(J$2:J114,J114))</f>
        <v>Suffolk3</v>
      </c>
      <c r="C114" s="8" t="s">
        <v>69</v>
      </c>
      <c r="D114" s="8" t="s">
        <v>69</v>
      </c>
      <c r="E114" s="9" t="s">
        <v>369</v>
      </c>
      <c r="F114" s="9" t="s">
        <v>381</v>
      </c>
      <c r="G114" s="9" t="s">
        <v>5</v>
      </c>
      <c r="H114" s="10" t="s">
        <v>893</v>
      </c>
      <c r="I114" s="11" t="s">
        <v>382</v>
      </c>
      <c r="J114" t="s">
        <v>328</v>
      </c>
      <c r="K114" s="21" t="s">
        <v>335</v>
      </c>
    </row>
    <row r="115" spans="1:11" ht="14.4">
      <c r="A115" s="5" t="str">
        <f>F115&amp;(COUNTIFS(F$2:F115,F115,K$2:K115,"Sparse"))</f>
        <v>SD22</v>
      </c>
      <c r="B115" s="5" t="str">
        <f>J115&amp;(COUNTIF(J$2:J115,J115))</f>
        <v>Gloucestershire3</v>
      </c>
      <c r="C115" s="8" t="s">
        <v>70</v>
      </c>
      <c r="D115" s="8" t="s">
        <v>70</v>
      </c>
      <c r="E115" s="9" t="s">
        <v>1</v>
      </c>
      <c r="F115" s="9" t="s">
        <v>381</v>
      </c>
      <c r="G115" s="9" t="s">
        <v>5</v>
      </c>
      <c r="H115" s="10" t="s">
        <v>893</v>
      </c>
      <c r="I115" s="11" t="s">
        <v>382</v>
      </c>
      <c r="J115" t="s">
        <v>312</v>
      </c>
      <c r="K115" s="21" t="s">
        <v>335</v>
      </c>
    </row>
    <row r="116" spans="1:11" ht="14.4">
      <c r="A116" s="5" t="str">
        <f>F116&amp;(COUNTIFS(F$2:F116,F116,K$2:K116,"Sparse"))</f>
        <v>SD22</v>
      </c>
      <c r="B116" s="5" t="str">
        <f>J116&amp;(COUNTIF(J$2:J116,J116))</f>
        <v>Lancashire3</v>
      </c>
      <c r="C116" s="8" t="s">
        <v>71</v>
      </c>
      <c r="D116" s="8" t="s">
        <v>71</v>
      </c>
      <c r="E116" s="9" t="s">
        <v>376</v>
      </c>
      <c r="F116" s="9" t="s">
        <v>381</v>
      </c>
      <c r="G116" s="9" t="s">
        <v>5</v>
      </c>
      <c r="H116" s="12" t="s">
        <v>892</v>
      </c>
      <c r="I116" s="11" t="s">
        <v>384</v>
      </c>
      <c r="J116" t="s">
        <v>316</v>
      </c>
      <c r="K116" s="21"/>
    </row>
    <row r="117" spans="1:11" ht="14.4">
      <c r="A117" s="5" t="str">
        <f>F117&amp;(COUNTIFS(F$2:F117,F117,K$2:K117,"Sparse"))</f>
        <v>MD0</v>
      </c>
      <c r="B117" s="5" t="str">
        <f>J117&amp;(COUNTIF(J$2:J117,J117))</f>
        <v>Gateshead1</v>
      </c>
      <c r="C117" s="8" t="s">
        <v>231</v>
      </c>
      <c r="D117" s="8" t="s">
        <v>231</v>
      </c>
      <c r="E117" s="9" t="s">
        <v>390</v>
      </c>
      <c r="F117" s="9" t="s">
        <v>386</v>
      </c>
      <c r="G117" s="9" t="s">
        <v>397</v>
      </c>
      <c r="H117" s="10" t="s">
        <v>897</v>
      </c>
      <c r="I117" s="11" t="s">
        <v>384</v>
      </c>
      <c r="J117" t="str">
        <f>C117</f>
        <v>Gateshead</v>
      </c>
      <c r="K117" s="21"/>
    </row>
    <row r="118" spans="1:11" ht="14.4">
      <c r="A118" s="5" t="str">
        <f>F118&amp;(COUNTIFS(F$2:F118,F118,K$2:K118,"Sparse"))</f>
        <v>SD22</v>
      </c>
      <c r="B118" s="5" t="str">
        <f>J118&amp;(COUNTIF(J$2:J118,J118))</f>
        <v>Nottinghamshire4</v>
      </c>
      <c r="C118" s="8" t="s">
        <v>72</v>
      </c>
      <c r="D118" s="8" t="s">
        <v>72</v>
      </c>
      <c r="E118" s="9" t="s">
        <v>367</v>
      </c>
      <c r="F118" s="9" t="s">
        <v>381</v>
      </c>
      <c r="G118" s="9" t="s">
        <v>5</v>
      </c>
      <c r="H118" s="10" t="s">
        <v>894</v>
      </c>
      <c r="I118" s="11" t="s">
        <v>384</v>
      </c>
      <c r="J118" t="s">
        <v>323</v>
      </c>
      <c r="K118" s="21"/>
    </row>
    <row r="119" spans="1:11" ht="14.4">
      <c r="A119" s="5" t="str">
        <f>F119&amp;(COUNTIFS(F$2:F119,F119,K$2:K119,"Sparse"))</f>
        <v>SD22</v>
      </c>
      <c r="B119" s="5" t="str">
        <f>J119&amp;(COUNTIF(J$2:J119,J119))</f>
        <v>Gloucestershire4</v>
      </c>
      <c r="C119" s="8" t="s">
        <v>73</v>
      </c>
      <c r="D119" s="8" t="s">
        <v>73</v>
      </c>
      <c r="E119" s="9" t="s">
        <v>1</v>
      </c>
      <c r="F119" s="9" t="s">
        <v>381</v>
      </c>
      <c r="G119" s="9" t="s">
        <v>5</v>
      </c>
      <c r="H119" s="10" t="s">
        <v>892</v>
      </c>
      <c r="I119" s="11" t="s">
        <v>384</v>
      </c>
      <c r="J119" t="s">
        <v>312</v>
      </c>
      <c r="K119" s="21"/>
    </row>
    <row r="120" spans="1:11" ht="14.4">
      <c r="A120" s="5" t="str">
        <f>F120&amp;(COUNTIFS(F$2:F120,F120,K$2:K120,"Sparse"))</f>
        <v>SC5</v>
      </c>
      <c r="B120" s="5" t="str">
        <f>J120&amp;(COUNTIF(J$2:J120,J120))</f>
        <v>Gloucestershire5</v>
      </c>
      <c r="C120" s="11" t="s">
        <v>312</v>
      </c>
      <c r="D120" s="11" t="s">
        <v>312</v>
      </c>
      <c r="E120" s="9" t="s">
        <v>1</v>
      </c>
      <c r="F120" s="9" t="s">
        <v>389</v>
      </c>
      <c r="G120" s="9" t="s">
        <v>301</v>
      </c>
      <c r="H120" s="11" t="s">
        <v>371</v>
      </c>
      <c r="I120" s="11" t="s">
        <v>371</v>
      </c>
      <c r="J120" t="str">
        <f>C120</f>
        <v>Gloucestershire</v>
      </c>
      <c r="K120" s="21"/>
    </row>
    <row r="121" spans="1:11" ht="14.4">
      <c r="A121" s="5" t="str">
        <f>F121&amp;(COUNTIFS(F$2:F121,F121,K$2:K121,"Sparse"))</f>
        <v>SD22</v>
      </c>
      <c r="B121" s="5" t="str">
        <f>J121&amp;(COUNTIF(J$2:J121,J121))</f>
        <v>Hampshire5</v>
      </c>
      <c r="C121" s="8" t="s">
        <v>74</v>
      </c>
      <c r="D121" s="8" t="s">
        <v>74</v>
      </c>
      <c r="E121" s="9" t="s">
        <v>0</v>
      </c>
      <c r="F121" s="9" t="s">
        <v>381</v>
      </c>
      <c r="G121" s="9" t="s">
        <v>5</v>
      </c>
      <c r="H121" s="10" t="s">
        <v>892</v>
      </c>
      <c r="I121" s="11" t="s">
        <v>384</v>
      </c>
      <c r="J121" t="s">
        <v>313</v>
      </c>
      <c r="K121" s="21"/>
    </row>
    <row r="122" spans="1:11" ht="14.4">
      <c r="A122" s="5" t="str">
        <f>F122&amp;(COUNTIFS(F$2:F122,F122,K$2:K122,"Sparse"))</f>
        <v>SD22</v>
      </c>
      <c r="B122" s="5" t="str">
        <f>J122&amp;(COUNTIF(J$2:J122,J122))</f>
        <v>Kent5</v>
      </c>
      <c r="C122" s="8" t="s">
        <v>75</v>
      </c>
      <c r="D122" s="8" t="s">
        <v>75</v>
      </c>
      <c r="E122" s="9" t="s">
        <v>0</v>
      </c>
      <c r="F122" s="9" t="s">
        <v>381</v>
      </c>
      <c r="G122" s="9" t="s">
        <v>5</v>
      </c>
      <c r="H122" s="10" t="s">
        <v>897</v>
      </c>
      <c r="I122" s="11" t="s">
        <v>384</v>
      </c>
      <c r="J122" t="s">
        <v>315</v>
      </c>
      <c r="K122" s="21"/>
    </row>
    <row r="123" spans="1:11" ht="14.4">
      <c r="A123" s="5" t="str">
        <f>F123&amp;(COUNTIFS(F$2:F123,F123,K$2:K123,"Sparse"))</f>
        <v>SD22</v>
      </c>
      <c r="B123" s="5" t="str">
        <f>J123&amp;(COUNTIF(J$2:J123,J123))</f>
        <v>Norfolk3</v>
      </c>
      <c r="C123" s="8" t="s">
        <v>76</v>
      </c>
      <c r="D123" s="8" t="s">
        <v>76</v>
      </c>
      <c r="E123" s="9" t="s">
        <v>369</v>
      </c>
      <c r="F123" s="9" t="s">
        <v>381</v>
      </c>
      <c r="G123" s="9" t="s">
        <v>5</v>
      </c>
      <c r="H123" s="12" t="s">
        <v>895</v>
      </c>
      <c r="I123" s="11" t="s">
        <v>371</v>
      </c>
      <c r="J123" t="s">
        <v>319</v>
      </c>
      <c r="K123" s="21"/>
    </row>
    <row r="124" spans="1:11" ht="14.4">
      <c r="A124" s="5" t="str">
        <f>F124&amp;(COUNTIFS(F$2:F124,F124,K$2:K124,"Sparse"))</f>
        <v>L0</v>
      </c>
      <c r="B124" s="5" t="str">
        <f>J124&amp;(COUNTIF(J$2:J124,J124))</f>
        <v>London11</v>
      </c>
      <c r="C124" s="8" t="s">
        <v>204</v>
      </c>
      <c r="D124" s="8" t="s">
        <v>204</v>
      </c>
      <c r="E124" s="9" t="s">
        <v>383</v>
      </c>
      <c r="F124" s="9" t="s">
        <v>359</v>
      </c>
      <c r="G124" s="9" t="s">
        <v>383</v>
      </c>
      <c r="H124" s="10" t="s">
        <v>897</v>
      </c>
      <c r="I124" s="11" t="s">
        <v>384</v>
      </c>
      <c r="J124" t="str">
        <f>G124</f>
        <v>London</v>
      </c>
      <c r="K124" s="21"/>
    </row>
    <row r="125" spans="1:11" ht="14.4">
      <c r="A125" s="5" t="str">
        <f>F125&amp;(COUNTIFS(F$2:F125,F125,K$2:K125,"Sparse"))</f>
        <v>SD22</v>
      </c>
      <c r="B125" s="5" t="str">
        <f>J125&amp;(COUNTIF(J$2:J125,J125))</f>
        <v>Surrey3</v>
      </c>
      <c r="C125" s="8" t="s">
        <v>77</v>
      </c>
      <c r="D125" s="8" t="s">
        <v>77</v>
      </c>
      <c r="E125" s="9" t="s">
        <v>0</v>
      </c>
      <c r="F125" s="9" t="s">
        <v>381</v>
      </c>
      <c r="G125" s="9" t="s">
        <v>5</v>
      </c>
      <c r="H125" s="12" t="s">
        <v>892</v>
      </c>
      <c r="I125" s="11" t="s">
        <v>384</v>
      </c>
      <c r="J125" t="s">
        <v>329</v>
      </c>
      <c r="K125" s="21"/>
    </row>
    <row r="126" spans="1:11" ht="14.4">
      <c r="A126" s="5" t="str">
        <f>F126&amp;(COUNTIFS(F$2:F126,F126,K$2:K126,"Sparse"))</f>
        <v>L0</v>
      </c>
      <c r="B126" s="5" t="str">
        <f>J126&amp;(COUNTIF(J$2:J126,J126))</f>
        <v>London12</v>
      </c>
      <c r="C126" s="8" t="s">
        <v>205</v>
      </c>
      <c r="D126" s="8" t="s">
        <v>205</v>
      </c>
      <c r="E126" s="9" t="s">
        <v>383</v>
      </c>
      <c r="F126" s="9" t="s">
        <v>359</v>
      </c>
      <c r="G126" s="9" t="s">
        <v>383</v>
      </c>
      <c r="H126" s="10" t="s">
        <v>897</v>
      </c>
      <c r="I126" s="11" t="s">
        <v>384</v>
      </c>
      <c r="J126" t="str">
        <f>G126</f>
        <v>London</v>
      </c>
      <c r="K126" s="21"/>
    </row>
    <row r="127" spans="1:11" ht="14.4">
      <c r="A127" s="5" t="str">
        <f>F127&amp;(COUNTIFS(F$2:F127,F127,K$2:K127,"Sparse"))</f>
        <v>UA4</v>
      </c>
      <c r="B127" s="5" t="str">
        <f>J127&amp;(COUNTIF(J$2:J127,J127))</f>
        <v>Unitary19</v>
      </c>
      <c r="C127" s="8" t="s">
        <v>268</v>
      </c>
      <c r="D127" s="8" t="s">
        <v>268</v>
      </c>
      <c r="E127" s="9" t="s">
        <v>376</v>
      </c>
      <c r="F127" s="9" t="s">
        <v>387</v>
      </c>
      <c r="G127" s="9" t="s">
        <v>396</v>
      </c>
      <c r="H127" s="10" t="s">
        <v>892</v>
      </c>
      <c r="I127" s="11" t="s">
        <v>384</v>
      </c>
      <c r="J127" s="22" t="s">
        <v>396</v>
      </c>
      <c r="K127" s="21"/>
    </row>
    <row r="128" spans="1:11" ht="14.4">
      <c r="A128" s="5" t="str">
        <f>F128&amp;(COUNTIFS(F$2:F128,F128,K$2:K128,"Sparse"))</f>
        <v>SD23</v>
      </c>
      <c r="B128" s="5" t="str">
        <f>J128&amp;(COUNTIF(J$2:J128,J128))</f>
        <v>North Yorkshire2</v>
      </c>
      <c r="C128" s="8" t="s">
        <v>78</v>
      </c>
      <c r="D128" s="8" t="s">
        <v>78</v>
      </c>
      <c r="E128" s="9" t="s">
        <v>385</v>
      </c>
      <c r="F128" s="9" t="s">
        <v>381</v>
      </c>
      <c r="G128" s="9" t="s">
        <v>5</v>
      </c>
      <c r="H128" s="10" t="s">
        <v>893</v>
      </c>
      <c r="I128" s="11" t="s">
        <v>382</v>
      </c>
      <c r="J128" t="s">
        <v>320</v>
      </c>
      <c r="K128" s="21" t="s">
        <v>335</v>
      </c>
    </row>
    <row r="129" spans="1:11" ht="14.4">
      <c r="A129" s="5" t="str">
        <f>F129&amp;(COUNTIFS(F$2:F129,F129,K$2:K129,"Sparse"))</f>
        <v>L0</v>
      </c>
      <c r="B129" s="5" t="str">
        <f>J129&amp;(COUNTIF(J$2:J129,J129))</f>
        <v>London13</v>
      </c>
      <c r="C129" s="8" t="s">
        <v>336</v>
      </c>
      <c r="D129" s="8" t="s">
        <v>336</v>
      </c>
      <c r="E129" s="9" t="s">
        <v>383</v>
      </c>
      <c r="F129" s="9" t="s">
        <v>359</v>
      </c>
      <c r="G129" s="9" t="s">
        <v>383</v>
      </c>
      <c r="H129" s="10" t="s">
        <v>897</v>
      </c>
      <c r="I129" s="11" t="s">
        <v>384</v>
      </c>
      <c r="J129" t="str">
        <f>G129</f>
        <v>London</v>
      </c>
      <c r="K129" s="21"/>
    </row>
    <row r="130" spans="1:11" ht="14.4">
      <c r="A130" s="5" t="str">
        <f>F130&amp;(COUNTIFS(F$2:F130,F130,K$2:K130,"Sparse"))</f>
        <v>SC6</v>
      </c>
      <c r="B130" s="5" t="str">
        <f>J130&amp;(COUNTIF(J$2:J130,J130))</f>
        <v>Hampshire6</v>
      </c>
      <c r="C130" s="11" t="s">
        <v>313</v>
      </c>
      <c r="D130" s="11" t="s">
        <v>313</v>
      </c>
      <c r="E130" s="9" t="s">
        <v>0</v>
      </c>
      <c r="F130" s="9" t="s">
        <v>389</v>
      </c>
      <c r="G130" s="9" t="s">
        <v>301</v>
      </c>
      <c r="H130" s="11" t="s">
        <v>371</v>
      </c>
      <c r="I130" s="11" t="s">
        <v>371</v>
      </c>
      <c r="J130" t="str">
        <f>C130</f>
        <v>Hampshire</v>
      </c>
      <c r="K130" s="21" t="s">
        <v>335</v>
      </c>
    </row>
    <row r="131" spans="1:11" ht="14.4">
      <c r="A131" s="5" t="str">
        <f>F131&amp;(COUNTIFS(F$2:F131,F131,K$2:K131,"Sparse"))</f>
        <v>SD24</v>
      </c>
      <c r="B131" s="5" t="str">
        <f>J131&amp;(COUNTIF(J$2:J131,J131))</f>
        <v>Leicestershire3</v>
      </c>
      <c r="C131" s="8" t="s">
        <v>79</v>
      </c>
      <c r="D131" s="8" t="s">
        <v>79</v>
      </c>
      <c r="E131" s="9" t="s">
        <v>367</v>
      </c>
      <c r="F131" s="9" t="s">
        <v>381</v>
      </c>
      <c r="G131" s="9" t="s">
        <v>5</v>
      </c>
      <c r="H131" s="10" t="s">
        <v>893</v>
      </c>
      <c r="I131" s="11" t="s">
        <v>382</v>
      </c>
      <c r="J131" t="s">
        <v>317</v>
      </c>
      <c r="K131" s="21" t="s">
        <v>335</v>
      </c>
    </row>
    <row r="132" spans="1:11" ht="14.4">
      <c r="A132" s="5" t="str">
        <f>F132&amp;(COUNTIFS(F$2:F132,F132,K$2:K132,"Sparse"))</f>
        <v>L0</v>
      </c>
      <c r="B132" s="5" t="str">
        <f>J132&amp;(COUNTIF(J$2:J132,J132))</f>
        <v>London14</v>
      </c>
      <c r="C132" s="8" t="s">
        <v>206</v>
      </c>
      <c r="D132" s="8" t="s">
        <v>206</v>
      </c>
      <c r="E132" s="9" t="s">
        <v>383</v>
      </c>
      <c r="F132" s="9" t="s">
        <v>359</v>
      </c>
      <c r="G132" s="9" t="s">
        <v>383</v>
      </c>
      <c r="H132" s="10" t="s">
        <v>897</v>
      </c>
      <c r="I132" s="11" t="s">
        <v>384</v>
      </c>
      <c r="J132" t="str">
        <f>G132</f>
        <v>London</v>
      </c>
      <c r="K132" s="21"/>
    </row>
    <row r="133" spans="1:11" ht="14.4">
      <c r="A133" s="5" t="str">
        <f>F133&amp;(COUNTIFS(F$2:F133,F133,K$2:K133,"Sparse"))</f>
        <v>SD24</v>
      </c>
      <c r="B133" s="5" t="str">
        <f>J133&amp;(COUNTIF(J$2:J133,J133))</f>
        <v>Essex9</v>
      </c>
      <c r="C133" s="8" t="s">
        <v>80</v>
      </c>
      <c r="D133" s="8" t="s">
        <v>80</v>
      </c>
      <c r="E133" s="9" t="s">
        <v>369</v>
      </c>
      <c r="F133" s="9" t="s">
        <v>381</v>
      </c>
      <c r="G133" s="9" t="s">
        <v>5</v>
      </c>
      <c r="H133" s="10" t="s">
        <v>892</v>
      </c>
      <c r="I133" s="11" t="s">
        <v>384</v>
      </c>
      <c r="J133" t="s">
        <v>311</v>
      </c>
      <c r="K133" s="21"/>
    </row>
    <row r="134" spans="1:11" ht="14.4">
      <c r="A134" s="5" t="str">
        <f>F134&amp;(COUNTIFS(F$2:F134,F134,K$2:K134,"Sparse"))</f>
        <v>SD25</v>
      </c>
      <c r="B134" s="5" t="str">
        <f>J134&amp;(COUNTIF(J$2:J134,J134))</f>
        <v>North Yorkshire3</v>
      </c>
      <c r="C134" s="8" t="s">
        <v>81</v>
      </c>
      <c r="D134" s="8" t="s">
        <v>81</v>
      </c>
      <c r="E134" s="9" t="s">
        <v>385</v>
      </c>
      <c r="F134" s="9" t="s">
        <v>381</v>
      </c>
      <c r="G134" s="9" t="s">
        <v>5</v>
      </c>
      <c r="H134" s="12" t="s">
        <v>895</v>
      </c>
      <c r="I134" s="11" t="s">
        <v>371</v>
      </c>
      <c r="J134" t="s">
        <v>320</v>
      </c>
      <c r="K134" s="21" t="s">
        <v>335</v>
      </c>
    </row>
    <row r="135" spans="1:11" ht="14.4">
      <c r="A135" s="5" t="str">
        <f>F135&amp;(COUNTIFS(F$2:F135,F135,K$2:K135,"Sparse"))</f>
        <v>L0</v>
      </c>
      <c r="B135" s="5" t="str">
        <f>J135&amp;(COUNTIF(J$2:J135,J135))</f>
        <v>London15</v>
      </c>
      <c r="C135" s="8" t="s">
        <v>207</v>
      </c>
      <c r="D135" s="8" t="s">
        <v>207</v>
      </c>
      <c r="E135" s="9" t="s">
        <v>383</v>
      </c>
      <c r="F135" s="9" t="s">
        <v>359</v>
      </c>
      <c r="G135" s="9" t="s">
        <v>383</v>
      </c>
      <c r="H135" s="10" t="s">
        <v>897</v>
      </c>
      <c r="I135" s="11" t="s">
        <v>384</v>
      </c>
      <c r="J135" t="str">
        <f>G135</f>
        <v>London</v>
      </c>
      <c r="K135" s="21"/>
    </row>
    <row r="136" spans="1:11" ht="14.4">
      <c r="A136" s="5" t="str">
        <f>F136&amp;(COUNTIFS(F$2:F136,F136,K$2:K136,"Sparse"))</f>
        <v>SD25</v>
      </c>
      <c r="B136" s="5" t="str">
        <f>J136&amp;(COUNTIF(J$2:J136,J136))</f>
        <v>Hampshire7</v>
      </c>
      <c r="C136" s="8" t="s">
        <v>82</v>
      </c>
      <c r="D136" s="8" t="s">
        <v>82</v>
      </c>
      <c r="E136" s="9" t="s">
        <v>0</v>
      </c>
      <c r="F136" s="9" t="s">
        <v>381</v>
      </c>
      <c r="G136" s="9" t="s">
        <v>5</v>
      </c>
      <c r="H136" s="12" t="s">
        <v>895</v>
      </c>
      <c r="I136" s="11" t="s">
        <v>371</v>
      </c>
      <c r="J136" t="s">
        <v>313</v>
      </c>
      <c r="K136" s="21"/>
    </row>
    <row r="137" spans="1:11" ht="14.4">
      <c r="A137" s="5" t="str">
        <f>F137&amp;(COUNTIFS(F$2:F137,F137,K$2:K137,"Sparse"))</f>
        <v>UA4</v>
      </c>
      <c r="B137" s="5" t="str">
        <f>J137&amp;(COUNTIF(J$2:J137,J137))</f>
        <v>Unitary20</v>
      </c>
      <c r="C137" s="8" t="s">
        <v>269</v>
      </c>
      <c r="D137" s="8" t="s">
        <v>269</v>
      </c>
      <c r="E137" s="9" t="s">
        <v>390</v>
      </c>
      <c r="F137" s="9" t="s">
        <v>387</v>
      </c>
      <c r="G137" s="9" t="s">
        <v>396</v>
      </c>
      <c r="H137" s="10" t="s">
        <v>892</v>
      </c>
      <c r="I137" s="11" t="s">
        <v>384</v>
      </c>
      <c r="J137" s="22" t="s">
        <v>396</v>
      </c>
      <c r="K137" s="21"/>
    </row>
    <row r="138" spans="1:11" ht="14.4">
      <c r="A138" s="5" t="str">
        <f>F138&amp;(COUNTIFS(F$2:F138,F138,K$2:K138,"Sparse"))</f>
        <v>SD25</v>
      </c>
      <c r="B138" s="5" t="str">
        <f>J138&amp;(COUNTIF(J$2:J138,J138))</f>
        <v>East Sussex3</v>
      </c>
      <c r="C138" s="8" t="s">
        <v>83</v>
      </c>
      <c r="D138" s="8" t="s">
        <v>83</v>
      </c>
      <c r="E138" s="9" t="s">
        <v>0</v>
      </c>
      <c r="F138" s="9" t="s">
        <v>381</v>
      </c>
      <c r="G138" s="9" t="s">
        <v>5</v>
      </c>
      <c r="H138" s="10" t="s">
        <v>892</v>
      </c>
      <c r="I138" s="11" t="s">
        <v>384</v>
      </c>
      <c r="J138" t="s">
        <v>310</v>
      </c>
      <c r="K138" s="21"/>
    </row>
    <row r="139" spans="1:11" ht="14.4">
      <c r="A139" s="5" t="str">
        <f>F139&amp;(COUNTIFS(F$2:F139,F139,K$2:K139,"Sparse"))</f>
        <v>SD25</v>
      </c>
      <c r="B139" s="5" t="str">
        <f>J139&amp;(COUNTIF(J$2:J139,J139))</f>
        <v>Hampshire8</v>
      </c>
      <c r="C139" s="8" t="s">
        <v>84</v>
      </c>
      <c r="D139" s="8" t="s">
        <v>84</v>
      </c>
      <c r="E139" s="9" t="s">
        <v>0</v>
      </c>
      <c r="F139" s="9" t="s">
        <v>381</v>
      </c>
      <c r="G139" s="9" t="s">
        <v>5</v>
      </c>
      <c r="H139" s="10" t="s">
        <v>892</v>
      </c>
      <c r="I139" s="11" t="s">
        <v>384</v>
      </c>
      <c r="J139" t="s">
        <v>313</v>
      </c>
      <c r="K139" s="21"/>
    </row>
    <row r="140" spans="1:11" ht="14.4">
      <c r="A140" s="5" t="str">
        <f>F140&amp;(COUNTIFS(F$2:F140,F140,K$2:K140,"Sparse"))</f>
        <v>L0</v>
      </c>
      <c r="B140" s="5" t="str">
        <f>J140&amp;(COUNTIF(J$2:J140,J140))</f>
        <v>London16</v>
      </c>
      <c r="C140" s="8" t="s">
        <v>208</v>
      </c>
      <c r="D140" s="8" t="s">
        <v>208</v>
      </c>
      <c r="E140" s="9" t="s">
        <v>383</v>
      </c>
      <c r="F140" s="9" t="s">
        <v>359</v>
      </c>
      <c r="G140" s="9" t="s">
        <v>383</v>
      </c>
      <c r="H140" s="10" t="s">
        <v>897</v>
      </c>
      <c r="I140" s="11" t="s">
        <v>384</v>
      </c>
      <c r="J140" t="str">
        <f>G140</f>
        <v>London</v>
      </c>
      <c r="K140" s="21"/>
    </row>
    <row r="141" spans="1:11" ht="14.4">
      <c r="A141" s="5" t="str">
        <f>F141&amp;(COUNTIFS(F$2:F141,F141,K$2:K141,"Sparse"))</f>
        <v>UA5</v>
      </c>
      <c r="B141" s="5" t="str">
        <f>J141&amp;(COUNTIF(J$2:J141,J141))</f>
        <v>Unitary21</v>
      </c>
      <c r="C141" s="8" t="s">
        <v>816</v>
      </c>
      <c r="D141" s="8" t="s">
        <v>391</v>
      </c>
      <c r="E141" s="9" t="s">
        <v>368</v>
      </c>
      <c r="F141" s="9" t="s">
        <v>387</v>
      </c>
      <c r="G141" s="9" t="s">
        <v>396</v>
      </c>
      <c r="H141" s="10" t="s">
        <v>896</v>
      </c>
      <c r="I141" s="11" t="s">
        <v>382</v>
      </c>
      <c r="J141" s="22" t="s">
        <v>396</v>
      </c>
      <c r="K141" s="21" t="s">
        <v>335</v>
      </c>
    </row>
    <row r="142" spans="1:11" ht="14.4">
      <c r="A142" s="5" t="str">
        <f>F142&amp;(COUNTIFS(F$2:F142,F142,K$2:K142,"Sparse"))</f>
        <v>SC6</v>
      </c>
      <c r="B142" s="5" t="str">
        <f>J142&amp;(COUNTIF(J$2:J142,J142))</f>
        <v>Hertfordshire4</v>
      </c>
      <c r="C142" s="11" t="s">
        <v>314</v>
      </c>
      <c r="D142" s="11" t="s">
        <v>314</v>
      </c>
      <c r="E142" s="9" t="s">
        <v>369</v>
      </c>
      <c r="F142" s="9" t="s">
        <v>389</v>
      </c>
      <c r="G142" s="9" t="s">
        <v>301</v>
      </c>
      <c r="H142" s="11" t="s">
        <v>384</v>
      </c>
      <c r="I142" s="11" t="s">
        <v>384</v>
      </c>
      <c r="J142" t="str">
        <f>C142</f>
        <v>Hertfordshire</v>
      </c>
      <c r="K142" s="21"/>
    </row>
    <row r="143" spans="1:11" ht="14.4">
      <c r="A143" s="5" t="str">
        <f>F143&amp;(COUNTIFS(F$2:F143,F143,K$2:K143,"Sparse"))</f>
        <v>SD25</v>
      </c>
      <c r="B143" s="5" t="str">
        <f>J143&amp;(COUNTIF(J$2:J143,J143))</f>
        <v>Hertfordshire5</v>
      </c>
      <c r="C143" s="8" t="s">
        <v>85</v>
      </c>
      <c r="D143" s="8" t="s">
        <v>85</v>
      </c>
      <c r="E143" s="9" t="s">
        <v>369</v>
      </c>
      <c r="F143" s="9" t="s">
        <v>381</v>
      </c>
      <c r="G143" s="9" t="s">
        <v>5</v>
      </c>
      <c r="H143" s="12" t="s">
        <v>897</v>
      </c>
      <c r="I143" s="11" t="s">
        <v>384</v>
      </c>
      <c r="J143" t="s">
        <v>314</v>
      </c>
      <c r="K143" s="21"/>
    </row>
    <row r="144" spans="1:11" ht="14.4">
      <c r="A144" s="5" t="str">
        <f>F144&amp;(COUNTIFS(F$2:F144,F144,K$2:K144,"Sparse"))</f>
        <v>SD25</v>
      </c>
      <c r="B144" s="5" t="str">
        <f>J144&amp;(COUNTIF(J$2:J144,J144))</f>
        <v>Derbyshire7</v>
      </c>
      <c r="C144" s="8" t="s">
        <v>86</v>
      </c>
      <c r="D144" s="8" t="s">
        <v>86</v>
      </c>
      <c r="E144" s="9" t="s">
        <v>367</v>
      </c>
      <c r="F144" s="9" t="s">
        <v>381</v>
      </c>
      <c r="G144" s="9" t="s">
        <v>5</v>
      </c>
      <c r="H144" s="10" t="s">
        <v>896</v>
      </c>
      <c r="I144" s="11" t="s">
        <v>382</v>
      </c>
      <c r="J144" t="s">
        <v>307</v>
      </c>
      <c r="K144" s="21"/>
    </row>
    <row r="145" spans="1:11" ht="14.4">
      <c r="A145" s="5" t="str">
        <f>F145&amp;(COUNTIFS(F$2:F145,F145,K$2:K145,"Sparse"))</f>
        <v>L0</v>
      </c>
      <c r="B145" s="5" t="str">
        <f>J145&amp;(COUNTIF(J$2:J145,J145))</f>
        <v>London17</v>
      </c>
      <c r="C145" s="8" t="s">
        <v>209</v>
      </c>
      <c r="D145" s="8" t="s">
        <v>209</v>
      </c>
      <c r="E145" s="9" t="s">
        <v>383</v>
      </c>
      <c r="F145" s="9" t="s">
        <v>359</v>
      </c>
      <c r="G145" s="9" t="s">
        <v>383</v>
      </c>
      <c r="H145" s="10" t="s">
        <v>897</v>
      </c>
      <c r="I145" s="11" t="s">
        <v>384</v>
      </c>
      <c r="J145" t="str">
        <f>G145</f>
        <v>London</v>
      </c>
      <c r="K145" s="21"/>
    </row>
    <row r="146" spans="1:11" ht="14.4">
      <c r="A146" s="5" t="str">
        <f>F146&amp;(COUNTIFS(F$2:F146,F146,K$2:K146,"Sparse"))</f>
        <v>SD25</v>
      </c>
      <c r="B146" s="5" t="str">
        <f>J146&amp;(COUNTIF(J$2:J146,J146))</f>
        <v>Leicestershire4</v>
      </c>
      <c r="C146" s="8" t="s">
        <v>345</v>
      </c>
      <c r="D146" s="8" t="s">
        <v>345</v>
      </c>
      <c r="E146" s="9" t="s">
        <v>367</v>
      </c>
      <c r="F146" s="9" t="s">
        <v>381</v>
      </c>
      <c r="G146" s="9" t="s">
        <v>5</v>
      </c>
      <c r="H146" s="12" t="s">
        <v>896</v>
      </c>
      <c r="I146" s="11" t="s">
        <v>382</v>
      </c>
      <c r="J146" t="s">
        <v>317</v>
      </c>
      <c r="K146" s="21"/>
    </row>
    <row r="147" spans="1:11" ht="14.4">
      <c r="A147" s="5" t="str">
        <f>F147&amp;(COUNTIFS(F$2:F147,F147,K$2:K147,"Sparse"))</f>
        <v>SD25</v>
      </c>
      <c r="B147" s="5" t="str">
        <f>J147&amp;(COUNTIF(J$2:J147,J147))</f>
        <v>West Sussex5</v>
      </c>
      <c r="C147" s="8" t="s">
        <v>87</v>
      </c>
      <c r="D147" s="8" t="s">
        <v>87</v>
      </c>
      <c r="E147" s="9" t="s">
        <v>0</v>
      </c>
      <c r="F147" s="9" t="s">
        <v>381</v>
      </c>
      <c r="G147" s="9" t="s">
        <v>5</v>
      </c>
      <c r="H147" s="10" t="s">
        <v>896</v>
      </c>
      <c r="I147" s="11" t="s">
        <v>382</v>
      </c>
      <c r="J147" t="s">
        <v>331</v>
      </c>
      <c r="K147" s="21"/>
    </row>
    <row r="148" spans="1:11" ht="14.4">
      <c r="A148" s="5" t="str">
        <f>F148&amp;(COUNTIFS(F$2:F148,F148,K$2:K148,"Sparse"))</f>
        <v>L0</v>
      </c>
      <c r="B148" s="5" t="str">
        <f>J148&amp;(COUNTIF(J$2:J148,J148))</f>
        <v>London18</v>
      </c>
      <c r="C148" s="8" t="s">
        <v>210</v>
      </c>
      <c r="D148" s="8" t="s">
        <v>210</v>
      </c>
      <c r="E148" s="9" t="s">
        <v>383</v>
      </c>
      <c r="F148" s="9" t="s">
        <v>359</v>
      </c>
      <c r="G148" s="9" t="s">
        <v>383</v>
      </c>
      <c r="H148" s="10" t="s">
        <v>897</v>
      </c>
      <c r="I148" s="11" t="s">
        <v>384</v>
      </c>
      <c r="J148" t="str">
        <f>G148</f>
        <v>London</v>
      </c>
      <c r="K148" s="21"/>
    </row>
    <row r="149" spans="1:11" ht="14.4">
      <c r="A149" s="5" t="str">
        <f>F149&amp;(COUNTIFS(F$2:F149,F149,K$2:K149,"Sparse"))</f>
        <v>SD26</v>
      </c>
      <c r="B149" s="5" t="str">
        <f>J149&amp;(COUNTIF(J$2:J149,J149))</f>
        <v>Cambridgeshire5</v>
      </c>
      <c r="C149" s="8" t="s">
        <v>88</v>
      </c>
      <c r="D149" s="8" t="s">
        <v>88</v>
      </c>
      <c r="E149" s="9" t="s">
        <v>369</v>
      </c>
      <c r="F149" s="9" t="s">
        <v>381</v>
      </c>
      <c r="G149" s="9" t="s">
        <v>5</v>
      </c>
      <c r="H149" s="10" t="s">
        <v>893</v>
      </c>
      <c r="I149" s="11" t="s">
        <v>382</v>
      </c>
      <c r="J149" t="s">
        <v>302</v>
      </c>
      <c r="K149" s="21" t="s">
        <v>335</v>
      </c>
    </row>
    <row r="150" spans="1:11" ht="14.4">
      <c r="A150" s="5" t="str">
        <f>F150&amp;(COUNTIFS(F$2:F150,F150,K$2:K150,"Sparse"))</f>
        <v>SD26</v>
      </c>
      <c r="B150" s="5" t="str">
        <f>J150&amp;(COUNTIF(J$2:J150,J150))</f>
        <v>Lancashire4</v>
      </c>
      <c r="C150" s="8" t="s">
        <v>89</v>
      </c>
      <c r="D150" s="8" t="s">
        <v>89</v>
      </c>
      <c r="E150" s="9" t="s">
        <v>376</v>
      </c>
      <c r="F150" s="9" t="s">
        <v>381</v>
      </c>
      <c r="G150" s="9" t="s">
        <v>5</v>
      </c>
      <c r="H150" s="10" t="s">
        <v>892</v>
      </c>
      <c r="I150" s="11" t="s">
        <v>384</v>
      </c>
      <c r="J150" t="s">
        <v>316</v>
      </c>
      <c r="K150" s="21"/>
    </row>
    <row r="151" spans="1:11" ht="14.4">
      <c r="A151" s="5" t="str">
        <f>F151&amp;(COUNTIFS(F$2:F151,F151,K$2:K151,"Sparse"))</f>
        <v>SD26</v>
      </c>
      <c r="B151" s="5" t="str">
        <f>J151&amp;(COUNTIF(J$2:J151,J151))</f>
        <v>Suffolk4</v>
      </c>
      <c r="C151" s="8" t="s">
        <v>90</v>
      </c>
      <c r="D151" s="8" t="s">
        <v>90</v>
      </c>
      <c r="E151" s="9" t="s">
        <v>369</v>
      </c>
      <c r="F151" s="9" t="s">
        <v>381</v>
      </c>
      <c r="G151" s="9" t="s">
        <v>5</v>
      </c>
      <c r="H151" s="10" t="s">
        <v>892</v>
      </c>
      <c r="I151" s="11" t="s">
        <v>384</v>
      </c>
      <c r="J151" t="s">
        <v>328</v>
      </c>
      <c r="K151" s="21"/>
    </row>
    <row r="152" spans="1:11" ht="14.4">
      <c r="A152" s="5" t="str">
        <f>F152&amp;(COUNTIFS(F$2:F152,F152,K$2:K152,"Sparse"))</f>
        <v>UA6</v>
      </c>
      <c r="B152" s="5" t="str">
        <f>J152&amp;(COUNTIF(J$2:J152,J152))</f>
        <v>Unitary22</v>
      </c>
      <c r="C152" s="8" t="s">
        <v>270</v>
      </c>
      <c r="D152" s="8" t="s">
        <v>270</v>
      </c>
      <c r="E152" s="9" t="s">
        <v>0</v>
      </c>
      <c r="F152" s="9" t="s">
        <v>387</v>
      </c>
      <c r="G152" s="9" t="s">
        <v>396</v>
      </c>
      <c r="H152" s="10" t="s">
        <v>893</v>
      </c>
      <c r="I152" s="11" t="s">
        <v>382</v>
      </c>
      <c r="J152" s="22" t="s">
        <v>396</v>
      </c>
      <c r="K152" s="21" t="s">
        <v>335</v>
      </c>
    </row>
    <row r="153" spans="1:11" ht="14.4">
      <c r="A153" s="5" t="str">
        <f>F153&amp;(COUNTIFS(F$2:F153,F153,K$2:K153,"Sparse"))</f>
        <v>00</v>
      </c>
      <c r="B153" s="5" t="str">
        <f>J153&amp;(COUNTIF(J$2:J153,J153))</f>
        <v>0</v>
      </c>
      <c r="C153" s="8" t="s">
        <v>2</v>
      </c>
      <c r="D153" s="8" t="s">
        <v>2</v>
      </c>
      <c r="E153" s="9" t="s">
        <v>1</v>
      </c>
      <c r="F153" s="9">
        <v>0</v>
      </c>
      <c r="G153" s="22" t="s">
        <v>400</v>
      </c>
      <c r="H153" s="10" t="s">
        <v>893</v>
      </c>
      <c r="I153" s="11" t="s">
        <v>382</v>
      </c>
      <c r="K153" s="21"/>
    </row>
    <row r="154" spans="1:11" ht="14.4">
      <c r="A154" s="5" t="str">
        <f>F154&amp;(COUNTIFS(F$2:F154,F154,K$2:K154,"Sparse"))</f>
        <v>L0</v>
      </c>
      <c r="B154" s="5" t="str">
        <f>J154&amp;(COUNTIF(J$2:J154,J154))</f>
        <v>London19</v>
      </c>
      <c r="C154" s="8" t="s">
        <v>211</v>
      </c>
      <c r="D154" s="8" t="s">
        <v>211</v>
      </c>
      <c r="E154" s="9" t="s">
        <v>383</v>
      </c>
      <c r="F154" s="9" t="s">
        <v>359</v>
      </c>
      <c r="G154" s="9" t="s">
        <v>383</v>
      </c>
      <c r="H154" s="10" t="s">
        <v>897</v>
      </c>
      <c r="I154" s="11" t="s">
        <v>384</v>
      </c>
      <c r="J154" t="str">
        <f>G154</f>
        <v>London</v>
      </c>
      <c r="K154" s="21"/>
    </row>
    <row r="155" spans="1:11" ht="14.4">
      <c r="A155" s="5" t="str">
        <f>F155&amp;(COUNTIFS(F$2:F155,F155,K$2:K155,"Sparse"))</f>
        <v>L0</v>
      </c>
      <c r="B155" s="5" t="str">
        <f>J155&amp;(COUNTIF(J$2:J155,J155))</f>
        <v>London20</v>
      </c>
      <c r="C155" s="8" t="s">
        <v>337</v>
      </c>
      <c r="D155" s="8" t="s">
        <v>337</v>
      </c>
      <c r="E155" s="9" t="s">
        <v>383</v>
      </c>
      <c r="F155" s="9" t="s">
        <v>359</v>
      </c>
      <c r="G155" s="9" t="s">
        <v>383</v>
      </c>
      <c r="H155" s="10" t="s">
        <v>897</v>
      </c>
      <c r="I155" s="11" t="s">
        <v>384</v>
      </c>
      <c r="J155" t="str">
        <f>G155</f>
        <v>London</v>
      </c>
      <c r="K155" s="21"/>
    </row>
    <row r="156" spans="1:11" ht="14.4">
      <c r="A156" s="5" t="str">
        <f>F156&amp;(COUNTIFS(F$2:F156,F156,K$2:K156,"Sparse"))</f>
        <v>SC6</v>
      </c>
      <c r="B156" s="5" t="str">
        <f>J156&amp;(COUNTIF(J$2:J156,J156))</f>
        <v>Kent6</v>
      </c>
      <c r="C156" s="11" t="s">
        <v>315</v>
      </c>
      <c r="D156" s="11" t="s">
        <v>315</v>
      </c>
      <c r="E156" s="9" t="s">
        <v>369</v>
      </c>
      <c r="F156" s="9" t="s">
        <v>389</v>
      </c>
      <c r="G156" s="9" t="s">
        <v>301</v>
      </c>
      <c r="H156" s="11" t="s">
        <v>371</v>
      </c>
      <c r="I156" s="11" t="s">
        <v>371</v>
      </c>
      <c r="J156" t="str">
        <f>C156</f>
        <v>Kent</v>
      </c>
      <c r="K156" s="21"/>
    </row>
    <row r="157" spans="1:11" ht="14.4">
      <c r="A157" s="5" t="str">
        <f>F157&amp;(COUNTIFS(F$2:F157,F157,K$2:K157,"Sparse"))</f>
        <v>SD26</v>
      </c>
      <c r="B157" s="5" t="str">
        <f>J157&amp;(COUNTIF(J$2:J157,J157))</f>
        <v>Northamptonshire4</v>
      </c>
      <c r="C157" s="8" t="s">
        <v>91</v>
      </c>
      <c r="D157" s="8" t="s">
        <v>91</v>
      </c>
      <c r="E157" s="9" t="s">
        <v>367</v>
      </c>
      <c r="F157" s="9" t="s">
        <v>381</v>
      </c>
      <c r="G157" s="9" t="s">
        <v>5</v>
      </c>
      <c r="H157" s="12" t="s">
        <v>892</v>
      </c>
      <c r="I157" s="11" t="s">
        <v>384</v>
      </c>
      <c r="J157" t="s">
        <v>321</v>
      </c>
      <c r="K157" s="21"/>
    </row>
    <row r="158" spans="1:11" ht="14.4">
      <c r="A158" s="5" t="str">
        <f>F158&amp;(COUNTIFS(F$2:F158,F158,K$2:K158,"Sparse"))</f>
        <v>SD27</v>
      </c>
      <c r="B158" s="5" t="str">
        <f>J158&amp;(COUNTIF(J$2:J158,J158))</f>
        <v>Norfolk4</v>
      </c>
      <c r="C158" s="8" t="s">
        <v>377</v>
      </c>
      <c r="D158" s="8" t="s">
        <v>377</v>
      </c>
      <c r="E158" s="9" t="s">
        <v>369</v>
      </c>
      <c r="F158" s="9" t="s">
        <v>381</v>
      </c>
      <c r="G158" s="9" t="s">
        <v>5</v>
      </c>
      <c r="H158" s="10" t="s">
        <v>896</v>
      </c>
      <c r="I158" s="11" t="s">
        <v>382</v>
      </c>
      <c r="J158" t="s">
        <v>319</v>
      </c>
      <c r="K158" s="21" t="s">
        <v>335</v>
      </c>
    </row>
    <row r="159" spans="1:11" ht="14.4">
      <c r="A159" s="5" t="str">
        <f>F159&amp;(COUNTIFS(F$2:F159,F159,K$2:K159,"Sparse"))</f>
        <v>UA6</v>
      </c>
      <c r="B159" s="5" t="str">
        <f>J159&amp;(COUNTIF(J$2:J159,J159))</f>
        <v>Unitary23</v>
      </c>
      <c r="C159" s="8" t="s">
        <v>817</v>
      </c>
      <c r="D159" s="8" t="s">
        <v>392</v>
      </c>
      <c r="E159" s="9" t="s">
        <v>385</v>
      </c>
      <c r="F159" s="9" t="s">
        <v>387</v>
      </c>
      <c r="G159" s="9" t="s">
        <v>396</v>
      </c>
      <c r="H159" s="10" t="s">
        <v>892</v>
      </c>
      <c r="I159" s="11" t="s">
        <v>384</v>
      </c>
      <c r="J159" s="22" t="s">
        <v>396</v>
      </c>
      <c r="K159" s="21"/>
    </row>
    <row r="160" spans="1:11" ht="14.4">
      <c r="A160" s="5" t="str">
        <f>F160&amp;(COUNTIFS(F$2:F160,F160,K$2:K160,"Sparse"))</f>
        <v>L0</v>
      </c>
      <c r="B160" s="5" t="str">
        <f>J160&amp;(COUNTIF(J$2:J160,J160))</f>
        <v>London21</v>
      </c>
      <c r="C160" s="8" t="s">
        <v>393</v>
      </c>
      <c r="D160" s="8" t="s">
        <v>393</v>
      </c>
      <c r="E160" s="9" t="s">
        <v>383</v>
      </c>
      <c r="F160" s="9" t="s">
        <v>359</v>
      </c>
      <c r="G160" s="9" t="s">
        <v>383</v>
      </c>
      <c r="H160" s="10" t="s">
        <v>897</v>
      </c>
      <c r="I160" s="11" t="s">
        <v>384</v>
      </c>
      <c r="J160" t="str">
        <f>G160</f>
        <v>London</v>
      </c>
      <c r="K160" s="21"/>
    </row>
    <row r="161" spans="1:11" ht="14.4">
      <c r="A161" s="5" t="str">
        <f>F161&amp;(COUNTIFS(F$2:F161,F161,K$2:K161,"Sparse"))</f>
        <v>MD0</v>
      </c>
      <c r="B161" s="5" t="str">
        <f>J161&amp;(COUNTIF(J$2:J161,J161))</f>
        <v>Kirklees1</v>
      </c>
      <c r="C161" s="8" t="s">
        <v>232</v>
      </c>
      <c r="D161" s="8" t="s">
        <v>232</v>
      </c>
      <c r="E161" s="9" t="s">
        <v>385</v>
      </c>
      <c r="F161" s="9" t="s">
        <v>386</v>
      </c>
      <c r="G161" s="9" t="s">
        <v>397</v>
      </c>
      <c r="H161" s="10" t="s">
        <v>897</v>
      </c>
      <c r="I161" s="11" t="s">
        <v>384</v>
      </c>
      <c r="J161" t="str">
        <f>C161</f>
        <v>Kirklees</v>
      </c>
      <c r="K161" s="21"/>
    </row>
    <row r="162" spans="1:11" ht="14.4">
      <c r="A162" s="5" t="str">
        <f>F162&amp;(COUNTIFS(F$2:F162,F162,K$2:K162,"Sparse"))</f>
        <v>MD0</v>
      </c>
      <c r="B162" s="5" t="str">
        <f>J162&amp;(COUNTIF(J$2:J162,J162))</f>
        <v>Knowsley1</v>
      </c>
      <c r="C162" s="8" t="s">
        <v>233</v>
      </c>
      <c r="D162" s="8" t="s">
        <v>233</v>
      </c>
      <c r="E162" s="9" t="s">
        <v>376</v>
      </c>
      <c r="F162" s="9" t="s">
        <v>386</v>
      </c>
      <c r="G162" s="9" t="s">
        <v>397</v>
      </c>
      <c r="H162" s="10" t="s">
        <v>897</v>
      </c>
      <c r="I162" s="11" t="s">
        <v>384</v>
      </c>
      <c r="J162" t="str">
        <f>C162</f>
        <v>Knowsley</v>
      </c>
      <c r="K162" s="21"/>
    </row>
    <row r="163" spans="1:11" ht="14.4">
      <c r="A163" s="5" t="str">
        <f>F163&amp;(COUNTIFS(F$2:F163,F163,K$2:K163,"Sparse"))</f>
        <v>L0</v>
      </c>
      <c r="B163" s="5" t="str">
        <f>J163&amp;(COUNTIF(J$2:J163,J163))</f>
        <v>London22</v>
      </c>
      <c r="C163" s="8" t="s">
        <v>212</v>
      </c>
      <c r="D163" s="8" t="s">
        <v>212</v>
      </c>
      <c r="E163" s="9" t="s">
        <v>383</v>
      </c>
      <c r="F163" s="9" t="s">
        <v>359</v>
      </c>
      <c r="G163" s="9" t="s">
        <v>383</v>
      </c>
      <c r="H163" s="10" t="s">
        <v>897</v>
      </c>
      <c r="I163" s="11" t="s">
        <v>384</v>
      </c>
      <c r="J163" t="str">
        <f>G163</f>
        <v>London</v>
      </c>
      <c r="K163" s="21"/>
    </row>
    <row r="164" spans="1:11" ht="14.4">
      <c r="A164" s="5" t="str">
        <f>F164&amp;(COUNTIFS(F$2:F164,F164,K$2:K164,"Sparse"))</f>
        <v>SC7</v>
      </c>
      <c r="B164" s="5" t="str">
        <f>J164&amp;(COUNTIF(J$2:J164,J164))</f>
        <v>Lancashire5</v>
      </c>
      <c r="C164" s="11" t="s">
        <v>316</v>
      </c>
      <c r="D164" s="11" t="s">
        <v>316</v>
      </c>
      <c r="E164" s="9" t="s">
        <v>376</v>
      </c>
      <c r="F164" s="9" t="s">
        <v>389</v>
      </c>
      <c r="G164" s="9" t="s">
        <v>301</v>
      </c>
      <c r="H164" s="11" t="s">
        <v>371</v>
      </c>
      <c r="I164" s="11" t="s">
        <v>371</v>
      </c>
      <c r="J164" t="str">
        <f>C164</f>
        <v>Lancashire</v>
      </c>
      <c r="K164" s="21" t="s">
        <v>335</v>
      </c>
    </row>
    <row r="165" spans="1:11" ht="14.4">
      <c r="A165" s="5" t="str">
        <f>F165&amp;(COUNTIFS(F$2:F165,F165,K$2:K165,"Sparse"))</f>
        <v>SD27</v>
      </c>
      <c r="B165" s="5" t="str">
        <f>J165&amp;(COUNTIF(J$2:J165,J165))</f>
        <v>Lancashire6</v>
      </c>
      <c r="C165" s="8" t="s">
        <v>92</v>
      </c>
      <c r="D165" s="8" t="s">
        <v>92</v>
      </c>
      <c r="E165" s="9" t="s">
        <v>376</v>
      </c>
      <c r="F165" s="9" t="s">
        <v>381</v>
      </c>
      <c r="G165" s="9" t="s">
        <v>5</v>
      </c>
      <c r="H165" s="12" t="s">
        <v>895</v>
      </c>
      <c r="I165" s="11" t="s">
        <v>371</v>
      </c>
      <c r="J165" t="s">
        <v>316</v>
      </c>
      <c r="K165" s="21"/>
    </row>
    <row r="166" spans="1:11" ht="14.4">
      <c r="A166" s="5" t="str">
        <f>F166&amp;(COUNTIFS(F$2:F166,F166,K$2:K166,"Sparse"))</f>
        <v>MD0</v>
      </c>
      <c r="B166" s="5" t="str">
        <f>J166&amp;(COUNTIF(J$2:J166,J166))</f>
        <v>Leeds1</v>
      </c>
      <c r="C166" s="8" t="s">
        <v>234</v>
      </c>
      <c r="D166" s="8" t="s">
        <v>234</v>
      </c>
      <c r="E166" s="9" t="s">
        <v>385</v>
      </c>
      <c r="F166" s="9" t="s">
        <v>386</v>
      </c>
      <c r="G166" s="9" t="s">
        <v>397</v>
      </c>
      <c r="H166" s="10" t="s">
        <v>897</v>
      </c>
      <c r="I166" s="11" t="s">
        <v>384</v>
      </c>
      <c r="J166" t="str">
        <f>C166</f>
        <v>Leeds</v>
      </c>
      <c r="K166" s="21"/>
    </row>
    <row r="167" spans="1:11" ht="14.4">
      <c r="A167" s="5" t="str">
        <f>F167&amp;(COUNTIFS(F$2:F167,F167,K$2:K167,"Sparse"))</f>
        <v>UA6</v>
      </c>
      <c r="B167" s="5" t="str">
        <f>J167&amp;(COUNTIF(J$2:J167,J167))</f>
        <v>Unitary24</v>
      </c>
      <c r="C167" s="8" t="s">
        <v>271</v>
      </c>
      <c r="D167" s="8" t="s">
        <v>271</v>
      </c>
      <c r="E167" s="9" t="s">
        <v>367</v>
      </c>
      <c r="F167" s="9" t="s">
        <v>387</v>
      </c>
      <c r="G167" s="9" t="s">
        <v>396</v>
      </c>
      <c r="H167" s="10" t="s">
        <v>892</v>
      </c>
      <c r="I167" s="11" t="s">
        <v>384</v>
      </c>
      <c r="J167" s="22" t="s">
        <v>396</v>
      </c>
      <c r="K167" s="21"/>
    </row>
    <row r="168" spans="1:11" ht="14.4">
      <c r="A168" s="5" t="str">
        <f>F168&amp;(COUNTIFS(F$2:F168,F168,K$2:K168,"Sparse"))</f>
        <v>SC8</v>
      </c>
      <c r="B168" s="5" t="str">
        <f>J168&amp;(COUNTIF(J$2:J168,J168))</f>
        <v>Leicestershire5</v>
      </c>
      <c r="C168" s="11" t="s">
        <v>317</v>
      </c>
      <c r="D168" s="11" t="s">
        <v>317</v>
      </c>
      <c r="E168" s="9" t="s">
        <v>367</v>
      </c>
      <c r="F168" s="9" t="s">
        <v>389</v>
      </c>
      <c r="G168" s="9" t="s">
        <v>301</v>
      </c>
      <c r="H168" s="11" t="s">
        <v>371</v>
      </c>
      <c r="I168" s="11" t="s">
        <v>371</v>
      </c>
      <c r="J168" t="str">
        <f>C168</f>
        <v>Leicestershire</v>
      </c>
      <c r="K168" s="21" t="s">
        <v>335</v>
      </c>
    </row>
    <row r="169" spans="1:11" ht="14.4">
      <c r="A169" s="5" t="str">
        <f>F169&amp;(COUNTIFS(F$2:F169,F169,K$2:K169,"Sparse"))</f>
        <v>SD28</v>
      </c>
      <c r="B169" s="5" t="str">
        <f>J169&amp;(COUNTIF(J$2:J169,J169))</f>
        <v>East Sussex4</v>
      </c>
      <c r="C169" s="8" t="s">
        <v>93</v>
      </c>
      <c r="D169" s="8" t="s">
        <v>93</v>
      </c>
      <c r="E169" s="9" t="s">
        <v>0</v>
      </c>
      <c r="F169" s="9" t="s">
        <v>381</v>
      </c>
      <c r="G169" s="9" t="s">
        <v>5</v>
      </c>
      <c r="H169" s="10" t="s">
        <v>895</v>
      </c>
      <c r="I169" s="11" t="s">
        <v>371</v>
      </c>
      <c r="J169" t="s">
        <v>310</v>
      </c>
      <c r="K169" s="21" t="s">
        <v>335</v>
      </c>
    </row>
    <row r="170" spans="1:11" ht="14.4">
      <c r="A170" s="5" t="str">
        <f>F170&amp;(COUNTIFS(F$2:F170,F170,K$2:K170,"Sparse"))</f>
        <v>L0</v>
      </c>
      <c r="B170" s="5" t="str">
        <f>J170&amp;(COUNTIF(J$2:J170,J170))</f>
        <v>London23</v>
      </c>
      <c r="C170" s="8" t="s">
        <v>213</v>
      </c>
      <c r="D170" s="8" t="s">
        <v>213</v>
      </c>
      <c r="E170" s="9" t="s">
        <v>383</v>
      </c>
      <c r="F170" s="9" t="s">
        <v>359</v>
      </c>
      <c r="G170" s="9" t="s">
        <v>383</v>
      </c>
      <c r="H170" s="10" t="s">
        <v>897</v>
      </c>
      <c r="I170" s="11" t="s">
        <v>384</v>
      </c>
      <c r="J170" t="str">
        <f>G170</f>
        <v>London</v>
      </c>
      <c r="K170" s="21"/>
    </row>
    <row r="171" spans="1:11" ht="14.4">
      <c r="A171" s="5" t="str">
        <f>F171&amp;(COUNTIFS(F$2:F171,F171,K$2:K171,"Sparse"))</f>
        <v>SD29</v>
      </c>
      <c r="B171" s="5" t="str">
        <f>J171&amp;(COUNTIF(J$2:J171,J171))</f>
        <v>Staffordshire3</v>
      </c>
      <c r="C171" s="8" t="s">
        <v>94</v>
      </c>
      <c r="D171" s="8" t="s">
        <v>94</v>
      </c>
      <c r="E171" s="9" t="s">
        <v>368</v>
      </c>
      <c r="F171" s="9" t="s">
        <v>381</v>
      </c>
      <c r="G171" s="9" t="s">
        <v>5</v>
      </c>
      <c r="H171" s="10" t="s">
        <v>895</v>
      </c>
      <c r="I171" s="11" t="s">
        <v>371</v>
      </c>
      <c r="J171" t="s">
        <v>327</v>
      </c>
      <c r="K171" s="21" t="s">
        <v>335</v>
      </c>
    </row>
    <row r="172" spans="1:11" ht="14.4">
      <c r="A172" s="5" t="str">
        <f>F172&amp;(COUNTIFS(F$2:F172,F172,K$2:K172,"Sparse"))</f>
        <v>SD29</v>
      </c>
      <c r="B172" s="5" t="str">
        <f>J172&amp;(COUNTIF(J$2:J172,J172))</f>
        <v>Lincolnshire3</v>
      </c>
      <c r="C172" s="8" t="s">
        <v>95</v>
      </c>
      <c r="D172" s="8" t="s">
        <v>95</v>
      </c>
      <c r="E172" s="9" t="s">
        <v>367</v>
      </c>
      <c r="F172" s="9" t="s">
        <v>381</v>
      </c>
      <c r="G172" s="9" t="s">
        <v>5</v>
      </c>
      <c r="H172" s="10" t="s">
        <v>892</v>
      </c>
      <c r="I172" s="11" t="s">
        <v>384</v>
      </c>
      <c r="J172" t="s">
        <v>318</v>
      </c>
      <c r="K172" s="21"/>
    </row>
    <row r="173" spans="1:11" ht="14.4">
      <c r="A173" s="5" t="str">
        <f>F173&amp;(COUNTIFS(F$2:F173,F173,K$2:K173,"Sparse"))</f>
        <v>SC9</v>
      </c>
      <c r="B173" s="5" t="str">
        <f>J173&amp;(COUNTIF(J$2:J173,J173))</f>
        <v>Lincolnshire4</v>
      </c>
      <c r="C173" s="11" t="s">
        <v>318</v>
      </c>
      <c r="D173" s="11" t="s">
        <v>318</v>
      </c>
      <c r="E173" s="9" t="s">
        <v>367</v>
      </c>
      <c r="F173" s="9" t="s">
        <v>389</v>
      </c>
      <c r="G173" s="9" t="s">
        <v>301</v>
      </c>
      <c r="H173" s="11" t="s">
        <v>382</v>
      </c>
      <c r="I173" s="11" t="s">
        <v>382</v>
      </c>
      <c r="J173" t="str">
        <f>C173</f>
        <v>Lincolnshire</v>
      </c>
      <c r="K173" s="21" t="s">
        <v>335</v>
      </c>
    </row>
    <row r="174" spans="1:11" ht="14.4">
      <c r="A174" s="5" t="str">
        <f>F174&amp;(COUNTIFS(F$2:F174,F174,K$2:K174,"Sparse"))</f>
        <v>MD0</v>
      </c>
      <c r="B174" s="5" t="str">
        <f>J174&amp;(COUNTIF(J$2:J174,J174))</f>
        <v>Liverpool1</v>
      </c>
      <c r="C174" s="8" t="s">
        <v>235</v>
      </c>
      <c r="D174" s="8" t="s">
        <v>235</v>
      </c>
      <c r="E174" s="9" t="s">
        <v>376</v>
      </c>
      <c r="F174" s="9" t="s">
        <v>386</v>
      </c>
      <c r="G174" s="9" t="s">
        <v>397</v>
      </c>
      <c r="H174" s="10" t="s">
        <v>897</v>
      </c>
      <c r="I174" s="11" t="s">
        <v>384</v>
      </c>
      <c r="J174" t="str">
        <f>C174</f>
        <v>Liverpool</v>
      </c>
      <c r="K174" s="21"/>
    </row>
    <row r="175" spans="1:11" ht="14.4">
      <c r="A175" s="5" t="str">
        <f>F175&amp;(COUNTIFS(F$2:F175,F175,K$2:K175,"Sparse"))</f>
        <v>UA6</v>
      </c>
      <c r="B175" s="5" t="str">
        <f>J175&amp;(COUNTIF(J$2:J175,J175))</f>
        <v>Unitary25</v>
      </c>
      <c r="C175" s="8" t="s">
        <v>272</v>
      </c>
      <c r="D175" s="8" t="s">
        <v>272</v>
      </c>
      <c r="E175" s="9" t="s">
        <v>369</v>
      </c>
      <c r="F175" s="9" t="s">
        <v>387</v>
      </c>
      <c r="G175" s="9" t="s">
        <v>396</v>
      </c>
      <c r="H175" s="10" t="s">
        <v>892</v>
      </c>
      <c r="I175" s="11" t="s">
        <v>384</v>
      </c>
      <c r="J175" s="22" t="s">
        <v>396</v>
      </c>
      <c r="K175" s="21"/>
    </row>
    <row r="176" spans="1:11" ht="14.4">
      <c r="A176" s="5" t="str">
        <f>F176&amp;(COUNTIFS(F$2:F176,F176,K$2:K176,"Sparse"))</f>
        <v>SD29</v>
      </c>
      <c r="B176" s="5" t="str">
        <f>J176&amp;(COUNTIF(J$2:J176,J176))</f>
        <v>Kent7</v>
      </c>
      <c r="C176" s="8" t="s">
        <v>96</v>
      </c>
      <c r="D176" s="8" t="s">
        <v>96</v>
      </c>
      <c r="E176" s="9" t="s">
        <v>0</v>
      </c>
      <c r="F176" s="9" t="s">
        <v>381</v>
      </c>
      <c r="G176" s="9" t="s">
        <v>5</v>
      </c>
      <c r="H176" s="12" t="s">
        <v>895</v>
      </c>
      <c r="I176" s="11" t="s">
        <v>371</v>
      </c>
      <c r="J176" t="s">
        <v>315</v>
      </c>
      <c r="K176" s="21"/>
    </row>
    <row r="177" spans="1:11" ht="14.4">
      <c r="A177" s="5" t="str">
        <f>F177&amp;(COUNTIFS(F$2:F177,F177,K$2:K177,"Sparse"))</f>
        <v>SD29</v>
      </c>
      <c r="B177" s="5" t="str">
        <f>J177&amp;(COUNTIF(J$2:J177,J177))</f>
        <v>Essex10</v>
      </c>
      <c r="C177" s="8" t="s">
        <v>97</v>
      </c>
      <c r="D177" s="8" t="s">
        <v>97</v>
      </c>
      <c r="E177" s="9" t="s">
        <v>369</v>
      </c>
      <c r="F177" s="9" t="s">
        <v>381</v>
      </c>
      <c r="G177" s="9" t="s">
        <v>5</v>
      </c>
      <c r="H177" s="10" t="s">
        <v>893</v>
      </c>
      <c r="I177" s="11" t="s">
        <v>382</v>
      </c>
      <c r="J177" t="s">
        <v>311</v>
      </c>
      <c r="K177" s="21"/>
    </row>
    <row r="178" spans="1:11" ht="14.4">
      <c r="A178" s="5" t="str">
        <f>F178&amp;(COUNTIFS(F$2:F178,F178,K$2:K178,"Sparse"))</f>
        <v>SD30</v>
      </c>
      <c r="B178" s="5" t="str">
        <f>J178&amp;(COUNTIF(J$2:J178,J178))</f>
        <v>Worcestershire2</v>
      </c>
      <c r="C178" s="8" t="s">
        <v>98</v>
      </c>
      <c r="D178" s="8" t="s">
        <v>98</v>
      </c>
      <c r="E178" s="9" t="s">
        <v>368</v>
      </c>
      <c r="F178" s="9" t="s">
        <v>381</v>
      </c>
      <c r="G178" s="9" t="s">
        <v>5</v>
      </c>
      <c r="H178" s="10" t="s">
        <v>896</v>
      </c>
      <c r="I178" s="11" t="s">
        <v>382</v>
      </c>
      <c r="J178" t="s">
        <v>332</v>
      </c>
      <c r="K178" s="21" t="s">
        <v>335</v>
      </c>
    </row>
    <row r="179" spans="1:11" ht="14.4">
      <c r="A179" s="5" t="str">
        <f>F179&amp;(COUNTIFS(F$2:F179,F179,K$2:K179,"Sparse"))</f>
        <v>MD0</v>
      </c>
      <c r="B179" s="5" t="str">
        <f>J179&amp;(COUNTIF(J$2:J179,J179))</f>
        <v>Manchester1</v>
      </c>
      <c r="C179" s="8" t="s">
        <v>236</v>
      </c>
      <c r="D179" s="8" t="s">
        <v>236</v>
      </c>
      <c r="E179" s="9" t="s">
        <v>376</v>
      </c>
      <c r="F179" s="9" t="s">
        <v>386</v>
      </c>
      <c r="G179" s="9" t="s">
        <v>397</v>
      </c>
      <c r="H179" s="10" t="s">
        <v>897</v>
      </c>
      <c r="I179" s="11" t="s">
        <v>384</v>
      </c>
      <c r="J179" t="str">
        <f>C179</f>
        <v>Manchester</v>
      </c>
      <c r="K179" s="21"/>
    </row>
    <row r="180" spans="1:11" ht="14.4">
      <c r="A180" s="5" t="str">
        <f>F180&amp;(COUNTIFS(F$2:F180,F180,K$2:K180,"Sparse"))</f>
        <v>SD30</v>
      </c>
      <c r="B180" s="5" t="str">
        <f>J180&amp;(COUNTIF(J$2:J180,J180))</f>
        <v>Nottinghamshire5</v>
      </c>
      <c r="C180" s="8" t="s">
        <v>99</v>
      </c>
      <c r="D180" s="8" t="s">
        <v>99</v>
      </c>
      <c r="E180" s="9" t="s">
        <v>367</v>
      </c>
      <c r="F180" s="9" t="s">
        <v>381</v>
      </c>
      <c r="G180" s="9" t="s">
        <v>5</v>
      </c>
      <c r="H180" s="10" t="s">
        <v>892</v>
      </c>
      <c r="I180" s="11" t="s">
        <v>384</v>
      </c>
      <c r="J180" t="s">
        <v>323</v>
      </c>
      <c r="K180" s="21"/>
    </row>
    <row r="181" spans="1:11" ht="14.4">
      <c r="A181" s="5" t="str">
        <f>F181&amp;(COUNTIFS(F$2:F181,F181,K$2:K181,"Sparse"))</f>
        <v>UA6</v>
      </c>
      <c r="B181" s="5" t="str">
        <f>J181&amp;(COUNTIF(J$2:J181,J181))</f>
        <v>Unitary26</v>
      </c>
      <c r="C181" s="8" t="s">
        <v>273</v>
      </c>
      <c r="D181" s="8" t="s">
        <v>273</v>
      </c>
      <c r="E181" s="9" t="s">
        <v>0</v>
      </c>
      <c r="F181" s="9" t="s">
        <v>387</v>
      </c>
      <c r="G181" s="9" t="s">
        <v>396</v>
      </c>
      <c r="H181" s="10" t="s">
        <v>892</v>
      </c>
      <c r="I181" s="11" t="s">
        <v>384</v>
      </c>
      <c r="J181" s="22" t="s">
        <v>396</v>
      </c>
      <c r="K181" s="21"/>
    </row>
    <row r="182" spans="1:11" ht="14.4">
      <c r="A182" s="5" t="str">
        <f>F182&amp;(COUNTIFS(F$2:F182,F182,K$2:K182,"Sparse"))</f>
        <v>SD31</v>
      </c>
      <c r="B182" s="5" t="str">
        <f>J182&amp;(COUNTIF(J$2:J182,J182))</f>
        <v>Leicestershire6</v>
      </c>
      <c r="C182" s="8" t="s">
        <v>100</v>
      </c>
      <c r="D182" s="8" t="s">
        <v>100</v>
      </c>
      <c r="E182" s="9" t="s">
        <v>367</v>
      </c>
      <c r="F182" s="9" t="s">
        <v>381</v>
      </c>
      <c r="G182" s="9" t="s">
        <v>5</v>
      </c>
      <c r="H182" s="10" t="s">
        <v>893</v>
      </c>
      <c r="I182" s="11" t="s">
        <v>382</v>
      </c>
      <c r="J182" t="s">
        <v>317</v>
      </c>
      <c r="K182" s="21" t="s">
        <v>335</v>
      </c>
    </row>
    <row r="183" spans="1:11" ht="14.4">
      <c r="A183" s="5" t="str">
        <f>F183&amp;(COUNTIFS(F$2:F183,F183,K$2:K183,"Sparse"))</f>
        <v>SD32</v>
      </c>
      <c r="B183" s="5" t="str">
        <f>J183&amp;(COUNTIF(J$2:J183,J183))</f>
        <v>Somerset1</v>
      </c>
      <c r="C183" s="8" t="s">
        <v>101</v>
      </c>
      <c r="D183" s="8" t="s">
        <v>101</v>
      </c>
      <c r="E183" s="9" t="s">
        <v>1</v>
      </c>
      <c r="F183" s="9" t="s">
        <v>381</v>
      </c>
      <c r="G183" s="9" t="s">
        <v>5</v>
      </c>
      <c r="H183" s="10" t="s">
        <v>893</v>
      </c>
      <c r="I183" s="11" t="s">
        <v>382</v>
      </c>
      <c r="J183" t="s">
        <v>326</v>
      </c>
      <c r="K183" s="21" t="s">
        <v>335</v>
      </c>
    </row>
    <row r="184" spans="1:11" ht="14.4">
      <c r="A184" s="5" t="str">
        <f>F184&amp;(COUNTIFS(F$2:F184,F184,K$2:K184,"Sparse"))</f>
        <v>L0</v>
      </c>
      <c r="B184" s="5" t="str">
        <f>J184&amp;(COUNTIF(J$2:J184,J184))</f>
        <v>London24</v>
      </c>
      <c r="C184" s="8" t="s">
        <v>214</v>
      </c>
      <c r="D184" s="8" t="s">
        <v>214</v>
      </c>
      <c r="E184" s="9" t="s">
        <v>383</v>
      </c>
      <c r="F184" s="9" t="s">
        <v>359</v>
      </c>
      <c r="G184" s="9" t="s">
        <v>383</v>
      </c>
      <c r="H184" s="10" t="s">
        <v>897</v>
      </c>
      <c r="I184" s="11" t="s">
        <v>384</v>
      </c>
      <c r="J184" t="str">
        <f>G184</f>
        <v>London</v>
      </c>
      <c r="K184" s="21"/>
    </row>
    <row r="185" spans="1:11" ht="14.4">
      <c r="A185" s="5" t="str">
        <f>F185&amp;(COUNTIFS(F$2:F185,F185,K$2:K185,"Sparse"))</f>
        <v>SD33</v>
      </c>
      <c r="B185" s="5" t="str">
        <f>J185&amp;(COUNTIF(J$2:J185,J185))</f>
        <v>Devon4</v>
      </c>
      <c r="C185" s="8" t="s">
        <v>102</v>
      </c>
      <c r="D185" s="8" t="s">
        <v>102</v>
      </c>
      <c r="E185" s="9" t="s">
        <v>1</v>
      </c>
      <c r="F185" s="9" t="s">
        <v>381</v>
      </c>
      <c r="G185" s="9" t="s">
        <v>5</v>
      </c>
      <c r="H185" s="10" t="s">
        <v>893</v>
      </c>
      <c r="I185" s="11" t="s">
        <v>382</v>
      </c>
      <c r="J185" t="s">
        <v>308</v>
      </c>
      <c r="K185" s="21" t="s">
        <v>335</v>
      </c>
    </row>
    <row r="186" spans="1:11" ht="14.4">
      <c r="A186" s="5" t="str">
        <f>F186&amp;(COUNTIFS(F$2:F186,F186,K$2:K186,"Sparse"))</f>
        <v>SD34</v>
      </c>
      <c r="B186" s="5" t="str">
        <f>J186&amp;(COUNTIF(J$2:J186,J186))</f>
        <v>Suffolk5</v>
      </c>
      <c r="C186" s="8" t="s">
        <v>103</v>
      </c>
      <c r="D186" s="8" t="s">
        <v>103</v>
      </c>
      <c r="E186" s="9" t="s">
        <v>369</v>
      </c>
      <c r="F186" s="9" t="s">
        <v>381</v>
      </c>
      <c r="G186" s="9" t="s">
        <v>5</v>
      </c>
      <c r="H186" s="10" t="s">
        <v>893</v>
      </c>
      <c r="I186" s="11" t="s">
        <v>382</v>
      </c>
      <c r="J186" t="s">
        <v>328</v>
      </c>
      <c r="K186" s="21" t="s">
        <v>335</v>
      </c>
    </row>
    <row r="187" spans="1:11" ht="14.4">
      <c r="A187" s="5" t="str">
        <f>F187&amp;(COUNTIFS(F$2:F187,F187,K$2:K187,"Sparse"))</f>
        <v>SD35</v>
      </c>
      <c r="B187" s="5" t="str">
        <f>J187&amp;(COUNTIF(J$2:J187,J187))</f>
        <v>West Sussex6</v>
      </c>
      <c r="C187" s="8" t="s">
        <v>104</v>
      </c>
      <c r="D187" s="8" t="s">
        <v>104</v>
      </c>
      <c r="E187" s="9" t="s">
        <v>0</v>
      </c>
      <c r="F187" s="9" t="s">
        <v>381</v>
      </c>
      <c r="G187" s="9" t="s">
        <v>5</v>
      </c>
      <c r="H187" s="10" t="s">
        <v>892</v>
      </c>
      <c r="I187" s="11" t="s">
        <v>384</v>
      </c>
      <c r="J187" t="s">
        <v>331</v>
      </c>
      <c r="K187" s="21" t="s">
        <v>335</v>
      </c>
    </row>
    <row r="188" spans="1:11" ht="14.4">
      <c r="A188" s="5" t="str">
        <f>F188&amp;(COUNTIFS(F$2:F188,F188,K$2:K188,"Sparse"))</f>
        <v>UA6</v>
      </c>
      <c r="B188" s="5" t="str">
        <f>J188&amp;(COUNTIF(J$2:J188,J188))</f>
        <v>Unitary27</v>
      </c>
      <c r="C188" s="8" t="s">
        <v>274</v>
      </c>
      <c r="D188" s="8" t="s">
        <v>274</v>
      </c>
      <c r="E188" s="9" t="s">
        <v>390</v>
      </c>
      <c r="F188" s="9" t="s">
        <v>387</v>
      </c>
      <c r="G188" s="9" t="s">
        <v>396</v>
      </c>
      <c r="H188" s="10" t="s">
        <v>892</v>
      </c>
      <c r="I188" s="11" t="s">
        <v>384</v>
      </c>
      <c r="J188" s="22" t="s">
        <v>396</v>
      </c>
      <c r="K188" s="21"/>
    </row>
    <row r="189" spans="1:11" ht="14.4">
      <c r="A189" s="5" t="str">
        <f>F189&amp;(COUNTIFS(F$2:F189,F189,K$2:K189,"Sparse"))</f>
        <v>UA6</v>
      </c>
      <c r="B189" s="5" t="str">
        <f>J189&amp;(COUNTIF(J$2:J189,J189))</f>
        <v>Unitary28</v>
      </c>
      <c r="C189" s="8" t="s">
        <v>275</v>
      </c>
      <c r="D189" s="8" t="s">
        <v>275</v>
      </c>
      <c r="E189" s="9" t="s">
        <v>0</v>
      </c>
      <c r="F189" s="9" t="s">
        <v>387</v>
      </c>
      <c r="G189" s="9" t="s">
        <v>396</v>
      </c>
      <c r="H189" s="10" t="s">
        <v>892</v>
      </c>
      <c r="I189" s="11" t="s">
        <v>384</v>
      </c>
      <c r="J189" s="22" t="s">
        <v>396</v>
      </c>
      <c r="K189" s="21"/>
    </row>
    <row r="190" spans="1:11" ht="14.4">
      <c r="A190" s="5" t="str">
        <f>F190&amp;(COUNTIFS(F$2:F190,F190,K$2:K190,"Sparse"))</f>
        <v>SD35</v>
      </c>
      <c r="B190" s="5" t="str">
        <f>J190&amp;(COUNTIF(J$2:J190,J190))</f>
        <v>Surrey4</v>
      </c>
      <c r="C190" s="8" t="s">
        <v>105</v>
      </c>
      <c r="D190" s="8" t="s">
        <v>105</v>
      </c>
      <c r="E190" s="9" t="s">
        <v>0</v>
      </c>
      <c r="F190" s="9" t="s">
        <v>381</v>
      </c>
      <c r="G190" s="9" t="s">
        <v>5</v>
      </c>
      <c r="H190" s="12" t="s">
        <v>895</v>
      </c>
      <c r="I190" s="11" t="s">
        <v>371</v>
      </c>
      <c r="J190" t="s">
        <v>329</v>
      </c>
      <c r="K190" s="21"/>
    </row>
    <row r="191" spans="1:11" ht="14.4">
      <c r="A191" s="5" t="str">
        <f>F191&amp;(COUNTIFS(F$2:F191,F191,K$2:K191,"Sparse"))</f>
        <v>SD36</v>
      </c>
      <c r="B191" s="5" t="str">
        <f>J191&amp;(COUNTIF(J$2:J191,J191))</f>
        <v>Hampshire9</v>
      </c>
      <c r="C191" s="8" t="s">
        <v>106</v>
      </c>
      <c r="D191" s="8" t="s">
        <v>106</v>
      </c>
      <c r="E191" s="9" t="s">
        <v>0</v>
      </c>
      <c r="F191" s="9" t="s">
        <v>381</v>
      </c>
      <c r="G191" s="9" t="s">
        <v>5</v>
      </c>
      <c r="H191" s="12" t="s">
        <v>895</v>
      </c>
      <c r="I191" s="11" t="s">
        <v>371</v>
      </c>
      <c r="J191" t="s">
        <v>313</v>
      </c>
      <c r="K191" s="21" t="s">
        <v>335</v>
      </c>
    </row>
    <row r="192" spans="1:11" ht="14.4">
      <c r="A192" s="5" t="str">
        <f>F192&amp;(COUNTIFS(F$2:F192,F192,K$2:K192,"Sparse"))</f>
        <v>SD37</v>
      </c>
      <c r="B192" s="5" t="str">
        <f>J192&amp;(COUNTIF(J$2:J192,J192))</f>
        <v>Nottinghamshire6</v>
      </c>
      <c r="C192" s="8" t="s">
        <v>346</v>
      </c>
      <c r="D192" s="8" t="s">
        <v>346</v>
      </c>
      <c r="E192" s="9" t="s">
        <v>367</v>
      </c>
      <c r="F192" s="9" t="s">
        <v>381</v>
      </c>
      <c r="G192" s="9" t="s">
        <v>5</v>
      </c>
      <c r="H192" s="10" t="s">
        <v>896</v>
      </c>
      <c r="I192" s="11" t="s">
        <v>382</v>
      </c>
      <c r="J192" t="s">
        <v>323</v>
      </c>
      <c r="K192" s="21" t="s">
        <v>335</v>
      </c>
    </row>
    <row r="193" spans="1:11" ht="14.4">
      <c r="A193" s="5" t="str">
        <f>F193&amp;(COUNTIFS(F$2:F193,F193,K$2:K193,"Sparse"))</f>
        <v>MD0</v>
      </c>
      <c r="B193" s="5" t="str">
        <f>J193&amp;(COUNTIF(J$2:J193,J193))</f>
        <v>Newcastle upon Tyne1</v>
      </c>
      <c r="C193" s="8" t="s">
        <v>237</v>
      </c>
      <c r="D193" s="8" t="s">
        <v>237</v>
      </c>
      <c r="E193" s="9" t="s">
        <v>390</v>
      </c>
      <c r="F193" s="9" t="s">
        <v>386</v>
      </c>
      <c r="G193" s="9" t="s">
        <v>397</v>
      </c>
      <c r="H193" s="10" t="s">
        <v>897</v>
      </c>
      <c r="I193" s="11" t="s">
        <v>384</v>
      </c>
      <c r="J193" t="str">
        <f>C193</f>
        <v>Newcastle upon Tyne</v>
      </c>
      <c r="K193" s="21"/>
    </row>
    <row r="194" spans="1:11" ht="14.4">
      <c r="A194" s="5" t="str">
        <f>F194&amp;(COUNTIFS(F$2:F194,F194,K$2:K194,"Sparse"))</f>
        <v>SD37</v>
      </c>
      <c r="B194" s="5" t="str">
        <f>J194&amp;(COUNTIF(J$2:J194,J194))</f>
        <v>Staffordshire4</v>
      </c>
      <c r="C194" s="8" t="s">
        <v>107</v>
      </c>
      <c r="D194" s="8" t="s">
        <v>107</v>
      </c>
      <c r="E194" s="9" t="s">
        <v>368</v>
      </c>
      <c r="F194" s="9" t="s">
        <v>381</v>
      </c>
      <c r="G194" s="9" t="s">
        <v>5</v>
      </c>
      <c r="H194" s="10" t="s">
        <v>892</v>
      </c>
      <c r="I194" s="11" t="s">
        <v>384</v>
      </c>
      <c r="J194" t="s">
        <v>327</v>
      </c>
      <c r="K194" s="21"/>
    </row>
    <row r="195" spans="1:11" ht="14.4">
      <c r="A195" s="5" t="str">
        <f>F195&amp;(COUNTIFS(F$2:F195,F195,K$2:K195,"Sparse"))</f>
        <v>L0</v>
      </c>
      <c r="B195" s="5" t="str">
        <f>J195&amp;(COUNTIF(J$2:J195,J195))</f>
        <v>London25</v>
      </c>
      <c r="C195" s="8" t="s">
        <v>215</v>
      </c>
      <c r="D195" s="8" t="s">
        <v>215</v>
      </c>
      <c r="E195" s="9" t="s">
        <v>383</v>
      </c>
      <c r="F195" s="9" t="s">
        <v>359</v>
      </c>
      <c r="G195" s="9" t="s">
        <v>383</v>
      </c>
      <c r="H195" s="10" t="s">
        <v>897</v>
      </c>
      <c r="I195" s="11" t="s">
        <v>384</v>
      </c>
      <c r="J195" t="str">
        <f>G195</f>
        <v>London</v>
      </c>
      <c r="K195" s="21"/>
    </row>
    <row r="196" spans="1:11" ht="14.4">
      <c r="A196" s="5" t="str">
        <f>F196&amp;(COUNTIFS(F$2:F196,F196,K$2:K196,"Sparse"))</f>
        <v>SC10</v>
      </c>
      <c r="B196" s="5" t="str">
        <f>J196&amp;(COUNTIF(J$2:J196,J196))</f>
        <v>Norfolk5</v>
      </c>
      <c r="C196" s="15" t="s">
        <v>319</v>
      </c>
      <c r="D196" s="15" t="s">
        <v>319</v>
      </c>
      <c r="E196" s="9" t="s">
        <v>369</v>
      </c>
      <c r="F196" s="9" t="s">
        <v>389</v>
      </c>
      <c r="G196" s="9" t="s">
        <v>301</v>
      </c>
      <c r="H196" s="15" t="s">
        <v>382</v>
      </c>
      <c r="I196" s="11" t="s">
        <v>382</v>
      </c>
      <c r="J196" t="str">
        <f>C196</f>
        <v>Norfolk</v>
      </c>
      <c r="K196" s="21" t="s">
        <v>335</v>
      </c>
    </row>
    <row r="197" spans="1:11" ht="14.4">
      <c r="A197" s="5" t="str">
        <f>F197&amp;(COUNTIFS(F$2:F197,F197,K$2:K197,"Sparse"))</f>
        <v>SD38</v>
      </c>
      <c r="B197" s="5" t="str">
        <f>J197&amp;(COUNTIF(J$2:J197,J197))</f>
        <v>Devon5</v>
      </c>
      <c r="C197" s="8" t="s">
        <v>108</v>
      </c>
      <c r="D197" s="8" t="s">
        <v>108</v>
      </c>
      <c r="E197" s="9" t="s">
        <v>1</v>
      </c>
      <c r="F197" s="9" t="s">
        <v>381</v>
      </c>
      <c r="G197" s="9" t="s">
        <v>5</v>
      </c>
      <c r="H197" s="10" t="s">
        <v>896</v>
      </c>
      <c r="I197" s="11" t="s">
        <v>382</v>
      </c>
      <c r="J197" t="s">
        <v>308</v>
      </c>
      <c r="K197" s="21" t="s">
        <v>335</v>
      </c>
    </row>
    <row r="198" spans="1:11" ht="14.4">
      <c r="A198" s="5" t="str">
        <f>F198&amp;(COUNTIFS(F$2:F198,F198,K$2:K198,"Sparse"))</f>
        <v>SD38</v>
      </c>
      <c r="B198" s="5" t="str">
        <f>J198&amp;(COUNTIF(J$2:J198,J198))</f>
        <v>Dorset4</v>
      </c>
      <c r="C198" s="8" t="s">
        <v>109</v>
      </c>
      <c r="D198" s="8" t="s">
        <v>109</v>
      </c>
      <c r="E198" s="9" t="s">
        <v>1</v>
      </c>
      <c r="F198" s="9" t="s">
        <v>381</v>
      </c>
      <c r="G198" s="9" t="s">
        <v>5</v>
      </c>
      <c r="H198" s="10" t="s">
        <v>893</v>
      </c>
      <c r="I198" s="11" t="s">
        <v>382</v>
      </c>
      <c r="J198" t="s">
        <v>309</v>
      </c>
      <c r="K198" s="21"/>
    </row>
    <row r="199" spans="1:11" ht="14.4">
      <c r="A199" s="5" t="str">
        <f>F199&amp;(COUNTIFS(F$2:F199,F199,K$2:K199,"Sparse"))</f>
        <v>SD38</v>
      </c>
      <c r="B199" s="5" t="str">
        <f>J199&amp;(COUNTIF(J$2:J199,J199))</f>
        <v>Derbyshire8</v>
      </c>
      <c r="C199" s="8" t="s">
        <v>110</v>
      </c>
      <c r="D199" s="8" t="s">
        <v>110</v>
      </c>
      <c r="E199" s="9" t="s">
        <v>367</v>
      </c>
      <c r="F199" s="9" t="s">
        <v>381</v>
      </c>
      <c r="G199" s="9" t="s">
        <v>5</v>
      </c>
      <c r="H199" s="10" t="s">
        <v>892</v>
      </c>
      <c r="I199" s="11" t="s">
        <v>384</v>
      </c>
      <c r="J199" t="s">
        <v>307</v>
      </c>
      <c r="K199" s="21"/>
    </row>
    <row r="200" spans="1:11" ht="14.4">
      <c r="A200" s="5" t="str">
        <f>F200&amp;(COUNTIFS(F$2:F200,F200,K$2:K200,"Sparse"))</f>
        <v>UA6</v>
      </c>
      <c r="B200" s="5" t="str">
        <f>J200&amp;(COUNTIF(J$2:J200,J200))</f>
        <v>Unitary29</v>
      </c>
      <c r="C200" s="8" t="s">
        <v>276</v>
      </c>
      <c r="D200" s="8" t="s">
        <v>276</v>
      </c>
      <c r="E200" s="9" t="s">
        <v>385</v>
      </c>
      <c r="F200" s="9" t="s">
        <v>387</v>
      </c>
      <c r="G200" s="9" t="s">
        <v>396</v>
      </c>
      <c r="H200" s="10" t="s">
        <v>892</v>
      </c>
      <c r="I200" s="11" t="s">
        <v>384</v>
      </c>
      <c r="J200" s="22" t="s">
        <v>396</v>
      </c>
      <c r="K200" s="21"/>
    </row>
    <row r="201" spans="1:11" ht="14.4">
      <c r="A201" s="5" t="str">
        <f>F201&amp;(COUNTIFS(F$2:F201,F201,K$2:K201,"Sparse"))</f>
        <v>SD38</v>
      </c>
      <c r="B201" s="5" t="str">
        <f>J201&amp;(COUNTIF(J$2:J201,J201))</f>
        <v>Hertfordshire6</v>
      </c>
      <c r="C201" s="8" t="s">
        <v>111</v>
      </c>
      <c r="D201" s="8" t="s">
        <v>111</v>
      </c>
      <c r="E201" s="9" t="s">
        <v>369</v>
      </c>
      <c r="F201" s="9" t="s">
        <v>381</v>
      </c>
      <c r="G201" s="9" t="s">
        <v>5</v>
      </c>
      <c r="H201" s="12" t="s">
        <v>895</v>
      </c>
      <c r="I201" s="11" t="s">
        <v>371</v>
      </c>
      <c r="J201" t="s">
        <v>314</v>
      </c>
      <c r="K201" s="21"/>
    </row>
    <row r="202" spans="1:11" ht="14.4">
      <c r="A202" s="5" t="str">
        <f>F202&amp;(COUNTIFS(F$2:F202,F202,K$2:K202,"Sparse"))</f>
        <v>SD39</v>
      </c>
      <c r="B202" s="5" t="str">
        <f>J202&amp;(COUNTIF(J$2:J202,J202))</f>
        <v>Lincolnshire5</v>
      </c>
      <c r="C202" s="8" t="s">
        <v>112</v>
      </c>
      <c r="D202" s="8" t="s">
        <v>112</v>
      </c>
      <c r="E202" s="9" t="s">
        <v>367</v>
      </c>
      <c r="F202" s="9" t="s">
        <v>381</v>
      </c>
      <c r="G202" s="9" t="s">
        <v>5</v>
      </c>
      <c r="H202" s="10" t="s">
        <v>893</v>
      </c>
      <c r="I202" s="11" t="s">
        <v>382</v>
      </c>
      <c r="J202" t="s">
        <v>318</v>
      </c>
      <c r="K202" s="21" t="s">
        <v>335</v>
      </c>
    </row>
    <row r="203" spans="1:11" ht="14.4">
      <c r="A203" s="5" t="str">
        <f>F203&amp;(COUNTIFS(F$2:F203,F203,K$2:K203,"Sparse"))</f>
        <v>UA7</v>
      </c>
      <c r="B203" s="5" t="str">
        <f>J203&amp;(COUNTIF(J$2:J203,J203))</f>
        <v>Unitary30</v>
      </c>
      <c r="C203" s="8" t="s">
        <v>277</v>
      </c>
      <c r="D203" s="8" t="s">
        <v>277</v>
      </c>
      <c r="E203" s="9" t="s">
        <v>385</v>
      </c>
      <c r="F203" s="9" t="s">
        <v>387</v>
      </c>
      <c r="G203" s="9" t="s">
        <v>396</v>
      </c>
      <c r="H203" s="10" t="s">
        <v>895</v>
      </c>
      <c r="I203" s="11" t="s">
        <v>371</v>
      </c>
      <c r="J203" s="22" t="s">
        <v>396</v>
      </c>
      <c r="K203" s="21" t="s">
        <v>335</v>
      </c>
    </row>
    <row r="204" spans="1:11" ht="14.4">
      <c r="A204" s="5" t="str">
        <f>F204&amp;(COUNTIFS(F$2:F204,F204,K$2:K204,"Sparse"))</f>
        <v>SD40</v>
      </c>
      <c r="B204" s="5" t="str">
        <f>J204&amp;(COUNTIF(J$2:J204,J204))</f>
        <v>Norfolk6</v>
      </c>
      <c r="C204" s="8" t="s">
        <v>113</v>
      </c>
      <c r="D204" s="8" t="s">
        <v>113</v>
      </c>
      <c r="E204" s="9" t="s">
        <v>369</v>
      </c>
      <c r="F204" s="9" t="s">
        <v>381</v>
      </c>
      <c r="G204" s="9" t="s">
        <v>5</v>
      </c>
      <c r="H204" s="10" t="s">
        <v>893</v>
      </c>
      <c r="I204" s="11" t="s">
        <v>382</v>
      </c>
      <c r="J204" s="22" t="s">
        <v>319</v>
      </c>
      <c r="K204" s="21" t="s">
        <v>335</v>
      </c>
    </row>
    <row r="205" spans="1:11" ht="14.4">
      <c r="A205" s="5" t="str">
        <f>F205&amp;(COUNTIFS(F$2:F205,F205,K$2:K205,"Sparse"))</f>
        <v>UA8</v>
      </c>
      <c r="B205" s="5" t="str">
        <f>J205&amp;(COUNTIF(J$2:J205,J205))</f>
        <v>Unitary31</v>
      </c>
      <c r="C205" s="8" t="s">
        <v>278</v>
      </c>
      <c r="D205" s="8" t="s">
        <v>278</v>
      </c>
      <c r="E205" s="9" t="s">
        <v>1</v>
      </c>
      <c r="F205" s="9" t="s">
        <v>387</v>
      </c>
      <c r="G205" s="9" t="s">
        <v>396</v>
      </c>
      <c r="H205" s="10" t="s">
        <v>895</v>
      </c>
      <c r="I205" s="11" t="s">
        <v>371</v>
      </c>
      <c r="J205" s="22" t="s">
        <v>396</v>
      </c>
      <c r="K205" s="21" t="s">
        <v>335</v>
      </c>
    </row>
    <row r="206" spans="1:11" ht="14.4">
      <c r="A206" s="5" t="str">
        <f>F206&amp;(COUNTIFS(F$2:F206,F206,K$2:K206,"Sparse"))</f>
        <v>MD0</v>
      </c>
      <c r="B206" s="5" t="str">
        <f>J206&amp;(COUNTIF(J$2:J206,J206))</f>
        <v>North Tyneside1</v>
      </c>
      <c r="C206" s="8" t="s">
        <v>238</v>
      </c>
      <c r="D206" s="8" t="s">
        <v>238</v>
      </c>
      <c r="E206" s="9" t="s">
        <v>390</v>
      </c>
      <c r="F206" s="9" t="s">
        <v>386</v>
      </c>
      <c r="G206" s="9" t="s">
        <v>397</v>
      </c>
      <c r="H206" s="10" t="s">
        <v>897</v>
      </c>
      <c r="I206" s="11" t="s">
        <v>384</v>
      </c>
      <c r="J206" t="str">
        <f>C206</f>
        <v>North Tyneside</v>
      </c>
      <c r="K206" s="21"/>
    </row>
    <row r="207" spans="1:11" ht="14.4">
      <c r="A207" s="5" t="str">
        <f>F207&amp;(COUNTIFS(F$2:F207,F207,K$2:K207,"Sparse"))</f>
        <v>SD40</v>
      </c>
      <c r="B207" s="5" t="str">
        <f>J207&amp;(COUNTIF(J$2:J207,J207))</f>
        <v>Warwickshire1</v>
      </c>
      <c r="C207" s="8" t="s">
        <v>114</v>
      </c>
      <c r="D207" s="8" t="s">
        <v>114</v>
      </c>
      <c r="E207" s="9" t="s">
        <v>368</v>
      </c>
      <c r="F207" s="9" t="s">
        <v>381</v>
      </c>
      <c r="G207" s="9" t="s">
        <v>5</v>
      </c>
      <c r="H207" s="10" t="s">
        <v>893</v>
      </c>
      <c r="I207" s="11" t="s">
        <v>382</v>
      </c>
      <c r="J207" t="s">
        <v>330</v>
      </c>
      <c r="K207" s="21"/>
    </row>
    <row r="208" spans="1:11" ht="14.4">
      <c r="A208" s="5" t="str">
        <f>F208&amp;(COUNTIFS(F$2:F208,F208,K$2:K208,"Sparse"))</f>
        <v>SD41</v>
      </c>
      <c r="B208" s="5" t="str">
        <f>J208&amp;(COUNTIF(J$2:J208,J208))</f>
        <v>Leicestershire7</v>
      </c>
      <c r="C208" s="8" t="s">
        <v>115</v>
      </c>
      <c r="D208" s="8" t="s">
        <v>115</v>
      </c>
      <c r="E208" s="9" t="s">
        <v>367</v>
      </c>
      <c r="F208" s="9" t="s">
        <v>381</v>
      </c>
      <c r="G208" s="9" t="s">
        <v>5</v>
      </c>
      <c r="H208" s="10" t="s">
        <v>896</v>
      </c>
      <c r="I208" s="11" t="s">
        <v>382</v>
      </c>
      <c r="J208" t="s">
        <v>317</v>
      </c>
      <c r="K208" s="21" t="s">
        <v>335</v>
      </c>
    </row>
    <row r="209" spans="1:11" ht="14.4">
      <c r="A209" s="5" t="str">
        <f>F209&amp;(COUNTIFS(F$2:F209,F209,K$2:K209,"Sparse"))</f>
        <v>SC11</v>
      </c>
      <c r="B209" s="5" t="str">
        <f>J209&amp;(COUNTIF(J$2:J209,J209))</f>
        <v>North Yorkshire4</v>
      </c>
      <c r="C209" s="11" t="s">
        <v>320</v>
      </c>
      <c r="D209" s="11" t="s">
        <v>320</v>
      </c>
      <c r="E209" s="9" t="s">
        <v>385</v>
      </c>
      <c r="F209" s="9" t="s">
        <v>389</v>
      </c>
      <c r="G209" s="9" t="s">
        <v>301</v>
      </c>
      <c r="H209" s="11" t="s">
        <v>382</v>
      </c>
      <c r="I209" s="11" t="s">
        <v>382</v>
      </c>
      <c r="J209" t="str">
        <f>C209</f>
        <v>North Yorkshire</v>
      </c>
      <c r="K209" s="21" t="s">
        <v>335</v>
      </c>
    </row>
    <row r="210" spans="1:11" ht="14.4">
      <c r="A210" s="5" t="str">
        <f>F210&amp;(COUNTIFS(F$2:F210,F210,K$2:K210,"Sparse"))</f>
        <v>SD41</v>
      </c>
      <c r="B210" s="5" t="str">
        <f>J210&amp;(COUNTIF(J$2:J210,J210))</f>
        <v>Northamptonshire5</v>
      </c>
      <c r="C210" s="8" t="s">
        <v>116</v>
      </c>
      <c r="D210" s="8" t="s">
        <v>116</v>
      </c>
      <c r="E210" s="9" t="s">
        <v>367</v>
      </c>
      <c r="F210" s="9" t="s">
        <v>381</v>
      </c>
      <c r="G210" s="9" t="s">
        <v>5</v>
      </c>
      <c r="H210" s="10" t="s">
        <v>892</v>
      </c>
      <c r="I210" s="11" t="s">
        <v>384</v>
      </c>
      <c r="J210" t="s">
        <v>321</v>
      </c>
      <c r="K210" s="21"/>
    </row>
    <row r="211" spans="1:11" ht="14.4">
      <c r="A211" s="5" t="str">
        <f>F211&amp;(COUNTIFS(F$2:F211,F211,K$2:K211,"Sparse"))</f>
        <v>SC11</v>
      </c>
      <c r="B211" s="5" t="str">
        <f>J211&amp;(COUNTIF(J$2:J211,J211))</f>
        <v>Northamptonshire6</v>
      </c>
      <c r="C211" s="11" t="s">
        <v>321</v>
      </c>
      <c r="D211" s="11" t="s">
        <v>321</v>
      </c>
      <c r="E211" s="9" t="s">
        <v>367</v>
      </c>
      <c r="F211" s="9" t="s">
        <v>389</v>
      </c>
      <c r="G211" s="9" t="s">
        <v>301</v>
      </c>
      <c r="H211" s="11" t="s">
        <v>371</v>
      </c>
      <c r="I211" s="11" t="s">
        <v>371</v>
      </c>
      <c r="J211" t="str">
        <f>C211</f>
        <v>Northamptonshire</v>
      </c>
      <c r="K211" s="21"/>
    </row>
    <row r="212" spans="1:11" ht="14.4">
      <c r="A212" s="5" t="str">
        <f>F212&amp;(COUNTIFS(F$2:F212,F212,K$2:K212,"Sparse"))</f>
        <v>UA9</v>
      </c>
      <c r="B212" s="5" t="str">
        <f>J212&amp;(COUNTIF(J$2:J212,J212))</f>
        <v>Unitary32</v>
      </c>
      <c r="C212" s="8" t="s">
        <v>322</v>
      </c>
      <c r="D212" s="8" t="s">
        <v>322</v>
      </c>
      <c r="E212" s="9" t="s">
        <v>390</v>
      </c>
      <c r="F212" s="9" t="s">
        <v>387</v>
      </c>
      <c r="G212" s="9" t="s">
        <v>396</v>
      </c>
      <c r="H212" s="12" t="s">
        <v>896</v>
      </c>
      <c r="I212" s="11" t="s">
        <v>382</v>
      </c>
      <c r="J212" s="22" t="s">
        <v>396</v>
      </c>
      <c r="K212" s="21" t="s">
        <v>335</v>
      </c>
    </row>
    <row r="213" spans="1:11" ht="14.4">
      <c r="A213" s="5" t="str">
        <f>F213&amp;(COUNTIFS(F$2:F213,F213,K$2:K213,"Sparse"))</f>
        <v>SD41</v>
      </c>
      <c r="B213" s="5" t="str">
        <f>J213&amp;(COUNTIF(J$2:J213,J213))</f>
        <v>Norfolk7</v>
      </c>
      <c r="C213" s="8" t="s">
        <v>117</v>
      </c>
      <c r="D213" s="8" t="s">
        <v>117</v>
      </c>
      <c r="E213" s="9" t="s">
        <v>369</v>
      </c>
      <c r="F213" s="9" t="s">
        <v>381</v>
      </c>
      <c r="G213" s="9" t="s">
        <v>5</v>
      </c>
      <c r="H213" s="10" t="s">
        <v>892</v>
      </c>
      <c r="I213" s="11" t="s">
        <v>384</v>
      </c>
      <c r="J213" t="s">
        <v>319</v>
      </c>
      <c r="K213" s="21"/>
    </row>
    <row r="214" spans="1:11" ht="14.4">
      <c r="A214" s="5" t="str">
        <f>F214&amp;(COUNTIFS(F$2:F214,F214,K$2:K214,"Sparse"))</f>
        <v>UA9</v>
      </c>
      <c r="B214" s="5" t="str">
        <f>J214&amp;(COUNTIF(J$2:J214,J214))</f>
        <v>Unitary33</v>
      </c>
      <c r="C214" s="8" t="s">
        <v>279</v>
      </c>
      <c r="D214" s="8" t="s">
        <v>279</v>
      </c>
      <c r="E214" s="9" t="s">
        <v>367</v>
      </c>
      <c r="F214" s="9" t="s">
        <v>387</v>
      </c>
      <c r="G214" s="9" t="s">
        <v>396</v>
      </c>
      <c r="H214" s="10" t="s">
        <v>894</v>
      </c>
      <c r="I214" s="11" t="s">
        <v>384</v>
      </c>
      <c r="J214" s="22" t="s">
        <v>396</v>
      </c>
      <c r="K214" s="21"/>
    </row>
    <row r="215" spans="1:11" ht="14.4">
      <c r="A215" s="5" t="str">
        <f>F215&amp;(COUNTIFS(F$2:F215,F215,K$2:K215,"Sparse"))</f>
        <v>SC12</v>
      </c>
      <c r="B215" s="5" t="str">
        <f>J215&amp;(COUNTIF(J$2:J215,J215))</f>
        <v>Nottinghamshire7</v>
      </c>
      <c r="C215" s="11" t="s">
        <v>323</v>
      </c>
      <c r="D215" s="11" t="s">
        <v>323</v>
      </c>
      <c r="E215" s="9" t="s">
        <v>367</v>
      </c>
      <c r="F215" s="9" t="s">
        <v>389</v>
      </c>
      <c r="G215" s="9" t="s">
        <v>301</v>
      </c>
      <c r="H215" s="11" t="s">
        <v>371</v>
      </c>
      <c r="I215" s="11" t="s">
        <v>371</v>
      </c>
      <c r="J215" t="str">
        <f>C215</f>
        <v>Nottinghamshire</v>
      </c>
      <c r="K215" s="21" t="s">
        <v>335</v>
      </c>
    </row>
    <row r="216" spans="1:11" ht="14.4">
      <c r="A216" s="5" t="str">
        <f>F216&amp;(COUNTIFS(F$2:F216,F216,K$2:K216,"Sparse"))</f>
        <v>SD41</v>
      </c>
      <c r="B216" s="5" t="str">
        <f>J216&amp;(COUNTIF(J$2:J216,J216))</f>
        <v>Warwickshire2</v>
      </c>
      <c r="C216" s="8" t="s">
        <v>347</v>
      </c>
      <c r="D216" s="8" t="s">
        <v>347</v>
      </c>
      <c r="E216" s="9" t="s">
        <v>368</v>
      </c>
      <c r="F216" s="9" t="s">
        <v>381</v>
      </c>
      <c r="G216" s="9" t="s">
        <v>5</v>
      </c>
      <c r="H216" s="10" t="s">
        <v>892</v>
      </c>
      <c r="I216" s="11" t="s">
        <v>384</v>
      </c>
      <c r="J216" t="s">
        <v>330</v>
      </c>
      <c r="K216" s="21"/>
    </row>
    <row r="217" spans="1:11" ht="14.4">
      <c r="A217" s="5" t="str">
        <f>F217&amp;(COUNTIFS(F$2:F217,F217,K$2:K217,"Sparse"))</f>
        <v>SD41</v>
      </c>
      <c r="B217" s="5" t="str">
        <f>J217&amp;(COUNTIF(J$2:J217,J217))</f>
        <v>Leicestershire8</v>
      </c>
      <c r="C217" s="8" t="s">
        <v>348</v>
      </c>
      <c r="D217" s="8" t="s">
        <v>348</v>
      </c>
      <c r="E217" s="9" t="s">
        <v>367</v>
      </c>
      <c r="F217" s="9" t="s">
        <v>381</v>
      </c>
      <c r="G217" s="9" t="s">
        <v>5</v>
      </c>
      <c r="H217" s="10" t="s">
        <v>892</v>
      </c>
      <c r="I217" s="11" t="s">
        <v>384</v>
      </c>
      <c r="J217" t="s">
        <v>317</v>
      </c>
      <c r="K217" s="21"/>
    </row>
    <row r="218" spans="1:11" ht="14.4">
      <c r="A218" s="5" t="str">
        <f>F218&amp;(COUNTIFS(F$2:F218,F218,K$2:K218,"Sparse"))</f>
        <v>MD0</v>
      </c>
      <c r="B218" s="5" t="str">
        <f>J218&amp;(COUNTIF(J$2:J218,J218))</f>
        <v>Oldham1</v>
      </c>
      <c r="C218" s="8" t="s">
        <v>239</v>
      </c>
      <c r="D218" s="8" t="s">
        <v>239</v>
      </c>
      <c r="E218" s="9" t="s">
        <v>376</v>
      </c>
      <c r="F218" s="9" t="s">
        <v>386</v>
      </c>
      <c r="G218" s="9" t="s">
        <v>397</v>
      </c>
      <c r="H218" s="10" t="s">
        <v>897</v>
      </c>
      <c r="I218" s="11" t="s">
        <v>384</v>
      </c>
      <c r="J218" t="str">
        <f>C218</f>
        <v>Oldham</v>
      </c>
      <c r="K218" s="21"/>
    </row>
    <row r="219" spans="1:11" ht="14.4">
      <c r="A219" s="5" t="str">
        <f>F219&amp;(COUNTIFS(F$2:F219,F219,K$2:K219,"Sparse"))</f>
        <v>SD41</v>
      </c>
      <c r="B219" s="5" t="str">
        <f>J219&amp;(COUNTIF(J$2:J219,J219))</f>
        <v>Oxfordshire2</v>
      </c>
      <c r="C219" s="8" t="s">
        <v>118</v>
      </c>
      <c r="D219" s="8" t="s">
        <v>118</v>
      </c>
      <c r="E219" s="9" t="s">
        <v>0</v>
      </c>
      <c r="F219" s="9" t="s">
        <v>381</v>
      </c>
      <c r="G219" s="9" t="s">
        <v>5</v>
      </c>
      <c r="H219" s="10" t="s">
        <v>892</v>
      </c>
      <c r="I219" s="11" t="s">
        <v>384</v>
      </c>
      <c r="J219" t="s">
        <v>324</v>
      </c>
      <c r="K219" s="21"/>
    </row>
    <row r="220" spans="1:11" ht="14.4">
      <c r="A220" s="5" t="str">
        <f>F220&amp;(COUNTIFS(F$2:F220,F220,K$2:K220,"Sparse"))</f>
        <v>SC12</v>
      </c>
      <c r="B220" s="5" t="str">
        <f>J220&amp;(COUNTIF(J$2:J220,J220))</f>
        <v>Oxfordshire3</v>
      </c>
      <c r="C220" s="11" t="s">
        <v>324</v>
      </c>
      <c r="D220" s="11" t="s">
        <v>324</v>
      </c>
      <c r="E220" s="9" t="s">
        <v>0</v>
      </c>
      <c r="F220" s="9" t="s">
        <v>389</v>
      </c>
      <c r="G220" s="9" t="s">
        <v>301</v>
      </c>
      <c r="H220" s="11" t="s">
        <v>382</v>
      </c>
      <c r="I220" s="11" t="s">
        <v>382</v>
      </c>
      <c r="J220" t="str">
        <f>C220</f>
        <v>Oxfordshire</v>
      </c>
      <c r="K220" s="21"/>
    </row>
    <row r="221" spans="1:11" ht="14.4">
      <c r="A221" s="5" t="str">
        <f>F221&amp;(COUNTIFS(F$2:F221,F221,K$2:K221,"Sparse"))</f>
        <v>SD41</v>
      </c>
      <c r="B221" s="5" t="str">
        <f>J221&amp;(COUNTIF(J$2:J221,J221))</f>
        <v>Lancashire7</v>
      </c>
      <c r="C221" s="8" t="s">
        <v>119</v>
      </c>
      <c r="D221" s="8" t="s">
        <v>119</v>
      </c>
      <c r="E221" s="9" t="s">
        <v>376</v>
      </c>
      <c r="F221" s="9" t="s">
        <v>381</v>
      </c>
      <c r="G221" s="9" t="s">
        <v>5</v>
      </c>
      <c r="H221" s="10" t="s">
        <v>892</v>
      </c>
      <c r="I221" s="11" t="s">
        <v>384</v>
      </c>
      <c r="J221" t="s">
        <v>316</v>
      </c>
      <c r="K221" s="21"/>
    </row>
    <row r="222" spans="1:11" ht="14.4">
      <c r="A222" s="5" t="str">
        <f>F222&amp;(COUNTIFS(F$2:F222,F222,K$2:K222,"Sparse"))</f>
        <v>UA9</v>
      </c>
      <c r="B222" s="5" t="str">
        <f>J222&amp;(COUNTIF(J$2:J222,J222))</f>
        <v>Unitary34</v>
      </c>
      <c r="C222" s="8" t="s">
        <v>280</v>
      </c>
      <c r="D222" s="8" t="s">
        <v>280</v>
      </c>
      <c r="E222" s="9" t="s">
        <v>369</v>
      </c>
      <c r="F222" s="9" t="s">
        <v>387</v>
      </c>
      <c r="G222" s="9" t="s">
        <v>396</v>
      </c>
      <c r="H222" s="10" t="s">
        <v>892</v>
      </c>
      <c r="I222" s="11" t="s">
        <v>384</v>
      </c>
      <c r="J222" s="22" t="s">
        <v>396</v>
      </c>
      <c r="K222" s="21"/>
    </row>
    <row r="223" spans="1:11" ht="14.4">
      <c r="A223" s="5" t="str">
        <f>F223&amp;(COUNTIFS(F$2:F223,F223,K$2:K223,"Sparse"))</f>
        <v>UA9</v>
      </c>
      <c r="B223" s="5" t="str">
        <f>J223&amp;(COUNTIF(J$2:J223,J223))</f>
        <v>Unitary35</v>
      </c>
      <c r="C223" s="8" t="s">
        <v>281</v>
      </c>
      <c r="D223" s="8" t="s">
        <v>281</v>
      </c>
      <c r="E223" s="9" t="s">
        <v>1</v>
      </c>
      <c r="F223" s="9" t="s">
        <v>387</v>
      </c>
      <c r="G223" s="9" t="s">
        <v>396</v>
      </c>
      <c r="H223" s="10" t="s">
        <v>892</v>
      </c>
      <c r="I223" s="11" t="s">
        <v>384</v>
      </c>
      <c r="J223" s="22" t="s">
        <v>396</v>
      </c>
      <c r="K223" s="21"/>
    </row>
    <row r="224" spans="1:11" ht="14.4">
      <c r="A224" s="5" t="str">
        <f>F224&amp;(COUNTIFS(F$2:F224,F224,K$2:K224,"Sparse"))</f>
        <v>UA9</v>
      </c>
      <c r="B224" s="5" t="str">
        <f>J224&amp;(COUNTIF(J$2:J224,J224))</f>
        <v>Unitary36</v>
      </c>
      <c r="C224" s="8" t="s">
        <v>282</v>
      </c>
      <c r="D224" s="8" t="s">
        <v>282</v>
      </c>
      <c r="E224" s="9" t="s">
        <v>1</v>
      </c>
      <c r="F224" s="9" t="s">
        <v>387</v>
      </c>
      <c r="G224" s="9" t="s">
        <v>396</v>
      </c>
      <c r="H224" s="10" t="s">
        <v>892</v>
      </c>
      <c r="I224" s="11" t="s">
        <v>384</v>
      </c>
      <c r="J224" s="22" t="s">
        <v>396</v>
      </c>
      <c r="K224" s="21"/>
    </row>
    <row r="225" spans="1:11" ht="14.4">
      <c r="A225" s="5" t="str">
        <f>F225&amp;(COUNTIFS(F$2:F225,F225,K$2:K225,"Sparse"))</f>
        <v>UA9</v>
      </c>
      <c r="B225" s="5" t="str">
        <f>J225&amp;(COUNTIF(J$2:J225,J225))</f>
        <v>Unitary37</v>
      </c>
      <c r="C225" s="8" t="s">
        <v>283</v>
      </c>
      <c r="D225" s="8" t="s">
        <v>283</v>
      </c>
      <c r="E225" s="9" t="s">
        <v>0</v>
      </c>
      <c r="F225" s="9" t="s">
        <v>387</v>
      </c>
      <c r="G225" s="9" t="s">
        <v>396</v>
      </c>
      <c r="H225" s="10" t="s">
        <v>892</v>
      </c>
      <c r="I225" s="11" t="s">
        <v>384</v>
      </c>
      <c r="J225" s="22" t="s">
        <v>396</v>
      </c>
      <c r="K225" s="21"/>
    </row>
    <row r="226" spans="1:11" ht="14.4">
      <c r="A226" s="5" t="str">
        <f>F226&amp;(COUNTIFS(F$2:F226,F226,K$2:K226,"Sparse"))</f>
        <v>SD41</v>
      </c>
      <c r="B226" s="5" t="str">
        <f>J226&amp;(COUNTIF(J$2:J226,J226))</f>
        <v>Lancashire8</v>
      </c>
      <c r="C226" s="8" t="s">
        <v>120</v>
      </c>
      <c r="D226" s="8" t="s">
        <v>120</v>
      </c>
      <c r="E226" s="9" t="s">
        <v>376</v>
      </c>
      <c r="F226" s="9" t="s">
        <v>381</v>
      </c>
      <c r="G226" s="9" t="s">
        <v>5</v>
      </c>
      <c r="H226" s="10" t="s">
        <v>892</v>
      </c>
      <c r="I226" s="11" t="s">
        <v>384</v>
      </c>
      <c r="J226" t="s">
        <v>316</v>
      </c>
      <c r="K226" s="21"/>
    </row>
    <row r="227" spans="1:11" ht="14.4">
      <c r="A227" s="5" t="str">
        <f>F227&amp;(COUNTIFS(F$2:F227,F227,K$2:K227,"Sparse"))</f>
        <v>SD41</v>
      </c>
      <c r="B227" s="5" t="str">
        <f>J227&amp;(COUNTIF(J$2:J227,J227))</f>
        <v>Dorset5</v>
      </c>
      <c r="C227" s="8" t="s">
        <v>121</v>
      </c>
      <c r="D227" s="8" t="s">
        <v>121</v>
      </c>
      <c r="E227" s="9" t="s">
        <v>1</v>
      </c>
      <c r="F227" s="9" t="s">
        <v>381</v>
      </c>
      <c r="G227" s="9" t="s">
        <v>5</v>
      </c>
      <c r="H227" s="10" t="s">
        <v>893</v>
      </c>
      <c r="I227" s="11" t="s">
        <v>382</v>
      </c>
      <c r="J227" t="s">
        <v>309</v>
      </c>
      <c r="K227" s="21"/>
    </row>
    <row r="228" spans="1:11" ht="14.4">
      <c r="A228" s="5" t="str">
        <f>F228&amp;(COUNTIFS(F$2:F228,F228,K$2:K228,"Sparse"))</f>
        <v>UA9</v>
      </c>
      <c r="B228" s="5" t="str">
        <f>J228&amp;(COUNTIF(J$2:J228,J228))</f>
        <v>Unitary38</v>
      </c>
      <c r="C228" s="8" t="s">
        <v>284</v>
      </c>
      <c r="D228" s="8" t="s">
        <v>284</v>
      </c>
      <c r="E228" s="9" t="s">
        <v>0</v>
      </c>
      <c r="F228" s="9" t="s">
        <v>387</v>
      </c>
      <c r="G228" s="9" t="s">
        <v>396</v>
      </c>
      <c r="H228" s="10" t="s">
        <v>892</v>
      </c>
      <c r="I228" s="11" t="s">
        <v>384</v>
      </c>
      <c r="J228" s="22" t="s">
        <v>396</v>
      </c>
      <c r="K228" s="21"/>
    </row>
    <row r="229" spans="1:11" ht="14.4">
      <c r="A229" s="5" t="str">
        <f>F229&amp;(COUNTIFS(F$2:F229,F229,K$2:K229,"Sparse"))</f>
        <v>L0</v>
      </c>
      <c r="B229" s="5" t="str">
        <f>J229&amp;(COUNTIF(J$2:J229,J229))</f>
        <v>London26</v>
      </c>
      <c r="C229" s="8" t="s">
        <v>216</v>
      </c>
      <c r="D229" s="8" t="s">
        <v>216</v>
      </c>
      <c r="E229" s="9" t="s">
        <v>383</v>
      </c>
      <c r="F229" s="9" t="s">
        <v>359</v>
      </c>
      <c r="G229" s="9" t="s">
        <v>383</v>
      </c>
      <c r="H229" s="10" t="s">
        <v>897</v>
      </c>
      <c r="I229" s="11" t="s">
        <v>384</v>
      </c>
      <c r="J229" t="str">
        <f>G229</f>
        <v>London</v>
      </c>
      <c r="K229" s="21"/>
    </row>
    <row r="230" spans="1:11" ht="14.4">
      <c r="A230" s="5" t="str">
        <f>F230&amp;(COUNTIFS(F$2:F230,F230,K$2:K230,"Sparse"))</f>
        <v>UA9</v>
      </c>
      <c r="B230" s="5" t="str">
        <f>J230&amp;(COUNTIF(J$2:J230,J230))</f>
        <v>Unitary39</v>
      </c>
      <c r="C230" s="8" t="s">
        <v>809</v>
      </c>
      <c r="D230" s="8" t="s">
        <v>809</v>
      </c>
      <c r="E230" s="9" t="s">
        <v>390</v>
      </c>
      <c r="F230" s="9" t="s">
        <v>387</v>
      </c>
      <c r="G230" s="9" t="s">
        <v>396</v>
      </c>
      <c r="H230" s="12" t="s">
        <v>895</v>
      </c>
      <c r="I230" s="11" t="s">
        <v>371</v>
      </c>
      <c r="J230" s="22" t="s">
        <v>396</v>
      </c>
      <c r="K230" s="21"/>
    </row>
    <row r="231" spans="1:11" ht="14.4">
      <c r="A231" s="5" t="str">
        <f>F231&amp;(COUNTIFS(F$2:F231,F231,K$2:K231,"Sparse"))</f>
        <v>SD41</v>
      </c>
      <c r="B231" s="5" t="str">
        <f>J231&amp;(COUNTIF(J$2:J231,J231))</f>
        <v>Worcestershire3</v>
      </c>
      <c r="C231" s="8" t="s">
        <v>122</v>
      </c>
      <c r="D231" s="8" t="s">
        <v>122</v>
      </c>
      <c r="E231" s="9" t="s">
        <v>368</v>
      </c>
      <c r="F231" s="9" t="s">
        <v>381</v>
      </c>
      <c r="G231" s="9" t="s">
        <v>5</v>
      </c>
      <c r="H231" s="10" t="s">
        <v>892</v>
      </c>
      <c r="I231" s="11" t="s">
        <v>384</v>
      </c>
      <c r="J231" t="s">
        <v>332</v>
      </c>
      <c r="K231" s="21"/>
    </row>
    <row r="232" spans="1:11" ht="14.4">
      <c r="A232" s="5" t="str">
        <f>F232&amp;(COUNTIFS(F$2:F232,F232,K$2:K232,"Sparse"))</f>
        <v>SD41</v>
      </c>
      <c r="B232" s="5" t="str">
        <f>J232&amp;(COUNTIF(J$2:J232,J232))</f>
        <v>Surrey5</v>
      </c>
      <c r="C232" s="8" t="s">
        <v>349</v>
      </c>
      <c r="D232" s="8" t="s">
        <v>349</v>
      </c>
      <c r="E232" s="9" t="s">
        <v>0</v>
      </c>
      <c r="F232" s="9" t="s">
        <v>381</v>
      </c>
      <c r="G232" s="9" t="s">
        <v>5</v>
      </c>
      <c r="H232" s="10" t="s">
        <v>892</v>
      </c>
      <c r="I232" s="11" t="s">
        <v>384</v>
      </c>
      <c r="J232" t="s">
        <v>329</v>
      </c>
      <c r="K232" s="21"/>
    </row>
    <row r="233" spans="1:11" ht="14.4">
      <c r="A233" s="5" t="str">
        <f>F233&amp;(COUNTIFS(F$2:F233,F233,K$2:K233,"Sparse"))</f>
        <v>SD42</v>
      </c>
      <c r="B233" s="5" t="str">
        <f>J233&amp;(COUNTIF(J$2:J233,J233))</f>
        <v>Lancashire9</v>
      </c>
      <c r="C233" s="8" t="s">
        <v>123</v>
      </c>
      <c r="D233" s="8" t="s">
        <v>123</v>
      </c>
      <c r="E233" s="9" t="s">
        <v>376</v>
      </c>
      <c r="F233" s="9" t="s">
        <v>381</v>
      </c>
      <c r="G233" s="9" t="s">
        <v>5</v>
      </c>
      <c r="H233" s="10" t="s">
        <v>893</v>
      </c>
      <c r="I233" s="11" t="s">
        <v>382</v>
      </c>
      <c r="J233" t="s">
        <v>316</v>
      </c>
      <c r="K233" s="21" t="s">
        <v>335</v>
      </c>
    </row>
    <row r="234" spans="1:11" ht="14.4">
      <c r="A234" s="5" t="str">
        <f>F234&amp;(COUNTIFS(F$2:F234,F234,K$2:K234,"Sparse"))</f>
        <v>L0</v>
      </c>
      <c r="B234" s="5" t="str">
        <f>J234&amp;(COUNTIF(J$2:J234,J234))</f>
        <v>London27</v>
      </c>
      <c r="C234" s="8" t="s">
        <v>394</v>
      </c>
      <c r="D234" s="8" t="s">
        <v>394</v>
      </c>
      <c r="E234" s="9" t="s">
        <v>383</v>
      </c>
      <c r="F234" s="9" t="s">
        <v>359</v>
      </c>
      <c r="G234" s="9" t="s">
        <v>383</v>
      </c>
      <c r="H234" s="10" t="s">
        <v>897</v>
      </c>
      <c r="I234" s="11" t="s">
        <v>384</v>
      </c>
      <c r="J234" t="str">
        <f>G234</f>
        <v>London</v>
      </c>
      <c r="K234" s="21"/>
    </row>
    <row r="235" spans="1:11" ht="14.4">
      <c r="A235" s="5" t="str">
        <f>F235&amp;(COUNTIFS(F$2:F235,F235,K$2:K235,"Sparse"))</f>
        <v>SD43</v>
      </c>
      <c r="B235" s="5" t="str">
        <f>J235&amp;(COUNTIF(J$2:J235,J235))</f>
        <v>North Yorkshire5</v>
      </c>
      <c r="C235" s="8" t="s">
        <v>124</v>
      </c>
      <c r="D235" s="8" t="s">
        <v>124</v>
      </c>
      <c r="E235" s="9" t="s">
        <v>385</v>
      </c>
      <c r="F235" s="9" t="s">
        <v>381</v>
      </c>
      <c r="G235" s="9" t="s">
        <v>5</v>
      </c>
      <c r="H235" s="10" t="s">
        <v>893</v>
      </c>
      <c r="I235" s="11" t="s">
        <v>382</v>
      </c>
      <c r="J235" t="s">
        <v>320</v>
      </c>
      <c r="K235" s="21" t="s">
        <v>335</v>
      </c>
    </row>
    <row r="236" spans="1:11" ht="14.4">
      <c r="A236" s="5" t="str">
        <f>F236&amp;(COUNTIFS(F$2:F236,F236,K$2:K236,"Sparse"))</f>
        <v>MD0</v>
      </c>
      <c r="B236" s="5" t="str">
        <f>J236&amp;(COUNTIF(J$2:J236,J236))</f>
        <v>Rochdale1</v>
      </c>
      <c r="C236" s="8" t="s">
        <v>240</v>
      </c>
      <c r="D236" s="8" t="s">
        <v>240</v>
      </c>
      <c r="E236" s="9" t="s">
        <v>376</v>
      </c>
      <c r="F236" s="9" t="s">
        <v>386</v>
      </c>
      <c r="G236" s="9" t="s">
        <v>397</v>
      </c>
      <c r="H236" s="10" t="s">
        <v>897</v>
      </c>
      <c r="I236" s="11" t="s">
        <v>384</v>
      </c>
      <c r="J236" t="str">
        <f>C236</f>
        <v>Rochdale</v>
      </c>
      <c r="K236" s="21"/>
    </row>
    <row r="237" spans="1:11" ht="14.4">
      <c r="A237" s="5" t="str">
        <f>F237&amp;(COUNTIFS(F$2:F237,F237,K$2:K237,"Sparse"))</f>
        <v>SD43</v>
      </c>
      <c r="B237" s="5" t="str">
        <f>J237&amp;(COUNTIF(J$2:J237,J237))</f>
        <v>Essex11</v>
      </c>
      <c r="C237" s="8" t="s">
        <v>125</v>
      </c>
      <c r="D237" s="8" t="s">
        <v>125</v>
      </c>
      <c r="E237" s="9" t="s">
        <v>369</v>
      </c>
      <c r="F237" s="9" t="s">
        <v>381</v>
      </c>
      <c r="G237" s="9" t="s">
        <v>5</v>
      </c>
      <c r="H237" s="10" t="s">
        <v>892</v>
      </c>
      <c r="I237" s="11" t="s">
        <v>384</v>
      </c>
      <c r="J237" t="s">
        <v>311</v>
      </c>
      <c r="K237" s="21"/>
    </row>
    <row r="238" spans="1:11" ht="14.4">
      <c r="A238" s="5" t="str">
        <f>F238&amp;(COUNTIFS(F$2:F238,F238,K$2:K238,"Sparse"))</f>
        <v>SD43</v>
      </c>
      <c r="B238" s="5" t="str">
        <f>J238&amp;(COUNTIF(J$2:J238,J238))</f>
        <v>Lancashire10</v>
      </c>
      <c r="C238" s="8" t="s">
        <v>126</v>
      </c>
      <c r="D238" s="8" t="s">
        <v>126</v>
      </c>
      <c r="E238" s="9" t="s">
        <v>376</v>
      </c>
      <c r="F238" s="9" t="s">
        <v>381</v>
      </c>
      <c r="G238" s="9" t="s">
        <v>5</v>
      </c>
      <c r="H238" s="10" t="s">
        <v>892</v>
      </c>
      <c r="I238" s="11" t="s">
        <v>384</v>
      </c>
      <c r="J238" t="s">
        <v>316</v>
      </c>
      <c r="K238" s="21"/>
    </row>
    <row r="239" spans="1:11" ht="14.4">
      <c r="A239" s="5" t="str">
        <f>F239&amp;(COUNTIFS(F$2:F239,F239,K$2:K239,"Sparse"))</f>
        <v>SD44</v>
      </c>
      <c r="B239" s="5" t="str">
        <f>J239&amp;(COUNTIF(J$2:J239,J239))</f>
        <v>East Sussex5</v>
      </c>
      <c r="C239" s="8" t="s">
        <v>127</v>
      </c>
      <c r="D239" s="8" t="s">
        <v>127</v>
      </c>
      <c r="E239" s="9" t="s">
        <v>0</v>
      </c>
      <c r="F239" s="9" t="s">
        <v>381</v>
      </c>
      <c r="G239" s="9" t="s">
        <v>5</v>
      </c>
      <c r="H239" s="10" t="s">
        <v>896</v>
      </c>
      <c r="I239" s="11" t="s">
        <v>382</v>
      </c>
      <c r="J239" t="s">
        <v>310</v>
      </c>
      <c r="K239" s="21" t="s">
        <v>335</v>
      </c>
    </row>
    <row r="240" spans="1:11" ht="14.4">
      <c r="A240" s="5" t="str">
        <f>F240&amp;(COUNTIFS(F$2:F240,F240,K$2:K240,"Sparse"))</f>
        <v>MD0</v>
      </c>
      <c r="B240" s="5" t="str">
        <f>J240&amp;(COUNTIF(J$2:J240,J240))</f>
        <v>Rotherham1</v>
      </c>
      <c r="C240" s="8" t="s">
        <v>241</v>
      </c>
      <c r="D240" s="8" t="s">
        <v>241</v>
      </c>
      <c r="E240" s="9" t="s">
        <v>385</v>
      </c>
      <c r="F240" s="9" t="s">
        <v>386</v>
      </c>
      <c r="G240" s="9" t="s">
        <v>397</v>
      </c>
      <c r="H240" s="10" t="s">
        <v>894</v>
      </c>
      <c r="I240" s="11" t="s">
        <v>384</v>
      </c>
      <c r="J240" t="str">
        <f>C240</f>
        <v>Rotherham</v>
      </c>
      <c r="K240" s="21"/>
    </row>
    <row r="241" spans="1:11" ht="14.4">
      <c r="A241" s="5" t="str">
        <f>F241&amp;(COUNTIFS(F$2:F241,F241,K$2:K241,"Sparse"))</f>
        <v>SD45</v>
      </c>
      <c r="B241" s="5" t="str">
        <f>J241&amp;(COUNTIF(J$2:J241,J241))</f>
        <v>Warwickshire3</v>
      </c>
      <c r="C241" s="8" t="s">
        <v>128</v>
      </c>
      <c r="D241" s="8" t="s">
        <v>128</v>
      </c>
      <c r="E241" s="9" t="s">
        <v>368</v>
      </c>
      <c r="F241" s="9" t="s">
        <v>381</v>
      </c>
      <c r="G241" s="9" t="s">
        <v>5</v>
      </c>
      <c r="H241" s="12" t="s">
        <v>892</v>
      </c>
      <c r="I241" s="11" t="s">
        <v>384</v>
      </c>
      <c r="J241" t="s">
        <v>330</v>
      </c>
      <c r="K241" s="21" t="s">
        <v>335</v>
      </c>
    </row>
    <row r="242" spans="1:11" ht="14.4">
      <c r="A242" s="5" t="str">
        <f>F242&amp;(COUNTIFS(F$2:F242,F242,K$2:K242,"Sparse"))</f>
        <v>SD45</v>
      </c>
      <c r="B242" s="5" t="str">
        <f>J242&amp;(COUNTIF(J$2:J242,J242))</f>
        <v>Surrey6</v>
      </c>
      <c r="C242" s="8" t="s">
        <v>129</v>
      </c>
      <c r="D242" s="8" t="s">
        <v>129</v>
      </c>
      <c r="E242" s="9" t="s">
        <v>0</v>
      </c>
      <c r="F242" s="9" t="s">
        <v>381</v>
      </c>
      <c r="G242" s="9" t="s">
        <v>5</v>
      </c>
      <c r="H242" s="10" t="s">
        <v>897</v>
      </c>
      <c r="I242" s="11" t="s">
        <v>384</v>
      </c>
      <c r="J242" t="s">
        <v>329</v>
      </c>
      <c r="K242" s="21"/>
    </row>
    <row r="243" spans="1:11" ht="14.4">
      <c r="A243" s="5" t="str">
        <f>F243&amp;(COUNTIFS(F$2:F243,F243,K$2:K243,"Sparse"))</f>
        <v>SD45</v>
      </c>
      <c r="B243" s="5" t="str">
        <f>J243&amp;(COUNTIF(J$2:J243,J243))</f>
        <v>Nottinghamshire8</v>
      </c>
      <c r="C243" s="8" t="s">
        <v>130</v>
      </c>
      <c r="D243" s="8" t="s">
        <v>130</v>
      </c>
      <c r="E243" s="9" t="s">
        <v>367</v>
      </c>
      <c r="F243" s="9" t="s">
        <v>381</v>
      </c>
      <c r="G243" s="9" t="s">
        <v>5</v>
      </c>
      <c r="H243" s="10" t="s">
        <v>896</v>
      </c>
      <c r="I243" s="11" t="s">
        <v>382</v>
      </c>
      <c r="J243" t="s">
        <v>323</v>
      </c>
      <c r="K243" s="21"/>
    </row>
    <row r="244" spans="1:11" ht="14.4">
      <c r="A244" s="5" t="str">
        <f>F244&amp;(COUNTIFS(F$2:F244,F244,K$2:K244,"Sparse"))</f>
        <v>SD45</v>
      </c>
      <c r="B244" s="5" t="str">
        <f>J244&amp;(COUNTIF(J$2:J244,J244))</f>
        <v>Hampshire10</v>
      </c>
      <c r="C244" s="8" t="s">
        <v>131</v>
      </c>
      <c r="D244" s="8" t="s">
        <v>131</v>
      </c>
      <c r="E244" s="9" t="s">
        <v>0</v>
      </c>
      <c r="F244" s="9" t="s">
        <v>381</v>
      </c>
      <c r="G244" s="9" t="s">
        <v>5</v>
      </c>
      <c r="H244" s="10" t="s">
        <v>892</v>
      </c>
      <c r="I244" s="11" t="s">
        <v>384</v>
      </c>
      <c r="J244" t="s">
        <v>313</v>
      </c>
      <c r="K244" s="21"/>
    </row>
    <row r="245" spans="1:11" ht="14.4">
      <c r="A245" s="5" t="str">
        <f>F245&amp;(COUNTIFS(F$2:F245,F245,K$2:K245,"Sparse"))</f>
        <v>UA10</v>
      </c>
      <c r="B245" s="5" t="str">
        <f>J245&amp;(COUNTIF(J$2:J245,J245))</f>
        <v>Unitary40</v>
      </c>
      <c r="C245" s="8" t="s">
        <v>285</v>
      </c>
      <c r="D245" s="8" t="s">
        <v>285</v>
      </c>
      <c r="E245" s="9" t="s">
        <v>367</v>
      </c>
      <c r="F245" s="9" t="s">
        <v>387</v>
      </c>
      <c r="G245" s="9" t="s">
        <v>396</v>
      </c>
      <c r="H245" s="10" t="s">
        <v>893</v>
      </c>
      <c r="I245" s="11" t="s">
        <v>382</v>
      </c>
      <c r="J245" s="22" t="s">
        <v>396</v>
      </c>
      <c r="K245" s="21" t="s">
        <v>335</v>
      </c>
    </row>
    <row r="246" spans="1:11" ht="14.4">
      <c r="A246" s="5" t="str">
        <f>F246&amp;(COUNTIFS(F$2:F246,F246,K$2:K246,"Sparse"))</f>
        <v>SD46</v>
      </c>
      <c r="B246" s="5" t="str">
        <f>J246&amp;(COUNTIF(J$2:J246,J246))</f>
        <v>North Yorkshire6</v>
      </c>
      <c r="C246" s="8" t="s">
        <v>132</v>
      </c>
      <c r="D246" s="8" t="s">
        <v>132</v>
      </c>
      <c r="E246" s="9" t="s">
        <v>385</v>
      </c>
      <c r="F246" s="9" t="s">
        <v>381</v>
      </c>
      <c r="G246" s="9" t="s">
        <v>5</v>
      </c>
      <c r="H246" s="10" t="s">
        <v>893</v>
      </c>
      <c r="I246" s="11" t="s">
        <v>382</v>
      </c>
      <c r="J246" t="s">
        <v>320</v>
      </c>
      <c r="K246" s="21" t="s">
        <v>335</v>
      </c>
    </row>
    <row r="247" spans="1:11" ht="14.4">
      <c r="A247" s="5" t="str">
        <f>F247&amp;(COUNTIFS(F$2:F247,F247,K$2:K247,"Sparse"))</f>
        <v>MD0</v>
      </c>
      <c r="B247" s="5" t="str">
        <f>J247&amp;(COUNTIF(J$2:J247,J247))</f>
        <v>Salford1</v>
      </c>
      <c r="C247" s="8" t="s">
        <v>242</v>
      </c>
      <c r="D247" s="8" t="s">
        <v>242</v>
      </c>
      <c r="E247" s="9" t="s">
        <v>376</v>
      </c>
      <c r="F247" s="9" t="s">
        <v>386</v>
      </c>
      <c r="G247" s="9" t="s">
        <v>397</v>
      </c>
      <c r="H247" s="10" t="s">
        <v>897</v>
      </c>
      <c r="I247" s="11" t="s">
        <v>384</v>
      </c>
      <c r="J247" t="str">
        <f>C247</f>
        <v>Salford</v>
      </c>
      <c r="K247" s="21"/>
    </row>
    <row r="248" spans="1:11" ht="14.4">
      <c r="A248" s="5" t="str">
        <f>F248&amp;(COUNTIFS(F$2:F248,F248,K$2:K248,"Sparse"))</f>
        <v>MD0</v>
      </c>
      <c r="B248" s="5" t="str">
        <f>J248&amp;(COUNTIF(J$2:J248,J248))</f>
        <v>Sandwell1</v>
      </c>
      <c r="C248" s="8" t="s">
        <v>243</v>
      </c>
      <c r="D248" s="8" t="s">
        <v>243</v>
      </c>
      <c r="E248" s="9" t="s">
        <v>368</v>
      </c>
      <c r="F248" s="9" t="s">
        <v>386</v>
      </c>
      <c r="G248" s="9" t="s">
        <v>397</v>
      </c>
      <c r="H248" s="10" t="s">
        <v>897</v>
      </c>
      <c r="I248" s="11" t="s">
        <v>384</v>
      </c>
      <c r="J248" t="str">
        <f>C248</f>
        <v>Sandwell</v>
      </c>
      <c r="K248" s="21"/>
    </row>
    <row r="249" spans="1:11" ht="14.4">
      <c r="A249" s="5" t="str">
        <f>F249&amp;(COUNTIFS(F$2:F249,F249,K$2:K249,"Sparse"))</f>
        <v>SD47</v>
      </c>
      <c r="B249" s="5" t="str">
        <f>J249&amp;(COUNTIF(J$2:J249,J249))</f>
        <v>North Yorkshire7</v>
      </c>
      <c r="C249" s="8" t="s">
        <v>133</v>
      </c>
      <c r="D249" s="8" t="s">
        <v>133</v>
      </c>
      <c r="E249" s="9" t="s">
        <v>385</v>
      </c>
      <c r="F249" s="9" t="s">
        <v>381</v>
      </c>
      <c r="G249" s="9" t="s">
        <v>5</v>
      </c>
      <c r="H249" s="12" t="s">
        <v>895</v>
      </c>
      <c r="I249" s="11" t="s">
        <v>371</v>
      </c>
      <c r="J249" t="s">
        <v>320</v>
      </c>
      <c r="K249" s="21" t="s">
        <v>335</v>
      </c>
    </row>
    <row r="250" spans="1:11" ht="14.4">
      <c r="A250" s="5" t="str">
        <f>F250&amp;(COUNTIFS(F$2:F250,F250,K$2:K250,"Sparse"))</f>
        <v>SD48</v>
      </c>
      <c r="B250" s="5" t="str">
        <f>J250&amp;(COUNTIF(J$2:J250,J250))</f>
        <v>Somerset2</v>
      </c>
      <c r="C250" s="8" t="s">
        <v>134</v>
      </c>
      <c r="D250" s="8" t="s">
        <v>134</v>
      </c>
      <c r="E250" s="9" t="s">
        <v>1</v>
      </c>
      <c r="F250" s="9" t="s">
        <v>381</v>
      </c>
      <c r="G250" s="9" t="s">
        <v>5</v>
      </c>
      <c r="H250" s="10" t="s">
        <v>896</v>
      </c>
      <c r="I250" s="11" t="s">
        <v>382</v>
      </c>
      <c r="J250" t="s">
        <v>326</v>
      </c>
      <c r="K250" s="21" t="s">
        <v>335</v>
      </c>
    </row>
    <row r="251" spans="1:11" ht="14.4">
      <c r="A251" s="5" t="str">
        <f>F251&amp;(COUNTIFS(F$2:F251,F251,K$2:K251,"Sparse"))</f>
        <v>MD0</v>
      </c>
      <c r="B251" s="5" t="str">
        <f>J251&amp;(COUNTIF(J$2:J251,J251))</f>
        <v>Sefton1</v>
      </c>
      <c r="C251" s="8" t="s">
        <v>244</v>
      </c>
      <c r="D251" s="8" t="s">
        <v>244</v>
      </c>
      <c r="E251" s="9" t="s">
        <v>376</v>
      </c>
      <c r="F251" s="9" t="s">
        <v>386</v>
      </c>
      <c r="G251" s="9" t="s">
        <v>397</v>
      </c>
      <c r="H251" s="10" t="s">
        <v>897</v>
      </c>
      <c r="I251" s="11" t="s">
        <v>384</v>
      </c>
      <c r="J251" t="str">
        <f>C251</f>
        <v>Sefton</v>
      </c>
      <c r="K251" s="21"/>
    </row>
    <row r="252" spans="1:11" ht="14.4">
      <c r="A252" s="5" t="str">
        <f>F252&amp;(COUNTIFS(F$2:F252,F252,K$2:K252,"Sparse"))</f>
        <v>SD49</v>
      </c>
      <c r="B252" s="5" t="str">
        <f>J252&amp;(COUNTIF(J$2:J252,J252))</f>
        <v>North Yorkshire8</v>
      </c>
      <c r="C252" s="8" t="s">
        <v>135</v>
      </c>
      <c r="D252" s="8" t="s">
        <v>135</v>
      </c>
      <c r="E252" s="9" t="s">
        <v>385</v>
      </c>
      <c r="F252" s="9" t="s">
        <v>381</v>
      </c>
      <c r="G252" s="9" t="s">
        <v>5</v>
      </c>
      <c r="H252" s="10" t="s">
        <v>893</v>
      </c>
      <c r="I252" s="11" t="s">
        <v>382</v>
      </c>
      <c r="J252" t="s">
        <v>320</v>
      </c>
      <c r="K252" s="21" t="s">
        <v>335</v>
      </c>
    </row>
    <row r="253" spans="1:11" ht="14.4">
      <c r="A253" s="5" t="str">
        <f>F253&amp;(COUNTIFS(F$2:F253,F253,K$2:K253,"Sparse"))</f>
        <v>SD50</v>
      </c>
      <c r="B253" s="5" t="str">
        <f>J253&amp;(COUNTIF(J$2:J253,J253))</f>
        <v>Kent8</v>
      </c>
      <c r="C253" s="8" t="s">
        <v>136</v>
      </c>
      <c r="D253" s="8" t="s">
        <v>136</v>
      </c>
      <c r="E253" s="9" t="s">
        <v>0</v>
      </c>
      <c r="F253" s="9" t="s">
        <v>381</v>
      </c>
      <c r="G253" s="9" t="s">
        <v>5</v>
      </c>
      <c r="H253" s="10" t="s">
        <v>896</v>
      </c>
      <c r="I253" s="11" t="s">
        <v>382</v>
      </c>
      <c r="J253" t="s">
        <v>315</v>
      </c>
      <c r="K253" s="21" t="s">
        <v>335</v>
      </c>
    </row>
    <row r="254" spans="1:11" ht="14.4">
      <c r="A254" s="5" t="str">
        <f>F254&amp;(COUNTIFS(F$2:F254,F254,K$2:K254,"Sparse"))</f>
        <v>MD0</v>
      </c>
      <c r="B254" s="5" t="str">
        <f>J254&amp;(COUNTIF(J$2:J254,J254))</f>
        <v>Sheffield1</v>
      </c>
      <c r="C254" s="8" t="s">
        <v>245</v>
      </c>
      <c r="D254" s="8" t="s">
        <v>245</v>
      </c>
      <c r="E254" s="9" t="s">
        <v>385</v>
      </c>
      <c r="F254" s="9" t="s">
        <v>386</v>
      </c>
      <c r="G254" s="9" t="s">
        <v>397</v>
      </c>
      <c r="H254" s="10" t="s">
        <v>894</v>
      </c>
      <c r="I254" s="11" t="s">
        <v>384</v>
      </c>
      <c r="J254" t="str">
        <f>C254</f>
        <v>Sheffield</v>
      </c>
      <c r="K254" s="21"/>
    </row>
    <row r="255" spans="1:11" ht="14.4">
      <c r="A255" s="5" t="str">
        <f>F255&amp;(COUNTIFS(F$2:F255,F255,K$2:K255,"Sparse"))</f>
        <v>SD50</v>
      </c>
      <c r="B255" s="5" t="str">
        <f>J255&amp;(COUNTIF(J$2:J255,J255))</f>
        <v>Kent9</v>
      </c>
      <c r="C255" s="8" t="s">
        <v>901</v>
      </c>
      <c r="D255" s="8" t="s">
        <v>901</v>
      </c>
      <c r="E255" s="9" t="s">
        <v>0</v>
      </c>
      <c r="F255" s="9" t="s">
        <v>381</v>
      </c>
      <c r="G255" s="9" t="s">
        <v>5</v>
      </c>
      <c r="H255" s="12" t="s">
        <v>895</v>
      </c>
      <c r="I255" s="11" t="s">
        <v>371</v>
      </c>
      <c r="J255" t="s">
        <v>315</v>
      </c>
      <c r="K255" s="21"/>
    </row>
    <row r="256" spans="1:11" ht="14.4">
      <c r="A256" s="5" t="str">
        <f>F256&amp;(COUNTIFS(F$2:F256,F256,K$2:K256,"Sparse"))</f>
        <v>UA11</v>
      </c>
      <c r="B256" s="5" t="str">
        <f>J256&amp;(COUNTIF(J$2:J256,J256))</f>
        <v>Unitary41</v>
      </c>
      <c r="C256" s="8" t="s">
        <v>325</v>
      </c>
      <c r="D256" s="8" t="s">
        <v>325</v>
      </c>
      <c r="E256" s="9" t="s">
        <v>368</v>
      </c>
      <c r="F256" s="9" t="s">
        <v>387</v>
      </c>
      <c r="G256" s="9" t="s">
        <v>396</v>
      </c>
      <c r="H256" s="12" t="s">
        <v>896</v>
      </c>
      <c r="I256" s="11" t="s">
        <v>382</v>
      </c>
      <c r="J256" s="22" t="s">
        <v>396</v>
      </c>
      <c r="K256" s="21" t="s">
        <v>335</v>
      </c>
    </row>
    <row r="257" spans="1:11" ht="14.4">
      <c r="A257" s="5" t="str">
        <f>F257&amp;(COUNTIFS(F$2:F257,F257,K$2:K257,"Sparse"))</f>
        <v>UA11</v>
      </c>
      <c r="B257" s="5" t="str">
        <f>J257&amp;(COUNTIF(J$2:J257,J257))</f>
        <v>Unitary42</v>
      </c>
      <c r="C257" s="8" t="s">
        <v>286</v>
      </c>
      <c r="D257" s="8" t="s">
        <v>286</v>
      </c>
      <c r="E257" s="9" t="s">
        <v>0</v>
      </c>
      <c r="F257" s="9" t="s">
        <v>387</v>
      </c>
      <c r="G257" s="9" t="s">
        <v>396</v>
      </c>
      <c r="H257" s="10" t="s">
        <v>892</v>
      </c>
      <c r="I257" s="11" t="s">
        <v>384</v>
      </c>
      <c r="J257" s="22" t="s">
        <v>396</v>
      </c>
      <c r="K257" s="21"/>
    </row>
    <row r="258" spans="1:11" ht="14.4">
      <c r="A258" s="5" t="str">
        <f>F258&amp;(COUNTIFS(F$2:F258,F258,K$2:K258,"Sparse"))</f>
        <v>MD0</v>
      </c>
      <c r="B258" s="5" t="str">
        <f>J258&amp;(COUNTIF(J$2:J258,J258))</f>
        <v>Solihull1</v>
      </c>
      <c r="C258" s="8" t="s">
        <v>246</v>
      </c>
      <c r="D258" s="8" t="s">
        <v>246</v>
      </c>
      <c r="E258" s="9" t="s">
        <v>368</v>
      </c>
      <c r="F258" s="9" t="s">
        <v>386</v>
      </c>
      <c r="G258" s="9" t="s">
        <v>397</v>
      </c>
      <c r="H258" s="10" t="s">
        <v>897</v>
      </c>
      <c r="I258" s="11" t="s">
        <v>384</v>
      </c>
      <c r="J258" t="str">
        <f>C258</f>
        <v>Solihull</v>
      </c>
      <c r="K258" s="21"/>
    </row>
    <row r="259" spans="1:11" ht="14.4">
      <c r="A259" s="5" t="str">
        <f>F259&amp;(COUNTIFS(F$2:F259,F259,K$2:K259,"Sparse"))</f>
        <v>SC12</v>
      </c>
      <c r="B259" s="5" t="str">
        <f>J259&amp;(COUNTIF(J$2:J259,J259))</f>
        <v>Somerset3</v>
      </c>
      <c r="C259" s="11" t="s">
        <v>326</v>
      </c>
      <c r="D259" s="11" t="s">
        <v>326</v>
      </c>
      <c r="E259" s="9" t="s">
        <v>1</v>
      </c>
      <c r="F259" s="9" t="s">
        <v>389</v>
      </c>
      <c r="G259" s="9" t="s">
        <v>301</v>
      </c>
      <c r="H259" s="11" t="s">
        <v>382</v>
      </c>
      <c r="I259" s="11" t="s">
        <v>382</v>
      </c>
      <c r="J259" t="str">
        <f>C259</f>
        <v>Somerset</v>
      </c>
      <c r="K259" s="21"/>
    </row>
    <row r="260" spans="1:11" ht="14.4">
      <c r="A260" s="5" t="str">
        <f>F260&amp;(COUNTIFS(F$2:F260,F260,K$2:K260,"Sparse"))</f>
        <v>SD51</v>
      </c>
      <c r="B260" s="5" t="str">
        <f>J260&amp;(COUNTIF(J$2:J260,J260))</f>
        <v>Somerset4</v>
      </c>
      <c r="C260" t="s">
        <v>913</v>
      </c>
      <c r="D260" t="s">
        <v>913</v>
      </c>
      <c r="E260" s="282" t="s">
        <v>1</v>
      </c>
      <c r="F260" s="282" t="s">
        <v>381</v>
      </c>
      <c r="G260" s="282" t="s">
        <v>5</v>
      </c>
      <c r="H260" s="283" t="s">
        <v>912</v>
      </c>
      <c r="I260" s="284" t="s">
        <v>382</v>
      </c>
      <c r="J260" t="s">
        <v>326</v>
      </c>
      <c r="K260" t="s">
        <v>335</v>
      </c>
    </row>
    <row r="261" spans="1:11" ht="14.4">
      <c r="A261" s="5" t="str">
        <f>F261&amp;(COUNTIFS(F$2:F261,F261,K$2:K261,"Sparse"))</f>
        <v>SD51</v>
      </c>
      <c r="B261" s="5" t="str">
        <f>J261&amp;(COUNTIF(J$2:J261,J261))</f>
        <v>Buckinghamshire4</v>
      </c>
      <c r="C261" s="8" t="s">
        <v>137</v>
      </c>
      <c r="D261" s="8" t="s">
        <v>137</v>
      </c>
      <c r="E261" s="9" t="s">
        <v>0</v>
      </c>
      <c r="F261" s="9" t="s">
        <v>381</v>
      </c>
      <c r="G261" s="9" t="s">
        <v>5</v>
      </c>
      <c r="H261" s="10" t="s">
        <v>895</v>
      </c>
      <c r="I261" s="11" t="s">
        <v>371</v>
      </c>
      <c r="J261" t="s">
        <v>300</v>
      </c>
      <c r="K261" s="21"/>
    </row>
    <row r="262" spans="1:11" ht="14.4">
      <c r="A262" s="5" t="str">
        <f>F262&amp;(COUNTIFS(F$2:F262,F262,K$2:K262,"Sparse"))</f>
        <v>SD52</v>
      </c>
      <c r="B262" s="5" t="str">
        <f>J262&amp;(COUNTIF(J$2:J262,J262))</f>
        <v>Cambridgeshire6</v>
      </c>
      <c r="C262" s="8" t="s">
        <v>138</v>
      </c>
      <c r="D262" s="8" t="s">
        <v>138</v>
      </c>
      <c r="E262" s="9" t="s">
        <v>369</v>
      </c>
      <c r="F262" s="9" t="s">
        <v>381</v>
      </c>
      <c r="G262" s="9" t="s">
        <v>5</v>
      </c>
      <c r="H262" s="10" t="s">
        <v>896</v>
      </c>
      <c r="I262" s="11" t="s">
        <v>382</v>
      </c>
      <c r="J262" t="s">
        <v>302</v>
      </c>
      <c r="K262" s="21" t="s">
        <v>335</v>
      </c>
    </row>
    <row r="263" spans="1:11" ht="14.4">
      <c r="A263" s="5" t="str">
        <f>F263&amp;(COUNTIFS(F$2:F263,F263,K$2:K263,"Sparse"))</f>
        <v>SD53</v>
      </c>
      <c r="B263" s="5" t="str">
        <f>J263&amp;(COUNTIF(J$2:J263,J263))</f>
        <v>Derbyshire9</v>
      </c>
      <c r="C263" s="8" t="s">
        <v>139</v>
      </c>
      <c r="D263" s="8" t="s">
        <v>139</v>
      </c>
      <c r="E263" s="9" t="s">
        <v>367</v>
      </c>
      <c r="F263" s="9" t="s">
        <v>381</v>
      </c>
      <c r="G263" s="9" t="s">
        <v>5</v>
      </c>
      <c r="H263" s="12" t="s">
        <v>895</v>
      </c>
      <c r="I263" s="11" t="s">
        <v>371</v>
      </c>
      <c r="J263" t="s">
        <v>307</v>
      </c>
      <c r="K263" s="21" t="s">
        <v>335</v>
      </c>
    </row>
    <row r="264" spans="1:11" ht="14.4">
      <c r="A264" s="5" t="str">
        <f>F264&amp;(COUNTIFS(F$2:F264,F264,K$2:K264,"Sparse"))</f>
        <v>UA11</v>
      </c>
      <c r="B264" s="5" t="str">
        <f>J264&amp;(COUNTIF(J$2:J264,J264))</f>
        <v>Unitary43</v>
      </c>
      <c r="C264" s="8" t="s">
        <v>287</v>
      </c>
      <c r="D264" s="8" t="s">
        <v>287</v>
      </c>
      <c r="E264" s="9" t="s">
        <v>1</v>
      </c>
      <c r="F264" s="9" t="s">
        <v>387</v>
      </c>
      <c r="G264" s="9" t="s">
        <v>396</v>
      </c>
      <c r="H264" s="10" t="s">
        <v>892</v>
      </c>
      <c r="I264" s="11" t="s">
        <v>384</v>
      </c>
      <c r="J264" s="22" t="s">
        <v>396</v>
      </c>
      <c r="K264" s="21"/>
    </row>
    <row r="265" spans="1:11" ht="14.4">
      <c r="A265" s="5" t="str">
        <f>F265&amp;(COUNTIFS(F$2:F265,F265,K$2:K265,"Sparse"))</f>
        <v>SD54</v>
      </c>
      <c r="B265" s="5" t="str">
        <f>J265&amp;(COUNTIF(J$2:J265,J265))</f>
        <v>Devon6</v>
      </c>
      <c r="C265" s="8" t="s">
        <v>140</v>
      </c>
      <c r="D265" s="8" t="s">
        <v>140</v>
      </c>
      <c r="E265" s="9" t="s">
        <v>1</v>
      </c>
      <c r="F265" s="9" t="s">
        <v>381</v>
      </c>
      <c r="G265" s="9" t="s">
        <v>5</v>
      </c>
      <c r="H265" s="10" t="s">
        <v>893</v>
      </c>
      <c r="I265" s="11" t="s">
        <v>382</v>
      </c>
      <c r="J265" t="s">
        <v>308</v>
      </c>
      <c r="K265" s="21" t="s">
        <v>335</v>
      </c>
    </row>
    <row r="266" spans="1:11" ht="14.4">
      <c r="A266" s="5" t="str">
        <f>F266&amp;(COUNTIFS(F$2:F266,F266,K$2:K266,"Sparse"))</f>
        <v>SD55</v>
      </c>
      <c r="B266" s="5" t="str">
        <f>J266&amp;(COUNTIF(J$2:J266,J266))</f>
        <v>Lincolnshire6</v>
      </c>
      <c r="C266" s="8" t="s">
        <v>141</v>
      </c>
      <c r="D266" s="8" t="s">
        <v>141</v>
      </c>
      <c r="E266" s="9" t="s">
        <v>367</v>
      </c>
      <c r="F266" s="9" t="s">
        <v>381</v>
      </c>
      <c r="G266" s="9" t="s">
        <v>5</v>
      </c>
      <c r="H266" s="10" t="s">
        <v>896</v>
      </c>
      <c r="I266" s="11" t="s">
        <v>382</v>
      </c>
      <c r="J266" t="s">
        <v>318</v>
      </c>
      <c r="K266" s="21" t="s">
        <v>335</v>
      </c>
    </row>
    <row r="267" spans="1:11" ht="14.4">
      <c r="A267" s="5" t="str">
        <f>F267&amp;(COUNTIFS(F$2:F267,F267,K$2:K267,"Sparse"))</f>
        <v>SD56</v>
      </c>
      <c r="B267" s="5" t="str">
        <f>J267&amp;(COUNTIF(J$2:J267,J267))</f>
        <v>Lincolnshire7</v>
      </c>
      <c r="C267" s="8" t="s">
        <v>142</v>
      </c>
      <c r="D267" s="8" t="s">
        <v>142</v>
      </c>
      <c r="E267" s="9" t="s">
        <v>367</v>
      </c>
      <c r="F267" s="9" t="s">
        <v>381</v>
      </c>
      <c r="G267" s="9" t="s">
        <v>5</v>
      </c>
      <c r="H267" s="10" t="s">
        <v>896</v>
      </c>
      <c r="I267" s="11" t="s">
        <v>382</v>
      </c>
      <c r="J267" t="s">
        <v>318</v>
      </c>
      <c r="K267" s="21" t="s">
        <v>335</v>
      </c>
    </row>
    <row r="268" spans="1:11" ht="14.4">
      <c r="A268" s="5" t="str">
        <f>F268&amp;(COUNTIFS(F$2:F268,F268,K$2:K268,"Sparse"))</f>
        <v>SD57</v>
      </c>
      <c r="B268" s="5" t="str">
        <f>J268&amp;(COUNTIF(J$2:J268,J268))</f>
        <v>Cumbria7</v>
      </c>
      <c r="C268" s="8" t="s">
        <v>143</v>
      </c>
      <c r="D268" s="8" t="s">
        <v>143</v>
      </c>
      <c r="E268" s="9" t="s">
        <v>376</v>
      </c>
      <c r="F268" s="9" t="s">
        <v>381</v>
      </c>
      <c r="G268" s="9" t="s">
        <v>5</v>
      </c>
      <c r="H268" s="10" t="s">
        <v>893</v>
      </c>
      <c r="I268" s="11" t="s">
        <v>382</v>
      </c>
      <c r="J268" t="s">
        <v>306</v>
      </c>
      <c r="K268" s="21" t="s">
        <v>335</v>
      </c>
    </row>
    <row r="269" spans="1:11" ht="14.4">
      <c r="A269" s="5" t="str">
        <f>F269&amp;(COUNTIFS(F$2:F269,F269,K$2:K269,"Sparse"))</f>
        <v>SD58</v>
      </c>
      <c r="B269" s="5" t="str">
        <f>J269&amp;(COUNTIF(J$2:J269,J269))</f>
        <v>Norfolk8</v>
      </c>
      <c r="C269" s="8" t="s">
        <v>144</v>
      </c>
      <c r="D269" s="8" t="s">
        <v>144</v>
      </c>
      <c r="E269" s="9" t="s">
        <v>369</v>
      </c>
      <c r="F269" s="9" t="s">
        <v>381</v>
      </c>
      <c r="G269" s="9" t="s">
        <v>5</v>
      </c>
      <c r="H269" s="10" t="s">
        <v>893</v>
      </c>
      <c r="I269" s="11" t="s">
        <v>382</v>
      </c>
      <c r="J269" t="s">
        <v>319</v>
      </c>
      <c r="K269" s="21" t="s">
        <v>335</v>
      </c>
    </row>
    <row r="270" spans="1:11" ht="14.4">
      <c r="A270" s="5" t="str">
        <f>F270&amp;(COUNTIFS(F$2:F270,F270,K$2:K270,"Sparse"))</f>
        <v>SD59</v>
      </c>
      <c r="B270" s="5" t="str">
        <f>J270&amp;(COUNTIF(J$2:J270,J270))</f>
        <v>Northamptonshire7</v>
      </c>
      <c r="C270" s="8" t="s">
        <v>145</v>
      </c>
      <c r="D270" s="8" t="s">
        <v>145</v>
      </c>
      <c r="E270" s="9" t="s">
        <v>367</v>
      </c>
      <c r="F270" s="9" t="s">
        <v>381</v>
      </c>
      <c r="G270" s="9" t="s">
        <v>5</v>
      </c>
      <c r="H270" s="10" t="s">
        <v>893</v>
      </c>
      <c r="I270" s="11" t="s">
        <v>382</v>
      </c>
      <c r="J270" t="s">
        <v>321</v>
      </c>
      <c r="K270" s="21" t="s">
        <v>335</v>
      </c>
    </row>
    <row r="271" spans="1:11" ht="14.4">
      <c r="A271" s="5" t="str">
        <f>F271&amp;(COUNTIFS(F$2:F271,F271,K$2:K271,"Sparse"))</f>
        <v>SD60</v>
      </c>
      <c r="B271" s="5" t="str">
        <f>J271&amp;(COUNTIF(J$2:J271,J271))</f>
        <v>Oxfordshire4</v>
      </c>
      <c r="C271" s="8" t="s">
        <v>146</v>
      </c>
      <c r="D271" s="8" t="s">
        <v>146</v>
      </c>
      <c r="E271" s="9" t="s">
        <v>0</v>
      </c>
      <c r="F271" s="9" t="s">
        <v>381</v>
      </c>
      <c r="G271" s="9" t="s">
        <v>5</v>
      </c>
      <c r="H271" s="10" t="s">
        <v>893</v>
      </c>
      <c r="I271" s="11" t="s">
        <v>382</v>
      </c>
      <c r="J271" t="s">
        <v>324</v>
      </c>
      <c r="K271" s="21" t="s">
        <v>335</v>
      </c>
    </row>
    <row r="272" spans="1:11" ht="14.4">
      <c r="A272" s="5" t="str">
        <f>F272&amp;(COUNTIFS(F$2:F272,F272,K$2:K272,"Sparse"))</f>
        <v>SD60</v>
      </c>
      <c r="B272" s="5" t="str">
        <f>J272&amp;(COUNTIF(J$2:J272,J272))</f>
        <v>Lancashire11</v>
      </c>
      <c r="C272" s="8" t="s">
        <v>147</v>
      </c>
      <c r="D272" s="8" t="s">
        <v>147</v>
      </c>
      <c r="E272" s="9" t="s">
        <v>376</v>
      </c>
      <c r="F272" s="9" t="s">
        <v>381</v>
      </c>
      <c r="G272" s="9" t="s">
        <v>5</v>
      </c>
      <c r="H272" s="10" t="s">
        <v>892</v>
      </c>
      <c r="I272" s="11" t="s">
        <v>384</v>
      </c>
      <c r="J272" t="s">
        <v>316</v>
      </c>
      <c r="K272" s="21"/>
    </row>
    <row r="273" spans="1:11" ht="14.4">
      <c r="A273" s="5" t="str">
        <f>F273&amp;(COUNTIFS(F$2:F273,F273,K$2:K273,"Sparse"))</f>
        <v>SD61</v>
      </c>
      <c r="B273" s="5" t="str">
        <f>J273&amp;(COUNTIF(J$2:J273,J273))</f>
        <v>Somerset5</v>
      </c>
      <c r="C273" s="8" t="s">
        <v>148</v>
      </c>
      <c r="D273" s="8" t="s">
        <v>148</v>
      </c>
      <c r="E273" s="9" t="s">
        <v>1</v>
      </c>
      <c r="F273" s="9" t="s">
        <v>381</v>
      </c>
      <c r="G273" s="9" t="s">
        <v>5</v>
      </c>
      <c r="H273" s="10" t="s">
        <v>896</v>
      </c>
      <c r="I273" s="11" t="s">
        <v>382</v>
      </c>
      <c r="J273" t="s">
        <v>326</v>
      </c>
      <c r="K273" s="21" t="s">
        <v>335</v>
      </c>
    </row>
    <row r="274" spans="1:11" ht="14.4">
      <c r="A274" s="5" t="str">
        <f>F274&amp;(COUNTIFS(F$2:F274,F274,K$2:K274,"Sparse"))</f>
        <v>SD62</v>
      </c>
      <c r="B274" s="5" t="str">
        <f>J274&amp;(COUNTIF(J$2:J274,J274))</f>
        <v>Staffordshire5</v>
      </c>
      <c r="C274" s="8" t="s">
        <v>149</v>
      </c>
      <c r="D274" s="8" t="s">
        <v>149</v>
      </c>
      <c r="E274" s="9" t="s">
        <v>368</v>
      </c>
      <c r="F274" s="9" t="s">
        <v>381</v>
      </c>
      <c r="G274" s="9" t="s">
        <v>5</v>
      </c>
      <c r="H274" s="12" t="s">
        <v>895</v>
      </c>
      <c r="I274" s="11" t="s">
        <v>371</v>
      </c>
      <c r="J274" t="s">
        <v>327</v>
      </c>
      <c r="K274" s="21" t="s">
        <v>335</v>
      </c>
    </row>
    <row r="275" spans="1:11" ht="14.4">
      <c r="A275" s="5" t="str">
        <f>F275&amp;(COUNTIFS(F$2:F275,F275,K$2:K275,"Sparse"))</f>
        <v>MD0</v>
      </c>
      <c r="B275" s="5" t="str">
        <f>J275&amp;(COUNTIF(J$2:J275,J275))</f>
        <v>South Tyneside1</v>
      </c>
      <c r="C275" s="8" t="s">
        <v>247</v>
      </c>
      <c r="D275" s="8" t="s">
        <v>247</v>
      </c>
      <c r="E275" s="9" t="s">
        <v>390</v>
      </c>
      <c r="F275" s="9" t="s">
        <v>386</v>
      </c>
      <c r="G275" s="9" t="s">
        <v>397</v>
      </c>
      <c r="H275" s="10" t="s">
        <v>897</v>
      </c>
      <c r="I275" s="11" t="s">
        <v>384</v>
      </c>
      <c r="J275" t="str">
        <f>C275</f>
        <v>South Tyneside</v>
      </c>
      <c r="K275" s="21"/>
    </row>
    <row r="276" spans="1:11" ht="14.4">
      <c r="A276" s="5" t="str">
        <f>F276&amp;(COUNTIFS(F$2:F276,F276,K$2:K276,"Sparse"))</f>
        <v>UA11</v>
      </c>
      <c r="B276" s="5" t="str">
        <f>J276&amp;(COUNTIF(J$2:J276,J276))</f>
        <v>Unitary44</v>
      </c>
      <c r="C276" s="8" t="s">
        <v>288</v>
      </c>
      <c r="D276" s="8" t="s">
        <v>288</v>
      </c>
      <c r="E276" s="9" t="s">
        <v>0</v>
      </c>
      <c r="F276" s="9" t="s">
        <v>387</v>
      </c>
      <c r="G276" s="9" t="s">
        <v>396</v>
      </c>
      <c r="H276" s="10" t="s">
        <v>892</v>
      </c>
      <c r="I276" s="11" t="s">
        <v>384</v>
      </c>
      <c r="J276" s="22" t="s">
        <v>396</v>
      </c>
      <c r="K276" s="21"/>
    </row>
    <row r="277" spans="1:11" ht="14.4">
      <c r="A277" s="5" t="str">
        <f>F277&amp;(COUNTIFS(F$2:F277,F277,K$2:K277,"Sparse"))</f>
        <v>UA11</v>
      </c>
      <c r="B277" s="5" t="str">
        <f>J277&amp;(COUNTIF(J$2:J277,J277))</f>
        <v>Unitary45</v>
      </c>
      <c r="C277" s="8" t="s">
        <v>289</v>
      </c>
      <c r="D277" s="8" t="s">
        <v>289</v>
      </c>
      <c r="E277" s="9" t="s">
        <v>369</v>
      </c>
      <c r="F277" s="9" t="s">
        <v>387</v>
      </c>
      <c r="G277" s="9" t="s">
        <v>396</v>
      </c>
      <c r="H277" s="10" t="s">
        <v>892</v>
      </c>
      <c r="I277" s="11" t="s">
        <v>384</v>
      </c>
      <c r="J277" s="22" t="s">
        <v>396</v>
      </c>
      <c r="K277" s="21"/>
    </row>
    <row r="278" spans="1:11" ht="14.4">
      <c r="A278" s="5" t="str">
        <f>F278&amp;(COUNTIFS(F$2:F278,F278,K$2:K278,"Sparse"))</f>
        <v>L0</v>
      </c>
      <c r="B278" s="5" t="str">
        <f>J278&amp;(COUNTIF(J$2:J278,J278))</f>
        <v>London28</v>
      </c>
      <c r="C278" s="8" t="s">
        <v>217</v>
      </c>
      <c r="D278" s="8" t="s">
        <v>217</v>
      </c>
      <c r="E278" s="9" t="s">
        <v>383</v>
      </c>
      <c r="F278" s="9" t="s">
        <v>359</v>
      </c>
      <c r="G278" s="9" t="s">
        <v>383</v>
      </c>
      <c r="H278" s="10" t="s">
        <v>897</v>
      </c>
      <c r="I278" s="11" t="s">
        <v>384</v>
      </c>
      <c r="J278" t="str">
        <f>G278</f>
        <v>London</v>
      </c>
      <c r="K278" s="21"/>
    </row>
    <row r="279" spans="1:11" ht="14.4">
      <c r="A279" s="5" t="str">
        <f>F279&amp;(COUNTIFS(F$2:F279,F279,K$2:K279,"Sparse"))</f>
        <v>SD62</v>
      </c>
      <c r="B279" s="5" t="str">
        <f>J279&amp;(COUNTIF(J$2:J279,J279))</f>
        <v>Surrey7</v>
      </c>
      <c r="C279" s="8" t="s">
        <v>150</v>
      </c>
      <c r="D279" s="8" t="s">
        <v>150</v>
      </c>
      <c r="E279" s="9" t="s">
        <v>0</v>
      </c>
      <c r="F279" s="9" t="s">
        <v>381</v>
      </c>
      <c r="G279" s="9" t="s">
        <v>5</v>
      </c>
      <c r="H279" s="10" t="s">
        <v>897</v>
      </c>
      <c r="I279" s="11" t="s">
        <v>384</v>
      </c>
      <c r="J279" t="s">
        <v>329</v>
      </c>
      <c r="K279" s="21"/>
    </row>
    <row r="280" spans="1:11" ht="14.4">
      <c r="A280" s="5" t="str">
        <f>F280&amp;(COUNTIFS(F$2:F280,F280,K$2:K280,"Sparse"))</f>
        <v>SD62</v>
      </c>
      <c r="B280" s="5" t="str">
        <f>J280&amp;(COUNTIF(J$2:J280,J280))</f>
        <v>Hertfordshire7</v>
      </c>
      <c r="C280" s="8" t="s">
        <v>151</v>
      </c>
      <c r="D280" s="8" t="s">
        <v>151</v>
      </c>
      <c r="E280" s="9" t="s">
        <v>369</v>
      </c>
      <c r="F280" s="9" t="s">
        <v>381</v>
      </c>
      <c r="G280" s="9" t="s">
        <v>5</v>
      </c>
      <c r="H280" s="12" t="s">
        <v>892</v>
      </c>
      <c r="I280" s="11" t="s">
        <v>384</v>
      </c>
      <c r="J280" t="s">
        <v>314</v>
      </c>
      <c r="K280" s="21"/>
    </row>
    <row r="281" spans="1:11" ht="14.4">
      <c r="A281" s="5" t="str">
        <f>F281&amp;(COUNTIFS(F$2:F281,F281,K$2:K281,"Sparse"))</f>
        <v>SD63</v>
      </c>
      <c r="B281" s="5" t="str">
        <f>J281&amp;(COUNTIF(J$2:J281,J281))</f>
        <v>Suffolk6</v>
      </c>
      <c r="C281" s="8" t="s">
        <v>152</v>
      </c>
      <c r="D281" s="8" t="s">
        <v>152</v>
      </c>
      <c r="E281" s="9" t="s">
        <v>369</v>
      </c>
      <c r="F281" s="9" t="s">
        <v>381</v>
      </c>
      <c r="G281" s="9" t="s">
        <v>5</v>
      </c>
      <c r="H281" s="10" t="s">
        <v>896</v>
      </c>
      <c r="I281" s="11" t="s">
        <v>382</v>
      </c>
      <c r="J281" t="s">
        <v>328</v>
      </c>
      <c r="K281" s="21" t="s">
        <v>335</v>
      </c>
    </row>
    <row r="282" spans="1:11" ht="14.4">
      <c r="A282" s="5" t="str">
        <f>F282&amp;(COUNTIFS(F$2:F282,F282,K$2:K282,"Sparse"))</f>
        <v>MD0</v>
      </c>
      <c r="B282" s="5" t="str">
        <f>J282&amp;(COUNTIF(J$2:J282,J282))</f>
        <v>St Helens1</v>
      </c>
      <c r="C282" s="8" t="s">
        <v>248</v>
      </c>
      <c r="D282" s="8" t="s">
        <v>395</v>
      </c>
      <c r="E282" s="9" t="s">
        <v>376</v>
      </c>
      <c r="F282" s="9" t="s">
        <v>386</v>
      </c>
      <c r="G282" s="9" t="s">
        <v>397</v>
      </c>
      <c r="H282" s="10" t="s">
        <v>897</v>
      </c>
      <c r="I282" s="11" t="s">
        <v>384</v>
      </c>
      <c r="J282" t="str">
        <f>C282</f>
        <v>St Helens</v>
      </c>
      <c r="K282" s="21"/>
    </row>
    <row r="283" spans="1:11" ht="14.4">
      <c r="A283" s="5" t="str">
        <f>F283&amp;(COUNTIFS(F$2:F283,F283,K$2:K283,"Sparse"))</f>
        <v>SD64</v>
      </c>
      <c r="B283" s="5" t="str">
        <f>J283&amp;(COUNTIF(J$2:J283,J283))</f>
        <v>Staffordshire6</v>
      </c>
      <c r="C283" s="8" t="s">
        <v>153</v>
      </c>
      <c r="D283" s="8" t="s">
        <v>153</v>
      </c>
      <c r="E283" s="9" t="s">
        <v>368</v>
      </c>
      <c r="F283" s="9" t="s">
        <v>381</v>
      </c>
      <c r="G283" s="9" t="s">
        <v>5</v>
      </c>
      <c r="H283" s="12" t="s">
        <v>895</v>
      </c>
      <c r="I283" s="11" t="s">
        <v>371</v>
      </c>
      <c r="J283" t="s">
        <v>327</v>
      </c>
      <c r="K283" s="21" t="s">
        <v>335</v>
      </c>
    </row>
    <row r="284" spans="1:11" ht="14.4">
      <c r="A284" s="5" t="str">
        <f>F284&amp;(COUNTIFS(F$2:F284,F284,K$2:K284,"Sparse"))</f>
        <v>SC13</v>
      </c>
      <c r="B284" s="5" t="str">
        <f>J284&amp;(COUNTIF(J$2:J284,J284))</f>
        <v>Staffordshire7</v>
      </c>
      <c r="C284" s="11" t="s">
        <v>327</v>
      </c>
      <c r="D284" s="11" t="s">
        <v>327</v>
      </c>
      <c r="E284" s="9" t="s">
        <v>368</v>
      </c>
      <c r="F284" s="9" t="s">
        <v>389</v>
      </c>
      <c r="G284" s="9" t="s">
        <v>301</v>
      </c>
      <c r="H284" s="11" t="s">
        <v>371</v>
      </c>
      <c r="I284" s="11" t="s">
        <v>371</v>
      </c>
      <c r="J284" t="str">
        <f>C284</f>
        <v>Staffordshire</v>
      </c>
      <c r="K284" s="21" t="s">
        <v>335</v>
      </c>
    </row>
    <row r="285" spans="1:11" ht="14.4">
      <c r="A285" s="5" t="str">
        <f>F285&amp;(COUNTIFS(F$2:F285,F285,K$2:K285,"Sparse"))</f>
        <v>SD64</v>
      </c>
      <c r="B285" s="5" t="str">
        <f>J285&amp;(COUNTIF(J$2:J285,J285))</f>
        <v>Staffordshire8</v>
      </c>
      <c r="C285" s="8" t="s">
        <v>154</v>
      </c>
      <c r="D285" s="8" t="s">
        <v>154</v>
      </c>
      <c r="E285" s="9" t="s">
        <v>368</v>
      </c>
      <c r="F285" s="9" t="s">
        <v>381</v>
      </c>
      <c r="G285" s="9" t="s">
        <v>5</v>
      </c>
      <c r="H285" s="10" t="s">
        <v>896</v>
      </c>
      <c r="I285" s="11" t="s">
        <v>382</v>
      </c>
      <c r="J285" t="s">
        <v>327</v>
      </c>
      <c r="K285" s="21"/>
    </row>
    <row r="286" spans="1:11" ht="14.4">
      <c r="A286" s="5" t="str">
        <f>F286&amp;(COUNTIFS(F$2:F286,F286,K$2:K286,"Sparse"))</f>
        <v>SD64</v>
      </c>
      <c r="B286" s="5" t="str">
        <f>J286&amp;(COUNTIF(J$2:J286,J286))</f>
        <v>Hertfordshire8</v>
      </c>
      <c r="C286" s="8" t="s">
        <v>155</v>
      </c>
      <c r="D286" s="8" t="s">
        <v>155</v>
      </c>
      <c r="E286" s="9" t="s">
        <v>369</v>
      </c>
      <c r="F286" s="9" t="s">
        <v>381</v>
      </c>
      <c r="G286" s="9" t="s">
        <v>5</v>
      </c>
      <c r="H286" s="10" t="s">
        <v>892</v>
      </c>
      <c r="I286" s="11" t="s">
        <v>384</v>
      </c>
      <c r="J286" t="s">
        <v>314</v>
      </c>
      <c r="K286" s="21"/>
    </row>
    <row r="287" spans="1:11" ht="14.4">
      <c r="A287" s="5" t="str">
        <f>F287&amp;(COUNTIFS(F$2:F287,F287,K$2:K287,"Sparse"))</f>
        <v>MD0</v>
      </c>
      <c r="B287" s="5" t="str">
        <f>J287&amp;(COUNTIF(J$2:J287,J287))</f>
        <v>Stockport1</v>
      </c>
      <c r="C287" s="8" t="s">
        <v>249</v>
      </c>
      <c r="D287" s="8" t="s">
        <v>249</v>
      </c>
      <c r="E287" s="9" t="s">
        <v>376</v>
      </c>
      <c r="F287" s="9" t="s">
        <v>386</v>
      </c>
      <c r="G287" s="9" t="s">
        <v>397</v>
      </c>
      <c r="H287" s="10" t="s">
        <v>897</v>
      </c>
      <c r="I287" s="11" t="s">
        <v>384</v>
      </c>
      <c r="J287" t="str">
        <f>C287</f>
        <v>Stockport</v>
      </c>
      <c r="K287" s="21"/>
    </row>
    <row r="288" spans="1:11" ht="14.4">
      <c r="A288" s="5" t="str">
        <f>F288&amp;(COUNTIFS(F$2:F288,F288,K$2:K288,"Sparse"))</f>
        <v>UA11</v>
      </c>
      <c r="B288" s="5" t="str">
        <f>J288&amp;(COUNTIF(J$2:J288,J288))</f>
        <v>Unitary46</v>
      </c>
      <c r="C288" s="8" t="s">
        <v>290</v>
      </c>
      <c r="D288" s="8" t="s">
        <v>290</v>
      </c>
      <c r="E288" s="9" t="s">
        <v>390</v>
      </c>
      <c r="F288" s="9" t="s">
        <v>387</v>
      </c>
      <c r="G288" s="9" t="s">
        <v>396</v>
      </c>
      <c r="H288" s="10" t="s">
        <v>892</v>
      </c>
      <c r="I288" s="11" t="s">
        <v>384</v>
      </c>
      <c r="J288" s="22" t="s">
        <v>396</v>
      </c>
      <c r="K288" s="21"/>
    </row>
    <row r="289" spans="1:11" ht="14.4">
      <c r="A289" s="5" t="str">
        <f>F289&amp;(COUNTIFS(F$2:F289,F289,K$2:K289,"Sparse"))</f>
        <v>UA11</v>
      </c>
      <c r="B289" s="5" t="str">
        <f>J289&amp;(COUNTIF(J$2:J289,J289))</f>
        <v>Unitary47</v>
      </c>
      <c r="C289" s="8" t="s">
        <v>291</v>
      </c>
      <c r="D289" s="8" t="s">
        <v>291</v>
      </c>
      <c r="E289" s="9" t="s">
        <v>368</v>
      </c>
      <c r="F289" s="9" t="s">
        <v>387</v>
      </c>
      <c r="G289" s="9" t="s">
        <v>396</v>
      </c>
      <c r="H289" s="10" t="s">
        <v>892</v>
      </c>
      <c r="I289" s="11" t="s">
        <v>384</v>
      </c>
      <c r="J289" s="22" t="s">
        <v>396</v>
      </c>
      <c r="K289" s="21"/>
    </row>
    <row r="290" spans="1:11" ht="14.4">
      <c r="A290" s="5" t="str">
        <f>F290&amp;(COUNTIFS(F$2:F290,F290,K$2:K290,"Sparse"))</f>
        <v>SD65</v>
      </c>
      <c r="B290" s="5" t="str">
        <f>J290&amp;(COUNTIF(J$2:J290,J290))</f>
        <v>Warwickshire4</v>
      </c>
      <c r="C290" s="8" t="s">
        <v>156</v>
      </c>
      <c r="D290" s="8" t="s">
        <v>156</v>
      </c>
      <c r="E290" s="9" t="s">
        <v>368</v>
      </c>
      <c r="F290" s="9" t="s">
        <v>381</v>
      </c>
      <c r="G290" s="9" t="s">
        <v>5</v>
      </c>
      <c r="H290" s="10" t="s">
        <v>893</v>
      </c>
      <c r="I290" s="11" t="s">
        <v>382</v>
      </c>
      <c r="J290" t="s">
        <v>330</v>
      </c>
      <c r="K290" s="21" t="s">
        <v>335</v>
      </c>
    </row>
    <row r="291" spans="1:11" ht="14.4">
      <c r="A291" s="5" t="str">
        <f>F291&amp;(COUNTIFS(F$2:F291,F291,K$2:K291,"Sparse"))</f>
        <v>SD66</v>
      </c>
      <c r="B291" s="5" t="str">
        <f>J291&amp;(COUNTIF(J$2:J291,J291))</f>
        <v>Gloucestershire6</v>
      </c>
      <c r="C291" s="8" t="s">
        <v>157</v>
      </c>
      <c r="D291" s="8" t="s">
        <v>157</v>
      </c>
      <c r="E291" s="9" t="s">
        <v>1</v>
      </c>
      <c r="F291" s="9" t="s">
        <v>381</v>
      </c>
      <c r="G291" s="9" t="s">
        <v>5</v>
      </c>
      <c r="H291" s="10" t="s">
        <v>895</v>
      </c>
      <c r="I291" s="11" t="s">
        <v>371</v>
      </c>
      <c r="J291" t="s">
        <v>312</v>
      </c>
      <c r="K291" s="21" t="s">
        <v>335</v>
      </c>
    </row>
    <row r="292" spans="1:11" ht="14.4">
      <c r="A292" s="5" t="str">
        <f>F292&amp;(COUNTIFS(F$2:F292,F292,K$2:K292,"Sparse"))</f>
        <v>SC14</v>
      </c>
      <c r="B292" s="5" t="str">
        <f>J292&amp;(COUNTIF(J$2:J292,J292))</f>
        <v>Suffolk7</v>
      </c>
      <c r="C292" s="11" t="s">
        <v>328</v>
      </c>
      <c r="D292" s="11" t="s">
        <v>328</v>
      </c>
      <c r="E292" s="9" t="s">
        <v>369</v>
      </c>
      <c r="F292" s="9" t="s">
        <v>389</v>
      </c>
      <c r="G292" s="9" t="s">
        <v>301</v>
      </c>
      <c r="H292" s="11" t="s">
        <v>382</v>
      </c>
      <c r="I292" s="11" t="s">
        <v>382</v>
      </c>
      <c r="J292" t="str">
        <f>C292</f>
        <v>Suffolk</v>
      </c>
      <c r="K292" s="21" t="s">
        <v>335</v>
      </c>
    </row>
    <row r="293" spans="1:11" ht="14.4">
      <c r="A293" s="5" t="str">
        <f>F293&amp;(COUNTIFS(F$2:F293,F293,K$2:K293,"Sparse"))</f>
        <v>SD67</v>
      </c>
      <c r="B293" s="5" t="str">
        <f>J293&amp;(COUNTIF(J$2:J293,J293))</f>
        <v>Suffolk8</v>
      </c>
      <c r="C293" s="8" t="s">
        <v>158</v>
      </c>
      <c r="D293" s="8" t="s">
        <v>158</v>
      </c>
      <c r="E293" s="9" t="s">
        <v>369</v>
      </c>
      <c r="F293" s="9" t="s">
        <v>381</v>
      </c>
      <c r="G293" s="9" t="s">
        <v>5</v>
      </c>
      <c r="H293" s="10" t="s">
        <v>896</v>
      </c>
      <c r="I293" s="11" t="s">
        <v>382</v>
      </c>
      <c r="J293" t="s">
        <v>328</v>
      </c>
      <c r="K293" s="21" t="s">
        <v>335</v>
      </c>
    </row>
    <row r="294" spans="1:11" ht="14.4">
      <c r="A294" s="5" t="str">
        <f>F294&amp;(COUNTIFS(F$2:F294,F294,K$2:K294,"Sparse"))</f>
        <v>MD0</v>
      </c>
      <c r="B294" s="5" t="str">
        <f>J294&amp;(COUNTIF(J$2:J294,J294))</f>
        <v>Sunderland1</v>
      </c>
      <c r="C294" s="8" t="s">
        <v>250</v>
      </c>
      <c r="D294" s="8" t="s">
        <v>250</v>
      </c>
      <c r="E294" s="9" t="s">
        <v>390</v>
      </c>
      <c r="F294" s="9" t="s">
        <v>386</v>
      </c>
      <c r="G294" s="9" t="s">
        <v>397</v>
      </c>
      <c r="H294" s="10" t="s">
        <v>897</v>
      </c>
      <c r="I294" s="11" t="s">
        <v>384</v>
      </c>
      <c r="J294" t="str">
        <f>C294</f>
        <v>Sunderland</v>
      </c>
      <c r="K294" s="21"/>
    </row>
    <row r="295" spans="1:11" ht="14.4">
      <c r="A295" s="5" t="str">
        <f>F295&amp;(COUNTIFS(F$2:F295,F295,K$2:K295,"Sparse"))</f>
        <v>SC14</v>
      </c>
      <c r="B295" s="5" t="str">
        <f>J295&amp;(COUNTIF(J$2:J295,J295))</f>
        <v>Surrey8</v>
      </c>
      <c r="C295" s="11" t="s">
        <v>329</v>
      </c>
      <c r="D295" s="11" t="s">
        <v>329</v>
      </c>
      <c r="E295" s="9" t="s">
        <v>0</v>
      </c>
      <c r="F295" s="9" t="s">
        <v>389</v>
      </c>
      <c r="G295" s="9" t="s">
        <v>301</v>
      </c>
      <c r="H295" s="11" t="s">
        <v>384</v>
      </c>
      <c r="I295" s="11" t="s">
        <v>384</v>
      </c>
      <c r="J295" t="str">
        <f>C295</f>
        <v>Surrey</v>
      </c>
      <c r="K295" s="21"/>
    </row>
    <row r="296" spans="1:11" ht="14.4">
      <c r="A296" s="5" t="str">
        <f>F296&amp;(COUNTIFS(F$2:F296,F296,K$2:K296,"Sparse"))</f>
        <v>SD67</v>
      </c>
      <c r="B296" s="5" t="str">
        <f>J296&amp;(COUNTIF(J$2:J296,J296))</f>
        <v>Surrey9</v>
      </c>
      <c r="C296" s="8" t="s">
        <v>159</v>
      </c>
      <c r="D296" s="8" t="s">
        <v>159</v>
      </c>
      <c r="E296" s="9" t="s">
        <v>0</v>
      </c>
      <c r="F296" s="9" t="s">
        <v>381</v>
      </c>
      <c r="G296" s="9" t="s">
        <v>5</v>
      </c>
      <c r="H296" s="10" t="s">
        <v>892</v>
      </c>
      <c r="I296" s="11" t="s">
        <v>384</v>
      </c>
      <c r="J296" t="s">
        <v>329</v>
      </c>
      <c r="K296" s="21"/>
    </row>
    <row r="297" spans="1:11" ht="14.4">
      <c r="A297" s="5" t="str">
        <f>F297&amp;(COUNTIFS(F$2:F297,F297,K$2:K297,"Sparse"))</f>
        <v>L0</v>
      </c>
      <c r="B297" s="5" t="str">
        <f>J297&amp;(COUNTIF(J$2:J297,J297))</f>
        <v>London29</v>
      </c>
      <c r="C297" s="8" t="s">
        <v>218</v>
      </c>
      <c r="D297" s="8" t="s">
        <v>218</v>
      </c>
      <c r="E297" s="9" t="s">
        <v>383</v>
      </c>
      <c r="F297" s="9" t="s">
        <v>359</v>
      </c>
      <c r="G297" s="9" t="s">
        <v>383</v>
      </c>
      <c r="H297" s="10" t="s">
        <v>897</v>
      </c>
      <c r="I297" s="11" t="s">
        <v>384</v>
      </c>
      <c r="J297" t="str">
        <f>G297</f>
        <v>London</v>
      </c>
      <c r="K297" s="21"/>
    </row>
    <row r="298" spans="1:11" ht="14.4">
      <c r="A298" s="5" t="str">
        <f>F298&amp;(COUNTIFS(F$2:F298,F298,K$2:K298,"Sparse"))</f>
        <v>SD67</v>
      </c>
      <c r="B298" s="5" t="str">
        <f>J298&amp;(COUNTIF(J$2:J298,J298))</f>
        <v>Kent10</v>
      </c>
      <c r="C298" s="8" t="s">
        <v>160</v>
      </c>
      <c r="D298" s="8" t="s">
        <v>160</v>
      </c>
      <c r="E298" s="9" t="s">
        <v>0</v>
      </c>
      <c r="F298" s="9" t="s">
        <v>381</v>
      </c>
      <c r="G298" s="9" t="s">
        <v>5</v>
      </c>
      <c r="H298" s="12" t="s">
        <v>896</v>
      </c>
      <c r="I298" s="11" t="s">
        <v>382</v>
      </c>
      <c r="J298" t="s">
        <v>315</v>
      </c>
      <c r="K298" s="21"/>
    </row>
    <row r="299" spans="1:11" ht="14.4">
      <c r="A299" s="5" t="str">
        <f>F299&amp;(COUNTIFS(F$2:F299,F299,K$2:K299,"Sparse"))</f>
        <v>UA11</v>
      </c>
      <c r="B299" s="5" t="str">
        <f>J299&amp;(COUNTIF(J$2:J299,J299))</f>
        <v>Unitary48</v>
      </c>
      <c r="C299" s="8" t="s">
        <v>292</v>
      </c>
      <c r="D299" s="8" t="s">
        <v>292</v>
      </c>
      <c r="E299" s="9" t="s">
        <v>1</v>
      </c>
      <c r="F299" s="9" t="s">
        <v>387</v>
      </c>
      <c r="G299" s="9" t="s">
        <v>396</v>
      </c>
      <c r="H299" s="10" t="s">
        <v>892</v>
      </c>
      <c r="I299" s="11" t="s">
        <v>384</v>
      </c>
      <c r="J299" s="22" t="s">
        <v>396</v>
      </c>
      <c r="K299" s="21"/>
    </row>
    <row r="300" spans="1:11" ht="14.4">
      <c r="A300" s="5" t="str">
        <f>F300&amp;(COUNTIFS(F$2:F300,F300,K$2:K300,"Sparse"))</f>
        <v>MD0</v>
      </c>
      <c r="B300" s="5" t="str">
        <f>J300&amp;(COUNTIF(J$2:J300,J300))</f>
        <v>Tameside1</v>
      </c>
      <c r="C300" s="8" t="s">
        <v>251</v>
      </c>
      <c r="D300" s="8" t="s">
        <v>251</v>
      </c>
      <c r="E300" s="9" t="s">
        <v>376</v>
      </c>
      <c r="F300" s="9" t="s">
        <v>386</v>
      </c>
      <c r="G300" s="9" t="s">
        <v>397</v>
      </c>
      <c r="H300" s="10" t="s">
        <v>897</v>
      </c>
      <c r="I300" s="11" t="s">
        <v>384</v>
      </c>
      <c r="J300" t="str">
        <f>C300</f>
        <v>Tameside</v>
      </c>
      <c r="K300" s="21"/>
    </row>
    <row r="301" spans="1:11" ht="14.4">
      <c r="A301" s="5" t="str">
        <f>F301&amp;(COUNTIFS(F$2:F301,F301,K$2:K301,"Sparse"))</f>
        <v>SD67</v>
      </c>
      <c r="B301" s="5" t="str">
        <f>J301&amp;(COUNTIF(J$2:J301,J301))</f>
        <v>Staffordshire9</v>
      </c>
      <c r="C301" s="8" t="s">
        <v>161</v>
      </c>
      <c r="D301" s="8" t="s">
        <v>161</v>
      </c>
      <c r="E301" s="9" t="s">
        <v>368</v>
      </c>
      <c r="F301" s="9" t="s">
        <v>381</v>
      </c>
      <c r="G301" s="9" t="s">
        <v>5</v>
      </c>
      <c r="H301" s="10" t="s">
        <v>892</v>
      </c>
      <c r="I301" s="11" t="s">
        <v>384</v>
      </c>
      <c r="J301" t="s">
        <v>327</v>
      </c>
      <c r="K301" s="21"/>
    </row>
    <row r="302" spans="1:11" ht="14.4">
      <c r="A302" s="5" t="str">
        <f>F302&amp;(COUNTIFS(F$2:F302,F302,K$2:K302,"Sparse"))</f>
        <v>SD68</v>
      </c>
      <c r="B302" s="5" t="str">
        <f>J302&amp;(COUNTIF(J$2:J302,J302))</f>
        <v>Surrey10</v>
      </c>
      <c r="C302" s="8" t="s">
        <v>162</v>
      </c>
      <c r="D302" s="8" t="s">
        <v>162</v>
      </c>
      <c r="E302" s="9" t="s">
        <v>0</v>
      </c>
      <c r="F302" s="9" t="s">
        <v>381</v>
      </c>
      <c r="G302" s="9" t="s">
        <v>5</v>
      </c>
      <c r="H302" s="10" t="s">
        <v>895</v>
      </c>
      <c r="I302" s="11" t="s">
        <v>371</v>
      </c>
      <c r="J302" t="s">
        <v>329</v>
      </c>
      <c r="K302" s="21" t="s">
        <v>335</v>
      </c>
    </row>
    <row r="303" spans="1:11" ht="14.4">
      <c r="A303" s="5" t="str">
        <f>F303&amp;(COUNTIFS(F$2:F303,F303,K$2:K303,"Sparse"))</f>
        <v>SD69</v>
      </c>
      <c r="B303" s="5" t="str">
        <f>J303&amp;(COUNTIF(J$2:J303,J303))</f>
        <v>Somerset6</v>
      </c>
      <c r="C303" s="8" t="s">
        <v>163</v>
      </c>
      <c r="D303" s="8" t="s">
        <v>163</v>
      </c>
      <c r="E303" s="9" t="s">
        <v>1</v>
      </c>
      <c r="F303" s="9" t="s">
        <v>381</v>
      </c>
      <c r="G303" s="9" t="s">
        <v>5</v>
      </c>
      <c r="H303" s="12" t="s">
        <v>895</v>
      </c>
      <c r="I303" s="11" t="s">
        <v>371</v>
      </c>
      <c r="J303" t="s">
        <v>326</v>
      </c>
      <c r="K303" s="21" t="s">
        <v>335</v>
      </c>
    </row>
    <row r="304" spans="1:11" ht="14.4">
      <c r="A304" s="5" t="str">
        <f>F304&amp;(COUNTIFS(F$2:F304,F304,K$2:K304,"Sparse"))</f>
        <v>SD70</v>
      </c>
      <c r="B304" s="5" t="str">
        <f>J304&amp;(COUNTIF(J$2:J304,J304))</f>
        <v>Devon7</v>
      </c>
      <c r="C304" s="8" t="s">
        <v>164</v>
      </c>
      <c r="D304" s="8" t="s">
        <v>164</v>
      </c>
      <c r="E304" s="9" t="s">
        <v>1</v>
      </c>
      <c r="F304" s="9" t="s">
        <v>381</v>
      </c>
      <c r="G304" s="9" t="s">
        <v>5</v>
      </c>
      <c r="H304" s="10" t="s">
        <v>896</v>
      </c>
      <c r="I304" s="11" t="s">
        <v>382</v>
      </c>
      <c r="J304" t="s">
        <v>308</v>
      </c>
      <c r="K304" s="21" t="s">
        <v>335</v>
      </c>
    </row>
    <row r="305" spans="1:11" ht="14.4">
      <c r="A305" s="5" t="str">
        <f>F305&amp;(COUNTIFS(F$2:F305,F305,K$2:K305,"Sparse"))</f>
        <v>UA11</v>
      </c>
      <c r="B305" s="5" t="str">
        <f>J305&amp;(COUNTIF(J$2:J305,J305))</f>
        <v>Unitary49</v>
      </c>
      <c r="C305" s="8" t="s">
        <v>813</v>
      </c>
      <c r="D305" s="8" t="s">
        <v>813</v>
      </c>
      <c r="E305" s="9" t="s">
        <v>368</v>
      </c>
      <c r="F305" s="9" t="s">
        <v>387</v>
      </c>
      <c r="G305" s="9" t="s">
        <v>396</v>
      </c>
      <c r="H305" s="10" t="s">
        <v>892</v>
      </c>
      <c r="I305" s="11" t="s">
        <v>384</v>
      </c>
      <c r="J305" s="22" t="s">
        <v>396</v>
      </c>
      <c r="K305" s="21"/>
    </row>
    <row r="306" spans="1:11" ht="14.4">
      <c r="A306" s="5" t="str">
        <f>F306&amp;(COUNTIFS(F$2:F306,F306,K$2:K306,"Sparse"))</f>
        <v>SD70</v>
      </c>
      <c r="B306" s="5" t="str">
        <f>J306&amp;(COUNTIF(J$2:J306,J306))</f>
        <v>Essex12</v>
      </c>
      <c r="C306" s="8" t="s">
        <v>165</v>
      </c>
      <c r="D306" s="8" t="s">
        <v>165</v>
      </c>
      <c r="E306" s="9" t="s">
        <v>369</v>
      </c>
      <c r="F306" s="9" t="s">
        <v>381</v>
      </c>
      <c r="G306" s="9" t="s">
        <v>5</v>
      </c>
      <c r="H306" s="10" t="s">
        <v>896</v>
      </c>
      <c r="I306" s="11" t="s">
        <v>382</v>
      </c>
      <c r="J306" t="s">
        <v>311</v>
      </c>
      <c r="K306" s="21"/>
    </row>
    <row r="307" spans="1:11" ht="14.4">
      <c r="A307" s="5" t="str">
        <f>F307&amp;(COUNTIFS(F$2:F307,F307,K$2:K307,"Sparse"))</f>
        <v>SD70</v>
      </c>
      <c r="B307" s="5" t="str">
        <f>J307&amp;(COUNTIF(J$2:J307,J307))</f>
        <v>Hampshire11</v>
      </c>
      <c r="C307" s="8" t="s">
        <v>166</v>
      </c>
      <c r="D307" s="8" t="s">
        <v>166</v>
      </c>
      <c r="E307" s="9" t="s">
        <v>0</v>
      </c>
      <c r="F307" s="9" t="s">
        <v>381</v>
      </c>
      <c r="G307" s="9" t="s">
        <v>5</v>
      </c>
      <c r="H307" s="10" t="s">
        <v>895</v>
      </c>
      <c r="I307" s="11" t="s">
        <v>371</v>
      </c>
      <c r="J307" t="s">
        <v>313</v>
      </c>
      <c r="K307" s="21"/>
    </row>
    <row r="308" spans="1:11" ht="14.4">
      <c r="A308" s="5" t="str">
        <f>F308&amp;(COUNTIFS(F$2:F308,F308,K$2:K308,"Sparse"))</f>
        <v>SD71</v>
      </c>
      <c r="B308" s="5" t="str">
        <f>J308&amp;(COUNTIF(J$2:J308,J308))</f>
        <v>Gloucestershire7</v>
      </c>
      <c r="C308" s="8" t="s">
        <v>167</v>
      </c>
      <c r="D308" s="8" t="s">
        <v>167</v>
      </c>
      <c r="E308" s="9" t="s">
        <v>1</v>
      </c>
      <c r="F308" s="9" t="s">
        <v>381</v>
      </c>
      <c r="G308" s="9" t="s">
        <v>5</v>
      </c>
      <c r="H308" s="10" t="s">
        <v>896</v>
      </c>
      <c r="I308" s="11" t="s">
        <v>382</v>
      </c>
      <c r="J308" t="s">
        <v>312</v>
      </c>
      <c r="K308" s="21" t="s">
        <v>335</v>
      </c>
    </row>
    <row r="309" spans="1:11" ht="14.4">
      <c r="A309" s="5" t="str">
        <f>F309&amp;(COUNTIFS(F$2:F309,F309,K$2:K309,"Sparse"))</f>
        <v>SD71</v>
      </c>
      <c r="B309" s="5" t="str">
        <f>J309&amp;(COUNTIF(J$2:J309,J309))</f>
        <v>Kent11</v>
      </c>
      <c r="C309" s="8" t="s">
        <v>168</v>
      </c>
      <c r="D309" s="8" t="s">
        <v>168</v>
      </c>
      <c r="E309" s="9" t="s">
        <v>0</v>
      </c>
      <c r="F309" s="9" t="s">
        <v>381</v>
      </c>
      <c r="G309" s="9" t="s">
        <v>5</v>
      </c>
      <c r="H309" s="10" t="s">
        <v>892</v>
      </c>
      <c r="I309" s="11" t="s">
        <v>384</v>
      </c>
      <c r="J309" t="s">
        <v>315</v>
      </c>
      <c r="K309" s="21"/>
    </row>
    <row r="310" spans="1:11" ht="14.4">
      <c r="A310" s="5" t="str">
        <f>F310&amp;(COUNTIFS(F$2:F310,F310,K$2:K310,"Sparse"))</f>
        <v>SD71</v>
      </c>
      <c r="B310" s="5" t="str">
        <f>J310&amp;(COUNTIF(J$2:J310,J310))</f>
        <v>Hertfordshire9</v>
      </c>
      <c r="C310" s="8" t="s">
        <v>169</v>
      </c>
      <c r="D310" s="8" t="s">
        <v>169</v>
      </c>
      <c r="E310" s="9" t="s">
        <v>369</v>
      </c>
      <c r="F310" s="9" t="s">
        <v>381</v>
      </c>
      <c r="G310" s="9" t="s">
        <v>5</v>
      </c>
      <c r="H310" s="10" t="s">
        <v>897</v>
      </c>
      <c r="I310" s="11" t="s">
        <v>384</v>
      </c>
      <c r="J310" t="s">
        <v>314</v>
      </c>
      <c r="K310" s="21"/>
    </row>
    <row r="311" spans="1:11" ht="14.4">
      <c r="A311" s="5" t="str">
        <f>F311&amp;(COUNTIFS(F$2:F311,F311,K$2:K311,"Sparse"))</f>
        <v>UA11</v>
      </c>
      <c r="B311" s="5" t="str">
        <f>J311&amp;(COUNTIF(J$2:J311,J311))</f>
        <v>Unitary50</v>
      </c>
      <c r="C311" s="8" t="s">
        <v>293</v>
      </c>
      <c r="D311" s="8" t="s">
        <v>293</v>
      </c>
      <c r="E311" s="9" t="s">
        <v>369</v>
      </c>
      <c r="F311" s="9" t="s">
        <v>387</v>
      </c>
      <c r="G311" s="9" t="s">
        <v>396</v>
      </c>
      <c r="H311" s="10" t="s">
        <v>897</v>
      </c>
      <c r="I311" s="11" t="s">
        <v>384</v>
      </c>
      <c r="J311" s="22" t="s">
        <v>396</v>
      </c>
      <c r="K311" s="21"/>
    </row>
    <row r="312" spans="1:11" ht="14.4">
      <c r="A312" s="5" t="str">
        <f>F312&amp;(COUNTIFS(F$2:F312,F312,K$2:K312,"Sparse"))</f>
        <v>SD71</v>
      </c>
      <c r="B312" s="5" t="str">
        <f>J312&amp;(COUNTIF(J$2:J312,J312))</f>
        <v>Kent12</v>
      </c>
      <c r="C312" s="8" t="s">
        <v>350</v>
      </c>
      <c r="D312" s="8" t="s">
        <v>350</v>
      </c>
      <c r="E312" s="9" t="s">
        <v>0</v>
      </c>
      <c r="F312" s="9" t="s">
        <v>381</v>
      </c>
      <c r="G312" s="9" t="s">
        <v>5</v>
      </c>
      <c r="H312" s="10" t="s">
        <v>895</v>
      </c>
      <c r="I312" s="11" t="s">
        <v>371</v>
      </c>
      <c r="J312" t="s">
        <v>315</v>
      </c>
      <c r="K312" s="21"/>
    </row>
    <row r="313" spans="1:11" ht="14.4">
      <c r="A313" s="5" t="str">
        <f>F313&amp;(COUNTIFS(F$2:F313,F313,K$2:K313,"Sparse"))</f>
        <v>UA11</v>
      </c>
      <c r="B313" s="5" t="str">
        <f>J313&amp;(COUNTIF(J$2:J313,J313))</f>
        <v>Unitary51</v>
      </c>
      <c r="C313" s="8" t="s">
        <v>294</v>
      </c>
      <c r="D313" s="8" t="s">
        <v>294</v>
      </c>
      <c r="E313" s="9" t="s">
        <v>1</v>
      </c>
      <c r="F313" s="9" t="s">
        <v>387</v>
      </c>
      <c r="G313" s="9" t="s">
        <v>396</v>
      </c>
      <c r="H313" s="10" t="s">
        <v>892</v>
      </c>
      <c r="I313" s="11" t="s">
        <v>384</v>
      </c>
      <c r="J313" s="22" t="s">
        <v>396</v>
      </c>
      <c r="K313" s="21"/>
    </row>
    <row r="314" spans="1:11" ht="14.4">
      <c r="A314" s="5" t="str">
        <f>F314&amp;(COUNTIFS(F$2:F314,F314,K$2:K314,"Sparse"))</f>
        <v>SD72</v>
      </c>
      <c r="B314" s="5" t="str">
        <f>J314&amp;(COUNTIF(J$2:J314,J314))</f>
        <v>Devon8</v>
      </c>
      <c r="C314" s="8" t="s">
        <v>170</v>
      </c>
      <c r="D314" s="8" t="s">
        <v>170</v>
      </c>
      <c r="E314" s="9" t="s">
        <v>1</v>
      </c>
      <c r="F314" s="9" t="s">
        <v>381</v>
      </c>
      <c r="G314" s="9" t="s">
        <v>5</v>
      </c>
      <c r="H314" s="10" t="s">
        <v>893</v>
      </c>
      <c r="I314" s="11" t="s">
        <v>382</v>
      </c>
      <c r="J314" t="s">
        <v>308</v>
      </c>
      <c r="K314" s="21" t="s">
        <v>335</v>
      </c>
    </row>
    <row r="315" spans="1:11" ht="14.4">
      <c r="A315" s="5" t="str">
        <f>F315&amp;(COUNTIFS(F$2:F315,F315,K$2:K315,"Sparse"))</f>
        <v>L0</v>
      </c>
      <c r="B315" s="5" t="str">
        <f>J315&amp;(COUNTIF(J$2:J315,J315))</f>
        <v>London30</v>
      </c>
      <c r="C315" s="8" t="s">
        <v>219</v>
      </c>
      <c r="D315" s="8" t="s">
        <v>219</v>
      </c>
      <c r="E315" s="9" t="s">
        <v>383</v>
      </c>
      <c r="F315" s="9" t="s">
        <v>359</v>
      </c>
      <c r="G315" s="9" t="s">
        <v>383</v>
      </c>
      <c r="H315" s="10" t="s">
        <v>897</v>
      </c>
      <c r="I315" s="11" t="s">
        <v>384</v>
      </c>
      <c r="J315" t="str">
        <f>G315</f>
        <v>London</v>
      </c>
      <c r="K315" s="21"/>
    </row>
    <row r="316" spans="1:11" ht="14.4">
      <c r="A316" s="5" t="str">
        <f>F316&amp;(COUNTIFS(F$2:F316,F316,K$2:K316,"Sparse"))</f>
        <v>MD0</v>
      </c>
      <c r="B316" s="5" t="str">
        <f>J316&amp;(COUNTIF(J$2:J316,J316))</f>
        <v>Trafford1</v>
      </c>
      <c r="C316" s="8" t="s">
        <v>252</v>
      </c>
      <c r="D316" s="8" t="s">
        <v>252</v>
      </c>
      <c r="E316" s="9" t="s">
        <v>376</v>
      </c>
      <c r="F316" s="9" t="s">
        <v>386</v>
      </c>
      <c r="G316" s="9" t="s">
        <v>397</v>
      </c>
      <c r="H316" s="10" t="s">
        <v>897</v>
      </c>
      <c r="I316" s="11" t="s">
        <v>384</v>
      </c>
      <c r="J316" t="str">
        <f>C316</f>
        <v>Trafford</v>
      </c>
      <c r="K316" s="21"/>
    </row>
    <row r="317" spans="1:11" ht="14.4">
      <c r="A317" s="5" t="str">
        <f>F317&amp;(COUNTIFS(F$2:F317,F317,K$2:K317,"Sparse"))</f>
        <v>SD73</v>
      </c>
      <c r="B317" s="5" t="str">
        <f>J317&amp;(COUNTIF(J$2:J317,J317))</f>
        <v>Kent13</v>
      </c>
      <c r="C317" s="8" t="s">
        <v>171</v>
      </c>
      <c r="D317" s="8" t="s">
        <v>171</v>
      </c>
      <c r="E317" s="9" t="s">
        <v>0</v>
      </c>
      <c r="F317" s="9" t="s">
        <v>381</v>
      </c>
      <c r="G317" s="9" t="s">
        <v>5</v>
      </c>
      <c r="H317" s="12" t="s">
        <v>895</v>
      </c>
      <c r="I317" s="11" t="s">
        <v>371</v>
      </c>
      <c r="J317" t="s">
        <v>315</v>
      </c>
      <c r="K317" s="21" t="s">
        <v>335</v>
      </c>
    </row>
    <row r="318" spans="1:11" ht="14.4">
      <c r="A318" s="5" t="str">
        <f>F318&amp;(COUNTIFS(F$2:F318,F318,K$2:K318,"Sparse"))</f>
        <v>SD74</v>
      </c>
      <c r="B318" s="5" t="str">
        <f>J318&amp;(COUNTIF(J$2:J318,J318))</f>
        <v>Essex13</v>
      </c>
      <c r="C318" s="8" t="s">
        <v>172</v>
      </c>
      <c r="D318" s="8" t="s">
        <v>172</v>
      </c>
      <c r="E318" s="9" t="s">
        <v>369</v>
      </c>
      <c r="F318" s="9" t="s">
        <v>381</v>
      </c>
      <c r="G318" s="9" t="s">
        <v>5</v>
      </c>
      <c r="H318" s="10" t="s">
        <v>893</v>
      </c>
      <c r="I318" s="11" t="s">
        <v>382</v>
      </c>
      <c r="J318" t="s">
        <v>311</v>
      </c>
      <c r="K318" s="21" t="s">
        <v>335</v>
      </c>
    </row>
    <row r="319" spans="1:11" ht="14.4">
      <c r="A319" s="5" t="str">
        <f>F319&amp;(COUNTIFS(F$2:F319,F319,K$2:K319,"Sparse"))</f>
        <v>SD75</v>
      </c>
      <c r="B319" s="5" t="str">
        <f>J319&amp;(COUNTIF(J$2:J319,J319))</f>
        <v>Oxfordshire5</v>
      </c>
      <c r="C319" s="8" t="s">
        <v>173</v>
      </c>
      <c r="D319" s="8" t="s">
        <v>173</v>
      </c>
      <c r="E319" s="9" t="s">
        <v>0</v>
      </c>
      <c r="F319" s="9" t="s">
        <v>381</v>
      </c>
      <c r="G319" s="9" t="s">
        <v>5</v>
      </c>
      <c r="H319" s="10" t="s">
        <v>896</v>
      </c>
      <c r="I319" s="11" t="s">
        <v>382</v>
      </c>
      <c r="J319" t="s">
        <v>324</v>
      </c>
      <c r="K319" s="21" t="s">
        <v>335</v>
      </c>
    </row>
    <row r="320" spans="1:11" ht="14.4">
      <c r="A320" s="5" t="str">
        <f>F320&amp;(COUNTIFS(F$2:F320,F320,K$2:K320,"Sparse"))</f>
        <v>MD0</v>
      </c>
      <c r="B320" s="5" t="str">
        <f>J320&amp;(COUNTIF(J$2:J320,J320))</f>
        <v>Wakefield1</v>
      </c>
      <c r="C320" s="8" t="s">
        <v>253</v>
      </c>
      <c r="D320" s="8" t="s">
        <v>253</v>
      </c>
      <c r="E320" s="9" t="s">
        <v>385</v>
      </c>
      <c r="F320" s="9" t="s">
        <v>386</v>
      </c>
      <c r="G320" s="9" t="s">
        <v>397</v>
      </c>
      <c r="H320" s="12" t="s">
        <v>892</v>
      </c>
      <c r="I320" s="11" t="s">
        <v>384</v>
      </c>
      <c r="J320" t="str">
        <f>C320</f>
        <v>Wakefield</v>
      </c>
      <c r="K320" s="21"/>
    </row>
    <row r="321" spans="1:11" ht="14.4">
      <c r="A321" s="5" t="str">
        <f>F321&amp;(COUNTIFS(F$2:F321,F321,K$2:K321,"Sparse"))</f>
        <v>MD0</v>
      </c>
      <c r="B321" s="5" t="str">
        <f>J321&amp;(COUNTIF(J$2:J321,J321))</f>
        <v>Walsall1</v>
      </c>
      <c r="C321" s="8" t="s">
        <v>254</v>
      </c>
      <c r="D321" s="8" t="s">
        <v>254</v>
      </c>
      <c r="E321" s="9" t="s">
        <v>368</v>
      </c>
      <c r="F321" s="9" t="s">
        <v>386</v>
      </c>
      <c r="G321" s="9" t="s">
        <v>397</v>
      </c>
      <c r="H321" s="10" t="s">
        <v>897</v>
      </c>
      <c r="I321" s="11" t="s">
        <v>384</v>
      </c>
      <c r="J321" t="str">
        <f>C321</f>
        <v>Walsall</v>
      </c>
      <c r="K321" s="21"/>
    </row>
    <row r="322" spans="1:11" ht="14.4">
      <c r="A322" s="5" t="str">
        <f>F322&amp;(COUNTIFS(F$2:F322,F322,K$2:K322,"Sparse"))</f>
        <v>L0</v>
      </c>
      <c r="B322" s="5" t="str">
        <f>J322&amp;(COUNTIF(J$2:J322,J322))</f>
        <v>London31</v>
      </c>
      <c r="C322" s="8" t="s">
        <v>220</v>
      </c>
      <c r="D322" s="8" t="s">
        <v>220</v>
      </c>
      <c r="E322" s="9" t="s">
        <v>383</v>
      </c>
      <c r="F322" s="9" t="s">
        <v>359</v>
      </c>
      <c r="G322" s="9" t="s">
        <v>383</v>
      </c>
      <c r="H322" s="10" t="s">
        <v>897</v>
      </c>
      <c r="I322" s="11" t="s">
        <v>384</v>
      </c>
      <c r="J322" t="str">
        <f>G322</f>
        <v>London</v>
      </c>
      <c r="K322" s="21"/>
    </row>
    <row r="323" spans="1:11" ht="14.4">
      <c r="A323" s="5" t="str">
        <f>F323&amp;(COUNTIFS(F$2:F323,F323,K$2:K323,"Sparse"))</f>
        <v>L0</v>
      </c>
      <c r="B323" s="5" t="str">
        <f>J323&amp;(COUNTIF(J$2:J323,J323))</f>
        <v>London32</v>
      </c>
      <c r="C323" s="8" t="s">
        <v>221</v>
      </c>
      <c r="D323" s="8" t="s">
        <v>221</v>
      </c>
      <c r="E323" s="9" t="s">
        <v>383</v>
      </c>
      <c r="F323" s="9" t="s">
        <v>359</v>
      </c>
      <c r="G323" s="9" t="s">
        <v>383</v>
      </c>
      <c r="H323" s="10" t="s">
        <v>897</v>
      </c>
      <c r="I323" s="11" t="s">
        <v>384</v>
      </c>
      <c r="J323" t="str">
        <f>G323</f>
        <v>London</v>
      </c>
      <c r="K323" s="21"/>
    </row>
    <row r="324" spans="1:11" ht="14.4">
      <c r="A324" s="5" t="str">
        <f>F324&amp;(COUNTIFS(F$2:F324,F324,K$2:K324,"Sparse"))</f>
        <v>UA11</v>
      </c>
      <c r="B324" s="5" t="str">
        <f>J324&amp;(COUNTIF(J$2:J324,J324))</f>
        <v>Unitary52</v>
      </c>
      <c r="C324" s="8" t="s">
        <v>295</v>
      </c>
      <c r="D324" s="8" t="s">
        <v>295</v>
      </c>
      <c r="E324" s="9" t="s">
        <v>376</v>
      </c>
      <c r="F324" s="9" t="s">
        <v>387</v>
      </c>
      <c r="G324" s="9" t="s">
        <v>396</v>
      </c>
      <c r="H324" s="10" t="s">
        <v>892</v>
      </c>
      <c r="I324" s="11" t="s">
        <v>384</v>
      </c>
      <c r="J324" s="22" t="s">
        <v>396</v>
      </c>
      <c r="K324" s="21"/>
    </row>
    <row r="325" spans="1:11" ht="14.4">
      <c r="A325" s="5" t="str">
        <f>F325&amp;(COUNTIFS(F$2:F325,F325,K$2:K325,"Sparse"))</f>
        <v>SD75</v>
      </c>
      <c r="B325" s="5" t="str">
        <f>J325&amp;(COUNTIF(J$2:J325,J325))</f>
        <v>Warwickshire5</v>
      </c>
      <c r="C325" s="8" t="s">
        <v>174</v>
      </c>
      <c r="D325" s="8" t="s">
        <v>174</v>
      </c>
      <c r="E325" s="9" t="s">
        <v>368</v>
      </c>
      <c r="F325" s="9" t="s">
        <v>381</v>
      </c>
      <c r="G325" s="9" t="s">
        <v>5</v>
      </c>
      <c r="H325" s="12" t="s">
        <v>892</v>
      </c>
      <c r="I325" s="11" t="s">
        <v>384</v>
      </c>
      <c r="J325" t="s">
        <v>330</v>
      </c>
      <c r="K325" s="21"/>
    </row>
    <row r="326" spans="1:11" ht="14.4">
      <c r="A326" s="5" t="str">
        <f>F326&amp;(COUNTIFS(F$2:F326,F326,K$2:K326,"Sparse"))</f>
        <v>SC15</v>
      </c>
      <c r="B326" s="5" t="str">
        <f>J326&amp;(COUNTIF(J$2:J326,J326))</f>
        <v>Warwickshire6</v>
      </c>
      <c r="C326" s="11" t="s">
        <v>330</v>
      </c>
      <c r="D326" s="11" t="s">
        <v>330</v>
      </c>
      <c r="E326" s="9" t="s">
        <v>368</v>
      </c>
      <c r="F326" s="9" t="s">
        <v>389</v>
      </c>
      <c r="G326" s="9" t="s">
        <v>301</v>
      </c>
      <c r="H326" s="11" t="s">
        <v>371</v>
      </c>
      <c r="I326" s="11" t="s">
        <v>371</v>
      </c>
      <c r="J326" t="str">
        <f>C326</f>
        <v>Warwickshire</v>
      </c>
      <c r="K326" s="21" t="s">
        <v>335</v>
      </c>
    </row>
    <row r="327" spans="1:11" ht="14.4">
      <c r="A327" s="5" t="str">
        <f>F327&amp;(COUNTIFS(F$2:F327,F327,K$2:K327,"Sparse"))</f>
        <v>SD75</v>
      </c>
      <c r="B327" s="5" t="str">
        <f>J327&amp;(COUNTIF(J$2:J327,J327))</f>
        <v>Hertfordshire10</v>
      </c>
      <c r="C327" s="8" t="s">
        <v>175</v>
      </c>
      <c r="D327" s="8" t="s">
        <v>175</v>
      </c>
      <c r="E327" s="9" t="s">
        <v>369</v>
      </c>
      <c r="F327" s="9" t="s">
        <v>381</v>
      </c>
      <c r="G327" s="9" t="s">
        <v>5</v>
      </c>
      <c r="H327" s="10" t="s">
        <v>897</v>
      </c>
      <c r="I327" s="11" t="s">
        <v>384</v>
      </c>
      <c r="J327" t="s">
        <v>314</v>
      </c>
      <c r="K327" s="21"/>
    </row>
    <row r="328" spans="1:11" ht="14.4">
      <c r="A328" s="5" t="str">
        <f>F328&amp;(COUNTIFS(F$2:F328,F328,K$2:K328,"Sparse"))</f>
        <v>SD76</v>
      </c>
      <c r="B328" s="5" t="str">
        <f>J328&amp;(COUNTIF(J$2:J328,J328))</f>
        <v>Suffolk9</v>
      </c>
      <c r="C328" s="8" t="s">
        <v>176</v>
      </c>
      <c r="D328" s="8" t="s">
        <v>176</v>
      </c>
      <c r="E328" s="9" t="s">
        <v>369</v>
      </c>
      <c r="F328" s="9" t="s">
        <v>381</v>
      </c>
      <c r="G328" s="9" t="s">
        <v>5</v>
      </c>
      <c r="H328" s="12" t="s">
        <v>895</v>
      </c>
      <c r="I328" s="11" t="s">
        <v>371</v>
      </c>
      <c r="J328" t="s">
        <v>328</v>
      </c>
      <c r="K328" s="21" t="s">
        <v>335</v>
      </c>
    </row>
    <row r="329" spans="1:11" ht="14.4">
      <c r="A329" s="5" t="str">
        <f>F329&amp;(COUNTIFS(F$2:F329,F329,K$2:K329,"Sparse"))</f>
        <v>SD76</v>
      </c>
      <c r="B329" s="5" t="str">
        <f>J329&amp;(COUNTIF(J$2:J329,J329))</f>
        <v>Surrey11</v>
      </c>
      <c r="C329" s="8" t="s">
        <v>177</v>
      </c>
      <c r="D329" s="8" t="s">
        <v>177</v>
      </c>
      <c r="E329" s="9" t="s">
        <v>0</v>
      </c>
      <c r="F329" s="9" t="s">
        <v>381</v>
      </c>
      <c r="G329" s="9" t="s">
        <v>5</v>
      </c>
      <c r="H329" s="10" t="s">
        <v>896</v>
      </c>
      <c r="I329" s="11" t="s">
        <v>382</v>
      </c>
      <c r="J329" t="s">
        <v>329</v>
      </c>
      <c r="K329" s="21"/>
    </row>
    <row r="330" spans="1:11" ht="14.4">
      <c r="A330" s="5" t="str">
        <f>F330&amp;(COUNTIFS(F$2:F330,F330,K$2:K330,"Sparse"))</f>
        <v>SD77</v>
      </c>
      <c r="B330" s="5" t="str">
        <f>J330&amp;(COUNTIF(J$2:J330,J330))</f>
        <v>East Sussex6</v>
      </c>
      <c r="C330" s="8" t="s">
        <v>178</v>
      </c>
      <c r="D330" s="8" t="s">
        <v>178</v>
      </c>
      <c r="E330" s="9" t="s">
        <v>0</v>
      </c>
      <c r="F330" s="9" t="s">
        <v>381</v>
      </c>
      <c r="G330" s="9" t="s">
        <v>5</v>
      </c>
      <c r="H330" s="10" t="s">
        <v>893</v>
      </c>
      <c r="I330" s="11" t="s">
        <v>382</v>
      </c>
      <c r="J330" t="s">
        <v>310</v>
      </c>
      <c r="K330" s="21" t="s">
        <v>335</v>
      </c>
    </row>
    <row r="331" spans="1:11" ht="14.4">
      <c r="A331" s="5" t="str">
        <f>F331&amp;(COUNTIFS(F$2:F331,F331,K$2:K331,"Sparse"))</f>
        <v>SD77</v>
      </c>
      <c r="B331" s="5" t="str">
        <f>J331&amp;(COUNTIF(J$2:J331,J331))</f>
        <v>Northamptonshire8</v>
      </c>
      <c r="C331" s="8" t="s">
        <v>179</v>
      </c>
      <c r="D331" s="8" t="s">
        <v>179</v>
      </c>
      <c r="E331" s="9" t="s">
        <v>367</v>
      </c>
      <c r="F331" s="9" t="s">
        <v>381</v>
      </c>
      <c r="G331" s="9" t="s">
        <v>5</v>
      </c>
      <c r="H331" s="12" t="s">
        <v>895</v>
      </c>
      <c r="I331" s="11" t="s">
        <v>371</v>
      </c>
      <c r="J331" t="s">
        <v>321</v>
      </c>
      <c r="K331" s="21"/>
    </row>
    <row r="332" spans="1:11" ht="14.4">
      <c r="A332" s="5" t="str">
        <f>F332&amp;(COUNTIFS(F$2:F332,F332,K$2:K332,"Sparse"))</f>
        <v>SD77</v>
      </c>
      <c r="B332" s="5" t="str">
        <f>J332&amp;(COUNTIF(J$2:J332,J332))</f>
        <v>Hertfordshire11</v>
      </c>
      <c r="C332" s="8" t="s">
        <v>180</v>
      </c>
      <c r="D332" s="8" t="s">
        <v>180</v>
      </c>
      <c r="E332" s="9" t="s">
        <v>369</v>
      </c>
      <c r="F332" s="9" t="s">
        <v>381</v>
      </c>
      <c r="G332" s="9" t="s">
        <v>5</v>
      </c>
      <c r="H332" s="10" t="s">
        <v>892</v>
      </c>
      <c r="I332" s="11" t="s">
        <v>384</v>
      </c>
      <c r="J332" t="s">
        <v>314</v>
      </c>
      <c r="K332" s="21"/>
    </row>
    <row r="333" spans="1:11" ht="14.4">
      <c r="A333" s="5" t="str">
        <f>F333&amp;(COUNTIFS(F$2:F333,F333,K$2:K333,"Sparse"))</f>
        <v>UA11</v>
      </c>
      <c r="B333" s="5" t="str">
        <f>J333&amp;(COUNTIF(J$2:J333,J333))</f>
        <v>Unitary53</v>
      </c>
      <c r="C333" s="8" t="s">
        <v>296</v>
      </c>
      <c r="D333" s="8" t="s">
        <v>296</v>
      </c>
      <c r="E333" s="9" t="s">
        <v>0</v>
      </c>
      <c r="F333" s="9" t="s">
        <v>387</v>
      </c>
      <c r="G333" s="9" t="s">
        <v>396</v>
      </c>
      <c r="H333" s="12" t="s">
        <v>895</v>
      </c>
      <c r="I333" s="11" t="s">
        <v>371</v>
      </c>
      <c r="J333" s="22" t="s">
        <v>396</v>
      </c>
      <c r="K333" s="21"/>
    </row>
    <row r="334" spans="1:11" ht="14.4">
      <c r="A334" s="5" t="str">
        <f>F334&amp;(COUNTIFS(F$2:F334,F334,K$2:K334,"Sparse"))</f>
        <v>SD78</v>
      </c>
      <c r="B334" s="5" t="str">
        <f>J334&amp;(COUNTIF(J$2:J334,J334))</f>
        <v>Devon9</v>
      </c>
      <c r="C334" s="8" t="s">
        <v>181</v>
      </c>
      <c r="D334" s="8" t="s">
        <v>181</v>
      </c>
      <c r="E334" s="9" t="s">
        <v>1</v>
      </c>
      <c r="F334" s="9" t="s">
        <v>381</v>
      </c>
      <c r="G334" s="9" t="s">
        <v>5</v>
      </c>
      <c r="H334" s="10" t="s">
        <v>893</v>
      </c>
      <c r="I334" s="11" t="s">
        <v>382</v>
      </c>
      <c r="J334" t="s">
        <v>308</v>
      </c>
      <c r="K334" s="21" t="s">
        <v>335</v>
      </c>
    </row>
    <row r="335" spans="1:11" ht="14.4">
      <c r="A335" s="5" t="str">
        <f>F335&amp;(COUNTIFS(F$2:F335,F335,K$2:K335,"Sparse"))</f>
        <v>SD78</v>
      </c>
      <c r="B335" s="5" t="str">
        <f>J335&amp;(COUNTIF(J$2:J335,J335))</f>
        <v>Dorset6</v>
      </c>
      <c r="C335" s="8" t="s">
        <v>182</v>
      </c>
      <c r="D335" s="8" t="s">
        <v>182</v>
      </c>
      <c r="E335" s="9" t="s">
        <v>1</v>
      </c>
      <c r="F335" s="9" t="s">
        <v>381</v>
      </c>
      <c r="G335" s="9" t="s">
        <v>5</v>
      </c>
      <c r="H335" s="10" t="s">
        <v>893</v>
      </c>
      <c r="I335" s="11" t="s">
        <v>382</v>
      </c>
      <c r="J335" t="s">
        <v>309</v>
      </c>
      <c r="K335" s="21"/>
    </row>
    <row r="336" spans="1:11" ht="14.4">
      <c r="A336" s="5" t="str">
        <f>F336&amp;(COUNTIFS(F$2:F336,F336,K$2:K336,"Sparse"))</f>
        <v>SD78</v>
      </c>
      <c r="B336" s="5" t="str">
        <f>J336&amp;(COUNTIF(J$2:J336,J336))</f>
        <v>Lancashire12</v>
      </c>
      <c r="C336" s="8" t="s">
        <v>183</v>
      </c>
      <c r="D336" s="8" t="s">
        <v>183</v>
      </c>
      <c r="E336" s="9" t="s">
        <v>376</v>
      </c>
      <c r="F336" s="9" t="s">
        <v>381</v>
      </c>
      <c r="G336" s="9" t="s">
        <v>5</v>
      </c>
      <c r="H336" s="10" t="s">
        <v>895</v>
      </c>
      <c r="I336" s="11" t="s">
        <v>371</v>
      </c>
      <c r="J336" t="s">
        <v>316</v>
      </c>
      <c r="K336" s="21"/>
    </row>
    <row r="337" spans="1:11" ht="14.4">
      <c r="A337" s="5" t="str">
        <f>F337&amp;(COUNTIFS(F$2:F337,F337,K$2:K337,"Sparse"))</f>
        <v>SD79</v>
      </c>
      <c r="B337" s="5" t="str">
        <f>J337&amp;(COUNTIF(J$2:J337,J337))</f>
        <v>Lincolnshire8</v>
      </c>
      <c r="C337" s="8" t="s">
        <v>184</v>
      </c>
      <c r="D337" s="8" t="s">
        <v>184</v>
      </c>
      <c r="E337" s="9" t="s">
        <v>367</v>
      </c>
      <c r="F337" s="9" t="s">
        <v>381</v>
      </c>
      <c r="G337" s="9" t="s">
        <v>5</v>
      </c>
      <c r="H337" s="10" t="s">
        <v>893</v>
      </c>
      <c r="I337" s="11" t="s">
        <v>382</v>
      </c>
      <c r="J337" t="s">
        <v>318</v>
      </c>
      <c r="K337" s="21" t="s">
        <v>335</v>
      </c>
    </row>
    <row r="338" spans="1:11" ht="14.4">
      <c r="A338" s="5" t="str">
        <f>F338&amp;(COUNTIFS(F$2:F338,F338,K$2:K338,"Sparse"))</f>
        <v>SD80</v>
      </c>
      <c r="B338" s="5" t="str">
        <f>J338&amp;(COUNTIF(J$2:J338,J338))</f>
        <v>Oxfordshire6</v>
      </c>
      <c r="C338" s="8" t="s">
        <v>185</v>
      </c>
      <c r="D338" s="8" t="s">
        <v>185</v>
      </c>
      <c r="E338" s="9" t="s">
        <v>0</v>
      </c>
      <c r="F338" s="9" t="s">
        <v>381</v>
      </c>
      <c r="G338" s="9" t="s">
        <v>5</v>
      </c>
      <c r="H338" s="10" t="s">
        <v>893</v>
      </c>
      <c r="I338" s="11" t="s">
        <v>382</v>
      </c>
      <c r="J338" t="s">
        <v>324</v>
      </c>
      <c r="K338" s="21" t="s">
        <v>335</v>
      </c>
    </row>
    <row r="339" spans="1:11" ht="14.4">
      <c r="A339" s="5" t="str">
        <f>F339&amp;(COUNTIFS(F$2:F339,F339,K$2:K339,"Sparse"))</f>
        <v>SD81</v>
      </c>
      <c r="B339" s="5" t="str">
        <f>J339&amp;(COUNTIF(J$2:J339,J339))</f>
        <v>Somerset7</v>
      </c>
      <c r="C339" s="8" t="s">
        <v>186</v>
      </c>
      <c r="D339" s="8" t="s">
        <v>186</v>
      </c>
      <c r="E339" s="9" t="s">
        <v>1</v>
      </c>
      <c r="F339" s="9" t="s">
        <v>381</v>
      </c>
      <c r="G339" s="9" t="s">
        <v>5</v>
      </c>
      <c r="H339" s="10" t="s">
        <v>893</v>
      </c>
      <c r="I339" s="11" t="s">
        <v>382</v>
      </c>
      <c r="J339" t="s">
        <v>326</v>
      </c>
      <c r="K339" s="21" t="s">
        <v>335</v>
      </c>
    </row>
    <row r="340" spans="1:11" ht="14.4">
      <c r="A340" s="5" t="str">
        <f>F340&amp;(COUNTIFS(F$2:F340,F340,K$2:K340,"Sparse"))</f>
        <v>SD82</v>
      </c>
      <c r="B340" s="5" t="str">
        <f>J340&amp;(COUNTIF(J$2:J340,J340))</f>
        <v>Suffolk10</v>
      </c>
      <c r="C340" t="s">
        <v>910</v>
      </c>
      <c r="D340" t="s">
        <v>910</v>
      </c>
      <c r="E340" s="282" t="s">
        <v>369</v>
      </c>
      <c r="F340" s="282" t="s">
        <v>381</v>
      </c>
      <c r="G340" s="282" t="s">
        <v>5</v>
      </c>
      <c r="H340" s="283" t="s">
        <v>912</v>
      </c>
      <c r="I340" s="284" t="s">
        <v>382</v>
      </c>
      <c r="J340" t="s">
        <v>328</v>
      </c>
      <c r="K340" t="s">
        <v>335</v>
      </c>
    </row>
    <row r="341" spans="1:11" ht="14.4">
      <c r="A341" s="5" t="str">
        <f>F341&amp;(COUNTIFS(F$2:F341,F341,K$2:K341,"Sparse"))</f>
        <v>SC15</v>
      </c>
      <c r="B341" s="5" t="str">
        <f>J341&amp;(COUNTIF(J$2:J341,J341))</f>
        <v>West Sussex7</v>
      </c>
      <c r="C341" s="11" t="s">
        <v>331</v>
      </c>
      <c r="D341" s="11" t="s">
        <v>331</v>
      </c>
      <c r="E341" s="9" t="s">
        <v>0</v>
      </c>
      <c r="F341" s="9" t="s">
        <v>389</v>
      </c>
      <c r="G341" s="9" t="s">
        <v>301</v>
      </c>
      <c r="H341" s="11" t="s">
        <v>371</v>
      </c>
      <c r="I341" s="11" t="s">
        <v>371</v>
      </c>
      <c r="J341" t="str">
        <f>C341</f>
        <v>West Sussex</v>
      </c>
      <c r="K341" s="21"/>
    </row>
    <row r="342" spans="1:11" ht="14.4">
      <c r="A342" s="5" t="str">
        <f>F342&amp;(COUNTIFS(F$2:F342,F342,K$2:K342,"Sparse"))</f>
        <v>L0</v>
      </c>
      <c r="B342" s="5" t="str">
        <f>J342&amp;(COUNTIF(J$2:J342,J342))</f>
        <v>London33</v>
      </c>
      <c r="C342" s="8" t="s">
        <v>187</v>
      </c>
      <c r="D342" s="8" t="s">
        <v>187</v>
      </c>
      <c r="E342" s="9" t="s">
        <v>383</v>
      </c>
      <c r="F342" s="9" t="s">
        <v>359</v>
      </c>
      <c r="G342" s="9" t="s">
        <v>383</v>
      </c>
      <c r="H342" s="10" t="s">
        <v>897</v>
      </c>
      <c r="I342" s="11" t="s">
        <v>384</v>
      </c>
      <c r="J342" t="str">
        <f>G342</f>
        <v>London</v>
      </c>
      <c r="K342" s="21"/>
    </row>
    <row r="343" spans="1:11" ht="14.4">
      <c r="A343" s="5" t="str">
        <f>F343&amp;(COUNTIFS(F$2:F343,F343,K$2:K343,"Sparse"))</f>
        <v>SD82</v>
      </c>
      <c r="B343" s="5" t="str">
        <f>J343&amp;(COUNTIF(J$2:J343,J343))</f>
        <v>Dorset7</v>
      </c>
      <c r="C343" s="8" t="s">
        <v>351</v>
      </c>
      <c r="D343" s="8" t="s">
        <v>351</v>
      </c>
      <c r="E343" s="9" t="s">
        <v>1</v>
      </c>
      <c r="F343" s="9" t="s">
        <v>381</v>
      </c>
      <c r="G343" s="9" t="s">
        <v>5</v>
      </c>
      <c r="H343" s="10" t="s">
        <v>892</v>
      </c>
      <c r="I343" s="11" t="s">
        <v>384</v>
      </c>
      <c r="J343" t="s">
        <v>309</v>
      </c>
      <c r="K343" s="21"/>
    </row>
    <row r="344" spans="1:11" ht="14.4">
      <c r="A344" s="5" t="str">
        <f>F344&amp;(COUNTIFS(F$2:F344,F344,K$2:K344,"Sparse"))</f>
        <v>MD0</v>
      </c>
      <c r="B344" s="5" t="str">
        <f>J344&amp;(COUNTIF(J$2:J344,J344))</f>
        <v>Wigan1</v>
      </c>
      <c r="C344" s="8" t="s">
        <v>255</v>
      </c>
      <c r="D344" s="8" t="s">
        <v>255</v>
      </c>
      <c r="E344" s="9" t="s">
        <v>376</v>
      </c>
      <c r="F344" s="9" t="s">
        <v>386</v>
      </c>
      <c r="G344" s="9" t="s">
        <v>397</v>
      </c>
      <c r="H344" s="10" t="s">
        <v>897</v>
      </c>
      <c r="I344" s="11" t="s">
        <v>384</v>
      </c>
      <c r="J344" t="str">
        <f>C344</f>
        <v>Wigan</v>
      </c>
      <c r="K344" s="21"/>
    </row>
    <row r="345" spans="1:11" ht="14.4">
      <c r="A345" s="5" t="str">
        <f>F345&amp;(COUNTIFS(F$2:F345,F345,K$2:K345,"Sparse"))</f>
        <v>UA11</v>
      </c>
      <c r="B345" s="5" t="str">
        <f>J345&amp;(COUNTIF(J$2:J345,J345))</f>
        <v>Unitary54</v>
      </c>
      <c r="C345" s="8" t="s">
        <v>297</v>
      </c>
      <c r="D345" s="8" t="s">
        <v>297</v>
      </c>
      <c r="E345" s="9" t="s">
        <v>1</v>
      </c>
      <c r="F345" s="9" t="s">
        <v>387</v>
      </c>
      <c r="G345" s="9" t="s">
        <v>396</v>
      </c>
      <c r="H345" s="12" t="s">
        <v>896</v>
      </c>
      <c r="I345" s="11" t="s">
        <v>382</v>
      </c>
      <c r="J345" s="22" t="s">
        <v>396</v>
      </c>
      <c r="K345" s="21"/>
    </row>
    <row r="346" spans="1:11" ht="14.4">
      <c r="A346" s="5" t="str">
        <f>F346&amp;(COUNTIFS(F$2:F346,F346,K$2:K346,"Sparse"))</f>
        <v>SD82</v>
      </c>
      <c r="B346" s="5" t="str">
        <f>J346&amp;(COUNTIF(J$2:J346,J346))</f>
        <v>Hampshire12</v>
      </c>
      <c r="C346" s="8" t="s">
        <v>188</v>
      </c>
      <c r="D346" s="8" t="s">
        <v>188</v>
      </c>
      <c r="E346" s="9" t="s">
        <v>0</v>
      </c>
      <c r="F346" s="9" t="s">
        <v>381</v>
      </c>
      <c r="G346" s="9" t="s">
        <v>5</v>
      </c>
      <c r="H346" s="10" t="s">
        <v>896</v>
      </c>
      <c r="I346" s="11" t="s">
        <v>382</v>
      </c>
      <c r="J346" t="s">
        <v>313</v>
      </c>
      <c r="K346" s="21"/>
    </row>
    <row r="347" spans="1:11" ht="14.4">
      <c r="A347" s="5" t="str">
        <f>F347&amp;(COUNTIFS(F$2:F347,F347,K$2:K347,"Sparse"))</f>
        <v>UA11</v>
      </c>
      <c r="B347" s="5" t="str">
        <f>J347&amp;(COUNTIF(J$2:J347,J347))</f>
        <v>Unitary55</v>
      </c>
      <c r="C347" s="8" t="s">
        <v>814</v>
      </c>
      <c r="D347" s="8" t="s">
        <v>814</v>
      </c>
      <c r="E347" s="9" t="s">
        <v>0</v>
      </c>
      <c r="F347" s="9" t="s">
        <v>387</v>
      </c>
      <c r="G347" s="9" t="s">
        <v>396</v>
      </c>
      <c r="H347" s="10" t="s">
        <v>892</v>
      </c>
      <c r="I347" s="11" t="s">
        <v>384</v>
      </c>
      <c r="J347" s="22" t="s">
        <v>396</v>
      </c>
      <c r="K347" s="21"/>
    </row>
    <row r="348" spans="1:11" ht="14.4">
      <c r="A348" s="5" t="str">
        <f>F348&amp;(COUNTIFS(F$2:F348,F348,K$2:K348,"Sparse"))</f>
        <v>MD0</v>
      </c>
      <c r="B348" s="5" t="str">
        <f>J348&amp;(COUNTIF(J$2:J348,J348))</f>
        <v>Wirral1</v>
      </c>
      <c r="C348" s="8" t="s">
        <v>256</v>
      </c>
      <c r="D348" s="8" t="s">
        <v>256</v>
      </c>
      <c r="E348" s="9" t="s">
        <v>376</v>
      </c>
      <c r="F348" s="9" t="s">
        <v>386</v>
      </c>
      <c r="G348" s="9" t="s">
        <v>397</v>
      </c>
      <c r="H348" s="10" t="s">
        <v>897</v>
      </c>
      <c r="I348" s="11" t="s">
        <v>384</v>
      </c>
      <c r="J348" t="str">
        <f>C348</f>
        <v>Wirral</v>
      </c>
      <c r="K348" s="21"/>
    </row>
    <row r="349" spans="1:11" ht="14.4">
      <c r="A349" s="5" t="str">
        <f>F349&amp;(COUNTIFS(F$2:F349,F349,K$2:K349,"Sparse"))</f>
        <v>SD82</v>
      </c>
      <c r="B349" s="5" t="str">
        <f>J349&amp;(COUNTIF(J$2:J349,J349))</f>
        <v>Surrey12</v>
      </c>
      <c r="C349" s="8" t="s">
        <v>189</v>
      </c>
      <c r="D349" s="8" t="s">
        <v>189</v>
      </c>
      <c r="E349" s="9" t="s">
        <v>0</v>
      </c>
      <c r="F349" s="9" t="s">
        <v>381</v>
      </c>
      <c r="G349" s="9" t="s">
        <v>5</v>
      </c>
      <c r="H349" s="10" t="s">
        <v>897</v>
      </c>
      <c r="I349" s="11" t="s">
        <v>384</v>
      </c>
      <c r="J349" t="s">
        <v>329</v>
      </c>
      <c r="K349" s="21"/>
    </row>
    <row r="350" spans="1:11" ht="14.4">
      <c r="A350" s="5" t="str">
        <f>F350&amp;(COUNTIFS(F$2:F350,F350,K$2:K350,"Sparse"))</f>
        <v>UA11</v>
      </c>
      <c r="B350" s="5" t="str">
        <f>J350&amp;(COUNTIF(J$2:J350,J350))</f>
        <v>Unitary56</v>
      </c>
      <c r="C350" s="8" t="s">
        <v>298</v>
      </c>
      <c r="D350" s="8" t="s">
        <v>298</v>
      </c>
      <c r="E350" s="9" t="s">
        <v>0</v>
      </c>
      <c r="F350" s="9" t="s">
        <v>387</v>
      </c>
      <c r="G350" s="9" t="s">
        <v>396</v>
      </c>
      <c r="H350" s="10" t="s">
        <v>892</v>
      </c>
      <c r="I350" s="11" t="s">
        <v>384</v>
      </c>
      <c r="J350" s="22" t="s">
        <v>396</v>
      </c>
      <c r="K350" s="21"/>
    </row>
    <row r="351" spans="1:11" ht="14.4">
      <c r="A351" s="5" t="str">
        <f>F351&amp;(COUNTIFS(F$2:F351,F351,K$2:K351,"Sparse"))</f>
        <v>MD0</v>
      </c>
      <c r="B351" s="5" t="str">
        <f>J351&amp;(COUNTIF(J$2:J351,J351))</f>
        <v>Wolverhampton1</v>
      </c>
      <c r="C351" s="8" t="s">
        <v>257</v>
      </c>
      <c r="D351" s="8" t="s">
        <v>257</v>
      </c>
      <c r="E351" s="9" t="s">
        <v>368</v>
      </c>
      <c r="F351" s="9" t="s">
        <v>386</v>
      </c>
      <c r="G351" s="9" t="s">
        <v>397</v>
      </c>
      <c r="H351" s="10" t="s">
        <v>897</v>
      </c>
      <c r="I351" s="11" t="s">
        <v>384</v>
      </c>
      <c r="J351" t="str">
        <f>C351</f>
        <v>Wolverhampton</v>
      </c>
      <c r="K351" s="21"/>
    </row>
    <row r="352" spans="1:11" ht="14.4">
      <c r="A352" s="5" t="str">
        <f>F352&amp;(COUNTIFS(F$2:F352,F352,K$2:K352,"Sparse"))</f>
        <v>SD82</v>
      </c>
      <c r="B352" s="5" t="str">
        <f>J352&amp;(COUNTIF(J$2:J352,J352))</f>
        <v>Worcestershire4</v>
      </c>
      <c r="C352" s="8" t="s">
        <v>190</v>
      </c>
      <c r="D352" s="8" t="s">
        <v>190</v>
      </c>
      <c r="E352" s="9" t="s">
        <v>368</v>
      </c>
      <c r="F352" s="9" t="s">
        <v>381</v>
      </c>
      <c r="G352" s="9" t="s">
        <v>5</v>
      </c>
      <c r="H352" s="10" t="s">
        <v>892</v>
      </c>
      <c r="I352" s="11" t="s">
        <v>384</v>
      </c>
      <c r="J352" t="s">
        <v>332</v>
      </c>
      <c r="K352" s="21"/>
    </row>
    <row r="353" spans="1:12" ht="14.4">
      <c r="A353" s="5" t="str">
        <f>F353&amp;(COUNTIFS(F$2:F353,F353,K$2:K353,"Sparse"))</f>
        <v>SC16</v>
      </c>
      <c r="B353" s="5" t="str">
        <f>J353&amp;(COUNTIF(J$2:J353,J353))</f>
        <v>Worcestershire5</v>
      </c>
      <c r="C353" s="11" t="s">
        <v>332</v>
      </c>
      <c r="D353" s="11" t="s">
        <v>332</v>
      </c>
      <c r="E353" s="9" t="s">
        <v>368</v>
      </c>
      <c r="F353" s="9" t="s">
        <v>389</v>
      </c>
      <c r="G353" s="9" t="s">
        <v>301</v>
      </c>
      <c r="H353" s="11" t="s">
        <v>371</v>
      </c>
      <c r="I353" s="11" t="s">
        <v>371</v>
      </c>
      <c r="J353" t="str">
        <f>C353</f>
        <v>Worcestershire</v>
      </c>
      <c r="K353" s="21" t="s">
        <v>335</v>
      </c>
    </row>
    <row r="354" spans="1:12" ht="14.4">
      <c r="A354" s="5" t="str">
        <f>F354&amp;(COUNTIFS(F$2:F354,F354,K$2:K354,"Sparse"))</f>
        <v>SD82</v>
      </c>
      <c r="B354" s="5" t="str">
        <f>J354&amp;(COUNTIF(J$2:J354,J354))</f>
        <v>West Sussex8</v>
      </c>
      <c r="C354" s="8" t="s">
        <v>191</v>
      </c>
      <c r="D354" s="8" t="s">
        <v>191</v>
      </c>
      <c r="E354" s="9" t="s">
        <v>0</v>
      </c>
      <c r="F354" s="9" t="s">
        <v>381</v>
      </c>
      <c r="G354" s="9" t="s">
        <v>5</v>
      </c>
      <c r="H354" s="10" t="s">
        <v>892</v>
      </c>
      <c r="I354" s="11" t="s">
        <v>384</v>
      </c>
      <c r="J354" t="s">
        <v>331</v>
      </c>
      <c r="K354" s="21"/>
    </row>
    <row r="355" spans="1:12" ht="14.4">
      <c r="A355" s="5" t="str">
        <f>F355&amp;(COUNTIFS(F$2:F355,F355,K$2:K355,"Sparse"))</f>
        <v>SD83</v>
      </c>
      <c r="B355" s="5" t="str">
        <f>J355&amp;(COUNTIF(J$2:J355,J355))</f>
        <v>Worcestershire6</v>
      </c>
      <c r="C355" s="8" t="s">
        <v>192</v>
      </c>
      <c r="D355" s="8" t="s">
        <v>192</v>
      </c>
      <c r="E355" s="9" t="s">
        <v>368</v>
      </c>
      <c r="F355" s="9" t="s">
        <v>381</v>
      </c>
      <c r="G355" s="9" t="s">
        <v>5</v>
      </c>
      <c r="H355" s="10" t="s">
        <v>893</v>
      </c>
      <c r="I355" s="11" t="s">
        <v>382</v>
      </c>
      <c r="J355" t="s">
        <v>332</v>
      </c>
      <c r="K355" s="21" t="s">
        <v>335</v>
      </c>
    </row>
    <row r="356" spans="1:12" ht="14.4">
      <c r="A356" s="5" t="str">
        <f>F356&amp;(COUNTIFS(F$2:F356,F356,K$2:K356,"Sparse"))</f>
        <v>SD83</v>
      </c>
      <c r="B356" s="5" t="str">
        <f>J356&amp;(COUNTIF(J$2:J356,J356))</f>
        <v>Buckinghamshire5</v>
      </c>
      <c r="C356" s="8" t="s">
        <v>193</v>
      </c>
      <c r="D356" s="8" t="s">
        <v>193</v>
      </c>
      <c r="E356" s="9" t="s">
        <v>0</v>
      </c>
      <c r="F356" s="9" t="s">
        <v>381</v>
      </c>
      <c r="G356" s="9" t="s">
        <v>5</v>
      </c>
      <c r="H356" s="12" t="s">
        <v>895</v>
      </c>
      <c r="I356" s="11" t="s">
        <v>371</v>
      </c>
      <c r="J356" t="s">
        <v>300</v>
      </c>
      <c r="K356" s="21"/>
    </row>
    <row r="357" spans="1:12" ht="14.4">
      <c r="A357" s="5" t="str">
        <f>F357&amp;(COUNTIFS(F$2:F357,F357,K$2:K357,"Sparse"))</f>
        <v>SD83</v>
      </c>
      <c r="B357" s="5" t="str">
        <f>J357&amp;(COUNTIF(J$2:J357,J357))</f>
        <v>Lancashire13</v>
      </c>
      <c r="C357" s="8" t="s">
        <v>194</v>
      </c>
      <c r="D357" s="8" t="s">
        <v>194</v>
      </c>
      <c r="E357" s="9" t="s">
        <v>376</v>
      </c>
      <c r="F357" s="9" t="s">
        <v>381</v>
      </c>
      <c r="G357" s="9" t="s">
        <v>5</v>
      </c>
      <c r="H357" s="12" t="s">
        <v>896</v>
      </c>
      <c r="I357" s="11" t="s">
        <v>382</v>
      </c>
      <c r="J357" t="s">
        <v>316</v>
      </c>
      <c r="K357" s="21"/>
    </row>
    <row r="358" spans="1:12" ht="14.4">
      <c r="A358" s="5" t="str">
        <f>F358&amp;(COUNTIFS(F$2:F358,F358,K$2:K358,"Sparse"))</f>
        <v>SD83</v>
      </c>
      <c r="B358" s="5" t="str">
        <f>J358&amp;(COUNTIF(J$2:J358,J358))</f>
        <v>Worcestershire7</v>
      </c>
      <c r="C358" s="8" t="s">
        <v>195</v>
      </c>
      <c r="D358" s="8" t="s">
        <v>195</v>
      </c>
      <c r="E358" s="9" t="s">
        <v>368</v>
      </c>
      <c r="F358" s="9" t="s">
        <v>381</v>
      </c>
      <c r="G358" s="9" t="s">
        <v>5</v>
      </c>
      <c r="H358" s="12" t="s">
        <v>895</v>
      </c>
      <c r="I358" s="11" t="s">
        <v>371</v>
      </c>
      <c r="J358" t="s">
        <v>332</v>
      </c>
      <c r="K358" s="21"/>
    </row>
    <row r="359" spans="1:12" ht="14.4">
      <c r="A359" s="5" t="str">
        <f>F359&amp;(COUNTIFS(F$2:F359,F359,K$2:K359,"Sparse"))</f>
        <v>UA11</v>
      </c>
      <c r="B359" s="5" t="str">
        <f>J359&amp;(COUNTIF(J$2:J359,J359))</f>
        <v>Unitary57</v>
      </c>
      <c r="C359" s="8" t="s">
        <v>299</v>
      </c>
      <c r="D359" s="8" t="s">
        <v>299</v>
      </c>
      <c r="E359" s="9" t="s">
        <v>385</v>
      </c>
      <c r="F359" s="9" t="s">
        <v>387</v>
      </c>
      <c r="G359" s="9" t="s">
        <v>396</v>
      </c>
      <c r="H359" s="10" t="s">
        <v>892</v>
      </c>
      <c r="I359" s="11" t="s">
        <v>384</v>
      </c>
      <c r="J359" s="22" t="s">
        <v>396</v>
      </c>
      <c r="K359" s="21"/>
    </row>
    <row r="360" spans="1:12" ht="14.4">
      <c r="E360" s="14"/>
      <c r="F360" s="14"/>
      <c r="G360" s="14"/>
      <c r="H360" s="16"/>
      <c r="I360" s="17"/>
      <c r="J360" s="17"/>
      <c r="K360" s="17"/>
      <c r="L360" s="17"/>
    </row>
    <row r="361" spans="1:12" ht="14.4">
      <c r="E361" s="14"/>
      <c r="F361" s="14"/>
      <c r="G361" s="14"/>
      <c r="H361" s="16"/>
      <c r="I361" s="17"/>
      <c r="J361" s="17"/>
      <c r="K361" s="17"/>
      <c r="L361" s="17"/>
    </row>
    <row r="362" spans="1:12" ht="14.4">
      <c r="E362" s="14"/>
      <c r="F362" s="14"/>
      <c r="G362" s="14"/>
      <c r="H362" s="16"/>
      <c r="I362" s="17"/>
      <c r="J362" s="17"/>
      <c r="K362" s="17"/>
      <c r="L362" s="17"/>
    </row>
    <row r="363" spans="1:12" ht="14.4">
      <c r="E363" s="14"/>
      <c r="F363" s="14"/>
      <c r="G363" s="14"/>
      <c r="H363" s="16"/>
      <c r="I363" s="17"/>
      <c r="J363" s="17"/>
      <c r="K363" s="17"/>
      <c r="L363" s="17"/>
    </row>
    <row r="364" spans="1:12" ht="14.4">
      <c r="E364" s="14"/>
      <c r="F364" s="14"/>
      <c r="G364" s="14"/>
      <c r="H364" s="16"/>
      <c r="I364" s="17"/>
      <c r="J364" s="17"/>
      <c r="K364" s="17"/>
      <c r="L364" s="17"/>
    </row>
    <row r="365" spans="1:12" ht="14.4">
      <c r="E365" s="14"/>
      <c r="F365" s="14"/>
      <c r="G365" s="14"/>
      <c r="H365" s="16"/>
      <c r="I365" s="17"/>
      <c r="J365" s="17"/>
      <c r="K365" s="17"/>
      <c r="L365" s="17"/>
    </row>
    <row r="366" spans="1:12" ht="14.4">
      <c r="E366" s="14"/>
      <c r="F366" s="14"/>
      <c r="G366" s="14"/>
      <c r="H366" s="16"/>
      <c r="I366" s="17"/>
      <c r="J366" s="17"/>
      <c r="K366" s="17"/>
      <c r="L366" s="17"/>
    </row>
    <row r="367" spans="1:12" ht="14.4">
      <c r="E367" s="14"/>
      <c r="F367" s="14"/>
      <c r="G367" s="14"/>
      <c r="H367" s="16"/>
      <c r="I367" s="17"/>
      <c r="J367" s="17"/>
      <c r="K367" s="17"/>
      <c r="L367" s="17"/>
    </row>
    <row r="368" spans="1:12">
      <c r="F368" s="14"/>
      <c r="G368" s="14"/>
    </row>
  </sheetData>
  <autoFilter ref="A1:L359" xr:uid="{00000000-0009-0000-0000-000004000000}"/>
  <sortState xmlns:xlrd2="http://schemas.microsoft.com/office/spreadsheetml/2017/richdata2" ref="L331:L684">
    <sortCondition ref="L331"/>
  </sortState>
  <pageMargins left="0.75" right="0.75" top="1" bottom="1" header="0.5" footer="0.5"/>
  <pageSetup paperSize="9"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3" tint="0.59999389629810485"/>
  </sheetPr>
  <dimension ref="A1:R365"/>
  <sheetViews>
    <sheetView workbookViewId="0">
      <pane xSplit="3" ySplit="3" topLeftCell="D4" activePane="bottomRight" state="frozen"/>
      <selection activeCell="N70" sqref="N70"/>
      <selection pane="topRight" activeCell="N70" sqref="N70"/>
      <selection pane="bottomLeft" activeCell="N70" sqref="N70"/>
      <selection pane="bottomRight" sqref="A1:XFD1048576"/>
    </sheetView>
  </sheetViews>
  <sheetFormatPr defaultColWidth="8.88671875" defaultRowHeight="13.2"/>
  <cols>
    <col min="1" max="1" width="2.6640625" style="66" customWidth="1"/>
    <col min="2" max="2" width="8.88671875" style="66"/>
    <col min="3" max="3" width="25.109375" style="66" bestFit="1" customWidth="1"/>
    <col min="4" max="18" width="25.109375" style="66" customWidth="1"/>
    <col min="19" max="237" width="8.88671875" style="66"/>
    <col min="238" max="238" width="25.109375" style="66" bestFit="1" customWidth="1"/>
    <col min="239" max="253" width="25.109375" style="66" customWidth="1"/>
    <col min="254" max="271" width="9.109375" style="66" customWidth="1"/>
    <col min="272" max="493" width="8.88671875" style="66"/>
    <col min="494" max="494" width="25.109375" style="66" bestFit="1" customWidth="1"/>
    <col min="495" max="509" width="25.109375" style="66" customWidth="1"/>
    <col min="510" max="527" width="9.109375" style="66" customWidth="1"/>
    <col min="528" max="749" width="8.88671875" style="66"/>
    <col min="750" max="750" width="25.109375" style="66" bestFit="1" customWidth="1"/>
    <col min="751" max="765" width="25.109375" style="66" customWidth="1"/>
    <col min="766" max="783" width="9.109375" style="66" customWidth="1"/>
    <col min="784" max="1005" width="8.88671875" style="66"/>
    <col min="1006" max="1006" width="25.109375" style="66" bestFit="1" customWidth="1"/>
    <col min="1007" max="1021" width="25.109375" style="66" customWidth="1"/>
    <col min="1022" max="1039" width="9.109375" style="66" customWidth="1"/>
    <col min="1040" max="1261" width="8.88671875" style="66"/>
    <col min="1262" max="1262" width="25.109375" style="66" bestFit="1" customWidth="1"/>
    <col min="1263" max="1277" width="25.109375" style="66" customWidth="1"/>
    <col min="1278" max="1295" width="9.109375" style="66" customWidth="1"/>
    <col min="1296" max="1517" width="8.88671875" style="66"/>
    <col min="1518" max="1518" width="25.109375" style="66" bestFit="1" customWidth="1"/>
    <col min="1519" max="1533" width="25.109375" style="66" customWidth="1"/>
    <col min="1534" max="1551" width="9.109375" style="66" customWidth="1"/>
    <col min="1552" max="1773" width="8.88671875" style="66"/>
    <col min="1774" max="1774" width="25.109375" style="66" bestFit="1" customWidth="1"/>
    <col min="1775" max="1789" width="25.109375" style="66" customWidth="1"/>
    <col min="1790" max="1807" width="9.109375" style="66" customWidth="1"/>
    <col min="1808" max="2029" width="8.88671875" style="66"/>
    <col min="2030" max="2030" width="25.109375" style="66" bestFit="1" customWidth="1"/>
    <col min="2031" max="2045" width="25.109375" style="66" customWidth="1"/>
    <col min="2046" max="2063" width="9.109375" style="66" customWidth="1"/>
    <col min="2064" max="2285" width="8.88671875" style="66"/>
    <col min="2286" max="2286" width="25.109375" style="66" bestFit="1" customWidth="1"/>
    <col min="2287" max="2301" width="25.109375" style="66" customWidth="1"/>
    <col min="2302" max="2319" width="9.109375" style="66" customWidth="1"/>
    <col min="2320" max="2541" width="8.88671875" style="66"/>
    <col min="2542" max="2542" width="25.109375" style="66" bestFit="1" customWidth="1"/>
    <col min="2543" max="2557" width="25.109375" style="66" customWidth="1"/>
    <col min="2558" max="2575" width="9.109375" style="66" customWidth="1"/>
    <col min="2576" max="2797" width="8.88671875" style="66"/>
    <col min="2798" max="2798" width="25.109375" style="66" bestFit="1" customWidth="1"/>
    <col min="2799" max="2813" width="25.109375" style="66" customWidth="1"/>
    <col min="2814" max="2831" width="9.109375" style="66" customWidth="1"/>
    <col min="2832" max="3053" width="8.88671875" style="66"/>
    <col min="3054" max="3054" width="25.109375" style="66" bestFit="1" customWidth="1"/>
    <col min="3055" max="3069" width="25.109375" style="66" customWidth="1"/>
    <col min="3070" max="3087" width="9.109375" style="66" customWidth="1"/>
    <col min="3088" max="3309" width="8.88671875" style="66"/>
    <col min="3310" max="3310" width="25.109375" style="66" bestFit="1" customWidth="1"/>
    <col min="3311" max="3325" width="25.109375" style="66" customWidth="1"/>
    <col min="3326" max="3343" width="9.109375" style="66" customWidth="1"/>
    <col min="3344" max="3565" width="8.88671875" style="66"/>
    <col min="3566" max="3566" width="25.109375" style="66" bestFit="1" customWidth="1"/>
    <col min="3567" max="3581" width="25.109375" style="66" customWidth="1"/>
    <col min="3582" max="3599" width="9.109375" style="66" customWidth="1"/>
    <col min="3600" max="3821" width="8.88671875" style="66"/>
    <col min="3822" max="3822" width="25.109375" style="66" bestFit="1" customWidth="1"/>
    <col min="3823" max="3837" width="25.109375" style="66" customWidth="1"/>
    <col min="3838" max="3855" width="9.109375" style="66" customWidth="1"/>
    <col min="3856" max="4077" width="8.88671875" style="66"/>
    <col min="4078" max="4078" width="25.109375" style="66" bestFit="1" customWidth="1"/>
    <col min="4079" max="4093" width="25.109375" style="66" customWidth="1"/>
    <col min="4094" max="4111" width="9.109375" style="66" customWidth="1"/>
    <col min="4112" max="4333" width="8.88671875" style="66"/>
    <col min="4334" max="4334" width="25.109375" style="66" bestFit="1" customWidth="1"/>
    <col min="4335" max="4349" width="25.109375" style="66" customWidth="1"/>
    <col min="4350" max="4367" width="9.109375" style="66" customWidth="1"/>
    <col min="4368" max="4589" width="8.88671875" style="66"/>
    <col min="4590" max="4590" width="25.109375" style="66" bestFit="1" customWidth="1"/>
    <col min="4591" max="4605" width="25.109375" style="66" customWidth="1"/>
    <col min="4606" max="4623" width="9.109375" style="66" customWidth="1"/>
    <col min="4624" max="4845" width="8.88671875" style="66"/>
    <col min="4846" max="4846" width="25.109375" style="66" bestFit="1" customWidth="1"/>
    <col min="4847" max="4861" width="25.109375" style="66" customWidth="1"/>
    <col min="4862" max="4879" width="9.109375" style="66" customWidth="1"/>
    <col min="4880" max="5101" width="8.88671875" style="66"/>
    <col min="5102" max="5102" width="25.109375" style="66" bestFit="1" customWidth="1"/>
    <col min="5103" max="5117" width="25.109375" style="66" customWidth="1"/>
    <col min="5118" max="5135" width="9.109375" style="66" customWidth="1"/>
    <col min="5136" max="5357" width="8.88671875" style="66"/>
    <col min="5358" max="5358" width="25.109375" style="66" bestFit="1" customWidth="1"/>
    <col min="5359" max="5373" width="25.109375" style="66" customWidth="1"/>
    <col min="5374" max="5391" width="9.109375" style="66" customWidth="1"/>
    <col min="5392" max="5613" width="8.88671875" style="66"/>
    <col min="5614" max="5614" width="25.109375" style="66" bestFit="1" customWidth="1"/>
    <col min="5615" max="5629" width="25.109375" style="66" customWidth="1"/>
    <col min="5630" max="5647" width="9.109375" style="66" customWidth="1"/>
    <col min="5648" max="5869" width="8.88671875" style="66"/>
    <col min="5870" max="5870" width="25.109375" style="66" bestFit="1" customWidth="1"/>
    <col min="5871" max="5885" width="25.109375" style="66" customWidth="1"/>
    <col min="5886" max="5903" width="9.109375" style="66" customWidth="1"/>
    <col min="5904" max="6125" width="8.88671875" style="66"/>
    <col min="6126" max="6126" width="25.109375" style="66" bestFit="1" customWidth="1"/>
    <col min="6127" max="6141" width="25.109375" style="66" customWidth="1"/>
    <col min="6142" max="6159" width="9.109375" style="66" customWidth="1"/>
    <col min="6160" max="6381" width="8.88671875" style="66"/>
    <col min="6382" max="6382" width="25.109375" style="66" bestFit="1" customWidth="1"/>
    <col min="6383" max="6397" width="25.109375" style="66" customWidth="1"/>
    <col min="6398" max="6415" width="9.109375" style="66" customWidth="1"/>
    <col min="6416" max="6637" width="8.88671875" style="66"/>
    <col min="6638" max="6638" width="25.109375" style="66" bestFit="1" customWidth="1"/>
    <col min="6639" max="6653" width="25.109375" style="66" customWidth="1"/>
    <col min="6654" max="6671" width="9.109375" style="66" customWidth="1"/>
    <col min="6672" max="6893" width="8.88671875" style="66"/>
    <col min="6894" max="6894" width="25.109375" style="66" bestFit="1" customWidth="1"/>
    <col min="6895" max="6909" width="25.109375" style="66" customWidth="1"/>
    <col min="6910" max="6927" width="9.109375" style="66" customWidth="1"/>
    <col min="6928" max="7149" width="8.88671875" style="66"/>
    <col min="7150" max="7150" width="25.109375" style="66" bestFit="1" customWidth="1"/>
    <col min="7151" max="7165" width="25.109375" style="66" customWidth="1"/>
    <col min="7166" max="7183" width="9.109375" style="66" customWidth="1"/>
    <col min="7184" max="7405" width="8.88671875" style="66"/>
    <col min="7406" max="7406" width="25.109375" style="66" bestFit="1" customWidth="1"/>
    <col min="7407" max="7421" width="25.109375" style="66" customWidth="1"/>
    <col min="7422" max="7439" width="9.109375" style="66" customWidth="1"/>
    <col min="7440" max="7661" width="8.88671875" style="66"/>
    <col min="7662" max="7662" width="25.109375" style="66" bestFit="1" customWidth="1"/>
    <col min="7663" max="7677" width="25.109375" style="66" customWidth="1"/>
    <col min="7678" max="7695" width="9.109375" style="66" customWidth="1"/>
    <col min="7696" max="7917" width="8.88671875" style="66"/>
    <col min="7918" max="7918" width="25.109375" style="66" bestFit="1" customWidth="1"/>
    <col min="7919" max="7933" width="25.109375" style="66" customWidth="1"/>
    <col min="7934" max="7951" width="9.109375" style="66" customWidth="1"/>
    <col min="7952" max="8173" width="8.88671875" style="66"/>
    <col min="8174" max="8174" width="25.109375" style="66" bestFit="1" customWidth="1"/>
    <col min="8175" max="8189" width="25.109375" style="66" customWidth="1"/>
    <col min="8190" max="8207" width="9.109375" style="66" customWidth="1"/>
    <col min="8208" max="8429" width="8.88671875" style="66"/>
    <col min="8430" max="8430" width="25.109375" style="66" bestFit="1" customWidth="1"/>
    <col min="8431" max="8445" width="25.109375" style="66" customWidth="1"/>
    <col min="8446" max="8463" width="9.109375" style="66" customWidth="1"/>
    <col min="8464" max="8685" width="8.88671875" style="66"/>
    <col min="8686" max="8686" width="25.109375" style="66" bestFit="1" customWidth="1"/>
    <col min="8687" max="8701" width="25.109375" style="66" customWidth="1"/>
    <col min="8702" max="8719" width="9.109375" style="66" customWidth="1"/>
    <col min="8720" max="8941" width="8.88671875" style="66"/>
    <col min="8942" max="8942" width="25.109375" style="66" bestFit="1" customWidth="1"/>
    <col min="8943" max="8957" width="25.109375" style="66" customWidth="1"/>
    <col min="8958" max="8975" width="9.109375" style="66" customWidth="1"/>
    <col min="8976" max="9197" width="8.88671875" style="66"/>
    <col min="9198" max="9198" width="25.109375" style="66" bestFit="1" customWidth="1"/>
    <col min="9199" max="9213" width="25.109375" style="66" customWidth="1"/>
    <col min="9214" max="9231" width="9.109375" style="66" customWidth="1"/>
    <col min="9232" max="9453" width="8.88671875" style="66"/>
    <col min="9454" max="9454" width="25.109375" style="66" bestFit="1" customWidth="1"/>
    <col min="9455" max="9469" width="25.109375" style="66" customWidth="1"/>
    <col min="9470" max="9487" width="9.109375" style="66" customWidth="1"/>
    <col min="9488" max="9709" width="8.88671875" style="66"/>
    <col min="9710" max="9710" width="25.109375" style="66" bestFit="1" customWidth="1"/>
    <col min="9711" max="9725" width="25.109375" style="66" customWidth="1"/>
    <col min="9726" max="9743" width="9.109375" style="66" customWidth="1"/>
    <col min="9744" max="9965" width="8.88671875" style="66"/>
    <col min="9966" max="9966" width="25.109375" style="66" bestFit="1" customWidth="1"/>
    <col min="9967" max="9981" width="25.109375" style="66" customWidth="1"/>
    <col min="9982" max="9999" width="9.109375" style="66" customWidth="1"/>
    <col min="10000" max="10221" width="8.88671875" style="66"/>
    <col min="10222" max="10222" width="25.109375" style="66" bestFit="1" customWidth="1"/>
    <col min="10223" max="10237" width="25.109375" style="66" customWidth="1"/>
    <col min="10238" max="10255" width="9.109375" style="66" customWidth="1"/>
    <col min="10256" max="10477" width="8.88671875" style="66"/>
    <col min="10478" max="10478" width="25.109375" style="66" bestFit="1" customWidth="1"/>
    <col min="10479" max="10493" width="25.109375" style="66" customWidth="1"/>
    <col min="10494" max="10511" width="9.109375" style="66" customWidth="1"/>
    <col min="10512" max="10733" width="8.88671875" style="66"/>
    <col min="10734" max="10734" width="25.109375" style="66" bestFit="1" customWidth="1"/>
    <col min="10735" max="10749" width="25.109375" style="66" customWidth="1"/>
    <col min="10750" max="10767" width="9.109375" style="66" customWidth="1"/>
    <col min="10768" max="10989" width="8.88671875" style="66"/>
    <col min="10990" max="10990" width="25.109375" style="66" bestFit="1" customWidth="1"/>
    <col min="10991" max="11005" width="25.109375" style="66" customWidth="1"/>
    <col min="11006" max="11023" width="9.109375" style="66" customWidth="1"/>
    <col min="11024" max="11245" width="8.88671875" style="66"/>
    <col min="11246" max="11246" width="25.109375" style="66" bestFit="1" customWidth="1"/>
    <col min="11247" max="11261" width="25.109375" style="66" customWidth="1"/>
    <col min="11262" max="11279" width="9.109375" style="66" customWidth="1"/>
    <col min="11280" max="11501" width="8.88671875" style="66"/>
    <col min="11502" max="11502" width="25.109375" style="66" bestFit="1" customWidth="1"/>
    <col min="11503" max="11517" width="25.109375" style="66" customWidth="1"/>
    <col min="11518" max="11535" width="9.109375" style="66" customWidth="1"/>
    <col min="11536" max="11757" width="8.88671875" style="66"/>
    <col min="11758" max="11758" width="25.109375" style="66" bestFit="1" customWidth="1"/>
    <col min="11759" max="11773" width="25.109375" style="66" customWidth="1"/>
    <col min="11774" max="11791" width="9.109375" style="66" customWidth="1"/>
    <col min="11792" max="12013" width="8.88671875" style="66"/>
    <col min="12014" max="12014" width="25.109375" style="66" bestFit="1" customWidth="1"/>
    <col min="12015" max="12029" width="25.109375" style="66" customWidth="1"/>
    <col min="12030" max="12047" width="9.109375" style="66" customWidth="1"/>
    <col min="12048" max="12269" width="8.88671875" style="66"/>
    <col min="12270" max="12270" width="25.109375" style="66" bestFit="1" customWidth="1"/>
    <col min="12271" max="12285" width="25.109375" style="66" customWidth="1"/>
    <col min="12286" max="12303" width="9.109375" style="66" customWidth="1"/>
    <col min="12304" max="12525" width="8.88671875" style="66"/>
    <col min="12526" max="12526" width="25.109375" style="66" bestFit="1" customWidth="1"/>
    <col min="12527" max="12541" width="25.109375" style="66" customWidth="1"/>
    <col min="12542" max="12559" width="9.109375" style="66" customWidth="1"/>
    <col min="12560" max="12781" width="8.88671875" style="66"/>
    <col min="12782" max="12782" width="25.109375" style="66" bestFit="1" customWidth="1"/>
    <col min="12783" max="12797" width="25.109375" style="66" customWidth="1"/>
    <col min="12798" max="12815" width="9.109375" style="66" customWidth="1"/>
    <col min="12816" max="13037" width="8.88671875" style="66"/>
    <col min="13038" max="13038" width="25.109375" style="66" bestFit="1" customWidth="1"/>
    <col min="13039" max="13053" width="25.109375" style="66" customWidth="1"/>
    <col min="13054" max="13071" width="9.109375" style="66" customWidth="1"/>
    <col min="13072" max="13293" width="8.88671875" style="66"/>
    <col min="13294" max="13294" width="25.109375" style="66" bestFit="1" customWidth="1"/>
    <col min="13295" max="13309" width="25.109375" style="66" customWidth="1"/>
    <col min="13310" max="13327" width="9.109375" style="66" customWidth="1"/>
    <col min="13328" max="13549" width="8.88671875" style="66"/>
    <col min="13550" max="13550" width="25.109375" style="66" bestFit="1" customWidth="1"/>
    <col min="13551" max="13565" width="25.109375" style="66" customWidth="1"/>
    <col min="13566" max="13583" width="9.109375" style="66" customWidth="1"/>
    <col min="13584" max="13805" width="8.88671875" style="66"/>
    <col min="13806" max="13806" width="25.109375" style="66" bestFit="1" customWidth="1"/>
    <col min="13807" max="13821" width="25.109375" style="66" customWidth="1"/>
    <col min="13822" max="13839" width="9.109375" style="66" customWidth="1"/>
    <col min="13840" max="14061" width="8.88671875" style="66"/>
    <col min="14062" max="14062" width="25.109375" style="66" bestFit="1" customWidth="1"/>
    <col min="14063" max="14077" width="25.109375" style="66" customWidth="1"/>
    <col min="14078" max="14095" width="9.109375" style="66" customWidth="1"/>
    <col min="14096" max="14317" width="8.88671875" style="66"/>
    <col min="14318" max="14318" width="25.109375" style="66" bestFit="1" customWidth="1"/>
    <col min="14319" max="14333" width="25.109375" style="66" customWidth="1"/>
    <col min="14334" max="14351" width="9.109375" style="66" customWidth="1"/>
    <col min="14352" max="14573" width="8.88671875" style="66"/>
    <col min="14574" max="14574" width="25.109375" style="66" bestFit="1" customWidth="1"/>
    <col min="14575" max="14589" width="25.109375" style="66" customWidth="1"/>
    <col min="14590" max="14607" width="9.109375" style="66" customWidth="1"/>
    <col min="14608" max="14829" width="8.88671875" style="66"/>
    <col min="14830" max="14830" width="25.109375" style="66" bestFit="1" customWidth="1"/>
    <col min="14831" max="14845" width="25.109375" style="66" customWidth="1"/>
    <col min="14846" max="14863" width="9.109375" style="66" customWidth="1"/>
    <col min="14864" max="15085" width="8.88671875" style="66"/>
    <col min="15086" max="15086" width="25.109375" style="66" bestFit="1" customWidth="1"/>
    <col min="15087" max="15101" width="25.109375" style="66" customWidth="1"/>
    <col min="15102" max="15119" width="9.109375" style="66" customWidth="1"/>
    <col min="15120" max="15341" width="8.88671875" style="66"/>
    <col min="15342" max="15342" width="25.109375" style="66" bestFit="1" customWidth="1"/>
    <col min="15343" max="15357" width="25.109375" style="66" customWidth="1"/>
    <col min="15358" max="15375" width="9.109375" style="66" customWidth="1"/>
    <col min="15376" max="15597" width="8.88671875" style="66"/>
    <col min="15598" max="15598" width="25.109375" style="66" bestFit="1" customWidth="1"/>
    <col min="15599" max="15613" width="25.109375" style="66" customWidth="1"/>
    <col min="15614" max="15631" width="9.109375" style="66" customWidth="1"/>
    <col min="15632" max="15853" width="8.88671875" style="66"/>
    <col min="15854" max="15854" width="25.109375" style="66" bestFit="1" customWidth="1"/>
    <col min="15855" max="15869" width="25.109375" style="66" customWidth="1"/>
    <col min="15870" max="15887" width="9.109375" style="66" customWidth="1"/>
    <col min="15888" max="16109" width="8.88671875" style="66"/>
    <col min="16110" max="16110" width="25.109375" style="66" bestFit="1" customWidth="1"/>
    <col min="16111" max="16125" width="25.109375" style="66" customWidth="1"/>
    <col min="16126" max="16143" width="9.109375" style="66" customWidth="1"/>
    <col min="16144" max="16384" width="8.88671875" style="66"/>
  </cols>
  <sheetData>
    <row r="1" spans="1:18">
      <c r="A1" s="65"/>
      <c r="B1" s="65" t="s">
        <v>422</v>
      </c>
      <c r="C1" s="65"/>
    </row>
    <row r="2" spans="1:18">
      <c r="A2" s="65"/>
      <c r="B2" s="65"/>
      <c r="C2" s="65"/>
    </row>
    <row r="3" spans="1:18">
      <c r="A3" s="65"/>
      <c r="B3" s="65" t="s">
        <v>423</v>
      </c>
      <c r="C3" s="65" t="s">
        <v>333</v>
      </c>
      <c r="D3" s="66" t="s">
        <v>424</v>
      </c>
      <c r="E3" s="66" t="s">
        <v>425</v>
      </c>
      <c r="F3" s="66" t="s">
        <v>426</v>
      </c>
      <c r="G3" s="66" t="s">
        <v>427</v>
      </c>
      <c r="H3" s="66" t="s">
        <v>428</v>
      </c>
      <c r="I3" s="66" t="s">
        <v>429</v>
      </c>
      <c r="J3" s="66" t="s">
        <v>430</v>
      </c>
      <c r="K3" s="66" t="s">
        <v>431</v>
      </c>
      <c r="L3" s="66" t="s">
        <v>432</v>
      </c>
      <c r="M3" s="66" t="s">
        <v>433</v>
      </c>
      <c r="N3" s="66" t="s">
        <v>434</v>
      </c>
      <c r="O3" s="66" t="s">
        <v>435</v>
      </c>
      <c r="P3" s="66" t="s">
        <v>436</v>
      </c>
      <c r="Q3" s="66" t="s">
        <v>437</v>
      </c>
      <c r="R3" s="66" t="s">
        <v>438</v>
      </c>
    </row>
    <row r="4" spans="1:18">
      <c r="A4" s="65"/>
      <c r="C4" s="65"/>
    </row>
    <row r="5" spans="1:18">
      <c r="A5" s="65"/>
      <c r="B5" s="65" t="s">
        <v>439</v>
      </c>
      <c r="C5" s="65"/>
    </row>
    <row r="6" spans="1:18">
      <c r="A6" s="66" t="str">
        <f>VLOOKUP(C6,classifications!C:F,4,FALSE)</f>
        <v>L</v>
      </c>
      <c r="B6" s="66" t="s">
        <v>440</v>
      </c>
      <c r="C6" s="66" t="s">
        <v>200</v>
      </c>
      <c r="D6" s="66" t="s">
        <v>336</v>
      </c>
      <c r="E6" s="66" t="s">
        <v>211</v>
      </c>
      <c r="F6" s="66" t="s">
        <v>337</v>
      </c>
      <c r="G6" s="66" t="s">
        <v>221</v>
      </c>
      <c r="H6" s="66" t="s">
        <v>217</v>
      </c>
      <c r="I6" s="66" t="s">
        <v>212</v>
      </c>
      <c r="J6" s="66" t="s">
        <v>206</v>
      </c>
      <c r="K6" s="66" t="s">
        <v>214</v>
      </c>
      <c r="L6" s="66" t="s">
        <v>202</v>
      </c>
      <c r="M6" s="66" t="s">
        <v>198</v>
      </c>
      <c r="N6" s="66" t="s">
        <v>219</v>
      </c>
      <c r="O6" s="66" t="s">
        <v>393</v>
      </c>
      <c r="P6" s="66" t="s">
        <v>210</v>
      </c>
      <c r="Q6" s="66" t="s">
        <v>213</v>
      </c>
      <c r="R6" s="66" t="s">
        <v>207</v>
      </c>
    </row>
    <row r="7" spans="1:18">
      <c r="A7" s="66" t="str">
        <f>VLOOKUP(C7,classifications!C:F,4,FALSE)</f>
        <v>L</v>
      </c>
      <c r="B7" s="66" t="s">
        <v>441</v>
      </c>
      <c r="C7" s="66" t="s">
        <v>204</v>
      </c>
      <c r="D7" s="66" t="s">
        <v>213</v>
      </c>
      <c r="E7" s="66" t="s">
        <v>220</v>
      </c>
      <c r="F7" s="66" t="s">
        <v>212</v>
      </c>
      <c r="G7" s="66" t="s">
        <v>217</v>
      </c>
      <c r="H7" s="66" t="s">
        <v>210</v>
      </c>
      <c r="I7" s="66" t="s">
        <v>205</v>
      </c>
      <c r="J7" s="66" t="s">
        <v>198</v>
      </c>
      <c r="K7" s="66" t="s">
        <v>206</v>
      </c>
      <c r="L7" s="66" t="s">
        <v>202</v>
      </c>
      <c r="M7" s="66" t="s">
        <v>201</v>
      </c>
      <c r="N7" s="66" t="s">
        <v>203</v>
      </c>
      <c r="O7" s="66" t="s">
        <v>338</v>
      </c>
      <c r="P7" s="66" t="s">
        <v>219</v>
      </c>
      <c r="Q7" s="66" t="s">
        <v>215</v>
      </c>
      <c r="R7" s="66" t="s">
        <v>216</v>
      </c>
    </row>
    <row r="8" spans="1:18">
      <c r="A8" s="66" t="str">
        <f>VLOOKUP(C8,classifications!C:F,4,FALSE)</f>
        <v>L</v>
      </c>
      <c r="B8" s="66" t="s">
        <v>442</v>
      </c>
      <c r="C8" s="66" t="s">
        <v>205</v>
      </c>
      <c r="D8" s="66" t="s">
        <v>217</v>
      </c>
      <c r="E8" s="66" t="s">
        <v>219</v>
      </c>
      <c r="F8" s="66" t="s">
        <v>212</v>
      </c>
      <c r="G8" s="66" t="s">
        <v>213</v>
      </c>
      <c r="H8" s="66" t="s">
        <v>211</v>
      </c>
      <c r="I8" s="66" t="s">
        <v>204</v>
      </c>
      <c r="J8" s="66" t="s">
        <v>206</v>
      </c>
      <c r="K8" s="66" t="s">
        <v>215</v>
      </c>
      <c r="L8" s="66" t="s">
        <v>198</v>
      </c>
      <c r="M8" s="66" t="s">
        <v>220</v>
      </c>
      <c r="N8" s="66" t="s">
        <v>336</v>
      </c>
      <c r="O8" s="66" t="s">
        <v>210</v>
      </c>
      <c r="P8" s="66" t="s">
        <v>202</v>
      </c>
      <c r="Q8" s="66" t="s">
        <v>338</v>
      </c>
      <c r="R8" s="66" t="s">
        <v>200</v>
      </c>
    </row>
    <row r="9" spans="1:18">
      <c r="A9" s="66" t="str">
        <f>VLOOKUP(C9,classifications!C:F,4,FALSE)</f>
        <v>L</v>
      </c>
      <c r="B9" s="66" t="s">
        <v>443</v>
      </c>
      <c r="C9" s="66" t="s">
        <v>336</v>
      </c>
      <c r="D9" s="66" t="s">
        <v>200</v>
      </c>
      <c r="E9" s="66" t="s">
        <v>211</v>
      </c>
      <c r="F9" s="66" t="s">
        <v>221</v>
      </c>
      <c r="G9" s="66" t="s">
        <v>212</v>
      </c>
      <c r="H9" s="66" t="s">
        <v>217</v>
      </c>
      <c r="I9" s="66" t="s">
        <v>337</v>
      </c>
      <c r="J9" s="66" t="s">
        <v>219</v>
      </c>
      <c r="K9" s="66" t="s">
        <v>206</v>
      </c>
      <c r="L9" s="66" t="s">
        <v>214</v>
      </c>
      <c r="M9" s="66" t="s">
        <v>205</v>
      </c>
      <c r="N9" s="66" t="s">
        <v>210</v>
      </c>
      <c r="O9" s="66" t="s">
        <v>198</v>
      </c>
      <c r="P9" s="66" t="s">
        <v>202</v>
      </c>
      <c r="Q9" s="66" t="s">
        <v>213</v>
      </c>
      <c r="R9" s="66" t="s">
        <v>393</v>
      </c>
    </row>
    <row r="10" spans="1:18">
      <c r="A10" s="66" t="str">
        <f>VLOOKUP(C10,classifications!C:F,4,FALSE)</f>
        <v>L</v>
      </c>
      <c r="B10" s="66" t="s">
        <v>444</v>
      </c>
      <c r="C10" s="66" t="s">
        <v>211</v>
      </c>
      <c r="D10" s="66" t="s">
        <v>336</v>
      </c>
      <c r="E10" s="66" t="s">
        <v>217</v>
      </c>
      <c r="F10" s="66" t="s">
        <v>212</v>
      </c>
      <c r="G10" s="66" t="s">
        <v>219</v>
      </c>
      <c r="H10" s="66" t="s">
        <v>200</v>
      </c>
      <c r="I10" s="66" t="s">
        <v>205</v>
      </c>
      <c r="J10" s="66" t="s">
        <v>221</v>
      </c>
      <c r="K10" s="66" t="s">
        <v>213</v>
      </c>
      <c r="L10" s="66" t="s">
        <v>206</v>
      </c>
      <c r="M10" s="66" t="s">
        <v>204</v>
      </c>
      <c r="N10" s="66" t="s">
        <v>198</v>
      </c>
      <c r="O10" s="66" t="s">
        <v>210</v>
      </c>
      <c r="P10" s="66" t="s">
        <v>202</v>
      </c>
      <c r="Q10" s="66" t="s">
        <v>220</v>
      </c>
      <c r="R10" s="66" t="s">
        <v>214</v>
      </c>
    </row>
    <row r="11" spans="1:18">
      <c r="A11" s="66" t="str">
        <f>VLOOKUP(C11,classifications!C:F,4,FALSE)</f>
        <v>L</v>
      </c>
      <c r="B11" s="66" t="s">
        <v>445</v>
      </c>
      <c r="C11" s="66" t="s">
        <v>337</v>
      </c>
      <c r="D11" s="66" t="s">
        <v>200</v>
      </c>
      <c r="E11" s="66" t="s">
        <v>336</v>
      </c>
      <c r="F11" s="66" t="s">
        <v>187</v>
      </c>
      <c r="G11" s="66" t="s">
        <v>211</v>
      </c>
      <c r="H11" s="66" t="s">
        <v>221</v>
      </c>
      <c r="I11" s="66" t="s">
        <v>393</v>
      </c>
      <c r="J11" s="66" t="s">
        <v>394</v>
      </c>
      <c r="K11" s="66" t="s">
        <v>207</v>
      </c>
      <c r="L11" s="66" t="s">
        <v>214</v>
      </c>
      <c r="M11" s="66" t="s">
        <v>196</v>
      </c>
      <c r="N11" s="66" t="s">
        <v>202</v>
      </c>
      <c r="O11" s="66" t="s">
        <v>212</v>
      </c>
      <c r="P11" s="66" t="s">
        <v>217</v>
      </c>
      <c r="Q11" s="66" t="s">
        <v>218</v>
      </c>
      <c r="R11" s="66" t="s">
        <v>198</v>
      </c>
    </row>
    <row r="12" spans="1:18">
      <c r="A12" s="66" t="str">
        <f>VLOOKUP(C12,classifications!C:F,4,FALSE)</f>
        <v>L</v>
      </c>
      <c r="B12" s="66" t="s">
        <v>446</v>
      </c>
      <c r="C12" s="66" t="s">
        <v>212</v>
      </c>
      <c r="D12" s="66" t="s">
        <v>217</v>
      </c>
      <c r="E12" s="66" t="s">
        <v>213</v>
      </c>
      <c r="F12" s="66" t="s">
        <v>211</v>
      </c>
      <c r="G12" s="66" t="s">
        <v>205</v>
      </c>
      <c r="H12" s="66" t="s">
        <v>219</v>
      </c>
      <c r="I12" s="66" t="s">
        <v>204</v>
      </c>
      <c r="J12" s="66" t="s">
        <v>206</v>
      </c>
      <c r="K12" s="66" t="s">
        <v>198</v>
      </c>
      <c r="L12" s="66" t="s">
        <v>221</v>
      </c>
      <c r="M12" s="66" t="s">
        <v>202</v>
      </c>
      <c r="N12" s="66" t="s">
        <v>336</v>
      </c>
      <c r="O12" s="66" t="s">
        <v>220</v>
      </c>
      <c r="P12" s="66" t="s">
        <v>210</v>
      </c>
      <c r="Q12" s="66" t="s">
        <v>200</v>
      </c>
      <c r="R12" s="66" t="s">
        <v>201</v>
      </c>
    </row>
    <row r="13" spans="1:18">
      <c r="A13" s="66" t="str">
        <f>VLOOKUP(C13,classifications!C:F,4,FALSE)</f>
        <v>L</v>
      </c>
      <c r="B13" s="66" t="s">
        <v>447</v>
      </c>
      <c r="C13" s="66" t="s">
        <v>213</v>
      </c>
      <c r="D13" s="66" t="s">
        <v>204</v>
      </c>
      <c r="E13" s="66" t="s">
        <v>212</v>
      </c>
      <c r="F13" s="66" t="s">
        <v>217</v>
      </c>
      <c r="G13" s="66" t="s">
        <v>220</v>
      </c>
      <c r="H13" s="66" t="s">
        <v>205</v>
      </c>
      <c r="I13" s="66" t="s">
        <v>206</v>
      </c>
      <c r="J13" s="66" t="s">
        <v>198</v>
      </c>
      <c r="K13" s="66" t="s">
        <v>210</v>
      </c>
      <c r="L13" s="66" t="s">
        <v>202</v>
      </c>
      <c r="M13" s="66" t="s">
        <v>219</v>
      </c>
      <c r="N13" s="66" t="s">
        <v>201</v>
      </c>
      <c r="O13" s="66" t="s">
        <v>211</v>
      </c>
      <c r="P13" s="66" t="s">
        <v>215</v>
      </c>
      <c r="Q13" s="66" t="s">
        <v>203</v>
      </c>
      <c r="R13" s="66" t="s">
        <v>216</v>
      </c>
    </row>
    <row r="14" spans="1:18">
      <c r="A14" s="66" t="str">
        <f>VLOOKUP(C14,classifications!C:F,4,FALSE)</f>
        <v>L</v>
      </c>
      <c r="B14" s="66" t="s">
        <v>448</v>
      </c>
      <c r="C14" s="66" t="s">
        <v>217</v>
      </c>
      <c r="D14" s="66" t="s">
        <v>212</v>
      </c>
      <c r="E14" s="66" t="s">
        <v>205</v>
      </c>
      <c r="F14" s="66" t="s">
        <v>213</v>
      </c>
      <c r="G14" s="66" t="s">
        <v>219</v>
      </c>
      <c r="H14" s="66" t="s">
        <v>211</v>
      </c>
      <c r="I14" s="66" t="s">
        <v>204</v>
      </c>
      <c r="J14" s="66" t="s">
        <v>206</v>
      </c>
      <c r="K14" s="66" t="s">
        <v>198</v>
      </c>
      <c r="L14" s="66" t="s">
        <v>336</v>
      </c>
      <c r="M14" s="66" t="s">
        <v>220</v>
      </c>
      <c r="N14" s="66" t="s">
        <v>202</v>
      </c>
      <c r="O14" s="66" t="s">
        <v>221</v>
      </c>
      <c r="P14" s="66" t="s">
        <v>210</v>
      </c>
      <c r="Q14" s="66" t="s">
        <v>200</v>
      </c>
      <c r="R14" s="66" t="s">
        <v>215</v>
      </c>
    </row>
    <row r="15" spans="1:18">
      <c r="A15" s="66" t="str">
        <f>VLOOKUP(C15,classifications!C:F,4,FALSE)</f>
        <v>L</v>
      </c>
      <c r="B15" s="66" t="s">
        <v>449</v>
      </c>
      <c r="C15" s="66" t="s">
        <v>219</v>
      </c>
      <c r="D15" s="66" t="s">
        <v>205</v>
      </c>
      <c r="E15" s="66" t="s">
        <v>217</v>
      </c>
      <c r="F15" s="66" t="s">
        <v>212</v>
      </c>
      <c r="G15" s="66" t="s">
        <v>211</v>
      </c>
      <c r="H15" s="66" t="s">
        <v>213</v>
      </c>
      <c r="I15" s="66" t="s">
        <v>204</v>
      </c>
      <c r="J15" s="66" t="s">
        <v>206</v>
      </c>
      <c r="K15" s="66" t="s">
        <v>336</v>
      </c>
      <c r="L15" s="66" t="s">
        <v>215</v>
      </c>
      <c r="M15" s="66" t="s">
        <v>198</v>
      </c>
      <c r="N15" s="66" t="s">
        <v>220</v>
      </c>
      <c r="O15" s="66" t="s">
        <v>221</v>
      </c>
      <c r="P15" s="66" t="s">
        <v>202</v>
      </c>
      <c r="Q15" s="66" t="s">
        <v>210</v>
      </c>
      <c r="R15" s="66" t="s">
        <v>200</v>
      </c>
    </row>
    <row r="16" spans="1:18">
      <c r="A16" s="66" t="str">
        <f>VLOOKUP(C16,classifications!C:F,4,FALSE)</f>
        <v>L</v>
      </c>
      <c r="B16" s="66" t="s">
        <v>450</v>
      </c>
      <c r="C16" s="66" t="s">
        <v>221</v>
      </c>
      <c r="D16" s="66" t="s">
        <v>212</v>
      </c>
      <c r="E16" s="66" t="s">
        <v>336</v>
      </c>
      <c r="F16" s="66" t="s">
        <v>214</v>
      </c>
      <c r="G16" s="66" t="s">
        <v>202</v>
      </c>
      <c r="H16" s="66" t="s">
        <v>211</v>
      </c>
      <c r="I16" s="66" t="s">
        <v>210</v>
      </c>
      <c r="J16" s="66" t="s">
        <v>200</v>
      </c>
      <c r="K16" s="66" t="s">
        <v>217</v>
      </c>
      <c r="L16" s="66" t="s">
        <v>393</v>
      </c>
      <c r="M16" s="66" t="s">
        <v>196</v>
      </c>
      <c r="N16" s="66" t="s">
        <v>213</v>
      </c>
      <c r="O16" s="66" t="s">
        <v>198</v>
      </c>
      <c r="P16" s="66" t="s">
        <v>218</v>
      </c>
      <c r="Q16" s="66" t="s">
        <v>201</v>
      </c>
      <c r="R16" s="66" t="s">
        <v>216</v>
      </c>
    </row>
    <row r="17" spans="1:18">
      <c r="A17" s="66" t="str">
        <f>VLOOKUP(C17,classifications!C:F,4,FALSE)</f>
        <v>L</v>
      </c>
      <c r="B17" s="66" t="s">
        <v>451</v>
      </c>
      <c r="C17" s="66" t="s">
        <v>187</v>
      </c>
      <c r="D17" s="66" t="s">
        <v>337</v>
      </c>
      <c r="E17" s="66" t="s">
        <v>200</v>
      </c>
      <c r="F17" s="66" t="s">
        <v>336</v>
      </c>
      <c r="G17" s="66" t="s">
        <v>211</v>
      </c>
      <c r="H17" s="66" t="s">
        <v>221</v>
      </c>
      <c r="I17" s="66" t="s">
        <v>219</v>
      </c>
      <c r="J17" s="66" t="s">
        <v>217</v>
      </c>
      <c r="K17" s="66" t="s">
        <v>393</v>
      </c>
      <c r="L17" s="66" t="s">
        <v>212</v>
      </c>
      <c r="M17" s="66" t="s">
        <v>394</v>
      </c>
      <c r="N17" s="66" t="s">
        <v>214</v>
      </c>
      <c r="O17" s="66" t="s">
        <v>202</v>
      </c>
      <c r="P17" s="66" t="s">
        <v>196</v>
      </c>
      <c r="Q17" s="66" t="s">
        <v>207</v>
      </c>
      <c r="R17" s="66" t="s">
        <v>206</v>
      </c>
    </row>
    <row r="18" spans="1:18">
      <c r="A18" s="66" t="str">
        <f>VLOOKUP(C18,classifications!C:F,4,FALSE)</f>
        <v>L</v>
      </c>
      <c r="B18" s="66" t="s">
        <v>452</v>
      </c>
      <c r="C18" s="66" t="s">
        <v>338</v>
      </c>
      <c r="D18" s="66" t="s">
        <v>220</v>
      </c>
      <c r="E18" s="66" t="s">
        <v>204</v>
      </c>
      <c r="F18" s="66" t="s">
        <v>215</v>
      </c>
      <c r="G18" s="66" t="s">
        <v>213</v>
      </c>
      <c r="H18" s="66" t="s">
        <v>203</v>
      </c>
      <c r="I18" s="66" t="s">
        <v>206</v>
      </c>
      <c r="J18" s="66" t="s">
        <v>210</v>
      </c>
      <c r="K18" s="66" t="s">
        <v>205</v>
      </c>
      <c r="L18" s="66" t="s">
        <v>198</v>
      </c>
      <c r="M18" s="66" t="s">
        <v>201</v>
      </c>
      <c r="N18" s="66" t="s">
        <v>216</v>
      </c>
      <c r="O18" s="66" t="s">
        <v>202</v>
      </c>
      <c r="P18" s="66" t="s">
        <v>209</v>
      </c>
      <c r="Q18" s="66" t="s">
        <v>217</v>
      </c>
      <c r="R18" s="66" t="s">
        <v>219</v>
      </c>
    </row>
    <row r="19" spans="1:18">
      <c r="A19" s="66" t="str">
        <f>VLOOKUP(C19,classifications!C:F,4,FALSE)</f>
        <v>L</v>
      </c>
      <c r="B19" s="66" t="s">
        <v>453</v>
      </c>
      <c r="C19" s="66" t="s">
        <v>196</v>
      </c>
      <c r="D19" s="66" t="s">
        <v>207</v>
      </c>
      <c r="E19" s="66" t="s">
        <v>216</v>
      </c>
      <c r="F19" s="66" t="s">
        <v>201</v>
      </c>
      <c r="G19" s="66" t="s">
        <v>202</v>
      </c>
      <c r="H19" s="66" t="s">
        <v>203</v>
      </c>
      <c r="I19" s="66" t="s">
        <v>199</v>
      </c>
      <c r="J19" s="66" t="s">
        <v>209</v>
      </c>
      <c r="K19" s="66" t="s">
        <v>214</v>
      </c>
      <c r="L19" s="66" t="s">
        <v>393</v>
      </c>
      <c r="M19" s="66" t="s">
        <v>210</v>
      </c>
      <c r="N19" s="66" t="s">
        <v>218</v>
      </c>
      <c r="O19" s="66" t="s">
        <v>394</v>
      </c>
      <c r="P19" s="66" t="s">
        <v>197</v>
      </c>
      <c r="Q19" s="66" t="s">
        <v>221</v>
      </c>
      <c r="R19" s="66" t="s">
        <v>198</v>
      </c>
    </row>
    <row r="20" spans="1:18">
      <c r="A20" s="66" t="str">
        <f>VLOOKUP(C20,classifications!C:F,4,FALSE)</f>
        <v>L</v>
      </c>
      <c r="B20" s="66" t="s">
        <v>454</v>
      </c>
      <c r="C20" s="66" t="s">
        <v>197</v>
      </c>
      <c r="D20" s="66" t="s">
        <v>208</v>
      </c>
      <c r="E20" s="66" t="s">
        <v>218</v>
      </c>
      <c r="F20" s="66" t="s">
        <v>209</v>
      </c>
      <c r="G20" s="66" t="s">
        <v>216</v>
      </c>
      <c r="H20" s="66" t="s">
        <v>199</v>
      </c>
      <c r="I20" s="66" t="s">
        <v>214</v>
      </c>
      <c r="J20" s="66" t="s">
        <v>207</v>
      </c>
      <c r="K20" s="66" t="s">
        <v>393</v>
      </c>
      <c r="L20" s="66" t="s">
        <v>201</v>
      </c>
      <c r="M20" s="66" t="s">
        <v>203</v>
      </c>
      <c r="N20" s="66" t="s">
        <v>210</v>
      </c>
      <c r="O20" s="66" t="s">
        <v>196</v>
      </c>
      <c r="P20" s="66" t="s">
        <v>220</v>
      </c>
      <c r="Q20" s="66" t="s">
        <v>202</v>
      </c>
      <c r="R20" s="66" t="s">
        <v>394</v>
      </c>
    </row>
    <row r="21" spans="1:18">
      <c r="A21" s="66" t="str">
        <f>VLOOKUP(C21,classifications!C:F,4,FALSE)</f>
        <v>L</v>
      </c>
      <c r="B21" s="66" t="s">
        <v>455</v>
      </c>
      <c r="C21" s="66" t="s">
        <v>198</v>
      </c>
      <c r="D21" s="66" t="s">
        <v>202</v>
      </c>
      <c r="E21" s="66" t="s">
        <v>206</v>
      </c>
      <c r="F21" s="66" t="s">
        <v>220</v>
      </c>
      <c r="G21" s="66" t="s">
        <v>210</v>
      </c>
      <c r="H21" s="66" t="s">
        <v>203</v>
      </c>
      <c r="I21" s="66" t="s">
        <v>213</v>
      </c>
      <c r="J21" s="66" t="s">
        <v>212</v>
      </c>
      <c r="K21" s="66" t="s">
        <v>201</v>
      </c>
      <c r="L21" s="66" t="s">
        <v>216</v>
      </c>
      <c r="M21" s="66" t="s">
        <v>217</v>
      </c>
      <c r="N21" s="66" t="s">
        <v>204</v>
      </c>
      <c r="O21" s="66" t="s">
        <v>215</v>
      </c>
      <c r="P21" s="66" t="s">
        <v>214</v>
      </c>
      <c r="Q21" s="66" t="s">
        <v>205</v>
      </c>
      <c r="R21" s="66" t="s">
        <v>207</v>
      </c>
    </row>
    <row r="22" spans="1:18">
      <c r="A22" s="66" t="str">
        <f>VLOOKUP(C22,classifications!C:F,4,FALSE)</f>
        <v>L</v>
      </c>
      <c r="B22" s="66" t="s">
        <v>456</v>
      </c>
      <c r="C22" s="66" t="s">
        <v>199</v>
      </c>
      <c r="D22" s="66" t="s">
        <v>208</v>
      </c>
      <c r="E22" s="66" t="s">
        <v>197</v>
      </c>
      <c r="F22" s="66" t="s">
        <v>209</v>
      </c>
      <c r="G22" s="66" t="s">
        <v>196</v>
      </c>
      <c r="H22" s="66" t="s">
        <v>394</v>
      </c>
      <c r="I22" s="66" t="s">
        <v>218</v>
      </c>
      <c r="J22" s="66" t="s">
        <v>393</v>
      </c>
      <c r="K22" s="66" t="s">
        <v>207</v>
      </c>
      <c r="L22" s="66" t="s">
        <v>201</v>
      </c>
      <c r="M22" s="66" t="s">
        <v>216</v>
      </c>
      <c r="N22" s="66" t="s">
        <v>203</v>
      </c>
      <c r="O22" s="66" t="s">
        <v>214</v>
      </c>
      <c r="P22" s="66" t="s">
        <v>210</v>
      </c>
      <c r="Q22" s="66" t="s">
        <v>202</v>
      </c>
      <c r="R22" s="66" t="s">
        <v>221</v>
      </c>
    </row>
    <row r="23" spans="1:18">
      <c r="A23" s="66" t="str">
        <f>VLOOKUP(C23,classifications!C:F,4,FALSE)</f>
        <v>L</v>
      </c>
      <c r="B23" s="66" t="s">
        <v>457</v>
      </c>
      <c r="C23" s="66" t="s">
        <v>201</v>
      </c>
      <c r="D23" s="66" t="s">
        <v>203</v>
      </c>
      <c r="E23" s="66" t="s">
        <v>216</v>
      </c>
      <c r="F23" s="66" t="s">
        <v>202</v>
      </c>
      <c r="G23" s="66" t="s">
        <v>210</v>
      </c>
      <c r="H23" s="66" t="s">
        <v>220</v>
      </c>
      <c r="I23" s="66" t="s">
        <v>209</v>
      </c>
      <c r="J23" s="66" t="s">
        <v>196</v>
      </c>
      <c r="K23" s="66" t="s">
        <v>198</v>
      </c>
      <c r="L23" s="66" t="s">
        <v>197</v>
      </c>
      <c r="M23" s="66" t="s">
        <v>204</v>
      </c>
      <c r="N23" s="66" t="s">
        <v>214</v>
      </c>
      <c r="O23" s="66" t="s">
        <v>213</v>
      </c>
      <c r="P23" s="66" t="s">
        <v>218</v>
      </c>
      <c r="Q23" s="66" t="s">
        <v>206</v>
      </c>
      <c r="R23" s="66" t="s">
        <v>207</v>
      </c>
    </row>
    <row r="24" spans="1:18">
      <c r="A24" s="66" t="str">
        <f>VLOOKUP(C24,classifications!C:F,4,FALSE)</f>
        <v>L</v>
      </c>
      <c r="B24" s="66" t="s">
        <v>458</v>
      </c>
      <c r="C24" s="66" t="s">
        <v>202</v>
      </c>
      <c r="D24" s="66" t="s">
        <v>198</v>
      </c>
      <c r="E24" s="66" t="s">
        <v>210</v>
      </c>
      <c r="F24" s="66" t="s">
        <v>201</v>
      </c>
      <c r="G24" s="66" t="s">
        <v>216</v>
      </c>
      <c r="H24" s="66" t="s">
        <v>203</v>
      </c>
      <c r="I24" s="66" t="s">
        <v>220</v>
      </c>
      <c r="J24" s="66" t="s">
        <v>206</v>
      </c>
      <c r="K24" s="66" t="s">
        <v>214</v>
      </c>
      <c r="L24" s="66" t="s">
        <v>196</v>
      </c>
      <c r="M24" s="66" t="s">
        <v>207</v>
      </c>
      <c r="N24" s="66" t="s">
        <v>213</v>
      </c>
      <c r="O24" s="66" t="s">
        <v>212</v>
      </c>
      <c r="P24" s="66" t="s">
        <v>204</v>
      </c>
      <c r="Q24" s="66" t="s">
        <v>221</v>
      </c>
      <c r="R24" s="66" t="s">
        <v>209</v>
      </c>
    </row>
    <row r="25" spans="1:18">
      <c r="A25" s="66" t="str">
        <f>VLOOKUP(C25,classifications!C:F,4,FALSE)</f>
        <v>L</v>
      </c>
      <c r="B25" s="66" t="s">
        <v>459</v>
      </c>
      <c r="C25" s="66" t="s">
        <v>203</v>
      </c>
      <c r="D25" s="66" t="s">
        <v>201</v>
      </c>
      <c r="E25" s="66" t="s">
        <v>216</v>
      </c>
      <c r="F25" s="66" t="s">
        <v>202</v>
      </c>
      <c r="G25" s="66" t="s">
        <v>210</v>
      </c>
      <c r="H25" s="66" t="s">
        <v>220</v>
      </c>
      <c r="I25" s="66" t="s">
        <v>198</v>
      </c>
      <c r="J25" s="66" t="s">
        <v>209</v>
      </c>
      <c r="K25" s="66" t="s">
        <v>196</v>
      </c>
      <c r="L25" s="66" t="s">
        <v>207</v>
      </c>
      <c r="M25" s="66" t="s">
        <v>206</v>
      </c>
      <c r="N25" s="66" t="s">
        <v>197</v>
      </c>
      <c r="O25" s="66" t="s">
        <v>204</v>
      </c>
      <c r="P25" s="66" t="s">
        <v>214</v>
      </c>
      <c r="Q25" s="66" t="s">
        <v>213</v>
      </c>
      <c r="R25" s="66" t="s">
        <v>218</v>
      </c>
    </row>
    <row r="26" spans="1:18">
      <c r="A26" s="66" t="str">
        <f>VLOOKUP(C26,classifications!C:F,4,FALSE)</f>
        <v>L</v>
      </c>
      <c r="B26" s="66" t="s">
        <v>460</v>
      </c>
      <c r="C26" s="66" t="s">
        <v>206</v>
      </c>
      <c r="D26" s="66" t="s">
        <v>198</v>
      </c>
      <c r="E26" s="66" t="s">
        <v>220</v>
      </c>
      <c r="F26" s="66" t="s">
        <v>202</v>
      </c>
      <c r="G26" s="66" t="s">
        <v>213</v>
      </c>
      <c r="H26" s="66" t="s">
        <v>212</v>
      </c>
      <c r="I26" s="66" t="s">
        <v>217</v>
      </c>
      <c r="J26" s="66" t="s">
        <v>210</v>
      </c>
      <c r="K26" s="66" t="s">
        <v>205</v>
      </c>
      <c r="L26" s="66" t="s">
        <v>215</v>
      </c>
      <c r="M26" s="66" t="s">
        <v>203</v>
      </c>
      <c r="N26" s="66" t="s">
        <v>204</v>
      </c>
      <c r="O26" s="66" t="s">
        <v>201</v>
      </c>
      <c r="P26" s="66" t="s">
        <v>219</v>
      </c>
      <c r="Q26" s="66" t="s">
        <v>211</v>
      </c>
      <c r="R26" s="66" t="s">
        <v>216</v>
      </c>
    </row>
    <row r="27" spans="1:18">
      <c r="A27" s="66" t="str">
        <f>VLOOKUP(C27,classifications!C:F,4,FALSE)</f>
        <v>L</v>
      </c>
      <c r="B27" s="66" t="s">
        <v>461</v>
      </c>
      <c r="C27" s="66" t="s">
        <v>207</v>
      </c>
      <c r="D27" s="66" t="s">
        <v>214</v>
      </c>
      <c r="E27" s="66" t="s">
        <v>393</v>
      </c>
      <c r="F27" s="66" t="s">
        <v>216</v>
      </c>
      <c r="G27" s="66" t="s">
        <v>196</v>
      </c>
      <c r="H27" s="66" t="s">
        <v>218</v>
      </c>
      <c r="I27" s="66" t="s">
        <v>202</v>
      </c>
      <c r="J27" s="66" t="s">
        <v>197</v>
      </c>
      <c r="K27" s="66" t="s">
        <v>203</v>
      </c>
      <c r="L27" s="66" t="s">
        <v>210</v>
      </c>
      <c r="M27" s="66" t="s">
        <v>209</v>
      </c>
      <c r="N27" s="66" t="s">
        <v>201</v>
      </c>
      <c r="O27" s="66" t="s">
        <v>394</v>
      </c>
      <c r="P27" s="66" t="s">
        <v>198</v>
      </c>
      <c r="Q27" s="66" t="s">
        <v>199</v>
      </c>
      <c r="R27" s="66" t="s">
        <v>208</v>
      </c>
    </row>
    <row r="28" spans="1:18">
      <c r="A28" s="66" t="str">
        <f>VLOOKUP(C28,classifications!C:F,4,FALSE)</f>
        <v>L</v>
      </c>
      <c r="B28" s="66" t="s">
        <v>462</v>
      </c>
      <c r="C28" s="66" t="s">
        <v>208</v>
      </c>
      <c r="D28" s="66" t="s">
        <v>197</v>
      </c>
      <c r="E28" s="66" t="s">
        <v>199</v>
      </c>
      <c r="F28" s="66" t="s">
        <v>218</v>
      </c>
      <c r="G28" s="66" t="s">
        <v>209</v>
      </c>
      <c r="H28" s="66" t="s">
        <v>393</v>
      </c>
      <c r="I28" s="66" t="s">
        <v>216</v>
      </c>
      <c r="J28" s="66" t="s">
        <v>207</v>
      </c>
      <c r="K28" s="66" t="s">
        <v>214</v>
      </c>
      <c r="L28" s="66" t="s">
        <v>201</v>
      </c>
      <c r="M28" s="66" t="s">
        <v>203</v>
      </c>
      <c r="N28" s="66" t="s">
        <v>210</v>
      </c>
      <c r="O28" s="66" t="s">
        <v>196</v>
      </c>
      <c r="P28" s="66" t="s">
        <v>394</v>
      </c>
      <c r="Q28" s="66" t="s">
        <v>220</v>
      </c>
      <c r="R28" s="66" t="s">
        <v>202</v>
      </c>
    </row>
    <row r="29" spans="1:18">
      <c r="A29" s="66" t="str">
        <f>VLOOKUP(C29,classifications!C:F,4,FALSE)</f>
        <v>L</v>
      </c>
      <c r="B29" s="66" t="s">
        <v>463</v>
      </c>
      <c r="C29" s="66" t="s">
        <v>209</v>
      </c>
      <c r="D29" s="66" t="s">
        <v>210</v>
      </c>
      <c r="E29" s="66" t="s">
        <v>203</v>
      </c>
      <c r="F29" s="66" t="s">
        <v>197</v>
      </c>
      <c r="G29" s="66" t="s">
        <v>201</v>
      </c>
      <c r="H29" s="66" t="s">
        <v>208</v>
      </c>
      <c r="I29" s="66" t="s">
        <v>199</v>
      </c>
      <c r="J29" s="66" t="s">
        <v>218</v>
      </c>
      <c r="K29" s="66" t="s">
        <v>216</v>
      </c>
      <c r="L29" s="66" t="s">
        <v>196</v>
      </c>
      <c r="M29" s="66" t="s">
        <v>214</v>
      </c>
      <c r="N29" s="66" t="s">
        <v>207</v>
      </c>
      <c r="O29" s="66" t="s">
        <v>202</v>
      </c>
      <c r="P29" s="66" t="s">
        <v>220</v>
      </c>
      <c r="Q29" s="66" t="s">
        <v>393</v>
      </c>
      <c r="R29" s="66" t="s">
        <v>204</v>
      </c>
    </row>
    <row r="30" spans="1:18">
      <c r="A30" s="66" t="str">
        <f>VLOOKUP(C30,classifications!C:F,4,FALSE)</f>
        <v>L</v>
      </c>
      <c r="B30" s="66" t="s">
        <v>464</v>
      </c>
      <c r="C30" s="66" t="s">
        <v>210</v>
      </c>
      <c r="D30" s="66" t="s">
        <v>202</v>
      </c>
      <c r="E30" s="66" t="s">
        <v>220</v>
      </c>
      <c r="F30" s="66" t="s">
        <v>203</v>
      </c>
      <c r="G30" s="66" t="s">
        <v>214</v>
      </c>
      <c r="H30" s="66" t="s">
        <v>209</v>
      </c>
      <c r="I30" s="66" t="s">
        <v>198</v>
      </c>
      <c r="J30" s="66" t="s">
        <v>216</v>
      </c>
      <c r="K30" s="66" t="s">
        <v>201</v>
      </c>
      <c r="L30" s="66" t="s">
        <v>204</v>
      </c>
      <c r="M30" s="66" t="s">
        <v>206</v>
      </c>
      <c r="N30" s="66" t="s">
        <v>213</v>
      </c>
      <c r="O30" s="66" t="s">
        <v>218</v>
      </c>
      <c r="P30" s="66" t="s">
        <v>207</v>
      </c>
      <c r="Q30" s="66" t="s">
        <v>212</v>
      </c>
      <c r="R30" s="66" t="s">
        <v>196</v>
      </c>
    </row>
    <row r="31" spans="1:18">
      <c r="A31" s="66" t="str">
        <f>VLOOKUP(C31,classifications!C:F,4,FALSE)</f>
        <v>L</v>
      </c>
      <c r="B31" s="66" t="s">
        <v>465</v>
      </c>
      <c r="C31" s="68" t="s">
        <v>393</v>
      </c>
      <c r="D31" s="66" t="s">
        <v>214</v>
      </c>
      <c r="E31" s="66" t="s">
        <v>218</v>
      </c>
      <c r="F31" s="66" t="s">
        <v>207</v>
      </c>
      <c r="G31" s="66" t="s">
        <v>394</v>
      </c>
      <c r="H31" s="66" t="s">
        <v>197</v>
      </c>
      <c r="I31" s="66" t="s">
        <v>216</v>
      </c>
      <c r="J31" s="66" t="s">
        <v>196</v>
      </c>
      <c r="K31" s="66" t="s">
        <v>210</v>
      </c>
      <c r="L31" s="66" t="s">
        <v>209</v>
      </c>
      <c r="M31" s="66" t="s">
        <v>199</v>
      </c>
      <c r="N31" s="66" t="s">
        <v>208</v>
      </c>
      <c r="O31" s="66" t="s">
        <v>221</v>
      </c>
      <c r="P31" s="66" t="s">
        <v>202</v>
      </c>
      <c r="Q31" s="66" t="s">
        <v>203</v>
      </c>
      <c r="R31" s="66" t="s">
        <v>201</v>
      </c>
    </row>
    <row r="32" spans="1:18">
      <c r="A32" s="66" t="str">
        <f>VLOOKUP(C32,classifications!C:F,4,FALSE)</f>
        <v>L</v>
      </c>
      <c r="B32" s="66" t="s">
        <v>466</v>
      </c>
      <c r="C32" s="66" t="s">
        <v>214</v>
      </c>
      <c r="D32" s="66" t="s">
        <v>218</v>
      </c>
      <c r="E32" s="66" t="s">
        <v>393</v>
      </c>
      <c r="F32" s="66" t="s">
        <v>207</v>
      </c>
      <c r="G32" s="66" t="s">
        <v>216</v>
      </c>
      <c r="H32" s="66" t="s">
        <v>210</v>
      </c>
      <c r="I32" s="66" t="s">
        <v>202</v>
      </c>
      <c r="J32" s="66" t="s">
        <v>197</v>
      </c>
      <c r="K32" s="66" t="s">
        <v>221</v>
      </c>
      <c r="L32" s="66" t="s">
        <v>209</v>
      </c>
      <c r="M32" s="66" t="s">
        <v>220</v>
      </c>
      <c r="N32" s="66" t="s">
        <v>196</v>
      </c>
      <c r="O32" s="66" t="s">
        <v>201</v>
      </c>
      <c r="P32" s="66" t="s">
        <v>203</v>
      </c>
      <c r="Q32" s="66" t="s">
        <v>198</v>
      </c>
      <c r="R32" s="66" t="s">
        <v>206</v>
      </c>
    </row>
    <row r="33" spans="1:18">
      <c r="A33" s="66" t="str">
        <f>VLOOKUP(C33,classifications!C:F,4,FALSE)</f>
        <v>L</v>
      </c>
      <c r="B33" s="66" t="s">
        <v>467</v>
      </c>
      <c r="C33" s="66" t="s">
        <v>215</v>
      </c>
      <c r="D33" s="66" t="s">
        <v>220</v>
      </c>
      <c r="E33" s="66" t="s">
        <v>206</v>
      </c>
      <c r="F33" s="66" t="s">
        <v>198</v>
      </c>
      <c r="G33" s="66" t="s">
        <v>213</v>
      </c>
      <c r="H33" s="66" t="s">
        <v>205</v>
      </c>
      <c r="I33" s="66" t="s">
        <v>338</v>
      </c>
      <c r="J33" s="66" t="s">
        <v>204</v>
      </c>
      <c r="K33" s="66" t="s">
        <v>219</v>
      </c>
      <c r="L33" s="66" t="s">
        <v>217</v>
      </c>
      <c r="M33" s="66" t="s">
        <v>212</v>
      </c>
      <c r="N33" s="66" t="s">
        <v>202</v>
      </c>
      <c r="O33" s="66" t="s">
        <v>210</v>
      </c>
      <c r="P33" s="66" t="s">
        <v>203</v>
      </c>
      <c r="Q33" s="66" t="s">
        <v>201</v>
      </c>
      <c r="R33" s="66" t="s">
        <v>216</v>
      </c>
    </row>
    <row r="34" spans="1:18">
      <c r="A34" s="66" t="str">
        <f>VLOOKUP(C34,classifications!C:F,4,FALSE)</f>
        <v>L</v>
      </c>
      <c r="B34" s="66" t="s">
        <v>468</v>
      </c>
      <c r="C34" s="66" t="s">
        <v>216</v>
      </c>
      <c r="D34" s="66" t="s">
        <v>201</v>
      </c>
      <c r="E34" s="66" t="s">
        <v>203</v>
      </c>
      <c r="F34" s="66" t="s">
        <v>202</v>
      </c>
      <c r="G34" s="66" t="s">
        <v>207</v>
      </c>
      <c r="H34" s="66" t="s">
        <v>214</v>
      </c>
      <c r="I34" s="66" t="s">
        <v>210</v>
      </c>
      <c r="J34" s="66" t="s">
        <v>218</v>
      </c>
      <c r="K34" s="66" t="s">
        <v>220</v>
      </c>
      <c r="L34" s="66" t="s">
        <v>197</v>
      </c>
      <c r="M34" s="66" t="s">
        <v>196</v>
      </c>
      <c r="N34" s="66" t="s">
        <v>198</v>
      </c>
      <c r="O34" s="66" t="s">
        <v>209</v>
      </c>
      <c r="P34" s="66" t="s">
        <v>393</v>
      </c>
      <c r="Q34" s="66" t="s">
        <v>206</v>
      </c>
      <c r="R34" s="66" t="s">
        <v>204</v>
      </c>
    </row>
    <row r="35" spans="1:18">
      <c r="A35" s="66" t="str">
        <f>VLOOKUP(C35,classifications!C:F,4,FALSE)</f>
        <v>L</v>
      </c>
      <c r="B35" s="66" t="s">
        <v>469</v>
      </c>
      <c r="C35" s="68" t="s">
        <v>394</v>
      </c>
      <c r="D35" s="66" t="s">
        <v>393</v>
      </c>
      <c r="E35" s="66" t="s">
        <v>199</v>
      </c>
      <c r="F35" s="66" t="s">
        <v>207</v>
      </c>
      <c r="G35" s="66" t="s">
        <v>218</v>
      </c>
      <c r="H35" s="66" t="s">
        <v>196</v>
      </c>
      <c r="I35" s="66" t="s">
        <v>214</v>
      </c>
      <c r="J35" s="66" t="s">
        <v>197</v>
      </c>
      <c r="K35" s="66" t="s">
        <v>209</v>
      </c>
      <c r="L35" s="66" t="s">
        <v>208</v>
      </c>
      <c r="M35" s="66" t="s">
        <v>216</v>
      </c>
      <c r="N35" s="66" t="s">
        <v>221</v>
      </c>
      <c r="O35" s="66" t="s">
        <v>210</v>
      </c>
      <c r="P35" s="66" t="s">
        <v>200</v>
      </c>
      <c r="Q35" s="66" t="s">
        <v>203</v>
      </c>
      <c r="R35" s="66" t="s">
        <v>201</v>
      </c>
    </row>
    <row r="36" spans="1:18">
      <c r="A36" s="66" t="str">
        <f>VLOOKUP(C36,classifications!C:F,4,FALSE)</f>
        <v>L</v>
      </c>
      <c r="B36" s="66" t="s">
        <v>470</v>
      </c>
      <c r="C36" s="66" t="s">
        <v>218</v>
      </c>
      <c r="D36" s="66" t="s">
        <v>197</v>
      </c>
      <c r="E36" s="66" t="s">
        <v>214</v>
      </c>
      <c r="F36" s="66" t="s">
        <v>393</v>
      </c>
      <c r="G36" s="66" t="s">
        <v>207</v>
      </c>
      <c r="H36" s="66" t="s">
        <v>216</v>
      </c>
      <c r="I36" s="66" t="s">
        <v>208</v>
      </c>
      <c r="J36" s="66" t="s">
        <v>209</v>
      </c>
      <c r="K36" s="66" t="s">
        <v>210</v>
      </c>
      <c r="L36" s="66" t="s">
        <v>201</v>
      </c>
      <c r="M36" s="66" t="s">
        <v>196</v>
      </c>
      <c r="N36" s="66" t="s">
        <v>199</v>
      </c>
      <c r="O36" s="66" t="s">
        <v>203</v>
      </c>
      <c r="P36" s="66" t="s">
        <v>394</v>
      </c>
      <c r="Q36" s="66" t="s">
        <v>202</v>
      </c>
      <c r="R36" s="66" t="s">
        <v>220</v>
      </c>
    </row>
    <row r="37" spans="1:18">
      <c r="A37" s="66" t="str">
        <f>VLOOKUP(C37,classifications!C:F,4,FALSE)</f>
        <v>L</v>
      </c>
      <c r="B37" s="66" t="s">
        <v>471</v>
      </c>
      <c r="C37" s="66" t="s">
        <v>220</v>
      </c>
      <c r="D37" s="66" t="s">
        <v>206</v>
      </c>
      <c r="E37" s="66" t="s">
        <v>210</v>
      </c>
      <c r="F37" s="66" t="s">
        <v>198</v>
      </c>
      <c r="G37" s="66" t="s">
        <v>203</v>
      </c>
      <c r="H37" s="66" t="s">
        <v>202</v>
      </c>
      <c r="I37" s="66" t="s">
        <v>213</v>
      </c>
      <c r="J37" s="66" t="s">
        <v>204</v>
      </c>
      <c r="K37" s="66" t="s">
        <v>201</v>
      </c>
      <c r="L37" s="66" t="s">
        <v>215</v>
      </c>
      <c r="M37" s="66" t="s">
        <v>216</v>
      </c>
      <c r="N37" s="66" t="s">
        <v>338</v>
      </c>
      <c r="O37" s="66" t="s">
        <v>214</v>
      </c>
      <c r="P37" s="66" t="s">
        <v>212</v>
      </c>
      <c r="Q37" s="66" t="s">
        <v>217</v>
      </c>
      <c r="R37" s="66" t="s">
        <v>209</v>
      </c>
    </row>
    <row r="39" spans="1:18">
      <c r="B39" s="65" t="s">
        <v>414</v>
      </c>
    </row>
    <row r="40" spans="1:18">
      <c r="A40" s="66" t="str">
        <f>VLOOKUP(C40,classifications!C:F,4,FALSE)</f>
        <v>MD</v>
      </c>
      <c r="B40" s="66" t="s">
        <v>472</v>
      </c>
      <c r="C40" s="66" t="s">
        <v>224</v>
      </c>
      <c r="D40" s="66" t="s">
        <v>240</v>
      </c>
      <c r="E40" s="66" t="s">
        <v>239</v>
      </c>
      <c r="F40" s="66" t="s">
        <v>251</v>
      </c>
      <c r="G40" s="66" t="s">
        <v>265</v>
      </c>
      <c r="H40" s="66" t="s">
        <v>226</v>
      </c>
      <c r="I40" s="66" t="s">
        <v>255</v>
      </c>
      <c r="J40" s="66" t="s">
        <v>273</v>
      </c>
      <c r="K40" s="66" t="s">
        <v>232</v>
      </c>
      <c r="L40" s="66" t="s">
        <v>813</v>
      </c>
      <c r="M40" s="66" t="s">
        <v>291</v>
      </c>
      <c r="N40" s="66" t="s">
        <v>227</v>
      </c>
      <c r="O40" s="66" t="s">
        <v>228</v>
      </c>
      <c r="P40" s="66" t="s">
        <v>242</v>
      </c>
      <c r="Q40" s="66" t="s">
        <v>241</v>
      </c>
      <c r="R40" s="66" t="s">
        <v>290</v>
      </c>
    </row>
    <row r="41" spans="1:18">
      <c r="A41" s="66" t="str">
        <f>VLOOKUP(C41,classifications!C:F,4,FALSE)</f>
        <v>MD</v>
      </c>
      <c r="B41" s="66" t="s">
        <v>473</v>
      </c>
      <c r="C41" s="66" t="s">
        <v>226</v>
      </c>
      <c r="D41" s="66" t="s">
        <v>227</v>
      </c>
      <c r="E41" s="66" t="s">
        <v>273</v>
      </c>
      <c r="F41" s="66" t="s">
        <v>224</v>
      </c>
      <c r="G41" s="66" t="s">
        <v>232</v>
      </c>
      <c r="H41" s="66" t="s">
        <v>255</v>
      </c>
      <c r="I41" s="66" t="s">
        <v>251</v>
      </c>
      <c r="J41" s="66" t="s">
        <v>264</v>
      </c>
      <c r="K41" s="66" t="s">
        <v>813</v>
      </c>
      <c r="L41" s="66" t="s">
        <v>290</v>
      </c>
      <c r="M41" s="66" t="s">
        <v>295</v>
      </c>
      <c r="N41" s="66" t="s">
        <v>265</v>
      </c>
      <c r="O41" s="66" t="s">
        <v>248</v>
      </c>
      <c r="P41" s="66" t="s">
        <v>241</v>
      </c>
      <c r="Q41" s="66" t="s">
        <v>240</v>
      </c>
      <c r="R41" s="66" t="s">
        <v>249</v>
      </c>
    </row>
    <row r="42" spans="1:18">
      <c r="A42" s="66" t="str">
        <f>VLOOKUP(C42,classifications!C:F,4,FALSE)</f>
        <v>MD</v>
      </c>
      <c r="B42" s="66" t="s">
        <v>474</v>
      </c>
      <c r="C42" s="66" t="s">
        <v>236</v>
      </c>
      <c r="D42" s="66" t="s">
        <v>279</v>
      </c>
      <c r="E42" s="66" t="s">
        <v>235</v>
      </c>
      <c r="F42" s="66" t="s">
        <v>271</v>
      </c>
      <c r="G42" s="66" t="s">
        <v>288</v>
      </c>
      <c r="H42" s="66" t="s">
        <v>815</v>
      </c>
      <c r="I42" s="66" t="s">
        <v>811</v>
      </c>
      <c r="J42" s="66" t="s">
        <v>237</v>
      </c>
      <c r="K42" s="66" t="s">
        <v>242</v>
      </c>
      <c r="L42" s="66" t="s">
        <v>817</v>
      </c>
      <c r="M42" s="66" t="s">
        <v>234</v>
      </c>
      <c r="N42" s="66" t="s">
        <v>283</v>
      </c>
      <c r="O42" s="66" t="s">
        <v>245</v>
      </c>
      <c r="P42" s="66" t="s">
        <v>284</v>
      </c>
      <c r="Q42" s="66" t="s">
        <v>223</v>
      </c>
      <c r="R42" s="66" t="s">
        <v>224</v>
      </c>
    </row>
    <row r="43" spans="1:18">
      <c r="A43" s="66" t="str">
        <f>VLOOKUP(C43,classifications!C:F,4,FALSE)</f>
        <v>MD</v>
      </c>
      <c r="B43" s="66" t="s">
        <v>475</v>
      </c>
      <c r="C43" s="66" t="s">
        <v>239</v>
      </c>
      <c r="D43" s="66" t="s">
        <v>240</v>
      </c>
      <c r="E43" s="66" t="s">
        <v>224</v>
      </c>
      <c r="F43" s="66" t="s">
        <v>260</v>
      </c>
      <c r="G43" s="66" t="s">
        <v>251</v>
      </c>
      <c r="H43" s="66" t="s">
        <v>254</v>
      </c>
      <c r="I43" s="66" t="s">
        <v>265</v>
      </c>
      <c r="J43" s="66" t="s">
        <v>243</v>
      </c>
      <c r="K43" s="66" t="s">
        <v>291</v>
      </c>
      <c r="L43" s="66" t="s">
        <v>813</v>
      </c>
      <c r="M43" s="66" t="s">
        <v>225</v>
      </c>
      <c r="N43" s="66" t="s">
        <v>255</v>
      </c>
      <c r="O43" s="66" t="s">
        <v>273</v>
      </c>
      <c r="P43" s="66" t="s">
        <v>241</v>
      </c>
      <c r="Q43" s="66" t="s">
        <v>228</v>
      </c>
      <c r="R43" s="66" t="s">
        <v>226</v>
      </c>
    </row>
    <row r="44" spans="1:18">
      <c r="A44" s="66" t="str">
        <f>VLOOKUP(C44,classifications!C:F,4,FALSE)</f>
        <v>MD</v>
      </c>
      <c r="B44" s="66" t="s">
        <v>476</v>
      </c>
      <c r="C44" s="66" t="s">
        <v>240</v>
      </c>
      <c r="D44" s="66" t="s">
        <v>239</v>
      </c>
      <c r="E44" s="66" t="s">
        <v>224</v>
      </c>
      <c r="F44" s="66" t="s">
        <v>251</v>
      </c>
      <c r="G44" s="66" t="s">
        <v>291</v>
      </c>
      <c r="H44" s="66" t="s">
        <v>254</v>
      </c>
      <c r="I44" s="66" t="s">
        <v>242</v>
      </c>
      <c r="J44" s="66" t="s">
        <v>268</v>
      </c>
      <c r="K44" s="66" t="s">
        <v>243</v>
      </c>
      <c r="L44" s="66" t="s">
        <v>265</v>
      </c>
      <c r="M44" s="66" t="s">
        <v>813</v>
      </c>
      <c r="N44" s="66" t="s">
        <v>260</v>
      </c>
      <c r="O44" s="66" t="s">
        <v>241</v>
      </c>
      <c r="P44" s="66" t="s">
        <v>255</v>
      </c>
      <c r="Q44" s="66" t="s">
        <v>274</v>
      </c>
      <c r="R44" s="66" t="s">
        <v>248</v>
      </c>
    </row>
    <row r="45" spans="1:18">
      <c r="A45" s="66" t="str">
        <f>VLOOKUP(C45,classifications!C:F,4,FALSE)</f>
        <v>MD</v>
      </c>
      <c r="B45" s="66" t="s">
        <v>477</v>
      </c>
      <c r="C45" s="66" t="s">
        <v>242</v>
      </c>
      <c r="D45" s="66" t="s">
        <v>240</v>
      </c>
      <c r="E45" s="66" t="s">
        <v>291</v>
      </c>
      <c r="F45" s="66" t="s">
        <v>251</v>
      </c>
      <c r="G45" s="66" t="s">
        <v>224</v>
      </c>
      <c r="H45" s="66" t="s">
        <v>237</v>
      </c>
      <c r="I45" s="66" t="s">
        <v>231</v>
      </c>
      <c r="J45" s="66" t="s">
        <v>268</v>
      </c>
      <c r="K45" s="66" t="s">
        <v>279</v>
      </c>
      <c r="L45" s="66" t="s">
        <v>817</v>
      </c>
      <c r="M45" s="66" t="s">
        <v>239</v>
      </c>
      <c r="N45" s="66" t="s">
        <v>243</v>
      </c>
      <c r="O45" s="66" t="s">
        <v>274</v>
      </c>
      <c r="P45" s="66" t="s">
        <v>235</v>
      </c>
      <c r="Q45" s="66" t="s">
        <v>257</v>
      </c>
      <c r="R45" s="66" t="s">
        <v>233</v>
      </c>
    </row>
    <row r="46" spans="1:18">
      <c r="A46" s="66" t="str">
        <f>VLOOKUP(C46,classifications!C:F,4,FALSE)</f>
        <v>MD</v>
      </c>
      <c r="B46" s="66" t="s">
        <v>478</v>
      </c>
      <c r="C46" s="66" t="s">
        <v>249</v>
      </c>
      <c r="D46" s="66" t="s">
        <v>246</v>
      </c>
      <c r="E46" s="66" t="s">
        <v>299</v>
      </c>
      <c r="F46" s="66" t="s">
        <v>812</v>
      </c>
      <c r="G46" s="66" t="s">
        <v>226</v>
      </c>
      <c r="H46" s="66" t="s">
        <v>295</v>
      </c>
      <c r="I46" s="66" t="s">
        <v>227</v>
      </c>
      <c r="J46" s="66" t="s">
        <v>230</v>
      </c>
      <c r="K46" s="66" t="s">
        <v>304</v>
      </c>
      <c r="L46" s="66" t="s">
        <v>258</v>
      </c>
      <c r="M46" s="66" t="s">
        <v>264</v>
      </c>
      <c r="N46" s="66" t="s">
        <v>292</v>
      </c>
      <c r="O46" s="66" t="s">
        <v>259</v>
      </c>
      <c r="P46" s="66" t="s">
        <v>232</v>
      </c>
      <c r="Q46" s="66" t="s">
        <v>273</v>
      </c>
      <c r="R46" s="66" t="s">
        <v>325</v>
      </c>
    </row>
    <row r="47" spans="1:18">
      <c r="A47" s="66" t="str">
        <f>VLOOKUP(C47,classifications!C:F,4,FALSE)</f>
        <v>MD</v>
      </c>
      <c r="B47" s="66" t="s">
        <v>479</v>
      </c>
      <c r="C47" s="66" t="s">
        <v>251</v>
      </c>
      <c r="D47" s="66" t="s">
        <v>255</v>
      </c>
      <c r="E47" s="66" t="s">
        <v>224</v>
      </c>
      <c r="F47" s="66" t="s">
        <v>240</v>
      </c>
      <c r="G47" s="66" t="s">
        <v>291</v>
      </c>
      <c r="H47" s="66" t="s">
        <v>248</v>
      </c>
      <c r="I47" s="66" t="s">
        <v>239</v>
      </c>
      <c r="J47" s="66" t="s">
        <v>241</v>
      </c>
      <c r="K47" s="66" t="s">
        <v>268</v>
      </c>
      <c r="L47" s="66" t="s">
        <v>226</v>
      </c>
      <c r="M47" s="66" t="s">
        <v>242</v>
      </c>
      <c r="N47" s="66" t="s">
        <v>229</v>
      </c>
      <c r="O47" s="66" t="s">
        <v>253</v>
      </c>
      <c r="P47" s="66" t="s">
        <v>222</v>
      </c>
      <c r="Q47" s="66" t="s">
        <v>813</v>
      </c>
      <c r="R47" s="66" t="s">
        <v>227</v>
      </c>
    </row>
    <row r="48" spans="1:18">
      <c r="A48" s="66" t="str">
        <f>VLOOKUP(C48,classifications!C:F,4,FALSE)</f>
        <v>MD</v>
      </c>
      <c r="B48" s="66" t="s">
        <v>480</v>
      </c>
      <c r="C48" s="66" t="s">
        <v>252</v>
      </c>
      <c r="D48" s="66" t="s">
        <v>292</v>
      </c>
      <c r="E48" s="66" t="s">
        <v>246</v>
      </c>
      <c r="F48" s="66" t="s">
        <v>295</v>
      </c>
      <c r="G48" s="66" t="s">
        <v>299</v>
      </c>
      <c r="H48" s="66" t="s">
        <v>249</v>
      </c>
      <c r="I48" s="66" t="s">
        <v>293</v>
      </c>
      <c r="J48" s="66" t="s">
        <v>259</v>
      </c>
      <c r="K48" s="66" t="s">
        <v>287</v>
      </c>
      <c r="L48" s="66" t="s">
        <v>812</v>
      </c>
      <c r="M48" s="66" t="s">
        <v>275</v>
      </c>
      <c r="N48" s="66" t="s">
        <v>258</v>
      </c>
      <c r="O48" s="66" t="s">
        <v>290</v>
      </c>
      <c r="P48" s="66" t="s">
        <v>284</v>
      </c>
      <c r="Q48" s="66" t="s">
        <v>280</v>
      </c>
      <c r="R48" s="66" t="s">
        <v>815</v>
      </c>
    </row>
    <row r="49" spans="1:18">
      <c r="A49" s="66" t="str">
        <f>VLOOKUP(C49,classifications!C:F,4,FALSE)</f>
        <v>MD</v>
      </c>
      <c r="B49" s="66" t="s">
        <v>481</v>
      </c>
      <c r="C49" s="66" t="s">
        <v>255</v>
      </c>
      <c r="D49" s="66" t="s">
        <v>251</v>
      </c>
      <c r="E49" s="66" t="s">
        <v>241</v>
      </c>
      <c r="F49" s="66" t="s">
        <v>248</v>
      </c>
      <c r="G49" s="66" t="s">
        <v>229</v>
      </c>
      <c r="H49" s="66" t="s">
        <v>224</v>
      </c>
      <c r="I49" s="66" t="s">
        <v>253</v>
      </c>
      <c r="J49" s="66" t="s">
        <v>222</v>
      </c>
      <c r="K49" s="66" t="s">
        <v>226</v>
      </c>
      <c r="L49" s="66" t="s">
        <v>232</v>
      </c>
      <c r="M49" s="66" t="s">
        <v>291</v>
      </c>
      <c r="N49" s="66" t="s">
        <v>240</v>
      </c>
      <c r="O49" s="66" t="s">
        <v>227</v>
      </c>
      <c r="P49" s="66" t="s">
        <v>268</v>
      </c>
      <c r="Q49" s="66" t="s">
        <v>290</v>
      </c>
      <c r="R49" s="66" t="s">
        <v>813</v>
      </c>
    </row>
    <row r="50" spans="1:18">
      <c r="A50" s="66" t="str">
        <f>VLOOKUP(C50,classifications!C:F,4,FALSE)</f>
        <v>MD</v>
      </c>
      <c r="B50" s="66" t="s">
        <v>482</v>
      </c>
      <c r="C50" s="66" t="s">
        <v>233</v>
      </c>
      <c r="D50" s="66" t="s">
        <v>274</v>
      </c>
      <c r="E50" s="66" t="s">
        <v>291</v>
      </c>
      <c r="F50" s="66" t="s">
        <v>268</v>
      </c>
      <c r="G50" s="66" t="s">
        <v>248</v>
      </c>
      <c r="H50" s="66" t="s">
        <v>254</v>
      </c>
      <c r="I50" s="66" t="s">
        <v>240</v>
      </c>
      <c r="J50" s="66" t="s">
        <v>231</v>
      </c>
      <c r="K50" s="66" t="s">
        <v>817</v>
      </c>
      <c r="L50" s="66" t="s">
        <v>241</v>
      </c>
      <c r="M50" s="66" t="s">
        <v>251</v>
      </c>
      <c r="N50" s="66" t="s">
        <v>250</v>
      </c>
      <c r="O50" s="66" t="s">
        <v>243</v>
      </c>
      <c r="P50" s="66" t="s">
        <v>257</v>
      </c>
      <c r="Q50" s="66" t="s">
        <v>242</v>
      </c>
      <c r="R50" s="66" t="s">
        <v>222</v>
      </c>
    </row>
    <row r="51" spans="1:18">
      <c r="A51" s="66" t="str">
        <f>VLOOKUP(C51,classifications!C:F,4,FALSE)</f>
        <v>MD</v>
      </c>
      <c r="B51" s="66" t="s">
        <v>483</v>
      </c>
      <c r="C51" s="66" t="s">
        <v>235</v>
      </c>
      <c r="D51" s="66" t="s">
        <v>279</v>
      </c>
      <c r="E51" s="66" t="s">
        <v>237</v>
      </c>
      <c r="F51" s="66" t="s">
        <v>817</v>
      </c>
      <c r="G51" s="66" t="s">
        <v>242</v>
      </c>
      <c r="H51" s="66" t="s">
        <v>245</v>
      </c>
      <c r="I51" s="66" t="s">
        <v>291</v>
      </c>
      <c r="J51" s="66" t="s">
        <v>231</v>
      </c>
      <c r="K51" s="66" t="s">
        <v>274</v>
      </c>
      <c r="L51" s="66" t="s">
        <v>250</v>
      </c>
      <c r="M51" s="66" t="s">
        <v>257</v>
      </c>
      <c r="N51" s="66" t="s">
        <v>243</v>
      </c>
      <c r="O51" s="66" t="s">
        <v>233</v>
      </c>
      <c r="P51" s="66" t="s">
        <v>240</v>
      </c>
      <c r="Q51" s="66" t="s">
        <v>251</v>
      </c>
      <c r="R51" s="66" t="s">
        <v>224</v>
      </c>
    </row>
    <row r="52" spans="1:18">
      <c r="A52" s="66" t="str">
        <f>VLOOKUP(C52,classifications!C:F,4,FALSE)</f>
        <v>MD</v>
      </c>
      <c r="B52" s="66" t="s">
        <v>484</v>
      </c>
      <c r="C52" s="66" t="s">
        <v>248</v>
      </c>
      <c r="D52" s="66" t="s">
        <v>241</v>
      </c>
      <c r="E52" s="66" t="s">
        <v>222</v>
      </c>
      <c r="F52" s="66" t="s">
        <v>229</v>
      </c>
      <c r="G52" s="66" t="s">
        <v>255</v>
      </c>
      <c r="H52" s="66" t="s">
        <v>253</v>
      </c>
      <c r="I52" s="66" t="s">
        <v>264</v>
      </c>
      <c r="J52" s="66" t="s">
        <v>290</v>
      </c>
      <c r="K52" s="66" t="s">
        <v>251</v>
      </c>
      <c r="L52" s="66" t="s">
        <v>230</v>
      </c>
      <c r="M52" s="66" t="s">
        <v>231</v>
      </c>
      <c r="N52" s="66" t="s">
        <v>291</v>
      </c>
      <c r="O52" s="66" t="s">
        <v>268</v>
      </c>
      <c r="P52" s="66" t="s">
        <v>227</v>
      </c>
      <c r="Q52" s="66" t="s">
        <v>224</v>
      </c>
      <c r="R52" s="66" t="s">
        <v>233</v>
      </c>
    </row>
    <row r="53" spans="1:18">
      <c r="A53" s="66" t="str">
        <f>VLOOKUP(C53,classifications!C:F,4,FALSE)</f>
        <v>MD</v>
      </c>
      <c r="B53" s="66" t="s">
        <v>485</v>
      </c>
      <c r="C53" s="66" t="s">
        <v>244</v>
      </c>
      <c r="D53" s="66" t="s">
        <v>256</v>
      </c>
      <c r="E53" s="66" t="s">
        <v>238</v>
      </c>
      <c r="F53" s="66" t="s">
        <v>322</v>
      </c>
      <c r="G53" s="66" t="s">
        <v>289</v>
      </c>
      <c r="H53" s="66" t="s">
        <v>294</v>
      </c>
      <c r="I53" s="66" t="s">
        <v>281</v>
      </c>
      <c r="J53" s="66" t="s">
        <v>809</v>
      </c>
      <c r="K53" s="66" t="s">
        <v>262</v>
      </c>
      <c r="L53" s="66" t="s">
        <v>264</v>
      </c>
      <c r="M53" s="66" t="s">
        <v>230</v>
      </c>
      <c r="N53" s="66" t="s">
        <v>267</v>
      </c>
      <c r="O53" s="66" t="s">
        <v>249</v>
      </c>
      <c r="P53" s="66" t="s">
        <v>270</v>
      </c>
      <c r="Q53" s="66" t="s">
        <v>276</v>
      </c>
      <c r="R53" s="66" t="s">
        <v>282</v>
      </c>
    </row>
    <row r="54" spans="1:18">
      <c r="A54" s="66" t="str">
        <f>VLOOKUP(C54,classifications!C:F,4,FALSE)</f>
        <v>MD</v>
      </c>
      <c r="B54" s="66" t="s">
        <v>486</v>
      </c>
      <c r="C54" s="66" t="s">
        <v>256</v>
      </c>
      <c r="D54" s="66" t="s">
        <v>244</v>
      </c>
      <c r="E54" s="66" t="s">
        <v>238</v>
      </c>
      <c r="F54" s="66" t="s">
        <v>281</v>
      </c>
      <c r="G54" s="66" t="s">
        <v>322</v>
      </c>
      <c r="H54" s="66" t="s">
        <v>289</v>
      </c>
      <c r="I54" s="66" t="s">
        <v>809</v>
      </c>
      <c r="J54" s="66" t="s">
        <v>264</v>
      </c>
      <c r="K54" s="66" t="s">
        <v>230</v>
      </c>
      <c r="L54" s="66" t="s">
        <v>276</v>
      </c>
      <c r="M54" s="66" t="s">
        <v>248</v>
      </c>
      <c r="N54" s="66" t="s">
        <v>241</v>
      </c>
      <c r="O54" s="66" t="s">
        <v>227</v>
      </c>
      <c r="P54" s="66" t="s">
        <v>250</v>
      </c>
      <c r="Q54" s="66" t="s">
        <v>222</v>
      </c>
      <c r="R54" s="66" t="s">
        <v>229</v>
      </c>
    </row>
    <row r="55" spans="1:18">
      <c r="A55" s="66" t="str">
        <f>VLOOKUP(C55,classifications!C:F,4,FALSE)</f>
        <v>MD</v>
      </c>
      <c r="B55" s="66" t="s">
        <v>487</v>
      </c>
      <c r="C55" s="66" t="s">
        <v>222</v>
      </c>
      <c r="D55" s="66" t="s">
        <v>241</v>
      </c>
      <c r="E55" s="66" t="s">
        <v>229</v>
      </c>
      <c r="F55" s="66" t="s">
        <v>248</v>
      </c>
      <c r="G55" s="66" t="s">
        <v>253</v>
      </c>
      <c r="H55" s="66" t="s">
        <v>255</v>
      </c>
      <c r="I55" s="66" t="s">
        <v>266</v>
      </c>
      <c r="J55" s="66" t="s">
        <v>290</v>
      </c>
      <c r="K55" s="66" t="s">
        <v>227</v>
      </c>
      <c r="L55" s="66" t="s">
        <v>230</v>
      </c>
      <c r="M55" s="66" t="s">
        <v>264</v>
      </c>
      <c r="N55" s="66" t="s">
        <v>251</v>
      </c>
      <c r="O55" s="66" t="s">
        <v>291</v>
      </c>
      <c r="P55" s="66" t="s">
        <v>254</v>
      </c>
      <c r="Q55" s="66" t="s">
        <v>813</v>
      </c>
      <c r="R55" s="66" t="s">
        <v>232</v>
      </c>
    </row>
    <row r="56" spans="1:18">
      <c r="A56" s="66" t="str">
        <f>VLOOKUP(C56,classifications!C:F,4,FALSE)</f>
        <v>MD</v>
      </c>
      <c r="B56" s="66" t="s">
        <v>488</v>
      </c>
      <c r="C56" s="66" t="s">
        <v>229</v>
      </c>
      <c r="D56" s="66" t="s">
        <v>241</v>
      </c>
      <c r="E56" s="66" t="s">
        <v>222</v>
      </c>
      <c r="F56" s="66" t="s">
        <v>253</v>
      </c>
      <c r="G56" s="66" t="s">
        <v>248</v>
      </c>
      <c r="H56" s="66" t="s">
        <v>255</v>
      </c>
      <c r="I56" s="66" t="s">
        <v>291</v>
      </c>
      <c r="J56" s="66" t="s">
        <v>290</v>
      </c>
      <c r="K56" s="66" t="s">
        <v>266</v>
      </c>
      <c r="L56" s="66" t="s">
        <v>251</v>
      </c>
      <c r="M56" s="66" t="s">
        <v>227</v>
      </c>
      <c r="N56" s="66" t="s">
        <v>232</v>
      </c>
      <c r="O56" s="66" t="s">
        <v>230</v>
      </c>
      <c r="P56" s="66" t="s">
        <v>264</v>
      </c>
      <c r="Q56" s="66" t="s">
        <v>224</v>
      </c>
      <c r="R56" s="66" t="s">
        <v>254</v>
      </c>
    </row>
    <row r="57" spans="1:18">
      <c r="A57" s="66" t="str">
        <f>VLOOKUP(C57,classifications!C:F,4,FALSE)</f>
        <v>MD</v>
      </c>
      <c r="B57" s="66" t="s">
        <v>489</v>
      </c>
      <c r="C57" s="66" t="s">
        <v>241</v>
      </c>
      <c r="D57" s="66" t="s">
        <v>222</v>
      </c>
      <c r="E57" s="66" t="s">
        <v>229</v>
      </c>
      <c r="F57" s="66" t="s">
        <v>248</v>
      </c>
      <c r="G57" s="66" t="s">
        <v>253</v>
      </c>
      <c r="H57" s="66" t="s">
        <v>255</v>
      </c>
      <c r="I57" s="66" t="s">
        <v>290</v>
      </c>
      <c r="J57" s="66" t="s">
        <v>251</v>
      </c>
      <c r="K57" s="66" t="s">
        <v>227</v>
      </c>
      <c r="L57" s="66" t="s">
        <v>291</v>
      </c>
      <c r="M57" s="66" t="s">
        <v>230</v>
      </c>
      <c r="N57" s="66" t="s">
        <v>264</v>
      </c>
      <c r="O57" s="66" t="s">
        <v>240</v>
      </c>
      <c r="P57" s="66" t="s">
        <v>813</v>
      </c>
      <c r="Q57" s="66" t="s">
        <v>224</v>
      </c>
      <c r="R57" s="66" t="s">
        <v>254</v>
      </c>
    </row>
    <row r="58" spans="1:18">
      <c r="A58" s="66" t="str">
        <f>VLOOKUP(C58,classifications!C:F,4,FALSE)</f>
        <v>MD</v>
      </c>
      <c r="B58" s="66" t="s">
        <v>490</v>
      </c>
      <c r="C58" s="66" t="s">
        <v>245</v>
      </c>
      <c r="D58" s="66" t="s">
        <v>234</v>
      </c>
      <c r="E58" s="66" t="s">
        <v>237</v>
      </c>
      <c r="F58" s="66" t="s">
        <v>265</v>
      </c>
      <c r="G58" s="66" t="s">
        <v>228</v>
      </c>
      <c r="H58" s="66" t="s">
        <v>230</v>
      </c>
      <c r="I58" s="66" t="s">
        <v>224</v>
      </c>
      <c r="J58" s="66" t="s">
        <v>232</v>
      </c>
      <c r="K58" s="66" t="s">
        <v>253</v>
      </c>
      <c r="L58" s="66" t="s">
        <v>281</v>
      </c>
      <c r="M58" s="66" t="s">
        <v>242</v>
      </c>
      <c r="N58" s="66" t="s">
        <v>231</v>
      </c>
      <c r="O58" s="66" t="s">
        <v>241</v>
      </c>
      <c r="P58" s="66" t="s">
        <v>815</v>
      </c>
      <c r="Q58" s="66" t="s">
        <v>279</v>
      </c>
      <c r="R58" s="66" t="s">
        <v>235</v>
      </c>
    </row>
    <row r="59" spans="1:18">
      <c r="A59" s="66" t="str">
        <f>VLOOKUP(C59,classifications!C:F,4,FALSE)</f>
        <v>MD</v>
      </c>
      <c r="B59" s="66" t="s">
        <v>491</v>
      </c>
      <c r="C59" s="66" t="s">
        <v>231</v>
      </c>
      <c r="D59" s="66" t="s">
        <v>291</v>
      </c>
      <c r="E59" s="66" t="s">
        <v>248</v>
      </c>
      <c r="F59" s="66" t="s">
        <v>253</v>
      </c>
      <c r="G59" s="66" t="s">
        <v>241</v>
      </c>
      <c r="H59" s="66" t="s">
        <v>242</v>
      </c>
      <c r="I59" s="66" t="s">
        <v>268</v>
      </c>
      <c r="J59" s="66" t="s">
        <v>233</v>
      </c>
      <c r="K59" s="66" t="s">
        <v>251</v>
      </c>
      <c r="L59" s="66" t="s">
        <v>237</v>
      </c>
      <c r="M59" s="66" t="s">
        <v>250</v>
      </c>
      <c r="N59" s="66" t="s">
        <v>229</v>
      </c>
      <c r="O59" s="66" t="s">
        <v>222</v>
      </c>
      <c r="P59" s="66" t="s">
        <v>240</v>
      </c>
      <c r="Q59" s="66" t="s">
        <v>264</v>
      </c>
      <c r="R59" s="66" t="s">
        <v>290</v>
      </c>
    </row>
    <row r="60" spans="1:18">
      <c r="A60" s="66" t="str">
        <f>VLOOKUP(C60,classifications!C:F,4,FALSE)</f>
        <v>MD</v>
      </c>
      <c r="B60" s="66" t="s">
        <v>492</v>
      </c>
      <c r="C60" s="68" t="s">
        <v>237</v>
      </c>
      <c r="D60" s="66" t="s">
        <v>279</v>
      </c>
      <c r="E60" s="66" t="s">
        <v>242</v>
      </c>
      <c r="F60" s="66" t="s">
        <v>235</v>
      </c>
      <c r="G60" s="66" t="s">
        <v>231</v>
      </c>
      <c r="H60" s="66" t="s">
        <v>245</v>
      </c>
      <c r="I60" s="66" t="s">
        <v>291</v>
      </c>
      <c r="J60" s="66" t="s">
        <v>288</v>
      </c>
      <c r="K60" s="66" t="s">
        <v>228</v>
      </c>
      <c r="L60" s="66" t="s">
        <v>224</v>
      </c>
      <c r="M60" s="66" t="s">
        <v>265</v>
      </c>
      <c r="N60" s="66" t="s">
        <v>817</v>
      </c>
      <c r="O60" s="66" t="s">
        <v>281</v>
      </c>
      <c r="P60" s="66" t="s">
        <v>240</v>
      </c>
      <c r="Q60" s="66" t="s">
        <v>268</v>
      </c>
      <c r="R60" s="66" t="s">
        <v>257</v>
      </c>
    </row>
    <row r="61" spans="1:18">
      <c r="A61" s="66" t="str">
        <f>VLOOKUP(C61,classifications!C:F,4,FALSE)</f>
        <v>MD</v>
      </c>
      <c r="B61" s="66" t="s">
        <v>493</v>
      </c>
      <c r="C61" s="66" t="s">
        <v>238</v>
      </c>
      <c r="D61" s="66" t="s">
        <v>281</v>
      </c>
      <c r="E61" s="66" t="s">
        <v>256</v>
      </c>
      <c r="F61" s="66" t="s">
        <v>809</v>
      </c>
      <c r="G61" s="66" t="s">
        <v>244</v>
      </c>
      <c r="H61" s="66" t="s">
        <v>250</v>
      </c>
      <c r="I61" s="66" t="s">
        <v>230</v>
      </c>
      <c r="J61" s="66" t="s">
        <v>248</v>
      </c>
      <c r="K61" s="66" t="s">
        <v>264</v>
      </c>
      <c r="L61" s="66" t="s">
        <v>322</v>
      </c>
      <c r="M61" s="66" t="s">
        <v>276</v>
      </c>
      <c r="N61" s="66" t="s">
        <v>241</v>
      </c>
      <c r="O61" s="66" t="s">
        <v>222</v>
      </c>
      <c r="P61" s="66" t="s">
        <v>290</v>
      </c>
      <c r="Q61" s="66" t="s">
        <v>231</v>
      </c>
      <c r="R61" s="66" t="s">
        <v>247</v>
      </c>
    </row>
    <row r="62" spans="1:18">
      <c r="A62" s="66" t="str">
        <f>VLOOKUP(C62,classifications!C:F,4,FALSE)</f>
        <v>MD</v>
      </c>
      <c r="B62" s="66" t="s">
        <v>494</v>
      </c>
      <c r="C62" s="66" t="s">
        <v>247</v>
      </c>
      <c r="D62" s="66" t="s">
        <v>250</v>
      </c>
      <c r="E62" s="66" t="s">
        <v>269</v>
      </c>
      <c r="F62" s="66" t="s">
        <v>809</v>
      </c>
      <c r="G62" s="66" t="s">
        <v>233</v>
      </c>
      <c r="H62" s="66" t="s">
        <v>238</v>
      </c>
      <c r="I62" s="66" t="s">
        <v>231</v>
      </c>
      <c r="J62" s="66" t="s">
        <v>248</v>
      </c>
      <c r="K62" s="66" t="s">
        <v>257</v>
      </c>
      <c r="L62" s="66" t="s">
        <v>276</v>
      </c>
      <c r="M62" s="66" t="s">
        <v>274</v>
      </c>
      <c r="N62" s="66" t="s">
        <v>281</v>
      </c>
      <c r="O62" s="66" t="s">
        <v>291</v>
      </c>
      <c r="P62" s="66" t="s">
        <v>256</v>
      </c>
      <c r="Q62" s="66" t="s">
        <v>817</v>
      </c>
      <c r="R62" s="66" t="s">
        <v>254</v>
      </c>
    </row>
    <row r="63" spans="1:18">
      <c r="A63" s="66" t="str">
        <f>VLOOKUP(C63,classifications!C:F,4,FALSE)</f>
        <v>MD</v>
      </c>
      <c r="B63" s="66" t="s">
        <v>495</v>
      </c>
      <c r="C63" s="66" t="s">
        <v>250</v>
      </c>
      <c r="D63" s="66" t="s">
        <v>247</v>
      </c>
      <c r="E63" s="66" t="s">
        <v>281</v>
      </c>
      <c r="F63" s="66" t="s">
        <v>238</v>
      </c>
      <c r="G63" s="66" t="s">
        <v>231</v>
      </c>
      <c r="H63" s="66" t="s">
        <v>809</v>
      </c>
      <c r="I63" s="66" t="s">
        <v>269</v>
      </c>
      <c r="J63" s="66" t="s">
        <v>291</v>
      </c>
      <c r="K63" s="66" t="s">
        <v>233</v>
      </c>
      <c r="L63" s="66" t="s">
        <v>248</v>
      </c>
      <c r="M63" s="66" t="s">
        <v>276</v>
      </c>
      <c r="N63" s="66" t="s">
        <v>251</v>
      </c>
      <c r="O63" s="66" t="s">
        <v>241</v>
      </c>
      <c r="P63" s="66" t="s">
        <v>268</v>
      </c>
      <c r="Q63" s="66" t="s">
        <v>242</v>
      </c>
      <c r="R63" s="66" t="s">
        <v>253</v>
      </c>
    </row>
    <row r="64" spans="1:18">
      <c r="A64" s="66" t="str">
        <f>VLOOKUP(C64,classifications!C:F,4,FALSE)</f>
        <v>MD</v>
      </c>
      <c r="B64" s="66" t="s">
        <v>496</v>
      </c>
      <c r="C64" s="66" t="s">
        <v>223</v>
      </c>
      <c r="D64" s="66" t="s">
        <v>234</v>
      </c>
      <c r="E64" s="66" t="s">
        <v>225</v>
      </c>
      <c r="F64" s="66" t="s">
        <v>245</v>
      </c>
      <c r="G64" s="66" t="s">
        <v>243</v>
      </c>
      <c r="H64" s="66" t="s">
        <v>271</v>
      </c>
      <c r="I64" s="66" t="s">
        <v>228</v>
      </c>
      <c r="J64" s="66" t="s">
        <v>235</v>
      </c>
      <c r="K64" s="66" t="s">
        <v>232</v>
      </c>
      <c r="L64" s="66" t="s">
        <v>279</v>
      </c>
      <c r="M64" s="66" t="s">
        <v>224</v>
      </c>
      <c r="N64" s="66" t="s">
        <v>254</v>
      </c>
      <c r="O64" s="66" t="s">
        <v>257</v>
      </c>
      <c r="P64" s="66" t="s">
        <v>239</v>
      </c>
      <c r="Q64" s="66" t="s">
        <v>265</v>
      </c>
      <c r="R64" s="66" t="s">
        <v>815</v>
      </c>
    </row>
    <row r="65" spans="1:18">
      <c r="A65" s="66" t="str">
        <f>VLOOKUP(C65,classifications!C:F,4,FALSE)</f>
        <v>MD</v>
      </c>
      <c r="B65" s="66" t="s">
        <v>497</v>
      </c>
      <c r="C65" s="66" t="s">
        <v>228</v>
      </c>
      <c r="D65" s="66" t="s">
        <v>265</v>
      </c>
      <c r="E65" s="66" t="s">
        <v>224</v>
      </c>
      <c r="F65" s="66" t="s">
        <v>273</v>
      </c>
      <c r="G65" s="66" t="s">
        <v>245</v>
      </c>
      <c r="H65" s="66" t="s">
        <v>239</v>
      </c>
      <c r="I65" s="66" t="s">
        <v>232</v>
      </c>
      <c r="J65" s="66" t="s">
        <v>240</v>
      </c>
      <c r="K65" s="66" t="s">
        <v>225</v>
      </c>
      <c r="L65" s="66" t="s">
        <v>280</v>
      </c>
      <c r="M65" s="66" t="s">
        <v>254</v>
      </c>
      <c r="N65" s="66" t="s">
        <v>290</v>
      </c>
      <c r="O65" s="66" t="s">
        <v>243</v>
      </c>
      <c r="P65" s="66" t="s">
        <v>230</v>
      </c>
      <c r="Q65" s="66" t="s">
        <v>257</v>
      </c>
      <c r="R65" s="66" t="s">
        <v>292</v>
      </c>
    </row>
    <row r="66" spans="1:18">
      <c r="A66" s="66" t="str">
        <f>VLOOKUP(C66,classifications!C:F,4,FALSE)</f>
        <v>MD</v>
      </c>
      <c r="B66" s="66" t="s">
        <v>498</v>
      </c>
      <c r="C66" s="66" t="s">
        <v>230</v>
      </c>
      <c r="D66" s="66" t="s">
        <v>265</v>
      </c>
      <c r="E66" s="66" t="s">
        <v>290</v>
      </c>
      <c r="F66" s="66" t="s">
        <v>248</v>
      </c>
      <c r="G66" s="66" t="s">
        <v>264</v>
      </c>
      <c r="H66" s="66" t="s">
        <v>241</v>
      </c>
      <c r="I66" s="66" t="s">
        <v>254</v>
      </c>
      <c r="J66" s="66" t="s">
        <v>253</v>
      </c>
      <c r="K66" s="66" t="s">
        <v>222</v>
      </c>
      <c r="L66" s="66" t="s">
        <v>229</v>
      </c>
      <c r="M66" s="66" t="s">
        <v>232</v>
      </c>
      <c r="N66" s="66" t="s">
        <v>227</v>
      </c>
      <c r="O66" s="66" t="s">
        <v>224</v>
      </c>
      <c r="P66" s="66" t="s">
        <v>238</v>
      </c>
      <c r="Q66" s="66" t="s">
        <v>255</v>
      </c>
      <c r="R66" s="66" t="s">
        <v>249</v>
      </c>
    </row>
    <row r="67" spans="1:18">
      <c r="A67" s="66" t="str">
        <f>VLOOKUP(C67,classifications!C:F,4,FALSE)</f>
        <v>MD</v>
      </c>
      <c r="B67" s="66" t="s">
        <v>499</v>
      </c>
      <c r="C67" s="66" t="s">
        <v>243</v>
      </c>
      <c r="D67" s="66" t="s">
        <v>257</v>
      </c>
      <c r="E67" s="66" t="s">
        <v>254</v>
      </c>
      <c r="F67" s="66" t="s">
        <v>240</v>
      </c>
      <c r="G67" s="66" t="s">
        <v>817</v>
      </c>
      <c r="H67" s="66" t="s">
        <v>291</v>
      </c>
      <c r="I67" s="66" t="s">
        <v>239</v>
      </c>
      <c r="J67" s="66" t="s">
        <v>274</v>
      </c>
      <c r="K67" s="66" t="s">
        <v>242</v>
      </c>
      <c r="L67" s="66" t="s">
        <v>224</v>
      </c>
      <c r="M67" s="66" t="s">
        <v>265</v>
      </c>
      <c r="N67" s="66" t="s">
        <v>233</v>
      </c>
      <c r="O67" s="66" t="s">
        <v>228</v>
      </c>
      <c r="P67" s="66" t="s">
        <v>260</v>
      </c>
      <c r="Q67" s="66" t="s">
        <v>251</v>
      </c>
      <c r="R67" s="66" t="s">
        <v>279</v>
      </c>
    </row>
    <row r="68" spans="1:18">
      <c r="A68" s="66" t="str">
        <f>VLOOKUP(C68,classifications!C:F,4,FALSE)</f>
        <v>MD</v>
      </c>
      <c r="B68" s="66" t="s">
        <v>500</v>
      </c>
      <c r="C68" s="66" t="s">
        <v>246</v>
      </c>
      <c r="D68" s="66" t="s">
        <v>304</v>
      </c>
      <c r="E68" s="66" t="s">
        <v>258</v>
      </c>
      <c r="F68" s="66" t="s">
        <v>249</v>
      </c>
      <c r="G68" s="66" t="s">
        <v>812</v>
      </c>
      <c r="H68" s="66" t="s">
        <v>259</v>
      </c>
      <c r="I68" s="66" t="s">
        <v>252</v>
      </c>
      <c r="J68" s="66" t="s">
        <v>282</v>
      </c>
      <c r="K68" s="66" t="s">
        <v>299</v>
      </c>
      <c r="L68" s="66" t="s">
        <v>295</v>
      </c>
      <c r="M68" s="66" t="s">
        <v>287</v>
      </c>
      <c r="N68" s="66" t="s">
        <v>278</v>
      </c>
      <c r="O68" s="66" t="s">
        <v>325</v>
      </c>
      <c r="P68" s="66" t="s">
        <v>297</v>
      </c>
      <c r="Q68" s="66" t="s">
        <v>816</v>
      </c>
      <c r="R68" s="66" t="s">
        <v>292</v>
      </c>
    </row>
    <row r="69" spans="1:18">
      <c r="A69" s="66" t="str">
        <f>VLOOKUP(C69,classifications!C:F,4,FALSE)</f>
        <v>MD</v>
      </c>
      <c r="B69" s="66" t="s">
        <v>501</v>
      </c>
      <c r="C69" s="66" t="s">
        <v>254</v>
      </c>
      <c r="D69" s="66" t="s">
        <v>257</v>
      </c>
      <c r="E69" s="66" t="s">
        <v>243</v>
      </c>
      <c r="F69" s="66" t="s">
        <v>240</v>
      </c>
      <c r="G69" s="66" t="s">
        <v>265</v>
      </c>
      <c r="H69" s="66" t="s">
        <v>239</v>
      </c>
      <c r="I69" s="66" t="s">
        <v>241</v>
      </c>
      <c r="J69" s="66" t="s">
        <v>230</v>
      </c>
      <c r="K69" s="66" t="s">
        <v>291</v>
      </c>
      <c r="L69" s="66" t="s">
        <v>224</v>
      </c>
      <c r="M69" s="66" t="s">
        <v>248</v>
      </c>
      <c r="N69" s="66" t="s">
        <v>233</v>
      </c>
      <c r="O69" s="66" t="s">
        <v>229</v>
      </c>
      <c r="P69" s="66" t="s">
        <v>290</v>
      </c>
      <c r="Q69" s="66" t="s">
        <v>222</v>
      </c>
      <c r="R69" s="66" t="s">
        <v>251</v>
      </c>
    </row>
    <row r="70" spans="1:18">
      <c r="A70" s="66" t="str">
        <f>VLOOKUP(C70,classifications!C:F,4,FALSE)</f>
        <v>MD</v>
      </c>
      <c r="B70" s="66" t="s">
        <v>502</v>
      </c>
      <c r="C70" s="66" t="s">
        <v>257</v>
      </c>
      <c r="D70" s="66" t="s">
        <v>243</v>
      </c>
      <c r="E70" s="66" t="s">
        <v>254</v>
      </c>
      <c r="F70" s="66" t="s">
        <v>817</v>
      </c>
      <c r="G70" s="66" t="s">
        <v>240</v>
      </c>
      <c r="H70" s="66" t="s">
        <v>274</v>
      </c>
      <c r="I70" s="66" t="s">
        <v>291</v>
      </c>
      <c r="J70" s="66" t="s">
        <v>265</v>
      </c>
      <c r="K70" s="66" t="s">
        <v>242</v>
      </c>
      <c r="L70" s="66" t="s">
        <v>233</v>
      </c>
      <c r="M70" s="66" t="s">
        <v>239</v>
      </c>
      <c r="N70" s="66" t="s">
        <v>228</v>
      </c>
      <c r="O70" s="66" t="s">
        <v>224</v>
      </c>
      <c r="P70" s="66" t="s">
        <v>279</v>
      </c>
      <c r="Q70" s="66" t="s">
        <v>231</v>
      </c>
      <c r="R70" s="66" t="s">
        <v>241</v>
      </c>
    </row>
    <row r="71" spans="1:18">
      <c r="A71" s="66" t="str">
        <f>VLOOKUP(C71,classifications!C:F,4,FALSE)</f>
        <v>MD</v>
      </c>
      <c r="B71" s="66" t="s">
        <v>503</v>
      </c>
      <c r="C71" s="66" t="s">
        <v>225</v>
      </c>
      <c r="D71" s="66" t="s">
        <v>239</v>
      </c>
      <c r="E71" s="66" t="s">
        <v>232</v>
      </c>
      <c r="F71" s="66" t="s">
        <v>224</v>
      </c>
      <c r="G71" s="66" t="s">
        <v>228</v>
      </c>
      <c r="H71" s="66" t="s">
        <v>273</v>
      </c>
      <c r="I71" s="66" t="s">
        <v>265</v>
      </c>
      <c r="J71" s="66" t="s">
        <v>260</v>
      </c>
      <c r="K71" s="66" t="s">
        <v>240</v>
      </c>
      <c r="L71" s="66" t="s">
        <v>272</v>
      </c>
      <c r="M71" s="66" t="s">
        <v>243</v>
      </c>
      <c r="N71" s="66" t="s">
        <v>254</v>
      </c>
      <c r="O71" s="66" t="s">
        <v>226</v>
      </c>
      <c r="P71" s="66" t="s">
        <v>227</v>
      </c>
      <c r="Q71" s="66" t="s">
        <v>245</v>
      </c>
      <c r="R71" s="66" t="s">
        <v>251</v>
      </c>
    </row>
    <row r="72" spans="1:18">
      <c r="A72" s="66" t="str">
        <f>VLOOKUP(C72,classifications!C:F,4,FALSE)</f>
        <v>MD</v>
      </c>
      <c r="B72" s="66" t="s">
        <v>504</v>
      </c>
      <c r="C72" s="66" t="s">
        <v>227</v>
      </c>
      <c r="D72" s="66" t="s">
        <v>226</v>
      </c>
      <c r="E72" s="66" t="s">
        <v>232</v>
      </c>
      <c r="F72" s="66" t="s">
        <v>264</v>
      </c>
      <c r="G72" s="66" t="s">
        <v>290</v>
      </c>
      <c r="H72" s="66" t="s">
        <v>241</v>
      </c>
      <c r="I72" s="66" t="s">
        <v>273</v>
      </c>
      <c r="J72" s="66" t="s">
        <v>224</v>
      </c>
      <c r="K72" s="66" t="s">
        <v>265</v>
      </c>
      <c r="L72" s="66" t="s">
        <v>813</v>
      </c>
      <c r="M72" s="66" t="s">
        <v>255</v>
      </c>
      <c r="N72" s="66" t="s">
        <v>222</v>
      </c>
      <c r="O72" s="66" t="s">
        <v>229</v>
      </c>
      <c r="P72" s="66" t="s">
        <v>248</v>
      </c>
      <c r="Q72" s="66" t="s">
        <v>253</v>
      </c>
      <c r="R72" s="66" t="s">
        <v>295</v>
      </c>
    </row>
    <row r="73" spans="1:18">
      <c r="A73" s="66" t="str">
        <f>VLOOKUP(C73,classifications!C:F,4,FALSE)</f>
        <v>MD</v>
      </c>
      <c r="B73" s="66" t="s">
        <v>505</v>
      </c>
      <c r="C73" s="66" t="s">
        <v>232</v>
      </c>
      <c r="D73" s="66" t="s">
        <v>227</v>
      </c>
      <c r="E73" s="66" t="s">
        <v>273</v>
      </c>
      <c r="F73" s="66" t="s">
        <v>224</v>
      </c>
      <c r="G73" s="66" t="s">
        <v>226</v>
      </c>
      <c r="H73" s="66" t="s">
        <v>255</v>
      </c>
      <c r="I73" s="66" t="s">
        <v>265</v>
      </c>
      <c r="J73" s="66" t="s">
        <v>241</v>
      </c>
      <c r="K73" s="66" t="s">
        <v>290</v>
      </c>
      <c r="L73" s="66" t="s">
        <v>229</v>
      </c>
      <c r="M73" s="66" t="s">
        <v>230</v>
      </c>
      <c r="N73" s="66" t="s">
        <v>253</v>
      </c>
      <c r="O73" s="66" t="s">
        <v>813</v>
      </c>
      <c r="P73" s="66" t="s">
        <v>225</v>
      </c>
      <c r="Q73" s="66" t="s">
        <v>222</v>
      </c>
      <c r="R73" s="66" t="s">
        <v>228</v>
      </c>
    </row>
    <row r="74" spans="1:18">
      <c r="A74" s="66" t="str">
        <f>VLOOKUP(C74,classifications!C:F,4,FALSE)</f>
        <v>MD</v>
      </c>
      <c r="B74" s="66" t="s">
        <v>506</v>
      </c>
      <c r="C74" s="66" t="s">
        <v>234</v>
      </c>
      <c r="D74" s="66" t="s">
        <v>245</v>
      </c>
      <c r="E74" s="66" t="s">
        <v>232</v>
      </c>
      <c r="F74" s="66" t="s">
        <v>815</v>
      </c>
      <c r="G74" s="66" t="s">
        <v>237</v>
      </c>
      <c r="H74" s="66" t="s">
        <v>228</v>
      </c>
      <c r="I74" s="66" t="s">
        <v>224</v>
      </c>
      <c r="J74" s="66" t="s">
        <v>253</v>
      </c>
      <c r="K74" s="66" t="s">
        <v>265</v>
      </c>
      <c r="L74" s="66" t="s">
        <v>225</v>
      </c>
      <c r="M74" s="66" t="s">
        <v>230</v>
      </c>
      <c r="N74" s="66" t="s">
        <v>273</v>
      </c>
      <c r="O74" s="66" t="s">
        <v>235</v>
      </c>
      <c r="P74" s="66" t="s">
        <v>292</v>
      </c>
      <c r="Q74" s="66" t="s">
        <v>266</v>
      </c>
      <c r="R74" s="66" t="s">
        <v>295</v>
      </c>
    </row>
    <row r="75" spans="1:18">
      <c r="A75" s="66" t="str">
        <f>VLOOKUP(C75,classifications!C:F,4,FALSE)</f>
        <v>MD</v>
      </c>
      <c r="B75" s="66" t="s">
        <v>507</v>
      </c>
      <c r="C75" s="66" t="s">
        <v>253</v>
      </c>
      <c r="D75" s="66" t="s">
        <v>241</v>
      </c>
      <c r="E75" s="66" t="s">
        <v>229</v>
      </c>
      <c r="F75" s="66" t="s">
        <v>222</v>
      </c>
      <c r="G75" s="66" t="s">
        <v>248</v>
      </c>
      <c r="H75" s="66" t="s">
        <v>255</v>
      </c>
      <c r="I75" s="66" t="s">
        <v>290</v>
      </c>
      <c r="J75" s="66" t="s">
        <v>266</v>
      </c>
      <c r="K75" s="66" t="s">
        <v>230</v>
      </c>
      <c r="L75" s="66" t="s">
        <v>231</v>
      </c>
      <c r="M75" s="66" t="s">
        <v>291</v>
      </c>
      <c r="N75" s="66" t="s">
        <v>227</v>
      </c>
      <c r="O75" s="66" t="s">
        <v>813</v>
      </c>
      <c r="P75" s="66" t="s">
        <v>251</v>
      </c>
      <c r="Q75" s="66" t="s">
        <v>277</v>
      </c>
      <c r="R75" s="66" t="s">
        <v>224</v>
      </c>
    </row>
    <row r="77" spans="1:18">
      <c r="B77" s="65" t="s">
        <v>508</v>
      </c>
    </row>
    <row r="78" spans="1:18">
      <c r="A78" s="66" t="str">
        <f>VLOOKUP(C78,classifications!C:F,4,FALSE)</f>
        <v>UA</v>
      </c>
      <c r="B78" s="66" t="s">
        <v>509</v>
      </c>
      <c r="C78" s="68" t="s">
        <v>258</v>
      </c>
      <c r="D78" s="66" t="s">
        <v>304</v>
      </c>
      <c r="E78" s="66" t="s">
        <v>246</v>
      </c>
      <c r="F78" s="66" t="s">
        <v>812</v>
      </c>
      <c r="G78" s="66" t="s">
        <v>325</v>
      </c>
      <c r="H78" s="66" t="s">
        <v>816</v>
      </c>
      <c r="I78" s="66" t="s">
        <v>299</v>
      </c>
      <c r="J78" s="66" t="s">
        <v>249</v>
      </c>
      <c r="K78" s="66" t="s">
        <v>278</v>
      </c>
      <c r="L78" s="66" t="s">
        <v>297</v>
      </c>
      <c r="M78" s="66" t="s">
        <v>303</v>
      </c>
      <c r="N78" s="66" t="s">
        <v>259</v>
      </c>
      <c r="O78" s="66" t="s">
        <v>282</v>
      </c>
      <c r="P78" s="66" t="s">
        <v>287</v>
      </c>
      <c r="Q78" s="66" t="s">
        <v>267</v>
      </c>
      <c r="R78" s="66" t="s">
        <v>296</v>
      </c>
    </row>
    <row r="79" spans="1:18">
      <c r="A79" s="66" t="str">
        <f>VLOOKUP(C79,classifications!C:F,4,FALSE)</f>
        <v>UA</v>
      </c>
      <c r="B79" s="66" t="s">
        <v>510</v>
      </c>
      <c r="C79" s="68" t="s">
        <v>259</v>
      </c>
      <c r="D79" s="66" t="s">
        <v>292</v>
      </c>
      <c r="E79" s="66" t="s">
        <v>303</v>
      </c>
      <c r="F79" s="66" t="s">
        <v>246</v>
      </c>
      <c r="G79" s="66" t="s">
        <v>249</v>
      </c>
      <c r="H79" s="66" t="s">
        <v>258</v>
      </c>
      <c r="I79" s="66" t="s">
        <v>295</v>
      </c>
      <c r="J79" s="66" t="s">
        <v>812</v>
      </c>
      <c r="K79" s="66" t="s">
        <v>227</v>
      </c>
      <c r="L79" s="66" t="s">
        <v>280</v>
      </c>
      <c r="M79" s="66" t="s">
        <v>299</v>
      </c>
      <c r="N79" s="66" t="s">
        <v>275</v>
      </c>
      <c r="O79" s="66" t="s">
        <v>252</v>
      </c>
      <c r="P79" s="66" t="s">
        <v>273</v>
      </c>
      <c r="Q79" s="66" t="s">
        <v>287</v>
      </c>
      <c r="R79" s="66" t="s">
        <v>297</v>
      </c>
    </row>
    <row r="80" spans="1:18">
      <c r="A80" s="66" t="str">
        <f>VLOOKUP(C80,classifications!C:F,4,FALSE)</f>
        <v>UA</v>
      </c>
      <c r="B80" s="66" t="s">
        <v>511</v>
      </c>
      <c r="C80" s="68" t="s">
        <v>260</v>
      </c>
      <c r="D80" s="66" t="s">
        <v>239</v>
      </c>
      <c r="E80" s="66" t="s">
        <v>240</v>
      </c>
      <c r="F80" s="66" t="s">
        <v>224</v>
      </c>
      <c r="G80" s="66" t="s">
        <v>251</v>
      </c>
      <c r="H80" s="66" t="s">
        <v>225</v>
      </c>
      <c r="I80" s="66" t="s">
        <v>291</v>
      </c>
      <c r="J80" s="66" t="s">
        <v>265</v>
      </c>
      <c r="K80" s="66" t="s">
        <v>813</v>
      </c>
      <c r="L80" s="66" t="s">
        <v>243</v>
      </c>
      <c r="M80" s="66" t="s">
        <v>273</v>
      </c>
      <c r="N80" s="66" t="s">
        <v>272</v>
      </c>
      <c r="O80" s="66" t="s">
        <v>268</v>
      </c>
      <c r="P80" s="66" t="s">
        <v>228</v>
      </c>
      <c r="Q80" s="66" t="s">
        <v>226</v>
      </c>
      <c r="R80" s="66" t="s">
        <v>254</v>
      </c>
    </row>
    <row r="81" spans="1:18">
      <c r="A81" s="66" t="str">
        <f>VLOOKUP(C81,classifications!C:F,4,FALSE)</f>
        <v>UA</v>
      </c>
      <c r="B81" s="66" t="s">
        <v>512</v>
      </c>
      <c r="C81" s="68" t="s">
        <v>261</v>
      </c>
      <c r="D81" s="66" t="s">
        <v>276</v>
      </c>
      <c r="E81" s="66" t="s">
        <v>269</v>
      </c>
      <c r="F81" s="66" t="s">
        <v>809</v>
      </c>
      <c r="G81" s="66" t="s">
        <v>250</v>
      </c>
      <c r="H81" s="66" t="s">
        <v>256</v>
      </c>
      <c r="I81" s="66" t="s">
        <v>281</v>
      </c>
      <c r="J81" s="66" t="s">
        <v>247</v>
      </c>
      <c r="K81" s="66" t="s">
        <v>274</v>
      </c>
      <c r="L81" s="66" t="s">
        <v>264</v>
      </c>
      <c r="M81" s="66" t="s">
        <v>238</v>
      </c>
      <c r="N81" s="66" t="s">
        <v>244</v>
      </c>
      <c r="O81" s="66" t="s">
        <v>291</v>
      </c>
      <c r="P81" s="66" t="s">
        <v>248</v>
      </c>
      <c r="Q81" s="66" t="s">
        <v>231</v>
      </c>
      <c r="R81" s="66" t="s">
        <v>251</v>
      </c>
    </row>
    <row r="82" spans="1:18">
      <c r="A82" s="66" t="str">
        <f>VLOOKUP(C82,classifications!C:F,4,FALSE)</f>
        <v>UA</v>
      </c>
      <c r="B82" s="66" t="s">
        <v>513</v>
      </c>
      <c r="C82" s="68" t="s">
        <v>262</v>
      </c>
      <c r="D82" s="66" t="s">
        <v>289</v>
      </c>
      <c r="E82" s="66" t="s">
        <v>294</v>
      </c>
      <c r="F82" s="66" t="s">
        <v>244</v>
      </c>
      <c r="G82" s="66" t="s">
        <v>282</v>
      </c>
      <c r="H82" s="66" t="s">
        <v>281</v>
      </c>
      <c r="I82" s="66" t="s">
        <v>256</v>
      </c>
      <c r="J82" s="66" t="s">
        <v>299</v>
      </c>
      <c r="K82" s="66" t="s">
        <v>238</v>
      </c>
      <c r="L82" s="66" t="s">
        <v>811</v>
      </c>
      <c r="M82" s="66" t="s">
        <v>249</v>
      </c>
      <c r="N82" s="66" t="s">
        <v>278</v>
      </c>
      <c r="O82" s="66" t="s">
        <v>322</v>
      </c>
      <c r="P82" s="66" t="s">
        <v>264</v>
      </c>
      <c r="Q82" s="66" t="s">
        <v>815</v>
      </c>
      <c r="R82" s="66" t="s">
        <v>270</v>
      </c>
    </row>
    <row r="83" spans="1:18">
      <c r="A83" s="66" t="str">
        <f>VLOOKUP(C83,classifications!C:F,4,FALSE)</f>
        <v>UA</v>
      </c>
      <c r="B83" s="66" t="s">
        <v>514</v>
      </c>
      <c r="C83" s="68" t="s">
        <v>263</v>
      </c>
      <c r="D83" s="66" t="s">
        <v>296</v>
      </c>
      <c r="E83" s="66" t="s">
        <v>275</v>
      </c>
      <c r="F83" s="66" t="s">
        <v>259</v>
      </c>
      <c r="G83" s="66" t="s">
        <v>298</v>
      </c>
      <c r="H83" s="66" t="s">
        <v>284</v>
      </c>
      <c r="I83" s="66" t="s">
        <v>814</v>
      </c>
      <c r="J83" s="66" t="s">
        <v>303</v>
      </c>
      <c r="K83" s="66" t="s">
        <v>292</v>
      </c>
      <c r="L83" s="66" t="s">
        <v>293</v>
      </c>
      <c r="M83" s="66" t="s">
        <v>252</v>
      </c>
      <c r="N83" s="66" t="s">
        <v>287</v>
      </c>
      <c r="O83" s="66" t="s">
        <v>246</v>
      </c>
      <c r="P83" s="66" t="s">
        <v>258</v>
      </c>
      <c r="Q83" s="66" t="s">
        <v>295</v>
      </c>
      <c r="R83" s="66" t="s">
        <v>249</v>
      </c>
    </row>
    <row r="84" spans="1:18">
      <c r="A84" s="66" t="str">
        <f>VLOOKUP(C84,classifications!C:F,4,FALSE)</f>
        <v>UA</v>
      </c>
      <c r="B84" s="66" t="s">
        <v>515</v>
      </c>
      <c r="C84" s="68" t="s">
        <v>811</v>
      </c>
      <c r="D84" s="66" t="s">
        <v>283</v>
      </c>
      <c r="E84" s="66" t="s">
        <v>815</v>
      </c>
      <c r="F84" s="66" t="s">
        <v>288</v>
      </c>
      <c r="G84" s="66" t="s">
        <v>262</v>
      </c>
      <c r="H84" s="66" t="s">
        <v>289</v>
      </c>
      <c r="I84" s="66" t="s">
        <v>281</v>
      </c>
      <c r="J84" s="66" t="s">
        <v>299</v>
      </c>
      <c r="K84" s="66" t="s">
        <v>238</v>
      </c>
      <c r="L84" s="66" t="s">
        <v>245</v>
      </c>
      <c r="M84" s="66" t="s">
        <v>273</v>
      </c>
      <c r="N84" s="66" t="s">
        <v>237</v>
      </c>
      <c r="O84" s="66" t="s">
        <v>228</v>
      </c>
      <c r="P84" s="66" t="s">
        <v>292</v>
      </c>
      <c r="Q84" s="66" t="s">
        <v>284</v>
      </c>
      <c r="R84" s="66" t="s">
        <v>249</v>
      </c>
    </row>
    <row r="85" spans="1:18">
      <c r="A85" s="66" t="str">
        <f>VLOOKUP(C85,classifications!C:F,4,FALSE)</f>
        <v>UA</v>
      </c>
      <c r="B85" s="66" t="s">
        <v>516</v>
      </c>
      <c r="C85" s="68" t="s">
        <v>815</v>
      </c>
      <c r="D85" s="66" t="s">
        <v>288</v>
      </c>
      <c r="E85" s="66" t="s">
        <v>281</v>
      </c>
      <c r="F85" s="66" t="s">
        <v>283</v>
      </c>
      <c r="G85" s="66" t="s">
        <v>245</v>
      </c>
      <c r="H85" s="66" t="s">
        <v>811</v>
      </c>
      <c r="I85" s="66" t="s">
        <v>228</v>
      </c>
      <c r="J85" s="66" t="s">
        <v>234</v>
      </c>
      <c r="K85" s="66" t="s">
        <v>292</v>
      </c>
      <c r="L85" s="66" t="s">
        <v>237</v>
      </c>
      <c r="M85" s="66" t="s">
        <v>265</v>
      </c>
      <c r="N85" s="66" t="s">
        <v>224</v>
      </c>
      <c r="O85" s="66" t="s">
        <v>238</v>
      </c>
      <c r="P85" s="66" t="s">
        <v>273</v>
      </c>
      <c r="Q85" s="66" t="s">
        <v>289</v>
      </c>
      <c r="R85" s="66" t="s">
        <v>232</v>
      </c>
    </row>
    <row r="86" spans="1:18">
      <c r="A86" s="66" t="str">
        <f>VLOOKUP(C86,classifications!C:F,4,FALSE)</f>
        <v>UA</v>
      </c>
      <c r="B86" s="66" t="s">
        <v>517</v>
      </c>
      <c r="C86" s="68" t="s">
        <v>303</v>
      </c>
      <c r="D86" s="66" t="s">
        <v>297</v>
      </c>
      <c r="E86" s="66" t="s">
        <v>259</v>
      </c>
      <c r="F86" s="66" t="s">
        <v>304</v>
      </c>
      <c r="G86" s="66" t="s">
        <v>258</v>
      </c>
      <c r="H86" s="66" t="s">
        <v>296</v>
      </c>
      <c r="I86" s="66" t="s">
        <v>812</v>
      </c>
      <c r="J86" s="66" t="s">
        <v>325</v>
      </c>
      <c r="K86" s="66" t="s">
        <v>287</v>
      </c>
      <c r="L86" s="66" t="s">
        <v>816</v>
      </c>
      <c r="M86" s="66" t="s">
        <v>249</v>
      </c>
      <c r="N86" s="66" t="s">
        <v>295</v>
      </c>
      <c r="O86" s="66" t="s">
        <v>246</v>
      </c>
      <c r="P86" s="66" t="s">
        <v>292</v>
      </c>
      <c r="Q86" s="66" t="s">
        <v>278</v>
      </c>
      <c r="R86" s="66" t="s">
        <v>227</v>
      </c>
    </row>
    <row r="87" spans="1:18">
      <c r="A87" s="66" t="str">
        <f>VLOOKUP(C87,classifications!C:F,4,FALSE)</f>
        <v>UA</v>
      </c>
      <c r="B87" s="66" t="s">
        <v>518</v>
      </c>
      <c r="C87" s="68" t="s">
        <v>305</v>
      </c>
      <c r="D87" s="66" t="s">
        <v>267</v>
      </c>
      <c r="E87" s="66" t="s">
        <v>322</v>
      </c>
      <c r="F87" s="66" t="s">
        <v>325</v>
      </c>
      <c r="G87" s="66" t="s">
        <v>278</v>
      </c>
      <c r="H87" s="66" t="s">
        <v>270</v>
      </c>
      <c r="I87" s="66" t="s">
        <v>812</v>
      </c>
      <c r="J87" s="66" t="s">
        <v>816</v>
      </c>
      <c r="K87" s="66" t="s">
        <v>304</v>
      </c>
      <c r="L87" s="66" t="s">
        <v>297</v>
      </c>
      <c r="M87" s="66" t="s">
        <v>244</v>
      </c>
      <c r="N87" s="66" t="s">
        <v>266</v>
      </c>
      <c r="O87" s="66" t="s">
        <v>256</v>
      </c>
      <c r="P87" s="66" t="s">
        <v>258</v>
      </c>
      <c r="Q87" s="66" t="s">
        <v>282</v>
      </c>
      <c r="R87" s="66" t="s">
        <v>287</v>
      </c>
    </row>
    <row r="88" spans="1:18">
      <c r="A88" s="66" t="str">
        <f>VLOOKUP(C88,classifications!C:F,4,FALSE)</f>
        <v>UA</v>
      </c>
      <c r="B88" s="66" t="s">
        <v>519</v>
      </c>
      <c r="C88" s="68" t="s">
        <v>264</v>
      </c>
      <c r="D88" s="66" t="s">
        <v>248</v>
      </c>
      <c r="E88" s="66" t="s">
        <v>227</v>
      </c>
      <c r="F88" s="66" t="s">
        <v>290</v>
      </c>
      <c r="G88" s="66" t="s">
        <v>230</v>
      </c>
      <c r="H88" s="66" t="s">
        <v>226</v>
      </c>
      <c r="I88" s="66" t="s">
        <v>265</v>
      </c>
      <c r="J88" s="66" t="s">
        <v>241</v>
      </c>
      <c r="K88" s="66" t="s">
        <v>222</v>
      </c>
      <c r="L88" s="66" t="s">
        <v>229</v>
      </c>
      <c r="M88" s="66" t="s">
        <v>224</v>
      </c>
      <c r="N88" s="66" t="s">
        <v>253</v>
      </c>
      <c r="O88" s="66" t="s">
        <v>251</v>
      </c>
      <c r="P88" s="66" t="s">
        <v>273</v>
      </c>
      <c r="Q88" s="66" t="s">
        <v>238</v>
      </c>
      <c r="R88" s="66" t="s">
        <v>813</v>
      </c>
    </row>
    <row r="89" spans="1:18">
      <c r="A89" s="66" t="str">
        <f>VLOOKUP(C89,classifications!C:F,4,FALSE)</f>
        <v>UA</v>
      </c>
      <c r="B89" s="66" t="s">
        <v>520</v>
      </c>
      <c r="C89" s="68" t="s">
        <v>265</v>
      </c>
      <c r="D89" s="66" t="s">
        <v>228</v>
      </c>
      <c r="E89" s="66" t="s">
        <v>224</v>
      </c>
      <c r="F89" s="66" t="s">
        <v>230</v>
      </c>
      <c r="G89" s="66" t="s">
        <v>290</v>
      </c>
      <c r="H89" s="66" t="s">
        <v>254</v>
      </c>
      <c r="I89" s="66" t="s">
        <v>240</v>
      </c>
      <c r="J89" s="66" t="s">
        <v>264</v>
      </c>
      <c r="K89" s="66" t="s">
        <v>239</v>
      </c>
      <c r="L89" s="66" t="s">
        <v>232</v>
      </c>
      <c r="M89" s="66" t="s">
        <v>273</v>
      </c>
      <c r="N89" s="66" t="s">
        <v>227</v>
      </c>
      <c r="O89" s="66" t="s">
        <v>241</v>
      </c>
      <c r="P89" s="66" t="s">
        <v>226</v>
      </c>
      <c r="Q89" s="66" t="s">
        <v>813</v>
      </c>
      <c r="R89" s="66" t="s">
        <v>251</v>
      </c>
    </row>
    <row r="90" spans="1:18">
      <c r="A90" s="66" t="str">
        <f>VLOOKUP(C90,classifications!C:F,4,FALSE)</f>
        <v>UA</v>
      </c>
      <c r="B90" s="66" t="s">
        <v>521</v>
      </c>
      <c r="C90" s="68" t="s">
        <v>266</v>
      </c>
      <c r="D90" s="68" t="s">
        <v>222</v>
      </c>
      <c r="E90" s="66" t="s">
        <v>253</v>
      </c>
      <c r="F90" s="66" t="s">
        <v>229</v>
      </c>
      <c r="G90" s="66" t="s">
        <v>241</v>
      </c>
      <c r="H90" s="66" t="s">
        <v>255</v>
      </c>
      <c r="I90" s="66" t="s">
        <v>248</v>
      </c>
      <c r="J90" s="66" t="s">
        <v>232</v>
      </c>
      <c r="K90" s="66" t="s">
        <v>230</v>
      </c>
      <c r="L90" s="66" t="s">
        <v>227</v>
      </c>
      <c r="M90" s="66" t="s">
        <v>322</v>
      </c>
      <c r="N90" s="66" t="s">
        <v>251</v>
      </c>
      <c r="O90" s="66" t="s">
        <v>290</v>
      </c>
      <c r="P90" s="66" t="s">
        <v>245</v>
      </c>
      <c r="Q90" s="66" t="s">
        <v>231</v>
      </c>
      <c r="R90" s="66" t="s">
        <v>256</v>
      </c>
    </row>
    <row r="91" spans="1:18">
      <c r="A91" s="66" t="e">
        <f>VLOOKUP(C91,classifications!C:F,4,FALSE)</f>
        <v>#N/A</v>
      </c>
      <c r="B91" s="66" t="s">
        <v>521</v>
      </c>
      <c r="C91" s="8" t="s">
        <v>808</v>
      </c>
      <c r="D91" s="66" t="s">
        <v>222</v>
      </c>
      <c r="E91" s="66" t="s">
        <v>253</v>
      </c>
      <c r="F91" s="66" t="s">
        <v>229</v>
      </c>
      <c r="G91" s="66" t="s">
        <v>241</v>
      </c>
      <c r="H91" s="66" t="s">
        <v>255</v>
      </c>
      <c r="I91" s="66" t="s">
        <v>248</v>
      </c>
      <c r="J91" s="66" t="s">
        <v>232</v>
      </c>
      <c r="K91" s="66" t="s">
        <v>230</v>
      </c>
      <c r="L91" s="66" t="s">
        <v>227</v>
      </c>
      <c r="M91" s="66" t="s">
        <v>322</v>
      </c>
      <c r="N91" s="66" t="s">
        <v>251</v>
      </c>
      <c r="O91" s="66" t="s">
        <v>290</v>
      </c>
      <c r="P91" s="66" t="s">
        <v>245</v>
      </c>
      <c r="Q91" s="66" t="s">
        <v>231</v>
      </c>
      <c r="R91" s="66" t="s">
        <v>256</v>
      </c>
    </row>
    <row r="92" spans="1:18">
      <c r="A92" s="66" t="str">
        <f>VLOOKUP(C92,classifications!C:F,4,FALSE)</f>
        <v>UA</v>
      </c>
      <c r="B92" s="66" t="s">
        <v>522</v>
      </c>
      <c r="C92" s="68" t="s">
        <v>304</v>
      </c>
      <c r="D92" s="66" t="s">
        <v>812</v>
      </c>
      <c r="E92" s="66" t="s">
        <v>325</v>
      </c>
      <c r="F92" s="66" t="s">
        <v>297</v>
      </c>
      <c r="G92" s="66" t="s">
        <v>258</v>
      </c>
      <c r="H92" s="66" t="s">
        <v>816</v>
      </c>
      <c r="I92" s="66" t="s">
        <v>246</v>
      </c>
      <c r="J92" s="66" t="s">
        <v>249</v>
      </c>
      <c r="K92" s="66" t="s">
        <v>303</v>
      </c>
      <c r="L92" s="66" t="s">
        <v>278</v>
      </c>
      <c r="M92" s="66" t="s">
        <v>267</v>
      </c>
      <c r="N92" s="66" t="s">
        <v>299</v>
      </c>
      <c r="O92" s="66" t="s">
        <v>282</v>
      </c>
      <c r="P92" s="66" t="s">
        <v>259</v>
      </c>
      <c r="Q92" s="66" t="s">
        <v>287</v>
      </c>
      <c r="R92" s="66" t="s">
        <v>295</v>
      </c>
    </row>
    <row r="93" spans="1:18">
      <c r="A93" s="66" t="str">
        <f>VLOOKUP(C93,classifications!C:F,4,FALSE)</f>
        <v>UA</v>
      </c>
      <c r="B93" s="66" t="s">
        <v>523</v>
      </c>
      <c r="C93" s="68" t="s">
        <v>267</v>
      </c>
      <c r="D93" s="66" t="s">
        <v>322</v>
      </c>
      <c r="E93" s="66" t="s">
        <v>305</v>
      </c>
      <c r="F93" s="66" t="s">
        <v>325</v>
      </c>
      <c r="G93" s="66" t="s">
        <v>278</v>
      </c>
      <c r="H93" s="66" t="s">
        <v>270</v>
      </c>
      <c r="I93" s="66" t="s">
        <v>816</v>
      </c>
      <c r="J93" s="66" t="s">
        <v>812</v>
      </c>
      <c r="K93" s="66" t="s">
        <v>304</v>
      </c>
      <c r="L93" s="66" t="s">
        <v>244</v>
      </c>
      <c r="M93" s="66" t="s">
        <v>282</v>
      </c>
      <c r="N93" s="66" t="s">
        <v>287</v>
      </c>
      <c r="O93" s="66" t="s">
        <v>256</v>
      </c>
      <c r="P93" s="66" t="s">
        <v>249</v>
      </c>
      <c r="Q93" s="66" t="s">
        <v>297</v>
      </c>
      <c r="R93" s="66" t="s">
        <v>258</v>
      </c>
    </row>
    <row r="94" spans="1:18">
      <c r="A94" s="66" t="str">
        <f>VLOOKUP(C94,classifications!C:F,4,FALSE)</f>
        <v>UA</v>
      </c>
      <c r="B94" s="66" t="s">
        <v>524</v>
      </c>
      <c r="C94" s="68" t="s">
        <v>268</v>
      </c>
      <c r="D94" s="66" t="s">
        <v>291</v>
      </c>
      <c r="E94" s="66" t="s">
        <v>240</v>
      </c>
      <c r="F94" s="66" t="s">
        <v>251</v>
      </c>
      <c r="G94" s="66" t="s">
        <v>813</v>
      </c>
      <c r="H94" s="66" t="s">
        <v>248</v>
      </c>
      <c r="I94" s="66" t="s">
        <v>233</v>
      </c>
      <c r="J94" s="66" t="s">
        <v>241</v>
      </c>
      <c r="K94" s="66" t="s">
        <v>231</v>
      </c>
      <c r="L94" s="66" t="s">
        <v>255</v>
      </c>
      <c r="M94" s="66" t="s">
        <v>242</v>
      </c>
      <c r="N94" s="66" t="s">
        <v>224</v>
      </c>
      <c r="O94" s="66" t="s">
        <v>253</v>
      </c>
      <c r="P94" s="66" t="s">
        <v>290</v>
      </c>
      <c r="Q94" s="66" t="s">
        <v>274</v>
      </c>
      <c r="R94" s="66" t="s">
        <v>239</v>
      </c>
    </row>
    <row r="95" spans="1:18">
      <c r="A95" s="66" t="str">
        <f>VLOOKUP(C95,classifications!C:F,4,FALSE)</f>
        <v>UA</v>
      </c>
      <c r="B95" s="66" t="s">
        <v>525</v>
      </c>
      <c r="C95" s="68" t="s">
        <v>269</v>
      </c>
      <c r="D95" s="66" t="s">
        <v>809</v>
      </c>
      <c r="E95" s="66" t="s">
        <v>276</v>
      </c>
      <c r="F95" s="66" t="s">
        <v>250</v>
      </c>
      <c r="G95" s="66" t="s">
        <v>247</v>
      </c>
      <c r="H95" s="66" t="s">
        <v>274</v>
      </c>
      <c r="I95" s="66" t="s">
        <v>233</v>
      </c>
      <c r="J95" s="66" t="s">
        <v>254</v>
      </c>
      <c r="K95" s="66" t="s">
        <v>257</v>
      </c>
      <c r="L95" s="66" t="s">
        <v>817</v>
      </c>
      <c r="M95" s="66" t="s">
        <v>291</v>
      </c>
      <c r="N95" s="66" t="s">
        <v>231</v>
      </c>
      <c r="O95" s="66" t="s">
        <v>238</v>
      </c>
      <c r="P95" s="66" t="s">
        <v>248</v>
      </c>
      <c r="Q95" s="66" t="s">
        <v>268</v>
      </c>
      <c r="R95" s="66" t="s">
        <v>261</v>
      </c>
    </row>
    <row r="96" spans="1:18">
      <c r="A96" s="66" t="str">
        <f>VLOOKUP(C96,classifications!C:F,4,FALSE)</f>
        <v>UA</v>
      </c>
      <c r="B96" s="66" t="s">
        <v>526</v>
      </c>
      <c r="C96" s="68" t="s">
        <v>816</v>
      </c>
      <c r="D96" s="66" t="s">
        <v>325</v>
      </c>
      <c r="E96" s="66" t="s">
        <v>304</v>
      </c>
      <c r="F96" s="66" t="s">
        <v>258</v>
      </c>
      <c r="G96" s="66" t="s">
        <v>297</v>
      </c>
      <c r="H96" s="66" t="s">
        <v>285</v>
      </c>
      <c r="I96" s="66" t="s">
        <v>812</v>
      </c>
      <c r="J96" s="66" t="s">
        <v>278</v>
      </c>
      <c r="K96" s="66" t="s">
        <v>267</v>
      </c>
      <c r="L96" s="66" t="s">
        <v>303</v>
      </c>
      <c r="M96" s="66" t="s">
        <v>305</v>
      </c>
      <c r="N96" s="66" t="s">
        <v>246</v>
      </c>
      <c r="O96" s="66" t="s">
        <v>270</v>
      </c>
      <c r="P96" s="66" t="s">
        <v>322</v>
      </c>
      <c r="Q96" s="66" t="s">
        <v>249</v>
      </c>
      <c r="R96" s="66" t="s">
        <v>282</v>
      </c>
    </row>
    <row r="97" spans="1:18">
      <c r="A97" s="66" t="str">
        <f>VLOOKUP(C97,classifications!C:F,4,FALSE)</f>
        <v>UA</v>
      </c>
      <c r="B97" s="66" t="s">
        <v>527</v>
      </c>
      <c r="C97" s="68" t="s">
        <v>270</v>
      </c>
      <c r="D97" s="66" t="s">
        <v>278</v>
      </c>
      <c r="E97" s="66" t="s">
        <v>294</v>
      </c>
      <c r="F97" s="66" t="s">
        <v>267</v>
      </c>
      <c r="G97" s="66" t="s">
        <v>322</v>
      </c>
      <c r="H97" s="66" t="s">
        <v>305</v>
      </c>
      <c r="I97" s="66" t="s">
        <v>244</v>
      </c>
      <c r="J97" s="66" t="s">
        <v>282</v>
      </c>
      <c r="K97" s="66" t="s">
        <v>816</v>
      </c>
      <c r="L97" s="66" t="s">
        <v>325</v>
      </c>
      <c r="M97" s="66" t="s">
        <v>256</v>
      </c>
      <c r="N97" s="66" t="s">
        <v>262</v>
      </c>
      <c r="O97" s="66" t="s">
        <v>258</v>
      </c>
      <c r="P97" s="66" t="s">
        <v>289</v>
      </c>
      <c r="Q97" s="66" t="s">
        <v>812</v>
      </c>
      <c r="R97" s="66" t="s">
        <v>304</v>
      </c>
    </row>
    <row r="98" spans="1:18">
      <c r="A98" s="66" t="str">
        <f>VLOOKUP(C98,classifications!C:F,4,FALSE)</f>
        <v>UA</v>
      </c>
      <c r="B98" s="66" t="s">
        <v>528</v>
      </c>
      <c r="C98" s="68" t="s">
        <v>817</v>
      </c>
      <c r="D98" s="66" t="s">
        <v>274</v>
      </c>
      <c r="E98" s="66" t="s">
        <v>243</v>
      </c>
      <c r="F98" s="66" t="s">
        <v>291</v>
      </c>
      <c r="G98" s="66" t="s">
        <v>257</v>
      </c>
      <c r="H98" s="66" t="s">
        <v>233</v>
      </c>
      <c r="I98" s="66" t="s">
        <v>242</v>
      </c>
      <c r="J98" s="66" t="s">
        <v>235</v>
      </c>
      <c r="K98" s="66" t="s">
        <v>279</v>
      </c>
      <c r="L98" s="66" t="s">
        <v>240</v>
      </c>
      <c r="M98" s="66" t="s">
        <v>254</v>
      </c>
      <c r="N98" s="66" t="s">
        <v>231</v>
      </c>
      <c r="O98" s="66" t="s">
        <v>268</v>
      </c>
      <c r="P98" s="66" t="s">
        <v>250</v>
      </c>
      <c r="Q98" s="66" t="s">
        <v>269</v>
      </c>
      <c r="R98" s="66" t="s">
        <v>251</v>
      </c>
    </row>
    <row r="99" spans="1:18">
      <c r="A99" s="66" t="str">
        <f>VLOOKUP(C99,classifications!C:F,4,FALSE)</f>
        <v>UA</v>
      </c>
      <c r="B99" s="66" t="s">
        <v>529</v>
      </c>
      <c r="C99" s="68" t="s">
        <v>271</v>
      </c>
      <c r="D99" s="66" t="s">
        <v>272</v>
      </c>
      <c r="E99" s="66" t="s">
        <v>279</v>
      </c>
      <c r="F99" s="66" t="s">
        <v>228</v>
      </c>
      <c r="G99" s="66" t="s">
        <v>243</v>
      </c>
      <c r="H99" s="66" t="s">
        <v>260</v>
      </c>
      <c r="I99" s="66" t="s">
        <v>239</v>
      </c>
      <c r="J99" s="66" t="s">
        <v>225</v>
      </c>
      <c r="K99" s="66" t="s">
        <v>257</v>
      </c>
      <c r="L99" s="66" t="s">
        <v>265</v>
      </c>
      <c r="M99" s="66" t="s">
        <v>242</v>
      </c>
      <c r="N99" s="66" t="s">
        <v>240</v>
      </c>
      <c r="O99" s="66" t="s">
        <v>224</v>
      </c>
      <c r="P99" s="66" t="s">
        <v>817</v>
      </c>
      <c r="Q99" s="66" t="s">
        <v>288</v>
      </c>
      <c r="R99" s="66" t="s">
        <v>280</v>
      </c>
    </row>
    <row r="100" spans="1:18">
      <c r="A100" s="66" t="str">
        <f>VLOOKUP(C100,classifications!C:F,4,FALSE)</f>
        <v>UA</v>
      </c>
      <c r="B100" s="66" t="s">
        <v>530</v>
      </c>
      <c r="C100" s="68" t="s">
        <v>272</v>
      </c>
      <c r="D100" s="66" t="s">
        <v>271</v>
      </c>
      <c r="E100" s="66" t="s">
        <v>228</v>
      </c>
      <c r="F100" s="66" t="s">
        <v>280</v>
      </c>
      <c r="G100" s="66" t="s">
        <v>260</v>
      </c>
      <c r="H100" s="66" t="s">
        <v>225</v>
      </c>
      <c r="I100" s="66" t="s">
        <v>239</v>
      </c>
      <c r="J100" s="66" t="s">
        <v>224</v>
      </c>
      <c r="K100" s="66" t="s">
        <v>240</v>
      </c>
      <c r="L100" s="66" t="s">
        <v>273</v>
      </c>
      <c r="M100" s="66" t="s">
        <v>265</v>
      </c>
      <c r="N100" s="66" t="s">
        <v>243</v>
      </c>
      <c r="O100" s="66" t="s">
        <v>275</v>
      </c>
      <c r="P100" s="66" t="s">
        <v>242</v>
      </c>
      <c r="Q100" s="66" t="s">
        <v>279</v>
      </c>
      <c r="R100" s="66" t="s">
        <v>293</v>
      </c>
    </row>
    <row r="101" spans="1:18">
      <c r="A101" s="66" t="str">
        <f>VLOOKUP(C101,classifications!C:F,4,FALSE)</f>
        <v>UA</v>
      </c>
      <c r="B101" s="66" t="s">
        <v>531</v>
      </c>
      <c r="C101" s="68" t="s">
        <v>273</v>
      </c>
      <c r="D101" s="66" t="s">
        <v>226</v>
      </c>
      <c r="E101" s="66" t="s">
        <v>224</v>
      </c>
      <c r="F101" s="66" t="s">
        <v>232</v>
      </c>
      <c r="G101" s="66" t="s">
        <v>227</v>
      </c>
      <c r="H101" s="66" t="s">
        <v>292</v>
      </c>
      <c r="I101" s="66" t="s">
        <v>290</v>
      </c>
      <c r="J101" s="66" t="s">
        <v>265</v>
      </c>
      <c r="K101" s="66" t="s">
        <v>813</v>
      </c>
      <c r="L101" s="66" t="s">
        <v>228</v>
      </c>
      <c r="M101" s="66" t="s">
        <v>295</v>
      </c>
      <c r="N101" s="66" t="s">
        <v>255</v>
      </c>
      <c r="O101" s="66" t="s">
        <v>239</v>
      </c>
      <c r="P101" s="66" t="s">
        <v>264</v>
      </c>
      <c r="Q101" s="66" t="s">
        <v>240</v>
      </c>
      <c r="R101" s="66" t="s">
        <v>251</v>
      </c>
    </row>
    <row r="102" spans="1:18">
      <c r="A102" s="66" t="str">
        <f>VLOOKUP(C102,classifications!C:F,4,FALSE)</f>
        <v>UA</v>
      </c>
      <c r="B102" s="66" t="s">
        <v>532</v>
      </c>
      <c r="C102" s="68" t="s">
        <v>274</v>
      </c>
      <c r="D102" s="66" t="s">
        <v>817</v>
      </c>
      <c r="E102" s="66" t="s">
        <v>233</v>
      </c>
      <c r="F102" s="66" t="s">
        <v>291</v>
      </c>
      <c r="G102" s="66" t="s">
        <v>240</v>
      </c>
      <c r="H102" s="66" t="s">
        <v>243</v>
      </c>
      <c r="I102" s="66" t="s">
        <v>257</v>
      </c>
      <c r="J102" s="66" t="s">
        <v>268</v>
      </c>
      <c r="K102" s="66" t="s">
        <v>242</v>
      </c>
      <c r="L102" s="66" t="s">
        <v>254</v>
      </c>
      <c r="M102" s="66" t="s">
        <v>251</v>
      </c>
      <c r="N102" s="66" t="s">
        <v>239</v>
      </c>
      <c r="O102" s="66" t="s">
        <v>269</v>
      </c>
      <c r="P102" s="66" t="s">
        <v>231</v>
      </c>
      <c r="Q102" s="66" t="s">
        <v>248</v>
      </c>
      <c r="R102" s="66" t="s">
        <v>250</v>
      </c>
    </row>
    <row r="103" spans="1:18">
      <c r="A103" s="66" t="str">
        <f>VLOOKUP(C103,classifications!C:F,4,FALSE)</f>
        <v>UA</v>
      </c>
      <c r="B103" s="66" t="s">
        <v>533</v>
      </c>
      <c r="C103" s="68" t="s">
        <v>275</v>
      </c>
      <c r="D103" s="66" t="s">
        <v>293</v>
      </c>
      <c r="E103" s="66" t="s">
        <v>280</v>
      </c>
      <c r="F103" s="66" t="s">
        <v>292</v>
      </c>
      <c r="G103" s="66" t="s">
        <v>284</v>
      </c>
      <c r="H103" s="66" t="s">
        <v>259</v>
      </c>
      <c r="I103" s="66" t="s">
        <v>295</v>
      </c>
      <c r="J103" s="66" t="s">
        <v>273</v>
      </c>
      <c r="K103" s="66" t="s">
        <v>813</v>
      </c>
      <c r="L103" s="66" t="s">
        <v>224</v>
      </c>
      <c r="M103" s="66" t="s">
        <v>252</v>
      </c>
      <c r="N103" s="66" t="s">
        <v>263</v>
      </c>
      <c r="O103" s="66" t="s">
        <v>226</v>
      </c>
      <c r="P103" s="66" t="s">
        <v>228</v>
      </c>
      <c r="Q103" s="66" t="s">
        <v>232</v>
      </c>
      <c r="R103" s="66" t="s">
        <v>272</v>
      </c>
    </row>
    <row r="104" spans="1:18">
      <c r="A104" s="66" t="str">
        <f>VLOOKUP(C104,classifications!C:F,4,FALSE)</f>
        <v>UA</v>
      </c>
      <c r="B104" s="66" t="s">
        <v>534</v>
      </c>
      <c r="C104" s="68" t="s">
        <v>276</v>
      </c>
      <c r="D104" s="66" t="s">
        <v>809</v>
      </c>
      <c r="E104" s="66" t="s">
        <v>269</v>
      </c>
      <c r="F104" s="66" t="s">
        <v>250</v>
      </c>
      <c r="G104" s="66" t="s">
        <v>238</v>
      </c>
      <c r="H104" s="66" t="s">
        <v>229</v>
      </c>
      <c r="I104" s="66" t="s">
        <v>281</v>
      </c>
      <c r="J104" s="66" t="s">
        <v>264</v>
      </c>
      <c r="K104" s="66" t="s">
        <v>256</v>
      </c>
      <c r="L104" s="66" t="s">
        <v>248</v>
      </c>
      <c r="M104" s="66" t="s">
        <v>290</v>
      </c>
      <c r="N104" s="66" t="s">
        <v>241</v>
      </c>
      <c r="O104" s="66" t="s">
        <v>261</v>
      </c>
      <c r="P104" s="66" t="s">
        <v>291</v>
      </c>
      <c r="Q104" s="66" t="s">
        <v>253</v>
      </c>
      <c r="R104" s="66" t="s">
        <v>230</v>
      </c>
    </row>
    <row r="105" spans="1:18">
      <c r="A105" s="66" t="str">
        <f>VLOOKUP(C105,classifications!C:F,4,FALSE)</f>
        <v>UA</v>
      </c>
      <c r="B105" s="66" t="s">
        <v>535</v>
      </c>
      <c r="C105" s="68" t="s">
        <v>277</v>
      </c>
      <c r="D105" s="66" t="s">
        <v>290</v>
      </c>
      <c r="E105" s="66" t="s">
        <v>253</v>
      </c>
      <c r="F105" s="66" t="s">
        <v>229</v>
      </c>
      <c r="G105" s="66" t="s">
        <v>241</v>
      </c>
      <c r="H105" s="66" t="s">
        <v>227</v>
      </c>
      <c r="I105" s="66" t="s">
        <v>295</v>
      </c>
      <c r="J105" s="66" t="s">
        <v>264</v>
      </c>
      <c r="K105" s="66" t="s">
        <v>222</v>
      </c>
      <c r="L105" s="66" t="s">
        <v>813</v>
      </c>
      <c r="M105" s="66" t="s">
        <v>248</v>
      </c>
      <c r="N105" s="66" t="s">
        <v>230</v>
      </c>
      <c r="O105" s="66" t="s">
        <v>812</v>
      </c>
      <c r="P105" s="66" t="s">
        <v>265</v>
      </c>
      <c r="Q105" s="66" t="s">
        <v>292</v>
      </c>
      <c r="R105" s="66" t="s">
        <v>276</v>
      </c>
    </row>
    <row r="106" spans="1:18">
      <c r="A106" s="66" t="str">
        <f>VLOOKUP(C106,classifications!C:F,4,FALSE)</f>
        <v>UA</v>
      </c>
      <c r="B106" s="66" t="s">
        <v>536</v>
      </c>
      <c r="C106" s="68" t="s">
        <v>278</v>
      </c>
      <c r="D106" s="66" t="s">
        <v>282</v>
      </c>
      <c r="E106" s="66" t="s">
        <v>267</v>
      </c>
      <c r="F106" s="66" t="s">
        <v>270</v>
      </c>
      <c r="G106" s="66" t="s">
        <v>258</v>
      </c>
      <c r="H106" s="66" t="s">
        <v>304</v>
      </c>
      <c r="I106" s="66" t="s">
        <v>816</v>
      </c>
      <c r="J106" s="66" t="s">
        <v>325</v>
      </c>
      <c r="K106" s="66" t="s">
        <v>322</v>
      </c>
      <c r="L106" s="66" t="s">
        <v>287</v>
      </c>
      <c r="M106" s="66" t="s">
        <v>305</v>
      </c>
      <c r="N106" s="66" t="s">
        <v>297</v>
      </c>
      <c r="O106" s="66" t="s">
        <v>812</v>
      </c>
      <c r="P106" s="66" t="s">
        <v>249</v>
      </c>
      <c r="Q106" s="66" t="s">
        <v>246</v>
      </c>
      <c r="R106" s="66" t="s">
        <v>244</v>
      </c>
    </row>
    <row r="107" spans="1:18">
      <c r="A107" s="66" t="str">
        <f>VLOOKUP(C107,classifications!C:F,4,FALSE)</f>
        <v>UA</v>
      </c>
      <c r="B107" s="66" t="s">
        <v>537</v>
      </c>
      <c r="C107" s="68" t="s">
        <v>322</v>
      </c>
      <c r="D107" s="67" t="s">
        <v>267</v>
      </c>
      <c r="E107" s="66" t="s">
        <v>244</v>
      </c>
      <c r="F107" s="66" t="s">
        <v>256</v>
      </c>
      <c r="G107" s="66" t="s">
        <v>305</v>
      </c>
      <c r="H107" s="66" t="s">
        <v>238</v>
      </c>
      <c r="I107" s="66" t="s">
        <v>325</v>
      </c>
      <c r="J107" s="66" t="s">
        <v>266</v>
      </c>
      <c r="K107" s="66" t="s">
        <v>812</v>
      </c>
      <c r="L107" s="66" t="s">
        <v>278</v>
      </c>
      <c r="M107" s="66" t="s">
        <v>270</v>
      </c>
      <c r="N107" s="66" t="s">
        <v>222</v>
      </c>
      <c r="O107" s="66" t="s">
        <v>809</v>
      </c>
      <c r="P107" s="66" t="s">
        <v>227</v>
      </c>
      <c r="Q107" s="66" t="s">
        <v>253</v>
      </c>
      <c r="R107" s="66" t="s">
        <v>249</v>
      </c>
    </row>
    <row r="108" spans="1:18">
      <c r="A108" s="66" t="str">
        <f>VLOOKUP(C108,classifications!C:F,4,FALSE)</f>
        <v>UA</v>
      </c>
      <c r="B108" s="66" t="s">
        <v>538</v>
      </c>
      <c r="C108" s="68" t="s">
        <v>279</v>
      </c>
      <c r="D108" s="66" t="s">
        <v>237</v>
      </c>
      <c r="E108" s="66" t="s">
        <v>235</v>
      </c>
      <c r="F108" s="66" t="s">
        <v>242</v>
      </c>
      <c r="G108" s="66" t="s">
        <v>817</v>
      </c>
      <c r="H108" s="66" t="s">
        <v>271</v>
      </c>
      <c r="I108" s="66" t="s">
        <v>243</v>
      </c>
      <c r="J108" s="66" t="s">
        <v>257</v>
      </c>
      <c r="K108" s="66" t="s">
        <v>228</v>
      </c>
      <c r="L108" s="66" t="s">
        <v>245</v>
      </c>
      <c r="M108" s="66" t="s">
        <v>291</v>
      </c>
      <c r="N108" s="66" t="s">
        <v>288</v>
      </c>
      <c r="O108" s="66" t="s">
        <v>240</v>
      </c>
      <c r="P108" s="66" t="s">
        <v>224</v>
      </c>
      <c r="Q108" s="66" t="s">
        <v>265</v>
      </c>
      <c r="R108" s="66" t="s">
        <v>231</v>
      </c>
    </row>
    <row r="109" spans="1:18">
      <c r="A109" s="66" t="str">
        <f>VLOOKUP(C109,classifications!C:F,4,FALSE)</f>
        <v>UA</v>
      </c>
      <c r="B109" s="66" t="s">
        <v>539</v>
      </c>
      <c r="C109" s="68" t="s">
        <v>280</v>
      </c>
      <c r="D109" s="66" t="s">
        <v>293</v>
      </c>
      <c r="E109" s="66" t="s">
        <v>292</v>
      </c>
      <c r="F109" s="66" t="s">
        <v>275</v>
      </c>
      <c r="G109" s="66" t="s">
        <v>228</v>
      </c>
      <c r="H109" s="66" t="s">
        <v>224</v>
      </c>
      <c r="I109" s="66" t="s">
        <v>265</v>
      </c>
      <c r="J109" s="66" t="s">
        <v>813</v>
      </c>
      <c r="K109" s="66" t="s">
        <v>240</v>
      </c>
      <c r="L109" s="66" t="s">
        <v>273</v>
      </c>
      <c r="M109" s="66" t="s">
        <v>272</v>
      </c>
      <c r="N109" s="66" t="s">
        <v>239</v>
      </c>
      <c r="O109" s="66" t="s">
        <v>259</v>
      </c>
      <c r="P109" s="66" t="s">
        <v>227</v>
      </c>
      <c r="Q109" s="66" t="s">
        <v>290</v>
      </c>
      <c r="R109" s="66" t="s">
        <v>226</v>
      </c>
    </row>
    <row r="110" spans="1:18">
      <c r="A110" s="66" t="str">
        <f>VLOOKUP(C110,classifications!C:F,4,FALSE)</f>
        <v>UA</v>
      </c>
      <c r="B110" s="66" t="s">
        <v>540</v>
      </c>
      <c r="C110" s="68" t="s">
        <v>281</v>
      </c>
      <c r="D110" s="66" t="s">
        <v>238</v>
      </c>
      <c r="E110" s="66" t="s">
        <v>256</v>
      </c>
      <c r="F110" s="66" t="s">
        <v>250</v>
      </c>
      <c r="G110" s="66" t="s">
        <v>288</v>
      </c>
      <c r="H110" s="66" t="s">
        <v>815</v>
      </c>
      <c r="I110" s="66" t="s">
        <v>809</v>
      </c>
      <c r="J110" s="66" t="s">
        <v>265</v>
      </c>
      <c r="K110" s="66" t="s">
        <v>264</v>
      </c>
      <c r="L110" s="66" t="s">
        <v>248</v>
      </c>
      <c r="M110" s="66" t="s">
        <v>276</v>
      </c>
      <c r="N110" s="66" t="s">
        <v>244</v>
      </c>
      <c r="O110" s="66" t="s">
        <v>230</v>
      </c>
      <c r="P110" s="66" t="s">
        <v>231</v>
      </c>
      <c r="Q110" s="66" t="s">
        <v>224</v>
      </c>
      <c r="R110" s="66" t="s">
        <v>251</v>
      </c>
    </row>
    <row r="111" spans="1:18">
      <c r="A111" s="66" t="str">
        <f>VLOOKUP(C111,classifications!C:F,4,FALSE)</f>
        <v>UA</v>
      </c>
      <c r="B111" s="66" t="s">
        <v>541</v>
      </c>
      <c r="C111" s="68" t="s">
        <v>282</v>
      </c>
      <c r="D111" s="66" t="s">
        <v>278</v>
      </c>
      <c r="E111" s="66" t="s">
        <v>246</v>
      </c>
      <c r="F111" s="66" t="s">
        <v>262</v>
      </c>
      <c r="G111" s="66" t="s">
        <v>289</v>
      </c>
      <c r="H111" s="66" t="s">
        <v>258</v>
      </c>
      <c r="I111" s="66" t="s">
        <v>294</v>
      </c>
      <c r="J111" s="66" t="s">
        <v>249</v>
      </c>
      <c r="K111" s="66" t="s">
        <v>304</v>
      </c>
      <c r="L111" s="66" t="s">
        <v>244</v>
      </c>
      <c r="M111" s="66" t="s">
        <v>267</v>
      </c>
      <c r="N111" s="66" t="s">
        <v>270</v>
      </c>
      <c r="O111" s="66" t="s">
        <v>299</v>
      </c>
      <c r="P111" s="66" t="s">
        <v>287</v>
      </c>
      <c r="Q111" s="66" t="s">
        <v>322</v>
      </c>
      <c r="R111" s="66" t="s">
        <v>812</v>
      </c>
    </row>
    <row r="112" spans="1:18">
      <c r="A112" s="66" t="str">
        <f>VLOOKUP(C112,classifications!C:F,4,FALSE)</f>
        <v>UA</v>
      </c>
      <c r="B112" s="66" t="s">
        <v>542</v>
      </c>
      <c r="C112" s="68" t="s">
        <v>283</v>
      </c>
      <c r="D112" s="66" t="s">
        <v>288</v>
      </c>
      <c r="E112" s="66" t="s">
        <v>815</v>
      </c>
      <c r="F112" s="66" t="s">
        <v>811</v>
      </c>
      <c r="G112" s="66" t="s">
        <v>281</v>
      </c>
      <c r="H112" s="66" t="s">
        <v>228</v>
      </c>
      <c r="I112" s="66" t="s">
        <v>289</v>
      </c>
      <c r="J112" s="66" t="s">
        <v>238</v>
      </c>
      <c r="K112" s="66" t="s">
        <v>237</v>
      </c>
      <c r="L112" s="66" t="s">
        <v>224</v>
      </c>
      <c r="M112" s="66" t="s">
        <v>265</v>
      </c>
      <c r="N112" s="66" t="s">
        <v>242</v>
      </c>
      <c r="O112" s="66" t="s">
        <v>273</v>
      </c>
      <c r="P112" s="66" t="s">
        <v>279</v>
      </c>
      <c r="Q112" s="66" t="s">
        <v>245</v>
      </c>
      <c r="R112" s="66" t="s">
        <v>292</v>
      </c>
    </row>
    <row r="113" spans="1:18">
      <c r="A113" s="66" t="str">
        <f>VLOOKUP(C113,classifications!C:F,4,FALSE)</f>
        <v>UA</v>
      </c>
      <c r="B113" s="66" t="s">
        <v>543</v>
      </c>
      <c r="C113" s="68" t="s">
        <v>284</v>
      </c>
      <c r="D113" s="66" t="s">
        <v>275</v>
      </c>
      <c r="E113" s="66" t="s">
        <v>293</v>
      </c>
      <c r="F113" s="66" t="s">
        <v>280</v>
      </c>
      <c r="G113" s="66" t="s">
        <v>292</v>
      </c>
      <c r="H113" s="66" t="s">
        <v>286</v>
      </c>
      <c r="I113" s="66" t="s">
        <v>815</v>
      </c>
      <c r="J113" s="66" t="s">
        <v>252</v>
      </c>
      <c r="K113" s="66" t="s">
        <v>288</v>
      </c>
      <c r="L113" s="66" t="s">
        <v>263</v>
      </c>
      <c r="M113" s="66" t="s">
        <v>259</v>
      </c>
      <c r="N113" s="66" t="s">
        <v>295</v>
      </c>
      <c r="O113" s="66" t="s">
        <v>272</v>
      </c>
      <c r="P113" s="66" t="s">
        <v>228</v>
      </c>
      <c r="Q113" s="66" t="s">
        <v>273</v>
      </c>
      <c r="R113" s="66" t="s">
        <v>283</v>
      </c>
    </row>
    <row r="114" spans="1:18">
      <c r="A114" s="66" t="str">
        <f>VLOOKUP(C114,classifications!C:F,4,FALSE)</f>
        <v>UA</v>
      </c>
      <c r="B114" s="66" t="s">
        <v>544</v>
      </c>
      <c r="C114" s="68" t="s">
        <v>809</v>
      </c>
      <c r="D114" s="66" t="s">
        <v>276</v>
      </c>
      <c r="E114" s="66" t="s">
        <v>269</v>
      </c>
      <c r="F114" s="66" t="s">
        <v>238</v>
      </c>
      <c r="G114" s="66" t="s">
        <v>250</v>
      </c>
      <c r="H114" s="66" t="s">
        <v>256</v>
      </c>
      <c r="I114" s="66" t="s">
        <v>248</v>
      </c>
      <c r="J114" s="66" t="s">
        <v>281</v>
      </c>
      <c r="K114" s="66" t="s">
        <v>264</v>
      </c>
      <c r="L114" s="66" t="s">
        <v>290</v>
      </c>
      <c r="M114" s="66" t="s">
        <v>247</v>
      </c>
      <c r="N114" s="66" t="s">
        <v>244</v>
      </c>
      <c r="O114" s="66" t="s">
        <v>230</v>
      </c>
      <c r="P114" s="66" t="s">
        <v>241</v>
      </c>
      <c r="Q114" s="66" t="s">
        <v>222</v>
      </c>
      <c r="R114" s="66" t="s">
        <v>229</v>
      </c>
    </row>
    <row r="115" spans="1:18">
      <c r="A115" s="66" t="str">
        <f>VLOOKUP(C115,classifications!C:F,4,FALSE)</f>
        <v>UA</v>
      </c>
      <c r="B115" s="66" t="s">
        <v>545</v>
      </c>
      <c r="C115" s="68" t="s">
        <v>285</v>
      </c>
      <c r="D115" s="66" t="s">
        <v>816</v>
      </c>
      <c r="E115" s="66" t="s">
        <v>325</v>
      </c>
      <c r="F115" s="66" t="s">
        <v>297</v>
      </c>
      <c r="G115" s="66" t="s">
        <v>304</v>
      </c>
      <c r="H115" s="66" t="s">
        <v>258</v>
      </c>
      <c r="I115" s="66" t="s">
        <v>303</v>
      </c>
      <c r="J115" s="66" t="s">
        <v>278</v>
      </c>
      <c r="K115" s="66" t="s">
        <v>812</v>
      </c>
      <c r="L115" s="66" t="s">
        <v>267</v>
      </c>
      <c r="M115" s="66" t="s">
        <v>296</v>
      </c>
      <c r="N115" s="66" t="s">
        <v>246</v>
      </c>
      <c r="O115" s="66" t="s">
        <v>259</v>
      </c>
      <c r="P115" s="66" t="s">
        <v>270</v>
      </c>
      <c r="Q115" s="66" t="s">
        <v>305</v>
      </c>
      <c r="R115" s="66" t="s">
        <v>282</v>
      </c>
    </row>
    <row r="116" spans="1:18">
      <c r="A116" s="66" t="str">
        <f>VLOOKUP(C116,classifications!C:F,4,FALSE)</f>
        <v>UA</v>
      </c>
      <c r="B116" s="66" t="s">
        <v>546</v>
      </c>
      <c r="C116" s="68" t="s">
        <v>325</v>
      </c>
      <c r="D116" s="66" t="s">
        <v>816</v>
      </c>
      <c r="E116" s="66" t="s">
        <v>304</v>
      </c>
      <c r="F116" s="66" t="s">
        <v>812</v>
      </c>
      <c r="G116" s="66" t="s">
        <v>297</v>
      </c>
      <c r="H116" s="66" t="s">
        <v>267</v>
      </c>
      <c r="I116" s="66" t="s">
        <v>258</v>
      </c>
      <c r="J116" s="66" t="s">
        <v>278</v>
      </c>
      <c r="K116" s="66" t="s">
        <v>322</v>
      </c>
      <c r="L116" s="66" t="s">
        <v>305</v>
      </c>
      <c r="M116" s="66" t="s">
        <v>249</v>
      </c>
      <c r="N116" s="66" t="s">
        <v>303</v>
      </c>
      <c r="O116" s="66" t="s">
        <v>299</v>
      </c>
      <c r="P116" s="66" t="s">
        <v>246</v>
      </c>
      <c r="Q116" s="66" t="s">
        <v>285</v>
      </c>
      <c r="R116" s="66" t="s">
        <v>270</v>
      </c>
    </row>
    <row r="117" spans="1:18">
      <c r="A117" s="66" t="str">
        <f>VLOOKUP(C117,classifications!C:F,4,FALSE)</f>
        <v>UA</v>
      </c>
      <c r="B117" s="66" t="s">
        <v>547</v>
      </c>
      <c r="C117" s="68" t="s">
        <v>286</v>
      </c>
      <c r="D117" s="66" t="s">
        <v>284</v>
      </c>
      <c r="E117" s="66" t="s">
        <v>272</v>
      </c>
      <c r="F117" s="66" t="s">
        <v>275</v>
      </c>
      <c r="G117" s="66" t="s">
        <v>280</v>
      </c>
      <c r="H117" s="66" t="s">
        <v>293</v>
      </c>
      <c r="I117" s="66" t="s">
        <v>271</v>
      </c>
      <c r="J117" s="66" t="s">
        <v>292</v>
      </c>
      <c r="K117" s="66" t="s">
        <v>263</v>
      </c>
      <c r="L117" s="66" t="s">
        <v>288</v>
      </c>
      <c r="M117" s="66" t="s">
        <v>228</v>
      </c>
      <c r="N117" s="66" t="s">
        <v>815</v>
      </c>
      <c r="O117" s="66" t="s">
        <v>259</v>
      </c>
      <c r="P117" s="66" t="s">
        <v>225</v>
      </c>
      <c r="Q117" s="66" t="s">
        <v>260</v>
      </c>
      <c r="R117" s="66" t="s">
        <v>224</v>
      </c>
    </row>
    <row r="118" spans="1:18">
      <c r="A118" s="66" t="str">
        <f>VLOOKUP(C118,classifications!C:F,4,FALSE)</f>
        <v>UA</v>
      </c>
      <c r="B118" s="66" t="s">
        <v>548</v>
      </c>
      <c r="C118" s="68" t="s">
        <v>287</v>
      </c>
      <c r="D118" s="66" t="s">
        <v>278</v>
      </c>
      <c r="E118" s="66" t="s">
        <v>249</v>
      </c>
      <c r="F118" s="66" t="s">
        <v>303</v>
      </c>
      <c r="G118" s="66" t="s">
        <v>299</v>
      </c>
      <c r="H118" s="66" t="s">
        <v>812</v>
      </c>
      <c r="I118" s="66" t="s">
        <v>258</v>
      </c>
      <c r="J118" s="66" t="s">
        <v>295</v>
      </c>
      <c r="K118" s="66" t="s">
        <v>246</v>
      </c>
      <c r="L118" s="66" t="s">
        <v>292</v>
      </c>
      <c r="M118" s="66" t="s">
        <v>259</v>
      </c>
      <c r="N118" s="66" t="s">
        <v>304</v>
      </c>
      <c r="O118" s="66" t="s">
        <v>252</v>
      </c>
      <c r="P118" s="66" t="s">
        <v>267</v>
      </c>
      <c r="Q118" s="66" t="s">
        <v>282</v>
      </c>
      <c r="R118" s="66" t="s">
        <v>297</v>
      </c>
    </row>
    <row r="119" spans="1:18">
      <c r="A119" s="66" t="str">
        <f>VLOOKUP(C119,classifications!C:F,4,FALSE)</f>
        <v>UA</v>
      </c>
      <c r="B119" s="66" t="s">
        <v>549</v>
      </c>
      <c r="C119" s="68" t="s">
        <v>288</v>
      </c>
      <c r="D119" s="66" t="s">
        <v>815</v>
      </c>
      <c r="E119" s="66" t="s">
        <v>283</v>
      </c>
      <c r="F119" s="66" t="s">
        <v>281</v>
      </c>
      <c r="G119" s="66" t="s">
        <v>237</v>
      </c>
      <c r="H119" s="66" t="s">
        <v>228</v>
      </c>
      <c r="I119" s="66" t="s">
        <v>279</v>
      </c>
      <c r="J119" s="66" t="s">
        <v>811</v>
      </c>
      <c r="K119" s="66" t="s">
        <v>242</v>
      </c>
      <c r="L119" s="66" t="s">
        <v>245</v>
      </c>
      <c r="M119" s="66" t="s">
        <v>265</v>
      </c>
      <c r="N119" s="66" t="s">
        <v>238</v>
      </c>
      <c r="O119" s="66" t="s">
        <v>224</v>
      </c>
      <c r="P119" s="66" t="s">
        <v>292</v>
      </c>
      <c r="Q119" s="66" t="s">
        <v>280</v>
      </c>
      <c r="R119" s="66" t="s">
        <v>273</v>
      </c>
    </row>
    <row r="120" spans="1:18">
      <c r="A120" s="66" t="str">
        <f>VLOOKUP(C120,classifications!C:F,4,FALSE)</f>
        <v>UA</v>
      </c>
      <c r="B120" s="66" t="s">
        <v>550</v>
      </c>
      <c r="C120" s="68" t="s">
        <v>289</v>
      </c>
      <c r="D120" s="66" t="s">
        <v>262</v>
      </c>
      <c r="E120" s="66" t="s">
        <v>256</v>
      </c>
      <c r="F120" s="66" t="s">
        <v>244</v>
      </c>
      <c r="G120" s="66" t="s">
        <v>238</v>
      </c>
      <c r="H120" s="66" t="s">
        <v>281</v>
      </c>
      <c r="I120" s="66" t="s">
        <v>294</v>
      </c>
      <c r="J120" s="66" t="s">
        <v>264</v>
      </c>
      <c r="K120" s="66" t="s">
        <v>249</v>
      </c>
      <c r="L120" s="66" t="s">
        <v>282</v>
      </c>
      <c r="M120" s="66" t="s">
        <v>227</v>
      </c>
      <c r="N120" s="66" t="s">
        <v>265</v>
      </c>
      <c r="O120" s="66" t="s">
        <v>278</v>
      </c>
      <c r="P120" s="66" t="s">
        <v>230</v>
      </c>
      <c r="Q120" s="66" t="s">
        <v>322</v>
      </c>
      <c r="R120" s="66" t="s">
        <v>809</v>
      </c>
    </row>
    <row r="121" spans="1:18">
      <c r="A121" s="66" t="str">
        <f>VLOOKUP(C121,classifications!C:F,4,FALSE)</f>
        <v>UA</v>
      </c>
      <c r="B121" s="66" t="s">
        <v>551</v>
      </c>
      <c r="C121" s="68" t="s">
        <v>290</v>
      </c>
      <c r="D121" s="66" t="s">
        <v>813</v>
      </c>
      <c r="E121" s="66" t="s">
        <v>264</v>
      </c>
      <c r="F121" s="66" t="s">
        <v>248</v>
      </c>
      <c r="G121" s="66" t="s">
        <v>241</v>
      </c>
      <c r="H121" s="66" t="s">
        <v>227</v>
      </c>
      <c r="I121" s="66" t="s">
        <v>230</v>
      </c>
      <c r="J121" s="66" t="s">
        <v>265</v>
      </c>
      <c r="K121" s="66" t="s">
        <v>253</v>
      </c>
      <c r="L121" s="66" t="s">
        <v>273</v>
      </c>
      <c r="M121" s="66" t="s">
        <v>229</v>
      </c>
      <c r="N121" s="66" t="s">
        <v>222</v>
      </c>
      <c r="O121" s="66" t="s">
        <v>224</v>
      </c>
      <c r="P121" s="66" t="s">
        <v>226</v>
      </c>
      <c r="Q121" s="66" t="s">
        <v>295</v>
      </c>
      <c r="R121" s="66" t="s">
        <v>277</v>
      </c>
    </row>
    <row r="122" spans="1:18">
      <c r="A122" s="66" t="str">
        <f>VLOOKUP(C122,classifications!C:F,4,FALSE)</f>
        <v>UA</v>
      </c>
      <c r="B122" s="66" t="s">
        <v>552</v>
      </c>
      <c r="C122" s="68" t="s">
        <v>291</v>
      </c>
      <c r="D122" s="66" t="s">
        <v>251</v>
      </c>
      <c r="E122" s="66" t="s">
        <v>240</v>
      </c>
      <c r="F122" s="66" t="s">
        <v>268</v>
      </c>
      <c r="G122" s="66" t="s">
        <v>231</v>
      </c>
      <c r="H122" s="66" t="s">
        <v>241</v>
      </c>
      <c r="I122" s="66" t="s">
        <v>224</v>
      </c>
      <c r="J122" s="66" t="s">
        <v>233</v>
      </c>
      <c r="K122" s="66" t="s">
        <v>242</v>
      </c>
      <c r="L122" s="66" t="s">
        <v>248</v>
      </c>
      <c r="M122" s="66" t="s">
        <v>229</v>
      </c>
      <c r="N122" s="66" t="s">
        <v>255</v>
      </c>
      <c r="O122" s="66" t="s">
        <v>243</v>
      </c>
      <c r="P122" s="66" t="s">
        <v>817</v>
      </c>
      <c r="Q122" s="66" t="s">
        <v>239</v>
      </c>
      <c r="R122" s="66" t="s">
        <v>274</v>
      </c>
    </row>
    <row r="123" spans="1:18">
      <c r="A123" s="66" t="str">
        <f>VLOOKUP(C123,classifications!C:F,4,FALSE)</f>
        <v>UA</v>
      </c>
      <c r="B123" s="66" t="s">
        <v>553</v>
      </c>
      <c r="C123" s="68" t="s">
        <v>292</v>
      </c>
      <c r="D123" s="66" t="s">
        <v>295</v>
      </c>
      <c r="E123" s="66" t="s">
        <v>273</v>
      </c>
      <c r="F123" s="66" t="s">
        <v>293</v>
      </c>
      <c r="G123" s="66" t="s">
        <v>280</v>
      </c>
      <c r="H123" s="66" t="s">
        <v>259</v>
      </c>
      <c r="I123" s="66" t="s">
        <v>290</v>
      </c>
      <c r="J123" s="66" t="s">
        <v>226</v>
      </c>
      <c r="K123" s="66" t="s">
        <v>275</v>
      </c>
      <c r="L123" s="66" t="s">
        <v>813</v>
      </c>
      <c r="M123" s="66" t="s">
        <v>265</v>
      </c>
      <c r="N123" s="66" t="s">
        <v>227</v>
      </c>
      <c r="O123" s="66" t="s">
        <v>252</v>
      </c>
      <c r="P123" s="66" t="s">
        <v>249</v>
      </c>
      <c r="Q123" s="66" t="s">
        <v>224</v>
      </c>
      <c r="R123" s="66" t="s">
        <v>232</v>
      </c>
    </row>
    <row r="124" spans="1:18" s="67" customFormat="1">
      <c r="A124" s="66" t="str">
        <f>VLOOKUP(C124,classifications!C:F,4,FALSE)</f>
        <v>UA</v>
      </c>
      <c r="B124" s="66" t="s">
        <v>554</v>
      </c>
      <c r="C124" s="68" t="s">
        <v>293</v>
      </c>
      <c r="D124" s="66" t="s">
        <v>275</v>
      </c>
      <c r="E124" s="66" t="s">
        <v>292</v>
      </c>
      <c r="F124" s="66" t="s">
        <v>280</v>
      </c>
      <c r="G124" s="66" t="s">
        <v>284</v>
      </c>
      <c r="H124" s="66" t="s">
        <v>295</v>
      </c>
      <c r="I124" s="66" t="s">
        <v>252</v>
      </c>
      <c r="J124" s="66" t="s">
        <v>813</v>
      </c>
      <c r="K124" s="66" t="s">
        <v>273</v>
      </c>
      <c r="L124" s="66" t="s">
        <v>224</v>
      </c>
      <c r="M124" s="66" t="s">
        <v>290</v>
      </c>
      <c r="N124" s="66" t="s">
        <v>259</v>
      </c>
      <c r="O124" s="66" t="s">
        <v>265</v>
      </c>
      <c r="P124" s="66" t="s">
        <v>228</v>
      </c>
      <c r="Q124" s="66" t="s">
        <v>240</v>
      </c>
      <c r="R124" s="66" t="s">
        <v>227</v>
      </c>
    </row>
    <row r="125" spans="1:18" s="67" customFormat="1">
      <c r="A125" s="66" t="str">
        <f>VLOOKUP(C125,classifications!C:F,4,FALSE)</f>
        <v>UA</v>
      </c>
      <c r="B125" s="66" t="s">
        <v>555</v>
      </c>
      <c r="C125" s="68" t="s">
        <v>294</v>
      </c>
      <c r="D125" s="66" t="s">
        <v>244</v>
      </c>
      <c r="E125" s="66" t="s">
        <v>270</v>
      </c>
      <c r="F125" s="66" t="s">
        <v>262</v>
      </c>
      <c r="G125" s="66" t="s">
        <v>289</v>
      </c>
      <c r="H125" s="66" t="s">
        <v>282</v>
      </c>
      <c r="I125" s="66" t="s">
        <v>256</v>
      </c>
      <c r="J125" s="66" t="s">
        <v>278</v>
      </c>
      <c r="K125" s="66" t="s">
        <v>322</v>
      </c>
      <c r="L125" s="66" t="s">
        <v>238</v>
      </c>
      <c r="M125" s="66" t="s">
        <v>264</v>
      </c>
      <c r="N125" s="66" t="s">
        <v>267</v>
      </c>
      <c r="O125" s="66" t="s">
        <v>809</v>
      </c>
      <c r="P125" s="66" t="s">
        <v>261</v>
      </c>
      <c r="Q125" s="66" t="s">
        <v>276</v>
      </c>
      <c r="R125" s="66" t="s">
        <v>305</v>
      </c>
    </row>
    <row r="126" spans="1:18" s="67" customFormat="1">
      <c r="A126" s="66" t="str">
        <f>VLOOKUP(C126,classifications!C:F,4,FALSE)</f>
        <v>UA</v>
      </c>
      <c r="B126" s="66" t="s">
        <v>556</v>
      </c>
      <c r="C126" s="68" t="s">
        <v>295</v>
      </c>
      <c r="D126" s="66" t="s">
        <v>292</v>
      </c>
      <c r="E126" s="66" t="s">
        <v>290</v>
      </c>
      <c r="F126" s="66" t="s">
        <v>227</v>
      </c>
      <c r="G126" s="66" t="s">
        <v>226</v>
      </c>
      <c r="H126" s="66" t="s">
        <v>813</v>
      </c>
      <c r="I126" s="66" t="s">
        <v>273</v>
      </c>
      <c r="J126" s="66" t="s">
        <v>812</v>
      </c>
      <c r="K126" s="66" t="s">
        <v>299</v>
      </c>
      <c r="L126" s="66" t="s">
        <v>249</v>
      </c>
      <c r="M126" s="66" t="s">
        <v>277</v>
      </c>
      <c r="N126" s="66" t="s">
        <v>264</v>
      </c>
      <c r="O126" s="66" t="s">
        <v>252</v>
      </c>
      <c r="P126" s="66" t="s">
        <v>232</v>
      </c>
      <c r="Q126" s="66" t="s">
        <v>253</v>
      </c>
      <c r="R126" s="66" t="s">
        <v>224</v>
      </c>
    </row>
    <row r="127" spans="1:18" s="67" customFormat="1">
      <c r="A127" s="66" t="str">
        <f>VLOOKUP(C127,classifications!C:F,4,FALSE)</f>
        <v>UA</v>
      </c>
      <c r="B127" s="66" t="s">
        <v>557</v>
      </c>
      <c r="C127" s="68" t="s">
        <v>296</v>
      </c>
      <c r="D127" s="66" t="s">
        <v>303</v>
      </c>
      <c r="E127" s="66" t="s">
        <v>263</v>
      </c>
      <c r="F127" s="66" t="s">
        <v>298</v>
      </c>
      <c r="G127" s="66" t="s">
        <v>814</v>
      </c>
      <c r="H127" s="66" t="s">
        <v>259</v>
      </c>
      <c r="I127" s="66" t="s">
        <v>258</v>
      </c>
      <c r="J127" s="66" t="s">
        <v>297</v>
      </c>
      <c r="K127" s="66" t="s">
        <v>246</v>
      </c>
      <c r="L127" s="66" t="s">
        <v>287</v>
      </c>
      <c r="M127" s="66" t="s">
        <v>304</v>
      </c>
      <c r="N127" s="66" t="s">
        <v>812</v>
      </c>
      <c r="O127" s="66" t="s">
        <v>275</v>
      </c>
      <c r="P127" s="66" t="s">
        <v>252</v>
      </c>
      <c r="Q127" s="66" t="s">
        <v>292</v>
      </c>
      <c r="R127" s="66" t="s">
        <v>295</v>
      </c>
    </row>
    <row r="128" spans="1:18" s="67" customFormat="1">
      <c r="A128" s="66" t="str">
        <f>VLOOKUP(C128,classifications!C:F,4,FALSE)</f>
        <v>UA</v>
      </c>
      <c r="B128" s="66" t="s">
        <v>558</v>
      </c>
      <c r="C128" s="68" t="s">
        <v>812</v>
      </c>
      <c r="D128" s="66" t="s">
        <v>304</v>
      </c>
      <c r="E128" s="66" t="s">
        <v>325</v>
      </c>
      <c r="F128" s="66" t="s">
        <v>299</v>
      </c>
      <c r="G128" s="66" t="s">
        <v>295</v>
      </c>
      <c r="H128" s="66" t="s">
        <v>258</v>
      </c>
      <c r="I128" s="66" t="s">
        <v>249</v>
      </c>
      <c r="J128" s="66" t="s">
        <v>246</v>
      </c>
      <c r="K128" s="66" t="s">
        <v>297</v>
      </c>
      <c r="L128" s="66" t="s">
        <v>816</v>
      </c>
      <c r="M128" s="66" t="s">
        <v>303</v>
      </c>
      <c r="N128" s="66" t="s">
        <v>267</v>
      </c>
      <c r="O128" s="66" t="s">
        <v>277</v>
      </c>
      <c r="P128" s="66" t="s">
        <v>259</v>
      </c>
      <c r="Q128" s="66" t="s">
        <v>322</v>
      </c>
      <c r="R128" s="66" t="s">
        <v>227</v>
      </c>
    </row>
    <row r="129" spans="1:18" s="67" customFormat="1">
      <c r="A129" s="66" t="str">
        <f>VLOOKUP(C129,classifications!C:F,4,FALSE)</f>
        <v>UA</v>
      </c>
      <c r="B129" s="66" t="s">
        <v>559</v>
      </c>
      <c r="C129" s="68" t="s">
        <v>297</v>
      </c>
      <c r="D129" s="66" t="s">
        <v>304</v>
      </c>
      <c r="E129" s="66" t="s">
        <v>303</v>
      </c>
      <c r="F129" s="66" t="s">
        <v>325</v>
      </c>
      <c r="G129" s="66" t="s">
        <v>816</v>
      </c>
      <c r="H129" s="66" t="s">
        <v>812</v>
      </c>
      <c r="I129" s="66" t="s">
        <v>258</v>
      </c>
      <c r="J129" s="66" t="s">
        <v>278</v>
      </c>
      <c r="K129" s="66" t="s">
        <v>259</v>
      </c>
      <c r="L129" s="66" t="s">
        <v>246</v>
      </c>
      <c r="M129" s="66" t="s">
        <v>249</v>
      </c>
      <c r="N129" s="66" t="s">
        <v>267</v>
      </c>
      <c r="O129" s="66" t="s">
        <v>285</v>
      </c>
      <c r="P129" s="66" t="s">
        <v>305</v>
      </c>
      <c r="Q129" s="66" t="s">
        <v>296</v>
      </c>
      <c r="R129" s="66" t="s">
        <v>287</v>
      </c>
    </row>
    <row r="130" spans="1:18" s="67" customFormat="1">
      <c r="A130" s="66" t="str">
        <f>VLOOKUP(C130,classifications!C:F,4,FALSE)</f>
        <v>UA</v>
      </c>
      <c r="B130" s="66" t="s">
        <v>560</v>
      </c>
      <c r="C130" s="68" t="s">
        <v>814</v>
      </c>
      <c r="D130" s="66" t="s">
        <v>298</v>
      </c>
      <c r="E130" s="66" t="s">
        <v>296</v>
      </c>
      <c r="F130" s="66" t="s">
        <v>263</v>
      </c>
      <c r="G130" s="66" t="s">
        <v>303</v>
      </c>
      <c r="H130" s="66" t="s">
        <v>258</v>
      </c>
      <c r="I130" s="66" t="s">
        <v>246</v>
      </c>
      <c r="J130" s="66" t="s">
        <v>259</v>
      </c>
      <c r="K130" s="66" t="s">
        <v>297</v>
      </c>
      <c r="L130" s="66" t="s">
        <v>304</v>
      </c>
      <c r="M130" s="66" t="s">
        <v>285</v>
      </c>
      <c r="N130" s="66" t="s">
        <v>278</v>
      </c>
      <c r="O130" s="66" t="s">
        <v>812</v>
      </c>
      <c r="P130" s="66" t="s">
        <v>287</v>
      </c>
      <c r="Q130" s="66" t="s">
        <v>252</v>
      </c>
      <c r="R130" s="66" t="s">
        <v>816</v>
      </c>
    </row>
    <row r="131" spans="1:18" s="67" customFormat="1">
      <c r="A131" s="66" t="str">
        <f>VLOOKUP(C131,classifications!C:F,4,FALSE)</f>
        <v>UA</v>
      </c>
      <c r="B131" s="66" t="s">
        <v>561</v>
      </c>
      <c r="C131" s="68" t="s">
        <v>298</v>
      </c>
      <c r="D131" s="66" t="s">
        <v>814</v>
      </c>
      <c r="E131" s="66" t="s">
        <v>296</v>
      </c>
      <c r="F131" s="66" t="s">
        <v>263</v>
      </c>
      <c r="G131" s="66" t="s">
        <v>303</v>
      </c>
      <c r="H131" s="66" t="s">
        <v>258</v>
      </c>
      <c r="I131" s="66" t="s">
        <v>297</v>
      </c>
      <c r="J131" s="66" t="s">
        <v>304</v>
      </c>
      <c r="K131" s="66" t="s">
        <v>246</v>
      </c>
      <c r="L131" s="66" t="s">
        <v>259</v>
      </c>
      <c r="M131" s="66" t="s">
        <v>287</v>
      </c>
      <c r="N131" s="66" t="s">
        <v>285</v>
      </c>
      <c r="O131" s="66" t="s">
        <v>278</v>
      </c>
      <c r="P131" s="66" t="s">
        <v>249</v>
      </c>
      <c r="Q131" s="66" t="s">
        <v>812</v>
      </c>
      <c r="R131" s="66" t="s">
        <v>816</v>
      </c>
    </row>
    <row r="132" spans="1:18">
      <c r="A132" s="66" t="str">
        <f>VLOOKUP(C132,classifications!C:F,4,FALSE)</f>
        <v>UA</v>
      </c>
      <c r="B132" s="66" t="s">
        <v>562</v>
      </c>
      <c r="C132" s="68" t="s">
        <v>813</v>
      </c>
      <c r="D132" s="66" t="s">
        <v>290</v>
      </c>
      <c r="E132" s="66" t="s">
        <v>224</v>
      </c>
      <c r="F132" s="66" t="s">
        <v>268</v>
      </c>
      <c r="G132" s="66" t="s">
        <v>240</v>
      </c>
      <c r="H132" s="66" t="s">
        <v>241</v>
      </c>
      <c r="I132" s="66" t="s">
        <v>227</v>
      </c>
      <c r="J132" s="66" t="s">
        <v>273</v>
      </c>
      <c r="K132" s="66" t="s">
        <v>253</v>
      </c>
      <c r="L132" s="66" t="s">
        <v>226</v>
      </c>
      <c r="M132" s="66" t="s">
        <v>255</v>
      </c>
      <c r="N132" s="66" t="s">
        <v>265</v>
      </c>
      <c r="O132" s="66" t="s">
        <v>295</v>
      </c>
      <c r="P132" s="66" t="s">
        <v>248</v>
      </c>
      <c r="Q132" s="66" t="s">
        <v>251</v>
      </c>
      <c r="R132" s="66" t="s">
        <v>232</v>
      </c>
    </row>
    <row r="133" spans="1:18" s="67" customFormat="1">
      <c r="A133" s="66" t="str">
        <f>VLOOKUP(C133,classifications!C:F,4,FALSE)</f>
        <v>UA</v>
      </c>
      <c r="B133" s="66" t="s">
        <v>563</v>
      </c>
      <c r="C133" s="68" t="s">
        <v>299</v>
      </c>
      <c r="D133" s="66" t="s">
        <v>812</v>
      </c>
      <c r="E133" s="66" t="s">
        <v>249</v>
      </c>
      <c r="F133" s="66" t="s">
        <v>295</v>
      </c>
      <c r="G133" s="66" t="s">
        <v>258</v>
      </c>
      <c r="H133" s="66" t="s">
        <v>246</v>
      </c>
      <c r="I133" s="66" t="s">
        <v>292</v>
      </c>
      <c r="J133" s="66" t="s">
        <v>304</v>
      </c>
      <c r="K133" s="66" t="s">
        <v>252</v>
      </c>
      <c r="L133" s="66" t="s">
        <v>287</v>
      </c>
      <c r="M133" s="66" t="s">
        <v>325</v>
      </c>
      <c r="N133" s="66" t="s">
        <v>259</v>
      </c>
      <c r="O133" s="66" t="s">
        <v>227</v>
      </c>
      <c r="P133" s="66" t="s">
        <v>277</v>
      </c>
      <c r="Q133" s="66" t="s">
        <v>264</v>
      </c>
      <c r="R133" s="66" t="s">
        <v>282</v>
      </c>
    </row>
    <row r="134" spans="1:18" s="67" customFormat="1">
      <c r="A134" s="66"/>
      <c r="B134" s="66"/>
      <c r="C134" s="66"/>
      <c r="D134" s="66"/>
      <c r="E134" s="66"/>
      <c r="F134" s="66"/>
      <c r="G134" s="66"/>
      <c r="H134" s="66"/>
      <c r="I134" s="66"/>
      <c r="J134" s="66"/>
      <c r="K134" s="66"/>
      <c r="L134" s="66"/>
      <c r="M134" s="66"/>
      <c r="N134" s="66"/>
      <c r="O134" s="66"/>
      <c r="P134" s="66"/>
      <c r="Q134" s="66"/>
      <c r="R134" s="66"/>
    </row>
    <row r="135" spans="1:18" s="67" customFormat="1">
      <c r="A135" s="66"/>
      <c r="B135" s="65" t="s">
        <v>416</v>
      </c>
      <c r="C135" s="66"/>
      <c r="D135" s="66"/>
      <c r="E135" s="66"/>
      <c r="F135" s="66"/>
      <c r="G135" s="66"/>
      <c r="H135" s="66"/>
      <c r="I135" s="66"/>
      <c r="J135" s="66"/>
      <c r="K135" s="66"/>
      <c r="L135" s="66"/>
      <c r="M135" s="66"/>
      <c r="N135" s="66"/>
      <c r="O135" s="66"/>
      <c r="P135" s="66"/>
      <c r="Q135" s="66"/>
      <c r="R135" s="66"/>
    </row>
    <row r="136" spans="1:18" s="67" customFormat="1">
      <c r="A136" s="66" t="str">
        <f>VLOOKUP(C136,classifications!C:F,4,FALSE)</f>
        <v>SC</v>
      </c>
      <c r="B136" s="66" t="s">
        <v>564</v>
      </c>
      <c r="C136" s="66" t="s">
        <v>300</v>
      </c>
      <c r="D136" s="66" t="s">
        <v>324</v>
      </c>
      <c r="E136" s="66" t="s">
        <v>329</v>
      </c>
      <c r="F136" s="66" t="s">
        <v>302</v>
      </c>
      <c r="G136" s="66" t="s">
        <v>313</v>
      </c>
      <c r="H136" s="66" t="s">
        <v>312</v>
      </c>
      <c r="I136" s="66" t="s">
        <v>330</v>
      </c>
      <c r="J136" s="66" t="s">
        <v>314</v>
      </c>
      <c r="K136" s="66" t="s">
        <v>317</v>
      </c>
      <c r="L136" s="66" t="s">
        <v>331</v>
      </c>
      <c r="M136" s="66" t="s">
        <v>320</v>
      </c>
      <c r="N136" s="66" t="s">
        <v>332</v>
      </c>
      <c r="O136" s="66" t="s">
        <v>326</v>
      </c>
      <c r="P136" s="66" t="s">
        <v>311</v>
      </c>
      <c r="Q136" s="66" t="s">
        <v>328</v>
      </c>
      <c r="R136" s="66" t="s">
        <v>321</v>
      </c>
    </row>
    <row r="137" spans="1:18" s="67" customFormat="1">
      <c r="A137" s="66" t="str">
        <f>VLOOKUP(C137,classifications!C:F,4,FALSE)</f>
        <v>SC</v>
      </c>
      <c r="B137" s="66" t="s">
        <v>565</v>
      </c>
      <c r="C137" s="66" t="s">
        <v>302</v>
      </c>
      <c r="D137" s="66" t="s">
        <v>324</v>
      </c>
      <c r="E137" s="66" t="s">
        <v>330</v>
      </c>
      <c r="F137" s="66" t="s">
        <v>312</v>
      </c>
      <c r="G137" s="66" t="s">
        <v>317</v>
      </c>
      <c r="H137" s="66" t="s">
        <v>328</v>
      </c>
      <c r="I137" s="66" t="s">
        <v>332</v>
      </c>
      <c r="J137" s="66" t="s">
        <v>300</v>
      </c>
      <c r="K137" s="66" t="s">
        <v>313</v>
      </c>
      <c r="L137" s="66" t="s">
        <v>321</v>
      </c>
      <c r="M137" s="66" t="s">
        <v>326</v>
      </c>
      <c r="N137" s="66" t="s">
        <v>327</v>
      </c>
      <c r="O137" s="66" t="s">
        <v>311</v>
      </c>
      <c r="P137" s="66" t="s">
        <v>320</v>
      </c>
      <c r="Q137" s="66" t="s">
        <v>314</v>
      </c>
      <c r="R137" s="66" t="s">
        <v>331</v>
      </c>
    </row>
    <row r="138" spans="1:18" s="67" customFormat="1">
      <c r="A138" s="66" t="str">
        <f>VLOOKUP(C138,classifications!C:F,4,FALSE)</f>
        <v>SC</v>
      </c>
      <c r="B138" s="66" t="s">
        <v>566</v>
      </c>
      <c r="C138" s="66" t="s">
        <v>306</v>
      </c>
      <c r="D138" s="66" t="s">
        <v>307</v>
      </c>
      <c r="E138" s="66" t="s">
        <v>320</v>
      </c>
      <c r="F138" s="66" t="s">
        <v>318</v>
      </c>
      <c r="G138" s="66" t="s">
        <v>327</v>
      </c>
      <c r="H138" s="66" t="s">
        <v>323</v>
      </c>
      <c r="I138" s="66" t="s">
        <v>328</v>
      </c>
      <c r="J138" s="66" t="s">
        <v>332</v>
      </c>
      <c r="K138" s="66" t="s">
        <v>319</v>
      </c>
      <c r="L138" s="66" t="s">
        <v>326</v>
      </c>
      <c r="M138" s="66" t="s">
        <v>330</v>
      </c>
      <c r="N138" s="66" t="s">
        <v>312</v>
      </c>
      <c r="O138" s="66" t="s">
        <v>308</v>
      </c>
      <c r="P138" s="66" t="s">
        <v>316</v>
      </c>
      <c r="Q138" s="66" t="s">
        <v>317</v>
      </c>
      <c r="R138" s="66" t="s">
        <v>309</v>
      </c>
    </row>
    <row r="139" spans="1:18" s="67" customFormat="1">
      <c r="A139" s="66" t="str">
        <f>VLOOKUP(C139,classifications!C:F,4,FALSE)</f>
        <v>SC</v>
      </c>
      <c r="B139" s="66" t="s">
        <v>567</v>
      </c>
      <c r="C139" s="68" t="s">
        <v>307</v>
      </c>
      <c r="D139" s="66" t="s">
        <v>323</v>
      </c>
      <c r="E139" s="66" t="s">
        <v>327</v>
      </c>
      <c r="F139" s="66" t="s">
        <v>332</v>
      </c>
      <c r="G139" s="66" t="s">
        <v>328</v>
      </c>
      <c r="H139" s="66" t="s">
        <v>306</v>
      </c>
      <c r="I139" s="66" t="s">
        <v>318</v>
      </c>
      <c r="J139" s="66" t="s">
        <v>330</v>
      </c>
      <c r="K139" s="66" t="s">
        <v>319</v>
      </c>
      <c r="L139" s="66" t="s">
        <v>316</v>
      </c>
      <c r="M139" s="66" t="s">
        <v>312</v>
      </c>
      <c r="N139" s="66" t="s">
        <v>321</v>
      </c>
      <c r="O139" s="66" t="s">
        <v>326</v>
      </c>
      <c r="P139" s="66" t="s">
        <v>317</v>
      </c>
      <c r="Q139" s="66" t="s">
        <v>320</v>
      </c>
      <c r="R139" s="66" t="s">
        <v>311</v>
      </c>
    </row>
    <row r="140" spans="1:18" s="67" customFormat="1">
      <c r="A140" s="66" t="str">
        <f>VLOOKUP(C140,classifications!C:F,4,FALSE)</f>
        <v>SC</v>
      </c>
      <c r="B140" s="66" t="s">
        <v>568</v>
      </c>
      <c r="C140" s="66" t="s">
        <v>308</v>
      </c>
      <c r="D140" s="66" t="s">
        <v>320</v>
      </c>
      <c r="E140" s="66" t="s">
        <v>310</v>
      </c>
      <c r="F140" s="66" t="s">
        <v>309</v>
      </c>
      <c r="G140" s="66" t="s">
        <v>326</v>
      </c>
      <c r="H140" s="66" t="s">
        <v>312</v>
      </c>
      <c r="I140" s="66" t="s">
        <v>331</v>
      </c>
      <c r="J140" s="66" t="s">
        <v>306</v>
      </c>
      <c r="K140" s="66" t="s">
        <v>332</v>
      </c>
      <c r="L140" s="66" t="s">
        <v>328</v>
      </c>
      <c r="M140" s="66" t="s">
        <v>330</v>
      </c>
      <c r="N140" s="66" t="s">
        <v>318</v>
      </c>
      <c r="O140" s="66" t="s">
        <v>319</v>
      </c>
      <c r="P140" s="66" t="s">
        <v>311</v>
      </c>
      <c r="Q140" s="66" t="s">
        <v>317</v>
      </c>
      <c r="R140" s="66" t="s">
        <v>313</v>
      </c>
    </row>
    <row r="141" spans="1:18" s="67" customFormat="1">
      <c r="A141" s="66" t="str">
        <f>VLOOKUP(C141,classifications!C:F,4,FALSE)</f>
        <v>SC</v>
      </c>
      <c r="B141" s="66" t="s">
        <v>569</v>
      </c>
      <c r="C141" s="66" t="s">
        <v>309</v>
      </c>
      <c r="D141" s="66" t="s">
        <v>308</v>
      </c>
      <c r="E141" s="66" t="s">
        <v>326</v>
      </c>
      <c r="F141" s="66" t="s">
        <v>320</v>
      </c>
      <c r="G141" s="66" t="s">
        <v>312</v>
      </c>
      <c r="H141" s="66" t="s">
        <v>310</v>
      </c>
      <c r="I141" s="66" t="s">
        <v>328</v>
      </c>
      <c r="J141" s="66" t="s">
        <v>331</v>
      </c>
      <c r="K141" s="66" t="s">
        <v>332</v>
      </c>
      <c r="L141" s="66" t="s">
        <v>319</v>
      </c>
      <c r="M141" s="66" t="s">
        <v>306</v>
      </c>
      <c r="N141" s="66" t="s">
        <v>330</v>
      </c>
      <c r="O141" s="66" t="s">
        <v>317</v>
      </c>
      <c r="P141" s="66" t="s">
        <v>313</v>
      </c>
      <c r="Q141" s="66" t="s">
        <v>318</v>
      </c>
      <c r="R141" s="66" t="s">
        <v>300</v>
      </c>
    </row>
    <row r="142" spans="1:18" s="67" customFormat="1">
      <c r="A142" s="66" t="str">
        <f>VLOOKUP(C142,classifications!C:F,4,FALSE)</f>
        <v>SC</v>
      </c>
      <c r="B142" s="66" t="s">
        <v>570</v>
      </c>
      <c r="C142" s="66" t="s">
        <v>310</v>
      </c>
      <c r="D142" s="66" t="s">
        <v>331</v>
      </c>
      <c r="E142" s="66" t="s">
        <v>308</v>
      </c>
      <c r="F142" s="66" t="s">
        <v>312</v>
      </c>
      <c r="G142" s="66" t="s">
        <v>332</v>
      </c>
      <c r="H142" s="66" t="s">
        <v>326</v>
      </c>
      <c r="I142" s="66" t="s">
        <v>309</v>
      </c>
      <c r="J142" s="66" t="s">
        <v>328</v>
      </c>
      <c r="K142" s="66" t="s">
        <v>315</v>
      </c>
      <c r="L142" s="66" t="s">
        <v>311</v>
      </c>
      <c r="M142" s="66" t="s">
        <v>330</v>
      </c>
      <c r="N142" s="66" t="s">
        <v>320</v>
      </c>
      <c r="O142" s="66" t="s">
        <v>319</v>
      </c>
      <c r="P142" s="66" t="s">
        <v>313</v>
      </c>
      <c r="Q142" s="66" t="s">
        <v>318</v>
      </c>
      <c r="R142" s="66" t="s">
        <v>306</v>
      </c>
    </row>
    <row r="143" spans="1:18" s="67" customFormat="1">
      <c r="A143" s="66" t="str">
        <f>VLOOKUP(C143,classifications!C:F,4,FALSE)</f>
        <v>SC</v>
      </c>
      <c r="B143" s="66" t="s">
        <v>571</v>
      </c>
      <c r="C143" s="66" t="s">
        <v>311</v>
      </c>
      <c r="D143" s="66" t="s">
        <v>315</v>
      </c>
      <c r="E143" s="66" t="s">
        <v>313</v>
      </c>
      <c r="F143" s="66" t="s">
        <v>331</v>
      </c>
      <c r="G143" s="66" t="s">
        <v>330</v>
      </c>
      <c r="H143" s="66" t="s">
        <v>332</v>
      </c>
      <c r="I143" s="66" t="s">
        <v>312</v>
      </c>
      <c r="J143" s="66" t="s">
        <v>327</v>
      </c>
      <c r="K143" s="66" t="s">
        <v>328</v>
      </c>
      <c r="L143" s="66" t="s">
        <v>321</v>
      </c>
      <c r="M143" s="66" t="s">
        <v>323</v>
      </c>
      <c r="N143" s="66" t="s">
        <v>316</v>
      </c>
      <c r="O143" s="66" t="s">
        <v>307</v>
      </c>
      <c r="P143" s="66" t="s">
        <v>314</v>
      </c>
      <c r="Q143" s="66" t="s">
        <v>310</v>
      </c>
      <c r="R143" s="66" t="s">
        <v>308</v>
      </c>
    </row>
    <row r="144" spans="1:18" s="67" customFormat="1">
      <c r="A144" s="66" t="str">
        <f>VLOOKUP(C144,classifications!C:F,4,FALSE)</f>
        <v>SC</v>
      </c>
      <c r="B144" s="66" t="s">
        <v>572</v>
      </c>
      <c r="C144" s="66" t="s">
        <v>312</v>
      </c>
      <c r="D144" s="66" t="s">
        <v>330</v>
      </c>
      <c r="E144" s="66" t="s">
        <v>332</v>
      </c>
      <c r="F144" s="66" t="s">
        <v>328</v>
      </c>
      <c r="G144" s="66" t="s">
        <v>326</v>
      </c>
      <c r="H144" s="66" t="s">
        <v>320</v>
      </c>
      <c r="I144" s="66" t="s">
        <v>317</v>
      </c>
      <c r="J144" s="66" t="s">
        <v>327</v>
      </c>
      <c r="K144" s="66" t="s">
        <v>300</v>
      </c>
      <c r="L144" s="66" t="s">
        <v>331</v>
      </c>
      <c r="M144" s="66" t="s">
        <v>324</v>
      </c>
      <c r="N144" s="66" t="s">
        <v>308</v>
      </c>
      <c r="O144" s="66" t="s">
        <v>323</v>
      </c>
      <c r="P144" s="66" t="s">
        <v>311</v>
      </c>
      <c r="Q144" s="66" t="s">
        <v>307</v>
      </c>
      <c r="R144" s="66" t="s">
        <v>313</v>
      </c>
    </row>
    <row r="145" spans="1:18" s="67" customFormat="1">
      <c r="A145" s="66" t="str">
        <f>VLOOKUP(C145,classifications!C:F,4,FALSE)</f>
        <v>SC</v>
      </c>
      <c r="B145" s="66" t="s">
        <v>573</v>
      </c>
      <c r="C145" s="66" t="s">
        <v>313</v>
      </c>
      <c r="D145" s="66" t="s">
        <v>311</v>
      </c>
      <c r="E145" s="66" t="s">
        <v>331</v>
      </c>
      <c r="F145" s="66" t="s">
        <v>315</v>
      </c>
      <c r="G145" s="66" t="s">
        <v>312</v>
      </c>
      <c r="H145" s="66" t="s">
        <v>330</v>
      </c>
      <c r="I145" s="66" t="s">
        <v>324</v>
      </c>
      <c r="J145" s="66" t="s">
        <v>300</v>
      </c>
      <c r="K145" s="66" t="s">
        <v>332</v>
      </c>
      <c r="L145" s="66" t="s">
        <v>317</v>
      </c>
      <c r="M145" s="66" t="s">
        <v>314</v>
      </c>
      <c r="N145" s="66" t="s">
        <v>327</v>
      </c>
      <c r="O145" s="66" t="s">
        <v>328</v>
      </c>
      <c r="P145" s="66" t="s">
        <v>308</v>
      </c>
      <c r="Q145" s="66" t="s">
        <v>302</v>
      </c>
      <c r="R145" s="66" t="s">
        <v>329</v>
      </c>
    </row>
    <row r="146" spans="1:18" s="67" customFormat="1">
      <c r="A146" s="66" t="str">
        <f>VLOOKUP(C146,classifications!C:F,4,FALSE)</f>
        <v>SC</v>
      </c>
      <c r="B146" s="66" t="s">
        <v>574</v>
      </c>
      <c r="C146" s="66" t="s">
        <v>332</v>
      </c>
      <c r="D146" s="66" t="s">
        <v>330</v>
      </c>
      <c r="E146" s="66" t="s">
        <v>312</v>
      </c>
      <c r="F146" s="66" t="s">
        <v>328</v>
      </c>
      <c r="G146" s="66" t="s">
        <v>327</v>
      </c>
      <c r="H146" s="66" t="s">
        <v>307</v>
      </c>
      <c r="I146" s="66" t="s">
        <v>323</v>
      </c>
      <c r="J146" s="66" t="s">
        <v>326</v>
      </c>
      <c r="K146" s="66" t="s">
        <v>319</v>
      </c>
      <c r="L146" s="66" t="s">
        <v>320</v>
      </c>
      <c r="M146" s="66" t="s">
        <v>306</v>
      </c>
      <c r="N146" s="66" t="s">
        <v>317</v>
      </c>
      <c r="O146" s="66" t="s">
        <v>311</v>
      </c>
      <c r="P146" s="66" t="s">
        <v>321</v>
      </c>
      <c r="Q146" s="66" t="s">
        <v>318</v>
      </c>
      <c r="R146" s="66" t="s">
        <v>300</v>
      </c>
    </row>
    <row r="147" spans="1:18" s="67" customFormat="1">
      <c r="A147" s="66" t="str">
        <f>VLOOKUP(C147,classifications!C:F,4,FALSE)</f>
        <v>SC</v>
      </c>
      <c r="B147" s="66" t="s">
        <v>575</v>
      </c>
      <c r="C147" s="66" t="s">
        <v>314</v>
      </c>
      <c r="D147" s="66" t="s">
        <v>324</v>
      </c>
      <c r="E147" s="66" t="s">
        <v>313</v>
      </c>
      <c r="F147" s="66" t="s">
        <v>311</v>
      </c>
      <c r="G147" s="66" t="s">
        <v>315</v>
      </c>
      <c r="H147" s="66" t="s">
        <v>329</v>
      </c>
      <c r="I147" s="66" t="s">
        <v>331</v>
      </c>
      <c r="J147" s="66" t="s">
        <v>300</v>
      </c>
      <c r="K147" s="66" t="s">
        <v>321</v>
      </c>
      <c r="L147" s="66" t="s">
        <v>330</v>
      </c>
      <c r="M147" s="66" t="s">
        <v>302</v>
      </c>
      <c r="N147" s="66" t="s">
        <v>312</v>
      </c>
      <c r="O147" s="66" t="s">
        <v>332</v>
      </c>
      <c r="P147" s="66" t="s">
        <v>327</v>
      </c>
      <c r="Q147" s="66" t="s">
        <v>328</v>
      </c>
      <c r="R147" s="66" t="s">
        <v>323</v>
      </c>
    </row>
    <row r="148" spans="1:18" s="67" customFormat="1">
      <c r="A148" s="66" t="str">
        <f>VLOOKUP(C148,classifications!C:F,4,FALSE)</f>
        <v>SC</v>
      </c>
      <c r="B148" s="66" t="s">
        <v>576</v>
      </c>
      <c r="C148" s="66" t="s">
        <v>315</v>
      </c>
      <c r="D148" s="66" t="s">
        <v>311</v>
      </c>
      <c r="E148" s="66" t="s">
        <v>313</v>
      </c>
      <c r="F148" s="66" t="s">
        <v>331</v>
      </c>
      <c r="G148" s="66" t="s">
        <v>312</v>
      </c>
      <c r="H148" s="66" t="s">
        <v>332</v>
      </c>
      <c r="I148" s="66" t="s">
        <v>330</v>
      </c>
      <c r="J148" s="66" t="s">
        <v>321</v>
      </c>
      <c r="K148" s="66" t="s">
        <v>316</v>
      </c>
      <c r="L148" s="66" t="s">
        <v>328</v>
      </c>
      <c r="M148" s="66" t="s">
        <v>327</v>
      </c>
      <c r="N148" s="66" t="s">
        <v>323</v>
      </c>
      <c r="O148" s="66" t="s">
        <v>310</v>
      </c>
      <c r="P148" s="66" t="s">
        <v>314</v>
      </c>
      <c r="Q148" s="66" t="s">
        <v>307</v>
      </c>
      <c r="R148" s="66" t="s">
        <v>318</v>
      </c>
    </row>
    <row r="149" spans="1:18" s="67" customFormat="1">
      <c r="A149" s="66" t="str">
        <f>VLOOKUP(C149,classifications!C:F,4,FALSE)</f>
        <v>SC</v>
      </c>
      <c r="B149" s="66" t="s">
        <v>577</v>
      </c>
      <c r="C149" s="66" t="s">
        <v>316</v>
      </c>
      <c r="D149" s="66" t="s">
        <v>323</v>
      </c>
      <c r="E149" s="66" t="s">
        <v>327</v>
      </c>
      <c r="F149" s="66" t="s">
        <v>307</v>
      </c>
      <c r="G149" s="66" t="s">
        <v>306</v>
      </c>
      <c r="H149" s="66" t="s">
        <v>321</v>
      </c>
      <c r="I149" s="66" t="s">
        <v>315</v>
      </c>
      <c r="J149" s="66" t="s">
        <v>330</v>
      </c>
      <c r="K149" s="66" t="s">
        <v>332</v>
      </c>
      <c r="L149" s="66" t="s">
        <v>312</v>
      </c>
      <c r="M149" s="66" t="s">
        <v>311</v>
      </c>
      <c r="N149" s="66" t="s">
        <v>328</v>
      </c>
      <c r="O149" s="66" t="s">
        <v>318</v>
      </c>
      <c r="P149" s="66" t="s">
        <v>319</v>
      </c>
      <c r="Q149" s="66" t="s">
        <v>317</v>
      </c>
      <c r="R149" s="66" t="s">
        <v>320</v>
      </c>
    </row>
    <row r="150" spans="1:18" s="67" customFormat="1">
      <c r="A150" s="66" t="str">
        <f>VLOOKUP(C150,classifications!C:F,4,FALSE)</f>
        <v>SC</v>
      </c>
      <c r="B150" s="66" t="s">
        <v>578</v>
      </c>
      <c r="C150" s="68" t="s">
        <v>317</v>
      </c>
      <c r="D150" s="66" t="s">
        <v>330</v>
      </c>
      <c r="E150" s="66" t="s">
        <v>312</v>
      </c>
      <c r="F150" s="66" t="s">
        <v>327</v>
      </c>
      <c r="G150" s="66" t="s">
        <v>320</v>
      </c>
      <c r="H150" s="66" t="s">
        <v>332</v>
      </c>
      <c r="I150" s="66" t="s">
        <v>323</v>
      </c>
      <c r="J150" s="66" t="s">
        <v>328</v>
      </c>
      <c r="K150" s="66" t="s">
        <v>300</v>
      </c>
      <c r="L150" s="66" t="s">
        <v>326</v>
      </c>
      <c r="M150" s="66" t="s">
        <v>307</v>
      </c>
      <c r="N150" s="66" t="s">
        <v>324</v>
      </c>
      <c r="O150" s="66" t="s">
        <v>313</v>
      </c>
      <c r="P150" s="66" t="s">
        <v>321</v>
      </c>
      <c r="Q150" s="66" t="s">
        <v>306</v>
      </c>
      <c r="R150" s="66" t="s">
        <v>308</v>
      </c>
    </row>
    <row r="151" spans="1:18" s="67" customFormat="1">
      <c r="A151" s="66" t="str">
        <f>VLOOKUP(C151,classifications!C:F,4,FALSE)</f>
        <v>SC</v>
      </c>
      <c r="B151" s="66" t="s">
        <v>579</v>
      </c>
      <c r="C151" s="66" t="s">
        <v>318</v>
      </c>
      <c r="D151" s="66" t="s">
        <v>319</v>
      </c>
      <c r="E151" s="66" t="s">
        <v>307</v>
      </c>
      <c r="F151" s="66" t="s">
        <v>328</v>
      </c>
      <c r="G151" s="66" t="s">
        <v>306</v>
      </c>
      <c r="H151" s="66" t="s">
        <v>323</v>
      </c>
      <c r="I151" s="66" t="s">
        <v>332</v>
      </c>
      <c r="J151" s="66" t="s">
        <v>327</v>
      </c>
      <c r="K151" s="66" t="s">
        <v>326</v>
      </c>
      <c r="L151" s="66" t="s">
        <v>330</v>
      </c>
      <c r="M151" s="66" t="s">
        <v>312</v>
      </c>
      <c r="N151" s="66" t="s">
        <v>308</v>
      </c>
      <c r="O151" s="66" t="s">
        <v>320</v>
      </c>
      <c r="P151" s="66" t="s">
        <v>316</v>
      </c>
      <c r="Q151" s="66" t="s">
        <v>317</v>
      </c>
      <c r="R151" s="66" t="s">
        <v>311</v>
      </c>
    </row>
    <row r="152" spans="1:18" s="67" customFormat="1">
      <c r="A152" s="66" t="str">
        <f>VLOOKUP(C152,classifications!C:F,4,FALSE)</f>
        <v>SC</v>
      </c>
      <c r="B152" s="66" t="s">
        <v>580</v>
      </c>
      <c r="C152" s="66" t="s">
        <v>319</v>
      </c>
      <c r="D152" s="66" t="s">
        <v>328</v>
      </c>
      <c r="E152" s="66" t="s">
        <v>318</v>
      </c>
      <c r="F152" s="66" t="s">
        <v>326</v>
      </c>
      <c r="G152" s="66" t="s">
        <v>307</v>
      </c>
      <c r="H152" s="66" t="s">
        <v>332</v>
      </c>
      <c r="I152" s="66" t="s">
        <v>306</v>
      </c>
      <c r="J152" s="66" t="s">
        <v>312</v>
      </c>
      <c r="K152" s="66" t="s">
        <v>323</v>
      </c>
      <c r="L152" s="66" t="s">
        <v>330</v>
      </c>
      <c r="M152" s="66" t="s">
        <v>327</v>
      </c>
      <c r="N152" s="66" t="s">
        <v>320</v>
      </c>
      <c r="O152" s="66" t="s">
        <v>308</v>
      </c>
      <c r="P152" s="66" t="s">
        <v>317</v>
      </c>
      <c r="Q152" s="66" t="s">
        <v>316</v>
      </c>
      <c r="R152" s="66" t="s">
        <v>310</v>
      </c>
    </row>
    <row r="153" spans="1:18" s="67" customFormat="1">
      <c r="A153" s="66" t="str">
        <f>VLOOKUP(C153,classifications!C:F,4,FALSE)</f>
        <v>SC</v>
      </c>
      <c r="B153" s="66" t="s">
        <v>581</v>
      </c>
      <c r="C153" s="68" t="s">
        <v>320</v>
      </c>
      <c r="D153" s="66" t="s">
        <v>326</v>
      </c>
      <c r="E153" s="66" t="s">
        <v>312</v>
      </c>
      <c r="F153" s="66" t="s">
        <v>308</v>
      </c>
      <c r="G153" s="66" t="s">
        <v>306</v>
      </c>
      <c r="H153" s="66" t="s">
        <v>330</v>
      </c>
      <c r="I153" s="66" t="s">
        <v>332</v>
      </c>
      <c r="J153" s="66" t="s">
        <v>317</v>
      </c>
      <c r="K153" s="66" t="s">
        <v>309</v>
      </c>
      <c r="L153" s="66" t="s">
        <v>328</v>
      </c>
      <c r="M153" s="66" t="s">
        <v>319</v>
      </c>
      <c r="N153" s="66" t="s">
        <v>327</v>
      </c>
      <c r="O153" s="66" t="s">
        <v>307</v>
      </c>
      <c r="P153" s="66" t="s">
        <v>318</v>
      </c>
      <c r="Q153" s="66" t="s">
        <v>331</v>
      </c>
      <c r="R153" s="66" t="s">
        <v>310</v>
      </c>
    </row>
    <row r="154" spans="1:18" s="67" customFormat="1">
      <c r="A154" s="66" t="str">
        <f>VLOOKUP(C154,classifications!C:F,4,FALSE)</f>
        <v>SC</v>
      </c>
      <c r="B154" s="66" t="s">
        <v>582</v>
      </c>
      <c r="C154" s="66" t="s">
        <v>321</v>
      </c>
      <c r="D154" s="66" t="s">
        <v>323</v>
      </c>
      <c r="E154" s="66" t="s">
        <v>330</v>
      </c>
      <c r="F154" s="66" t="s">
        <v>327</v>
      </c>
      <c r="G154" s="66" t="s">
        <v>332</v>
      </c>
      <c r="H154" s="66" t="s">
        <v>307</v>
      </c>
      <c r="I154" s="66" t="s">
        <v>328</v>
      </c>
      <c r="J154" s="66" t="s">
        <v>312</v>
      </c>
      <c r="K154" s="66" t="s">
        <v>315</v>
      </c>
      <c r="L154" s="66" t="s">
        <v>311</v>
      </c>
      <c r="M154" s="66" t="s">
        <v>316</v>
      </c>
      <c r="N154" s="66" t="s">
        <v>300</v>
      </c>
      <c r="O154" s="66" t="s">
        <v>317</v>
      </c>
      <c r="P154" s="66" t="s">
        <v>324</v>
      </c>
      <c r="Q154" s="66" t="s">
        <v>313</v>
      </c>
      <c r="R154" s="66" t="s">
        <v>314</v>
      </c>
    </row>
    <row r="155" spans="1:18" s="67" customFormat="1">
      <c r="A155" s="66" t="str">
        <f>VLOOKUP(C155,classifications!C:F,4,FALSE)</f>
        <v>SC</v>
      </c>
      <c r="B155" s="66" t="s">
        <v>583</v>
      </c>
      <c r="C155" s="66" t="s">
        <v>323</v>
      </c>
      <c r="D155" s="66" t="s">
        <v>327</v>
      </c>
      <c r="E155" s="66" t="s">
        <v>307</v>
      </c>
      <c r="F155" s="66" t="s">
        <v>330</v>
      </c>
      <c r="G155" s="66" t="s">
        <v>316</v>
      </c>
      <c r="H155" s="66" t="s">
        <v>332</v>
      </c>
      <c r="I155" s="66" t="s">
        <v>321</v>
      </c>
      <c r="J155" s="66" t="s">
        <v>328</v>
      </c>
      <c r="K155" s="66" t="s">
        <v>306</v>
      </c>
      <c r="L155" s="66" t="s">
        <v>318</v>
      </c>
      <c r="M155" s="66" t="s">
        <v>312</v>
      </c>
      <c r="N155" s="66" t="s">
        <v>317</v>
      </c>
      <c r="O155" s="66" t="s">
        <v>319</v>
      </c>
      <c r="P155" s="66" t="s">
        <v>311</v>
      </c>
      <c r="Q155" s="66" t="s">
        <v>315</v>
      </c>
      <c r="R155" s="66" t="s">
        <v>326</v>
      </c>
    </row>
    <row r="156" spans="1:18" s="67" customFormat="1">
      <c r="A156" s="66" t="str">
        <f>VLOOKUP(C156,classifications!C:F,4,FALSE)</f>
        <v>SC</v>
      </c>
      <c r="B156" s="66" t="s">
        <v>584</v>
      </c>
      <c r="C156" s="66" t="s">
        <v>324</v>
      </c>
      <c r="D156" s="66" t="s">
        <v>300</v>
      </c>
      <c r="E156" s="66" t="s">
        <v>302</v>
      </c>
      <c r="F156" s="66" t="s">
        <v>330</v>
      </c>
      <c r="G156" s="66" t="s">
        <v>312</v>
      </c>
      <c r="H156" s="66" t="s">
        <v>313</v>
      </c>
      <c r="I156" s="66" t="s">
        <v>314</v>
      </c>
      <c r="J156" s="66" t="s">
        <v>317</v>
      </c>
      <c r="K156" s="66" t="s">
        <v>332</v>
      </c>
      <c r="L156" s="66" t="s">
        <v>329</v>
      </c>
      <c r="M156" s="66" t="s">
        <v>321</v>
      </c>
      <c r="N156" s="66" t="s">
        <v>331</v>
      </c>
      <c r="O156" s="66" t="s">
        <v>311</v>
      </c>
      <c r="P156" s="66" t="s">
        <v>328</v>
      </c>
      <c r="Q156" s="66" t="s">
        <v>320</v>
      </c>
      <c r="R156" s="66" t="s">
        <v>326</v>
      </c>
    </row>
    <row r="157" spans="1:18" s="67" customFormat="1">
      <c r="A157" s="66" t="str">
        <f>VLOOKUP(C157,classifications!C:F,4,FALSE)</f>
        <v>SC</v>
      </c>
      <c r="B157" s="66" t="s">
        <v>585</v>
      </c>
      <c r="C157" s="66" t="s">
        <v>326</v>
      </c>
      <c r="D157" s="66" t="s">
        <v>328</v>
      </c>
      <c r="E157" s="66" t="s">
        <v>320</v>
      </c>
      <c r="F157" s="66" t="s">
        <v>312</v>
      </c>
      <c r="G157" s="66" t="s">
        <v>319</v>
      </c>
      <c r="H157" s="66" t="s">
        <v>332</v>
      </c>
      <c r="I157" s="66" t="s">
        <v>330</v>
      </c>
      <c r="J157" s="66" t="s">
        <v>308</v>
      </c>
      <c r="K157" s="66" t="s">
        <v>309</v>
      </c>
      <c r="L157" s="66" t="s">
        <v>306</v>
      </c>
      <c r="M157" s="66" t="s">
        <v>317</v>
      </c>
      <c r="N157" s="66" t="s">
        <v>307</v>
      </c>
      <c r="O157" s="66" t="s">
        <v>318</v>
      </c>
      <c r="P157" s="66" t="s">
        <v>327</v>
      </c>
      <c r="Q157" s="66" t="s">
        <v>300</v>
      </c>
      <c r="R157" s="66" t="s">
        <v>310</v>
      </c>
    </row>
    <row r="158" spans="1:18" s="67" customFormat="1">
      <c r="A158" s="66" t="str">
        <f>VLOOKUP(C158,classifications!C:F,4,FALSE)</f>
        <v>SC</v>
      </c>
      <c r="B158" s="66" t="s">
        <v>586</v>
      </c>
      <c r="C158" s="66" t="s">
        <v>327</v>
      </c>
      <c r="D158" s="66" t="s">
        <v>323</v>
      </c>
      <c r="E158" s="66" t="s">
        <v>307</v>
      </c>
      <c r="F158" s="66" t="s">
        <v>332</v>
      </c>
      <c r="G158" s="66" t="s">
        <v>330</v>
      </c>
      <c r="H158" s="66" t="s">
        <v>328</v>
      </c>
      <c r="I158" s="66" t="s">
        <v>312</v>
      </c>
      <c r="J158" s="66" t="s">
        <v>321</v>
      </c>
      <c r="K158" s="66" t="s">
        <v>306</v>
      </c>
      <c r="L158" s="66" t="s">
        <v>317</v>
      </c>
      <c r="M158" s="66" t="s">
        <v>316</v>
      </c>
      <c r="N158" s="66" t="s">
        <v>311</v>
      </c>
      <c r="O158" s="66" t="s">
        <v>318</v>
      </c>
      <c r="P158" s="66" t="s">
        <v>319</v>
      </c>
      <c r="Q158" s="66" t="s">
        <v>315</v>
      </c>
      <c r="R158" s="66" t="s">
        <v>326</v>
      </c>
    </row>
    <row r="159" spans="1:18" s="67" customFormat="1">
      <c r="A159" s="66" t="str">
        <f>VLOOKUP(C159,classifications!C:F,4,FALSE)</f>
        <v>SC</v>
      </c>
      <c r="B159" s="66" t="s">
        <v>587</v>
      </c>
      <c r="C159" s="66" t="s">
        <v>328</v>
      </c>
      <c r="D159" s="66" t="s">
        <v>332</v>
      </c>
      <c r="E159" s="66" t="s">
        <v>319</v>
      </c>
      <c r="F159" s="66" t="s">
        <v>312</v>
      </c>
      <c r="G159" s="66" t="s">
        <v>330</v>
      </c>
      <c r="H159" s="66" t="s">
        <v>326</v>
      </c>
      <c r="I159" s="66" t="s">
        <v>307</v>
      </c>
      <c r="J159" s="66" t="s">
        <v>327</v>
      </c>
      <c r="K159" s="66" t="s">
        <v>323</v>
      </c>
      <c r="L159" s="66" t="s">
        <v>318</v>
      </c>
      <c r="M159" s="66" t="s">
        <v>306</v>
      </c>
      <c r="N159" s="66" t="s">
        <v>320</v>
      </c>
      <c r="O159" s="66" t="s">
        <v>317</v>
      </c>
      <c r="P159" s="66" t="s">
        <v>321</v>
      </c>
      <c r="Q159" s="66" t="s">
        <v>311</v>
      </c>
      <c r="R159" s="66" t="s">
        <v>300</v>
      </c>
    </row>
    <row r="160" spans="1:18" s="67" customFormat="1">
      <c r="A160" s="66" t="str">
        <f>VLOOKUP(C160,classifications!C:F,4,FALSE)</f>
        <v>SC</v>
      </c>
      <c r="B160" s="66" t="s">
        <v>588</v>
      </c>
      <c r="C160" s="66" t="s">
        <v>329</v>
      </c>
      <c r="D160" s="66" t="s">
        <v>302</v>
      </c>
      <c r="E160" s="66" t="s">
        <v>324</v>
      </c>
      <c r="F160" s="66" t="s">
        <v>313</v>
      </c>
      <c r="G160" s="66" t="s">
        <v>314</v>
      </c>
      <c r="H160" s="66" t="s">
        <v>331</v>
      </c>
      <c r="I160" s="66" t="s">
        <v>300</v>
      </c>
      <c r="J160" s="66" t="s">
        <v>312</v>
      </c>
      <c r="K160" s="66" t="s">
        <v>311</v>
      </c>
      <c r="L160" s="66" t="s">
        <v>330</v>
      </c>
      <c r="M160" s="66" t="s">
        <v>320</v>
      </c>
      <c r="N160" s="66" t="s">
        <v>315</v>
      </c>
      <c r="O160" s="66" t="s">
        <v>317</v>
      </c>
      <c r="P160" s="66" t="s">
        <v>332</v>
      </c>
      <c r="Q160" s="66" t="s">
        <v>308</v>
      </c>
      <c r="R160" s="66" t="s">
        <v>310</v>
      </c>
    </row>
    <row r="161" spans="1:18">
      <c r="A161" s="66" t="str">
        <f>VLOOKUP(C161,classifications!C:F,4,FALSE)</f>
        <v>SC</v>
      </c>
      <c r="B161" s="66" t="s">
        <v>589</v>
      </c>
      <c r="C161" s="66" t="s">
        <v>330</v>
      </c>
      <c r="D161" s="66" t="s">
        <v>312</v>
      </c>
      <c r="E161" s="66" t="s">
        <v>332</v>
      </c>
      <c r="F161" s="66" t="s">
        <v>327</v>
      </c>
      <c r="G161" s="66" t="s">
        <v>328</v>
      </c>
      <c r="H161" s="66" t="s">
        <v>317</v>
      </c>
      <c r="I161" s="66" t="s">
        <v>323</v>
      </c>
      <c r="J161" s="66" t="s">
        <v>307</v>
      </c>
      <c r="K161" s="66" t="s">
        <v>321</v>
      </c>
      <c r="L161" s="66" t="s">
        <v>300</v>
      </c>
      <c r="M161" s="66" t="s">
        <v>326</v>
      </c>
      <c r="N161" s="66" t="s">
        <v>320</v>
      </c>
      <c r="O161" s="66" t="s">
        <v>324</v>
      </c>
      <c r="P161" s="66" t="s">
        <v>311</v>
      </c>
      <c r="Q161" s="66" t="s">
        <v>306</v>
      </c>
      <c r="R161" s="66" t="s">
        <v>313</v>
      </c>
    </row>
    <row r="162" spans="1:18" s="67" customFormat="1">
      <c r="A162" s="66" t="str">
        <f>VLOOKUP(C162,classifications!C:F,4,FALSE)</f>
        <v>SC</v>
      </c>
      <c r="B162" s="66" t="s">
        <v>590</v>
      </c>
      <c r="C162" s="66" t="s">
        <v>331</v>
      </c>
      <c r="D162" s="66" t="s">
        <v>310</v>
      </c>
      <c r="E162" s="66" t="s">
        <v>313</v>
      </c>
      <c r="F162" s="66" t="s">
        <v>311</v>
      </c>
      <c r="G162" s="66" t="s">
        <v>312</v>
      </c>
      <c r="H162" s="66" t="s">
        <v>308</v>
      </c>
      <c r="I162" s="66" t="s">
        <v>315</v>
      </c>
      <c r="J162" s="66" t="s">
        <v>330</v>
      </c>
      <c r="K162" s="66" t="s">
        <v>332</v>
      </c>
      <c r="L162" s="66" t="s">
        <v>328</v>
      </c>
      <c r="M162" s="66" t="s">
        <v>324</v>
      </c>
      <c r="N162" s="66" t="s">
        <v>320</v>
      </c>
      <c r="O162" s="66" t="s">
        <v>326</v>
      </c>
      <c r="P162" s="66" t="s">
        <v>327</v>
      </c>
      <c r="Q162" s="66" t="s">
        <v>314</v>
      </c>
      <c r="R162" s="66" t="s">
        <v>309</v>
      </c>
    </row>
    <row r="163" spans="1:18" s="67" customFormat="1">
      <c r="A163" s="66"/>
      <c r="B163" s="66"/>
      <c r="C163" s="66"/>
      <c r="D163" s="66"/>
      <c r="E163" s="66"/>
      <c r="F163" s="66"/>
      <c r="G163" s="66"/>
      <c r="H163" s="66"/>
      <c r="I163" s="66"/>
      <c r="J163" s="66"/>
      <c r="K163" s="66"/>
      <c r="L163" s="66"/>
      <c r="M163" s="66"/>
      <c r="N163" s="66"/>
      <c r="O163" s="66"/>
      <c r="P163" s="66"/>
      <c r="Q163" s="66"/>
      <c r="R163" s="66"/>
    </row>
    <row r="164" spans="1:18" s="67" customFormat="1">
      <c r="A164" s="66"/>
      <c r="B164" s="65" t="s">
        <v>591</v>
      </c>
      <c r="C164" s="66"/>
      <c r="D164" s="66"/>
      <c r="E164" s="66"/>
      <c r="F164" s="66"/>
      <c r="G164" s="66"/>
      <c r="H164" s="66"/>
      <c r="I164" s="66"/>
      <c r="J164" s="66"/>
      <c r="K164" s="66"/>
      <c r="L164" s="66"/>
      <c r="M164" s="66"/>
      <c r="N164" s="66"/>
      <c r="O164" s="66"/>
      <c r="P164" s="66"/>
      <c r="Q164" s="66"/>
      <c r="R164" s="66"/>
    </row>
    <row r="165" spans="1:18" s="67" customFormat="1">
      <c r="A165" s="66" t="str">
        <f>VLOOKUP(C165,classifications!C:F,4,FALSE)</f>
        <v>SD</v>
      </c>
      <c r="B165" s="66" t="s">
        <v>592</v>
      </c>
      <c r="C165" s="66" t="s">
        <v>11</v>
      </c>
      <c r="D165" s="66" t="s">
        <v>88</v>
      </c>
      <c r="E165" s="66" t="s">
        <v>193</v>
      </c>
      <c r="F165" s="66" t="s">
        <v>343</v>
      </c>
      <c r="G165" s="66" t="s">
        <v>146</v>
      </c>
      <c r="H165" s="66" t="s">
        <v>35</v>
      </c>
      <c r="I165" s="66" t="s">
        <v>56</v>
      </c>
      <c r="J165" s="66" t="s">
        <v>96</v>
      </c>
      <c r="K165" s="66" t="s">
        <v>166</v>
      </c>
      <c r="L165" s="66" t="s">
        <v>173</v>
      </c>
      <c r="M165" s="66" t="s">
        <v>136</v>
      </c>
      <c r="N165" s="66" t="s">
        <v>185</v>
      </c>
      <c r="O165" s="66" t="s">
        <v>55</v>
      </c>
      <c r="P165" s="66" t="s">
        <v>33</v>
      </c>
      <c r="Q165" s="66" t="s">
        <v>138</v>
      </c>
      <c r="R165" s="66" t="s">
        <v>64</v>
      </c>
    </row>
    <row r="166" spans="1:18" s="67" customFormat="1">
      <c r="A166" s="66" t="str">
        <f>VLOOKUP(C166,classifications!C:F,4,FALSE)</f>
        <v>SD</v>
      </c>
      <c r="B166" s="66" t="s">
        <v>593</v>
      </c>
      <c r="C166" s="66" t="s">
        <v>38</v>
      </c>
      <c r="D166" s="66" t="s">
        <v>137</v>
      </c>
      <c r="E166" s="66" t="s">
        <v>82</v>
      </c>
      <c r="F166" s="66" t="s">
        <v>136</v>
      </c>
      <c r="G166" s="66" t="s">
        <v>87</v>
      </c>
      <c r="H166" s="66" t="s">
        <v>188</v>
      </c>
      <c r="I166" s="66" t="s">
        <v>169</v>
      </c>
      <c r="J166" s="66" t="s">
        <v>151</v>
      </c>
      <c r="K166" s="66" t="s">
        <v>172</v>
      </c>
      <c r="L166" s="66" t="s">
        <v>55</v>
      </c>
      <c r="M166" s="66" t="s">
        <v>177</v>
      </c>
      <c r="N166" s="66" t="s">
        <v>104</v>
      </c>
      <c r="O166" s="66" t="s">
        <v>21</v>
      </c>
      <c r="P166" s="66" t="s">
        <v>146</v>
      </c>
      <c r="Q166" s="66" t="s">
        <v>56</v>
      </c>
      <c r="R166" s="66" t="s">
        <v>105</v>
      </c>
    </row>
    <row r="167" spans="1:18" s="67" customFormat="1">
      <c r="A167" s="66" t="str">
        <f>VLOOKUP(C167,classifications!C:F,4,FALSE)</f>
        <v>SD</v>
      </c>
      <c r="B167" s="66" t="s">
        <v>594</v>
      </c>
      <c r="C167" s="66" t="s">
        <v>137</v>
      </c>
      <c r="D167" s="66" t="s">
        <v>38</v>
      </c>
      <c r="E167" s="66" t="s">
        <v>21</v>
      </c>
      <c r="F167" s="66" t="s">
        <v>136</v>
      </c>
      <c r="G167" s="66" t="s">
        <v>172</v>
      </c>
      <c r="H167" s="66" t="s">
        <v>87</v>
      </c>
      <c r="I167" s="66" t="s">
        <v>169</v>
      </c>
      <c r="J167" s="66" t="s">
        <v>188</v>
      </c>
      <c r="K167" s="66" t="s">
        <v>105</v>
      </c>
      <c r="L167" s="66" t="s">
        <v>55</v>
      </c>
      <c r="M167" s="66" t="s">
        <v>82</v>
      </c>
      <c r="N167" s="66" t="s">
        <v>44</v>
      </c>
      <c r="O167" s="66" t="s">
        <v>162</v>
      </c>
      <c r="P167" s="66" t="s">
        <v>156</v>
      </c>
      <c r="Q167" s="66" t="s">
        <v>146</v>
      </c>
      <c r="R167" s="66" t="s">
        <v>177</v>
      </c>
    </row>
    <row r="168" spans="1:18" s="67" customFormat="1">
      <c r="A168" s="66" t="str">
        <f>VLOOKUP(C168,classifications!C:F,4,FALSE)</f>
        <v>SD</v>
      </c>
      <c r="B168" s="66" t="s">
        <v>595</v>
      </c>
      <c r="C168" s="66" t="s">
        <v>193</v>
      </c>
      <c r="D168" s="66" t="s">
        <v>11</v>
      </c>
      <c r="E168" s="66" t="s">
        <v>343</v>
      </c>
      <c r="F168" s="66" t="s">
        <v>56</v>
      </c>
      <c r="G168" s="66" t="s">
        <v>349</v>
      </c>
      <c r="H168" s="66" t="s">
        <v>96</v>
      </c>
      <c r="I168" s="66" t="s">
        <v>173</v>
      </c>
      <c r="J168" s="66" t="s">
        <v>33</v>
      </c>
      <c r="K168" s="66" t="s">
        <v>64</v>
      </c>
      <c r="L168" s="66" t="s">
        <v>35</v>
      </c>
      <c r="M168" s="66" t="s">
        <v>151</v>
      </c>
      <c r="N168" s="66" t="s">
        <v>88</v>
      </c>
      <c r="O168" s="66" t="s">
        <v>77</v>
      </c>
      <c r="P168" s="66" t="s">
        <v>146</v>
      </c>
      <c r="Q168" s="66" t="s">
        <v>47</v>
      </c>
      <c r="R168" s="66" t="s">
        <v>104</v>
      </c>
    </row>
    <row r="169" spans="1:18" s="67" customFormat="1">
      <c r="A169" s="66" t="str">
        <f>VLOOKUP(C169,classifications!C:F,4,FALSE)</f>
        <v>SD</v>
      </c>
      <c r="B169" s="66" t="s">
        <v>596</v>
      </c>
      <c r="C169" s="66" t="s">
        <v>27</v>
      </c>
      <c r="D169" s="66" t="s">
        <v>118</v>
      </c>
      <c r="E169" s="66" t="s">
        <v>175</v>
      </c>
      <c r="F169" s="66" t="s">
        <v>66</v>
      </c>
      <c r="G169" s="66" t="s">
        <v>180</v>
      </c>
      <c r="H169" s="66" t="s">
        <v>34</v>
      </c>
      <c r="I169" s="66" t="s">
        <v>131</v>
      </c>
      <c r="J169" s="66" t="s">
        <v>46</v>
      </c>
      <c r="K169" s="66" t="s">
        <v>174</v>
      </c>
      <c r="L169" s="66" t="s">
        <v>48</v>
      </c>
      <c r="M169" s="66" t="s">
        <v>129</v>
      </c>
      <c r="N169" s="66" t="s">
        <v>85</v>
      </c>
      <c r="O169" s="66" t="s">
        <v>189</v>
      </c>
      <c r="P169" s="66" t="s">
        <v>47</v>
      </c>
      <c r="Q169" s="66" t="s">
        <v>120</v>
      </c>
      <c r="R169" s="66" t="s">
        <v>117</v>
      </c>
    </row>
    <row r="170" spans="1:18" s="67" customFormat="1">
      <c r="A170" s="66" t="str">
        <f>VLOOKUP(C170,classifications!C:F,4,FALSE)</f>
        <v>SD</v>
      </c>
      <c r="B170" s="66" t="s">
        <v>597</v>
      </c>
      <c r="C170" s="66" t="s">
        <v>52</v>
      </c>
      <c r="D170" s="66" t="s">
        <v>103</v>
      </c>
      <c r="E170" s="66" t="s">
        <v>145</v>
      </c>
      <c r="F170" s="66" t="s">
        <v>102</v>
      </c>
      <c r="G170" s="66" t="s">
        <v>12</v>
      </c>
      <c r="H170" s="66" t="s">
        <v>100</v>
      </c>
      <c r="I170" s="66" t="s">
        <v>185</v>
      </c>
      <c r="J170" s="66" t="s">
        <v>144</v>
      </c>
      <c r="K170" s="66" t="s">
        <v>109</v>
      </c>
      <c r="L170" s="66" t="s">
        <v>58</v>
      </c>
      <c r="M170" s="66" t="s">
        <v>166</v>
      </c>
      <c r="N170" s="66" t="s">
        <v>167</v>
      </c>
      <c r="O170" s="66" t="s">
        <v>10</v>
      </c>
      <c r="P170" s="66" t="s">
        <v>70</v>
      </c>
      <c r="Q170" s="66" t="s">
        <v>152</v>
      </c>
      <c r="R170" s="66" t="s">
        <v>130</v>
      </c>
    </row>
    <row r="171" spans="1:18" s="67" customFormat="1">
      <c r="A171" s="66" t="str">
        <f>VLOOKUP(C171,classifications!C:F,4,FALSE)</f>
        <v>SD</v>
      </c>
      <c r="B171" s="66" t="s">
        <v>598</v>
      </c>
      <c r="C171" s="66" t="s">
        <v>68</v>
      </c>
      <c r="D171" s="66" t="s">
        <v>141</v>
      </c>
      <c r="E171" s="66" t="s">
        <v>20</v>
      </c>
      <c r="F171" s="66" t="s">
        <v>15</v>
      </c>
      <c r="G171" s="66" t="s">
        <v>195</v>
      </c>
      <c r="H171" s="66" t="s">
        <v>7</v>
      </c>
      <c r="I171" s="66" t="s">
        <v>65</v>
      </c>
      <c r="J171" s="66" t="s">
        <v>346</v>
      </c>
      <c r="K171" s="66" t="s">
        <v>30</v>
      </c>
      <c r="L171" s="66" t="s">
        <v>377</v>
      </c>
      <c r="M171" s="66" t="s">
        <v>18</v>
      </c>
      <c r="N171" s="66" t="s">
        <v>91</v>
      </c>
      <c r="O171" s="66" t="s">
        <v>99</v>
      </c>
      <c r="P171" s="66" t="s">
        <v>183</v>
      </c>
      <c r="Q171" s="66" t="s">
        <v>59</v>
      </c>
      <c r="R171" s="66" t="s">
        <v>142</v>
      </c>
    </row>
    <row r="172" spans="1:18" s="67" customFormat="1">
      <c r="A172" s="66" t="str">
        <f>VLOOKUP(C172,classifications!C:F,4,FALSE)</f>
        <v>SD</v>
      </c>
      <c r="B172" s="66" t="s">
        <v>599</v>
      </c>
      <c r="C172" s="66" t="s">
        <v>88</v>
      </c>
      <c r="D172" s="66" t="s">
        <v>35</v>
      </c>
      <c r="E172" s="66" t="s">
        <v>96</v>
      </c>
      <c r="F172" s="66" t="s">
        <v>343</v>
      </c>
      <c r="G172" s="66" t="s">
        <v>11</v>
      </c>
      <c r="H172" s="66" t="s">
        <v>32</v>
      </c>
      <c r="I172" s="66" t="s">
        <v>41</v>
      </c>
      <c r="J172" s="66" t="s">
        <v>19</v>
      </c>
      <c r="K172" s="66" t="s">
        <v>33</v>
      </c>
      <c r="L172" s="66" t="s">
        <v>166</v>
      </c>
      <c r="M172" s="66" t="s">
        <v>153</v>
      </c>
      <c r="N172" s="66" t="s">
        <v>128</v>
      </c>
      <c r="O172" s="66" t="s">
        <v>10</v>
      </c>
      <c r="P172" s="66" t="s">
        <v>142</v>
      </c>
      <c r="Q172" s="66" t="s">
        <v>345</v>
      </c>
      <c r="R172" s="66" t="s">
        <v>152</v>
      </c>
    </row>
    <row r="173" spans="1:18" s="67" customFormat="1">
      <c r="A173" s="66" t="str">
        <f>VLOOKUP(C173,classifications!C:F,4,FALSE)</f>
        <v>SD</v>
      </c>
      <c r="B173" s="66" t="s">
        <v>600</v>
      </c>
      <c r="C173" s="66" t="s">
        <v>138</v>
      </c>
      <c r="D173" s="66" t="s">
        <v>173</v>
      </c>
      <c r="E173" s="66" t="s">
        <v>146</v>
      </c>
      <c r="F173" s="66" t="s">
        <v>172</v>
      </c>
      <c r="G173" s="66" t="s">
        <v>166</v>
      </c>
      <c r="H173" s="66" t="s">
        <v>188</v>
      </c>
      <c r="I173" s="66" t="s">
        <v>11</v>
      </c>
      <c r="J173" s="66" t="s">
        <v>136</v>
      </c>
      <c r="K173" s="66" t="s">
        <v>350</v>
      </c>
      <c r="L173" s="66" t="s">
        <v>145</v>
      </c>
      <c r="M173" s="66" t="s">
        <v>185</v>
      </c>
      <c r="N173" s="66" t="s">
        <v>55</v>
      </c>
      <c r="O173" s="66" t="s">
        <v>56</v>
      </c>
      <c r="P173" s="66" t="s">
        <v>79</v>
      </c>
      <c r="Q173" s="66" t="s">
        <v>52</v>
      </c>
      <c r="R173" s="66" t="s">
        <v>88</v>
      </c>
    </row>
    <row r="174" spans="1:18" s="67" customFormat="1">
      <c r="A174" s="66" t="str">
        <f>VLOOKUP(C174,classifications!C:F,4,FALSE)</f>
        <v>SD</v>
      </c>
      <c r="B174" s="66" t="s">
        <v>601</v>
      </c>
      <c r="C174" s="66" t="s">
        <v>6</v>
      </c>
      <c r="D174" s="66" t="s">
        <v>51</v>
      </c>
      <c r="E174" s="66" t="s">
        <v>30</v>
      </c>
      <c r="F174" s="66" t="s">
        <v>176</v>
      </c>
      <c r="G174" s="66" t="s">
        <v>15</v>
      </c>
      <c r="H174" s="66" t="s">
        <v>108</v>
      </c>
      <c r="I174" s="66" t="s">
        <v>134</v>
      </c>
      <c r="J174" s="66" t="s">
        <v>170</v>
      </c>
      <c r="K174" s="66" t="s">
        <v>346</v>
      </c>
      <c r="L174" s="66" t="s">
        <v>7</v>
      </c>
      <c r="M174" s="66" t="s">
        <v>42</v>
      </c>
      <c r="N174" s="66" t="s">
        <v>107</v>
      </c>
      <c r="O174" s="66" t="s">
        <v>195</v>
      </c>
      <c r="P174" s="66" t="s">
        <v>110</v>
      </c>
      <c r="Q174" s="66" t="s">
        <v>17</v>
      </c>
      <c r="R174" s="66" t="s">
        <v>194</v>
      </c>
    </row>
    <row r="175" spans="1:18" s="67" customFormat="1">
      <c r="A175" s="66" t="str">
        <f>VLOOKUP(C175,classifications!C:F,4,FALSE)</f>
        <v>SD</v>
      </c>
      <c r="B175" s="66" t="s">
        <v>602</v>
      </c>
      <c r="C175" s="66" t="s">
        <v>13</v>
      </c>
      <c r="D175" s="66" t="s">
        <v>119</v>
      </c>
      <c r="E175" s="66" t="s">
        <v>76</v>
      </c>
      <c r="F175" s="66" t="s">
        <v>28</v>
      </c>
      <c r="G175" s="66" t="s">
        <v>99</v>
      </c>
      <c r="H175" s="66" t="s">
        <v>65</v>
      </c>
      <c r="I175" s="66" t="s">
        <v>30</v>
      </c>
      <c r="J175" s="66" t="s">
        <v>176</v>
      </c>
      <c r="K175" s="66" t="s">
        <v>89</v>
      </c>
      <c r="L175" s="66" t="s">
        <v>51</v>
      </c>
      <c r="M175" s="66" t="s">
        <v>92</v>
      </c>
      <c r="N175" s="66" t="s">
        <v>6</v>
      </c>
      <c r="O175" s="66" t="s">
        <v>74</v>
      </c>
      <c r="P175" s="66" t="s">
        <v>9</v>
      </c>
      <c r="Q175" s="66" t="s">
        <v>195</v>
      </c>
      <c r="R175" s="66" t="s">
        <v>347</v>
      </c>
    </row>
    <row r="176" spans="1:18" s="67" customFormat="1">
      <c r="A176" s="66" t="str">
        <f>VLOOKUP(C176,classifications!C:F,4,FALSE)</f>
        <v>SD</v>
      </c>
      <c r="B176" s="66" t="s">
        <v>603</v>
      </c>
      <c r="C176" s="66" t="s">
        <v>30</v>
      </c>
      <c r="D176" s="66" t="s">
        <v>15</v>
      </c>
      <c r="E176" s="66" t="s">
        <v>107</v>
      </c>
      <c r="F176" s="66" t="s">
        <v>195</v>
      </c>
      <c r="G176" s="66" t="s">
        <v>7</v>
      </c>
      <c r="H176" s="66" t="s">
        <v>99</v>
      </c>
      <c r="I176" s="66" t="s">
        <v>86</v>
      </c>
      <c r="J176" s="66" t="s">
        <v>65</v>
      </c>
      <c r="K176" s="66" t="s">
        <v>28</v>
      </c>
      <c r="L176" s="66" t="s">
        <v>59</v>
      </c>
      <c r="M176" s="66" t="s">
        <v>346</v>
      </c>
      <c r="N176" s="66" t="s">
        <v>36</v>
      </c>
      <c r="O176" s="66" t="s">
        <v>39</v>
      </c>
      <c r="P176" s="66" t="s">
        <v>142</v>
      </c>
      <c r="Q176" s="66" t="s">
        <v>190</v>
      </c>
      <c r="R176" s="66" t="s">
        <v>42</v>
      </c>
    </row>
    <row r="177" spans="1:18" s="67" customFormat="1">
      <c r="A177" s="66" t="str">
        <f>VLOOKUP(C177,classifications!C:F,4,FALSE)</f>
        <v>SD</v>
      </c>
      <c r="B177" s="66" t="s">
        <v>604</v>
      </c>
      <c r="C177" s="66" t="s">
        <v>42</v>
      </c>
      <c r="D177" s="66" t="s">
        <v>15</v>
      </c>
      <c r="E177" s="66" t="s">
        <v>114</v>
      </c>
      <c r="F177" s="66" t="s">
        <v>17</v>
      </c>
      <c r="G177" s="66" t="s">
        <v>30</v>
      </c>
      <c r="H177" s="66" t="s">
        <v>115</v>
      </c>
      <c r="I177" s="66" t="s">
        <v>346</v>
      </c>
      <c r="J177" s="66" t="s">
        <v>195</v>
      </c>
      <c r="K177" s="66" t="s">
        <v>183</v>
      </c>
      <c r="L177" s="66" t="s">
        <v>107</v>
      </c>
      <c r="M177" s="66" t="s">
        <v>99</v>
      </c>
      <c r="N177" s="66" t="s">
        <v>7</v>
      </c>
      <c r="O177" s="66" t="s">
        <v>6</v>
      </c>
      <c r="P177" s="66" t="s">
        <v>135</v>
      </c>
      <c r="Q177" s="66" t="s">
        <v>59</v>
      </c>
      <c r="R177" s="66" t="s">
        <v>28</v>
      </c>
    </row>
    <row r="178" spans="1:18" s="67" customFormat="1">
      <c r="A178" s="66" t="str">
        <f>VLOOKUP(C178,classifications!C:F,4,FALSE)</f>
        <v>SD</v>
      </c>
      <c r="B178" s="66" t="s">
        <v>605</v>
      </c>
      <c r="C178" s="66" t="s">
        <v>62</v>
      </c>
      <c r="D178" s="66" t="s">
        <v>132</v>
      </c>
      <c r="E178" s="66" t="s">
        <v>45</v>
      </c>
      <c r="F178" s="66" t="s">
        <v>50</v>
      </c>
      <c r="G178" s="66" t="s">
        <v>181</v>
      </c>
      <c r="H178" s="66" t="s">
        <v>78</v>
      </c>
      <c r="I178" s="66" t="s">
        <v>123</v>
      </c>
      <c r="J178" s="66" t="s">
        <v>12</v>
      </c>
      <c r="K178" s="66" t="s">
        <v>109</v>
      </c>
      <c r="L178" s="66" t="s">
        <v>100</v>
      </c>
      <c r="M178" s="66" t="s">
        <v>154</v>
      </c>
      <c r="N178" s="66" t="s">
        <v>124</v>
      </c>
      <c r="O178" s="66" t="s">
        <v>97</v>
      </c>
      <c r="P178" s="66" t="s">
        <v>44</v>
      </c>
      <c r="Q178" s="66" t="s">
        <v>102</v>
      </c>
      <c r="R178" s="66" t="s">
        <v>167</v>
      </c>
    </row>
    <row r="179" spans="1:18" s="67" customFormat="1">
      <c r="A179" s="66" t="str">
        <f>VLOOKUP(C179,classifications!C:F,4,FALSE)</f>
        <v>SD</v>
      </c>
      <c r="B179" s="66" t="s">
        <v>606</v>
      </c>
      <c r="C179" s="66" t="s">
        <v>143</v>
      </c>
      <c r="D179" s="66" t="s">
        <v>140</v>
      </c>
      <c r="E179" s="66" t="s">
        <v>182</v>
      </c>
      <c r="F179" s="66" t="s">
        <v>45</v>
      </c>
      <c r="G179" s="66" t="s">
        <v>71</v>
      </c>
      <c r="H179" s="66" t="s">
        <v>37</v>
      </c>
      <c r="I179" s="66" t="s">
        <v>53</v>
      </c>
      <c r="J179" s="66" t="s">
        <v>108</v>
      </c>
      <c r="K179" s="66" t="s">
        <v>44</v>
      </c>
      <c r="L179" s="66" t="s">
        <v>50</v>
      </c>
      <c r="M179" s="66" t="s">
        <v>158</v>
      </c>
      <c r="N179" s="66" t="s">
        <v>121</v>
      </c>
      <c r="O179" s="66" t="s">
        <v>132</v>
      </c>
      <c r="P179" s="66" t="s">
        <v>164</v>
      </c>
      <c r="Q179" s="66" t="s">
        <v>113</v>
      </c>
      <c r="R179" s="66" t="s">
        <v>62</v>
      </c>
    </row>
    <row r="180" spans="1:18" s="67" customFormat="1">
      <c r="A180" s="66" t="str">
        <f>VLOOKUP(C180,classifications!C:F,4,FALSE)</f>
        <v>SD</v>
      </c>
      <c r="B180" s="66" t="s">
        <v>607</v>
      </c>
      <c r="C180" s="66" t="s">
        <v>7</v>
      </c>
      <c r="D180" s="66" t="s">
        <v>346</v>
      </c>
      <c r="E180" s="66" t="s">
        <v>65</v>
      </c>
      <c r="F180" s="66" t="s">
        <v>142</v>
      </c>
      <c r="G180" s="66" t="s">
        <v>345</v>
      </c>
      <c r="H180" s="66" t="s">
        <v>183</v>
      </c>
      <c r="I180" s="66" t="s">
        <v>15</v>
      </c>
      <c r="J180" s="66" t="s">
        <v>39</v>
      </c>
      <c r="K180" s="66" t="s">
        <v>86</v>
      </c>
      <c r="L180" s="66" t="s">
        <v>195</v>
      </c>
      <c r="M180" s="66" t="s">
        <v>147</v>
      </c>
      <c r="N180" s="66" t="s">
        <v>107</v>
      </c>
      <c r="O180" s="66" t="s">
        <v>72</v>
      </c>
      <c r="P180" s="66" t="s">
        <v>154</v>
      </c>
      <c r="Q180" s="66" t="s">
        <v>30</v>
      </c>
      <c r="R180" s="66" t="s">
        <v>153</v>
      </c>
    </row>
    <row r="181" spans="1:18" s="67" customFormat="1">
      <c r="A181" s="66" t="str">
        <f>VLOOKUP(C181,classifications!C:F,4,FALSE)</f>
        <v>SD</v>
      </c>
      <c r="B181" s="66" t="s">
        <v>608</v>
      </c>
      <c r="C181" s="66" t="s">
        <v>17</v>
      </c>
      <c r="D181" s="66" t="s">
        <v>9</v>
      </c>
      <c r="E181" s="66" t="s">
        <v>99</v>
      </c>
      <c r="F181" s="66" t="s">
        <v>42</v>
      </c>
      <c r="G181" s="66" t="s">
        <v>15</v>
      </c>
      <c r="H181" s="66" t="s">
        <v>126</v>
      </c>
      <c r="I181" s="66" t="s">
        <v>30</v>
      </c>
      <c r="J181" s="66" t="s">
        <v>347</v>
      </c>
      <c r="K181" s="66" t="s">
        <v>107</v>
      </c>
      <c r="L181" s="66" t="s">
        <v>28</v>
      </c>
      <c r="M181" s="66" t="s">
        <v>346</v>
      </c>
      <c r="N181" s="66" t="s">
        <v>36</v>
      </c>
      <c r="O181" s="66" t="s">
        <v>110</v>
      </c>
      <c r="P181" s="66" t="s">
        <v>65</v>
      </c>
      <c r="Q181" s="66" t="s">
        <v>7</v>
      </c>
      <c r="R181" s="66" t="s">
        <v>6</v>
      </c>
    </row>
    <row r="182" spans="1:18" s="67" customFormat="1">
      <c r="A182" s="66" t="str">
        <f>VLOOKUP(C182,classifications!C:F,4,FALSE)</f>
        <v>SD</v>
      </c>
      <c r="B182" s="66" t="s">
        <v>609</v>
      </c>
      <c r="C182" s="66" t="s">
        <v>36</v>
      </c>
      <c r="D182" s="66" t="s">
        <v>99</v>
      </c>
      <c r="E182" s="66" t="s">
        <v>28</v>
      </c>
      <c r="F182" s="66" t="s">
        <v>30</v>
      </c>
      <c r="G182" s="66" t="s">
        <v>107</v>
      </c>
      <c r="H182" s="66" t="s">
        <v>195</v>
      </c>
      <c r="I182" s="66" t="s">
        <v>9</v>
      </c>
      <c r="J182" s="66" t="s">
        <v>190</v>
      </c>
      <c r="K182" s="66" t="s">
        <v>65</v>
      </c>
      <c r="L182" s="66" t="s">
        <v>15</v>
      </c>
      <c r="M182" s="66" t="s">
        <v>347</v>
      </c>
      <c r="N182" s="66" t="s">
        <v>95</v>
      </c>
      <c r="O182" s="66" t="s">
        <v>17</v>
      </c>
      <c r="P182" s="66" t="s">
        <v>90</v>
      </c>
      <c r="Q182" s="66" t="s">
        <v>161</v>
      </c>
      <c r="R182" s="66" t="s">
        <v>42</v>
      </c>
    </row>
    <row r="183" spans="1:18" s="67" customFormat="1">
      <c r="A183" s="66" t="str">
        <f>VLOOKUP(C183,classifications!C:F,4,FALSE)</f>
        <v>SD</v>
      </c>
      <c r="B183" s="66" t="s">
        <v>610</v>
      </c>
      <c r="C183" s="66" t="s">
        <v>50</v>
      </c>
      <c r="D183" s="66" t="s">
        <v>132</v>
      </c>
      <c r="E183" s="66" t="s">
        <v>78</v>
      </c>
      <c r="F183" s="66" t="s">
        <v>45</v>
      </c>
      <c r="G183" s="66" t="s">
        <v>44</v>
      </c>
      <c r="H183" s="66" t="s">
        <v>62</v>
      </c>
      <c r="I183" s="66" t="s">
        <v>109</v>
      </c>
      <c r="J183" s="66" t="s">
        <v>123</v>
      </c>
      <c r="K183" s="66" t="s">
        <v>181</v>
      </c>
      <c r="L183" s="66" t="s">
        <v>98</v>
      </c>
      <c r="M183" s="66" t="s">
        <v>192</v>
      </c>
      <c r="N183" s="66" t="s">
        <v>97</v>
      </c>
      <c r="O183" s="66" t="s">
        <v>156</v>
      </c>
      <c r="P183" s="66" t="s">
        <v>12</v>
      </c>
      <c r="Q183" s="66" t="s">
        <v>140</v>
      </c>
      <c r="R183" s="66" t="s">
        <v>101</v>
      </c>
    </row>
    <row r="184" spans="1:18" s="67" customFormat="1">
      <c r="A184" s="66" t="str">
        <f>VLOOKUP(C184,classifications!C:F,4,FALSE)</f>
        <v>SD</v>
      </c>
      <c r="B184" s="66" t="s">
        <v>611</v>
      </c>
      <c r="C184" s="66" t="s">
        <v>65</v>
      </c>
      <c r="D184" s="66" t="s">
        <v>7</v>
      </c>
      <c r="E184" s="66" t="s">
        <v>195</v>
      </c>
      <c r="F184" s="66" t="s">
        <v>72</v>
      </c>
      <c r="G184" s="66" t="s">
        <v>347</v>
      </c>
      <c r="H184" s="66" t="s">
        <v>107</v>
      </c>
      <c r="I184" s="66" t="s">
        <v>28</v>
      </c>
      <c r="J184" s="66" t="s">
        <v>91</v>
      </c>
      <c r="K184" s="66" t="s">
        <v>99</v>
      </c>
      <c r="L184" s="66" t="s">
        <v>86</v>
      </c>
      <c r="M184" s="66" t="s">
        <v>30</v>
      </c>
      <c r="N184" s="66" t="s">
        <v>25</v>
      </c>
      <c r="O184" s="66" t="s">
        <v>39</v>
      </c>
      <c r="P184" s="66" t="s">
        <v>9</v>
      </c>
      <c r="Q184" s="66" t="s">
        <v>142</v>
      </c>
      <c r="R184" s="66" t="s">
        <v>147</v>
      </c>
    </row>
    <row r="185" spans="1:18" s="67" customFormat="1">
      <c r="A185" s="66" t="str">
        <f>VLOOKUP(C185,classifications!C:F,4,FALSE)</f>
        <v>SD</v>
      </c>
      <c r="B185" s="66" t="s">
        <v>612</v>
      </c>
      <c r="C185" s="66" t="s">
        <v>86</v>
      </c>
      <c r="D185" s="66" t="s">
        <v>39</v>
      </c>
      <c r="E185" s="66" t="s">
        <v>126</v>
      </c>
      <c r="F185" s="66" t="s">
        <v>7</v>
      </c>
      <c r="G185" s="66" t="s">
        <v>346</v>
      </c>
      <c r="H185" s="66" t="s">
        <v>147</v>
      </c>
      <c r="I185" s="66" t="s">
        <v>183</v>
      </c>
      <c r="J185" s="66" t="s">
        <v>195</v>
      </c>
      <c r="K185" s="66" t="s">
        <v>142</v>
      </c>
      <c r="L185" s="66" t="s">
        <v>30</v>
      </c>
      <c r="M185" s="66" t="s">
        <v>65</v>
      </c>
      <c r="N185" s="66" t="s">
        <v>94</v>
      </c>
      <c r="O185" s="66" t="s">
        <v>91</v>
      </c>
      <c r="P185" s="66" t="s">
        <v>345</v>
      </c>
      <c r="Q185" s="66" t="s">
        <v>101</v>
      </c>
      <c r="R185" s="66" t="s">
        <v>58</v>
      </c>
    </row>
    <row r="186" spans="1:18" s="67" customFormat="1">
      <c r="A186" s="66" t="str">
        <f>VLOOKUP(C186,classifications!C:F,4,FALSE)</f>
        <v>SD</v>
      </c>
      <c r="B186" s="66" t="s">
        <v>613</v>
      </c>
      <c r="C186" s="66" t="s">
        <v>110</v>
      </c>
      <c r="D186" s="66" t="s">
        <v>107</v>
      </c>
      <c r="E186" s="66" t="s">
        <v>149</v>
      </c>
      <c r="F186" s="66" t="s">
        <v>183</v>
      </c>
      <c r="G186" s="66" t="s">
        <v>346</v>
      </c>
      <c r="H186" s="66" t="s">
        <v>184</v>
      </c>
      <c r="I186" s="66" t="s">
        <v>7</v>
      </c>
      <c r="J186" s="66" t="s">
        <v>195</v>
      </c>
      <c r="K186" s="66" t="s">
        <v>20</v>
      </c>
      <c r="L186" s="66" t="s">
        <v>15</v>
      </c>
      <c r="M186" s="66" t="s">
        <v>65</v>
      </c>
      <c r="N186" s="66" t="s">
        <v>70</v>
      </c>
      <c r="O186" s="66" t="s">
        <v>112</v>
      </c>
      <c r="P186" s="66" t="s">
        <v>345</v>
      </c>
      <c r="Q186" s="66" t="s">
        <v>39</v>
      </c>
      <c r="R186" s="66" t="s">
        <v>94</v>
      </c>
    </row>
    <row r="187" spans="1:18" s="67" customFormat="1">
      <c r="A187" s="66" t="str">
        <f>VLOOKUP(C187,classifications!C:F,4,FALSE)</f>
        <v>SD</v>
      </c>
      <c r="B187" s="66" t="s">
        <v>614</v>
      </c>
      <c r="C187" s="66" t="s">
        <v>139</v>
      </c>
      <c r="D187" s="66" t="s">
        <v>58</v>
      </c>
      <c r="E187" s="66" t="s">
        <v>345</v>
      </c>
      <c r="F187" s="66" t="s">
        <v>39</v>
      </c>
      <c r="G187" s="66" t="s">
        <v>135</v>
      </c>
      <c r="H187" s="66" t="s">
        <v>346</v>
      </c>
      <c r="I187" s="66" t="s">
        <v>112</v>
      </c>
      <c r="J187" s="66" t="s">
        <v>100</v>
      </c>
      <c r="K187" s="66" t="s">
        <v>115</v>
      </c>
      <c r="L187" s="66" t="s">
        <v>147</v>
      </c>
      <c r="M187" s="66" t="s">
        <v>49</v>
      </c>
      <c r="N187" s="66" t="s">
        <v>184</v>
      </c>
      <c r="O187" s="66" t="s">
        <v>183</v>
      </c>
      <c r="P187" s="66" t="s">
        <v>157</v>
      </c>
      <c r="Q187" s="66" t="s">
        <v>154</v>
      </c>
      <c r="R187" s="66" t="s">
        <v>94</v>
      </c>
    </row>
    <row r="188" spans="1:18" s="67" customFormat="1">
      <c r="A188" s="66" t="str">
        <f>VLOOKUP(C188,classifications!C:F,4,FALSE)</f>
        <v>SD</v>
      </c>
      <c r="B188" s="66" t="s">
        <v>615</v>
      </c>
      <c r="C188" s="66" t="s">
        <v>53</v>
      </c>
      <c r="D188" s="66" t="s">
        <v>182</v>
      </c>
      <c r="E188" s="66" t="s">
        <v>127</v>
      </c>
      <c r="F188" s="66" t="s">
        <v>106</v>
      </c>
      <c r="G188" s="66" t="s">
        <v>164</v>
      </c>
      <c r="H188" s="66" t="s">
        <v>37</v>
      </c>
      <c r="I188" s="66" t="s">
        <v>8</v>
      </c>
      <c r="J188" s="66" t="s">
        <v>113</v>
      </c>
      <c r="K188" s="66" t="s">
        <v>140</v>
      </c>
      <c r="L188" s="66" t="s">
        <v>71</v>
      </c>
      <c r="M188" s="66" t="s">
        <v>178</v>
      </c>
      <c r="N188" s="66" t="s">
        <v>158</v>
      </c>
      <c r="O188" s="66" t="s">
        <v>143</v>
      </c>
      <c r="P188" s="66" t="s">
        <v>93</v>
      </c>
      <c r="Q188" s="66" t="s">
        <v>54</v>
      </c>
      <c r="R188" s="66" t="s">
        <v>194</v>
      </c>
    </row>
    <row r="189" spans="1:18" s="67" customFormat="1">
      <c r="A189" s="66" t="str">
        <f>VLOOKUP(C189,classifications!C:F,4,FALSE)</f>
        <v>SD</v>
      </c>
      <c r="B189" s="66" t="s">
        <v>616</v>
      </c>
      <c r="C189" s="66" t="s">
        <v>66</v>
      </c>
      <c r="D189" s="66" t="s">
        <v>34</v>
      </c>
      <c r="E189" s="66" t="s">
        <v>190</v>
      </c>
      <c r="F189" s="66" t="s">
        <v>174</v>
      </c>
      <c r="G189" s="66" t="s">
        <v>73</v>
      </c>
      <c r="H189" s="66" t="s">
        <v>92</v>
      </c>
      <c r="I189" s="66" t="s">
        <v>131</v>
      </c>
      <c r="J189" s="66" t="s">
        <v>120</v>
      </c>
      <c r="K189" s="66" t="s">
        <v>95</v>
      </c>
      <c r="L189" s="66" t="s">
        <v>30</v>
      </c>
      <c r="M189" s="66" t="s">
        <v>90</v>
      </c>
      <c r="N189" s="66" t="s">
        <v>41</v>
      </c>
      <c r="O189" s="66" t="s">
        <v>29</v>
      </c>
      <c r="P189" s="66" t="s">
        <v>59</v>
      </c>
      <c r="Q189" s="66" t="s">
        <v>60</v>
      </c>
      <c r="R189" s="66" t="s">
        <v>180</v>
      </c>
    </row>
    <row r="190" spans="1:18" s="67" customFormat="1">
      <c r="A190" s="66" t="str">
        <f>VLOOKUP(C190,classifications!C:F,4,FALSE)</f>
        <v>SD</v>
      </c>
      <c r="B190" s="66" t="s">
        <v>617</v>
      </c>
      <c r="C190" s="66" t="s">
        <v>102</v>
      </c>
      <c r="D190" s="66" t="s">
        <v>12</v>
      </c>
      <c r="E190" s="66" t="s">
        <v>109</v>
      </c>
      <c r="F190" s="66" t="s">
        <v>101</v>
      </c>
      <c r="G190" s="66" t="s">
        <v>100</v>
      </c>
      <c r="H190" s="66" t="s">
        <v>157</v>
      </c>
      <c r="I190" s="66" t="s">
        <v>78</v>
      </c>
      <c r="J190" s="66" t="s">
        <v>58</v>
      </c>
      <c r="K190" s="66" t="s">
        <v>97</v>
      </c>
      <c r="L190" s="66" t="s">
        <v>345</v>
      </c>
      <c r="M190" s="66" t="s">
        <v>167</v>
      </c>
      <c r="N190" s="66" t="s">
        <v>94</v>
      </c>
      <c r="O190" s="66" t="s">
        <v>103</v>
      </c>
      <c r="P190" s="66" t="s">
        <v>163</v>
      </c>
      <c r="Q190" s="66" t="s">
        <v>152</v>
      </c>
      <c r="R190" s="66" t="s">
        <v>144</v>
      </c>
    </row>
    <row r="191" spans="1:18" s="67" customFormat="1">
      <c r="A191" s="66" t="str">
        <f>VLOOKUP(C191,classifications!C:F,4,FALSE)</f>
        <v>SD</v>
      </c>
      <c r="B191" s="66" t="s">
        <v>618</v>
      </c>
      <c r="C191" s="66" t="s">
        <v>108</v>
      </c>
      <c r="D191" s="66" t="s">
        <v>194</v>
      </c>
      <c r="E191" s="66" t="s">
        <v>170</v>
      </c>
      <c r="F191" s="66" t="s">
        <v>71</v>
      </c>
      <c r="G191" s="66" t="s">
        <v>164</v>
      </c>
      <c r="H191" s="66" t="s">
        <v>134</v>
      </c>
      <c r="I191" s="66" t="s">
        <v>133</v>
      </c>
      <c r="J191" s="66" t="s">
        <v>901</v>
      </c>
      <c r="K191" s="66" t="s">
        <v>6</v>
      </c>
      <c r="L191" s="66" t="s">
        <v>51</v>
      </c>
      <c r="M191" s="66" t="s">
        <v>93</v>
      </c>
      <c r="N191" s="66" t="s">
        <v>176</v>
      </c>
      <c r="O191" s="66" t="s">
        <v>4</v>
      </c>
      <c r="P191" s="66" t="s">
        <v>140</v>
      </c>
      <c r="Q191" s="66" t="s">
        <v>101</v>
      </c>
      <c r="R191" s="66" t="s">
        <v>92</v>
      </c>
    </row>
    <row r="192" spans="1:18" s="67" customFormat="1">
      <c r="A192" s="66" t="str">
        <f>VLOOKUP(C192,classifications!C:F,4,FALSE)</f>
        <v>SD</v>
      </c>
      <c r="B192" s="66" t="s">
        <v>619</v>
      </c>
      <c r="C192" s="66" t="s">
        <v>140</v>
      </c>
      <c r="D192" s="66" t="s">
        <v>182</v>
      </c>
      <c r="E192" s="66" t="s">
        <v>37</v>
      </c>
      <c r="F192" s="66" t="s">
        <v>143</v>
      </c>
      <c r="G192" s="66" t="s">
        <v>121</v>
      </c>
      <c r="H192" s="66" t="s">
        <v>158</v>
      </c>
      <c r="I192" s="66" t="s">
        <v>71</v>
      </c>
      <c r="J192" s="66" t="s">
        <v>44</v>
      </c>
      <c r="K192" s="66" t="s">
        <v>164</v>
      </c>
      <c r="L192" s="66" t="s">
        <v>45</v>
      </c>
      <c r="M192" s="66" t="s">
        <v>50</v>
      </c>
      <c r="N192" s="66" t="s">
        <v>156</v>
      </c>
      <c r="O192" s="66" t="s">
        <v>78</v>
      </c>
      <c r="P192" s="66" t="s">
        <v>93</v>
      </c>
      <c r="Q192" s="66" t="s">
        <v>53</v>
      </c>
      <c r="R192" s="66" t="s">
        <v>132</v>
      </c>
    </row>
    <row r="193" spans="1:18" s="67" customFormat="1">
      <c r="A193" s="66" t="str">
        <f>VLOOKUP(C193,classifications!C:F,4,FALSE)</f>
        <v>SD</v>
      </c>
      <c r="B193" s="66" t="s">
        <v>620</v>
      </c>
      <c r="C193" s="66" t="s">
        <v>164</v>
      </c>
      <c r="D193" s="66" t="s">
        <v>93</v>
      </c>
      <c r="E193" s="66" t="s">
        <v>71</v>
      </c>
      <c r="F193" s="66" t="s">
        <v>158</v>
      </c>
      <c r="G193" s="66" t="s">
        <v>8</v>
      </c>
      <c r="H193" s="66" t="s">
        <v>53</v>
      </c>
      <c r="I193" s="66" t="s">
        <v>134</v>
      </c>
      <c r="J193" s="66" t="s">
        <v>170</v>
      </c>
      <c r="K193" s="66" t="s">
        <v>108</v>
      </c>
      <c r="L193" s="66" t="s">
        <v>182</v>
      </c>
      <c r="M193" s="66" t="s">
        <v>194</v>
      </c>
      <c r="N193" s="66" t="s">
        <v>178</v>
      </c>
      <c r="O193" s="66" t="s">
        <v>106</v>
      </c>
      <c r="P193" s="66" t="s">
        <v>140</v>
      </c>
      <c r="Q193" s="66" t="s">
        <v>37</v>
      </c>
      <c r="R193" s="66" t="s">
        <v>163</v>
      </c>
    </row>
    <row r="194" spans="1:18" s="67" customFormat="1">
      <c r="A194" s="66" t="str">
        <f>VLOOKUP(C194,classifications!C:F,4,FALSE)</f>
        <v>SD</v>
      </c>
      <c r="B194" s="66" t="s">
        <v>621</v>
      </c>
      <c r="C194" s="66" t="s">
        <v>170</v>
      </c>
      <c r="D194" s="66" t="s">
        <v>108</v>
      </c>
      <c r="E194" s="66" t="s">
        <v>164</v>
      </c>
      <c r="F194" s="66" t="s">
        <v>194</v>
      </c>
      <c r="G194" s="66" t="s">
        <v>134</v>
      </c>
      <c r="H194" s="66" t="s">
        <v>71</v>
      </c>
      <c r="I194" s="66" t="s">
        <v>181</v>
      </c>
      <c r="J194" s="66" t="s">
        <v>4</v>
      </c>
      <c r="K194" s="66" t="s">
        <v>6</v>
      </c>
      <c r="L194" s="66" t="s">
        <v>93</v>
      </c>
      <c r="M194" s="66" t="s">
        <v>154</v>
      </c>
      <c r="N194" s="66" t="s">
        <v>176</v>
      </c>
      <c r="O194" s="66" t="s">
        <v>184</v>
      </c>
      <c r="P194" s="66" t="s">
        <v>51</v>
      </c>
      <c r="Q194" s="66" t="s">
        <v>132</v>
      </c>
      <c r="R194" s="66" t="s">
        <v>113</v>
      </c>
    </row>
    <row r="195" spans="1:18" s="67" customFormat="1">
      <c r="A195" s="66" t="str">
        <f>VLOOKUP(C195,classifications!C:F,4,FALSE)</f>
        <v>SD</v>
      </c>
      <c r="B195" s="66" t="s">
        <v>622</v>
      </c>
      <c r="C195" s="66" t="s">
        <v>181</v>
      </c>
      <c r="D195" s="66" t="s">
        <v>132</v>
      </c>
      <c r="E195" s="66" t="s">
        <v>45</v>
      </c>
      <c r="F195" s="66" t="s">
        <v>62</v>
      </c>
      <c r="G195" s="66" t="s">
        <v>50</v>
      </c>
      <c r="H195" s="66" t="s">
        <v>97</v>
      </c>
      <c r="I195" s="66" t="s">
        <v>98</v>
      </c>
      <c r="J195" s="66" t="s">
        <v>109</v>
      </c>
      <c r="K195" s="66" t="s">
        <v>78</v>
      </c>
      <c r="L195" s="66" t="s">
        <v>102</v>
      </c>
      <c r="M195" s="66" t="s">
        <v>12</v>
      </c>
      <c r="N195" s="66" t="s">
        <v>154</v>
      </c>
      <c r="O195" s="66" t="s">
        <v>170</v>
      </c>
      <c r="P195" s="66" t="s">
        <v>23</v>
      </c>
      <c r="Q195" s="66" t="s">
        <v>157</v>
      </c>
      <c r="R195" s="66" t="s">
        <v>101</v>
      </c>
    </row>
    <row r="196" spans="1:18" s="67" customFormat="1">
      <c r="A196" s="66" t="str">
        <f>VLOOKUP(C196,classifications!C:F,4,FALSE)</f>
        <v>SD</v>
      </c>
      <c r="B196" s="66" t="s">
        <v>623</v>
      </c>
      <c r="C196" s="66" t="s">
        <v>40</v>
      </c>
      <c r="D196" s="66" t="s">
        <v>182</v>
      </c>
      <c r="E196" s="66" t="s">
        <v>127</v>
      </c>
      <c r="F196" s="66" t="s">
        <v>53</v>
      </c>
      <c r="G196" s="66" t="s">
        <v>93</v>
      </c>
      <c r="H196" s="66" t="s">
        <v>121</v>
      </c>
      <c r="I196" s="66" t="s">
        <v>37</v>
      </c>
      <c r="J196" s="66" t="s">
        <v>186</v>
      </c>
      <c r="K196" s="66" t="s">
        <v>71</v>
      </c>
      <c r="L196" s="66" t="s">
        <v>140</v>
      </c>
      <c r="M196" s="66" t="s">
        <v>8</v>
      </c>
      <c r="N196" s="66" t="s">
        <v>54</v>
      </c>
      <c r="O196" s="66" t="s">
        <v>113</v>
      </c>
      <c r="P196" s="66" t="s">
        <v>164</v>
      </c>
      <c r="Q196" s="66" t="s">
        <v>45</v>
      </c>
      <c r="R196" s="66" t="s">
        <v>158</v>
      </c>
    </row>
    <row r="197" spans="1:18" s="67" customFormat="1">
      <c r="A197" s="66" t="str">
        <f>VLOOKUP(C197,classifications!C:F,4,FALSE)</f>
        <v>SD</v>
      </c>
      <c r="B197" s="66" t="s">
        <v>624</v>
      </c>
      <c r="C197" s="66" t="s">
        <v>54</v>
      </c>
      <c r="D197" s="66" t="s">
        <v>44</v>
      </c>
      <c r="E197" s="66" t="s">
        <v>53</v>
      </c>
      <c r="F197" s="66" t="s">
        <v>98</v>
      </c>
      <c r="G197" s="66" t="s">
        <v>78</v>
      </c>
      <c r="H197" s="66" t="s">
        <v>156</v>
      </c>
      <c r="I197" s="66" t="s">
        <v>37</v>
      </c>
      <c r="J197" s="66" t="s">
        <v>182</v>
      </c>
      <c r="K197" s="66" t="s">
        <v>178</v>
      </c>
      <c r="L197" s="66" t="s">
        <v>109</v>
      </c>
      <c r="M197" s="66" t="s">
        <v>181</v>
      </c>
      <c r="N197" s="66" t="s">
        <v>121</v>
      </c>
      <c r="O197" s="66" t="s">
        <v>45</v>
      </c>
      <c r="P197" s="66" t="s">
        <v>127</v>
      </c>
      <c r="Q197" s="66" t="s">
        <v>50</v>
      </c>
      <c r="R197" s="66" t="s">
        <v>192</v>
      </c>
    </row>
    <row r="198" spans="1:18" s="67" customFormat="1">
      <c r="A198" s="66" t="str">
        <f>VLOOKUP(C198,classifications!C:F,4,FALSE)</f>
        <v>SD</v>
      </c>
      <c r="B198" s="66" t="s">
        <v>625</v>
      </c>
      <c r="C198" s="66" t="s">
        <v>109</v>
      </c>
      <c r="D198" s="66" t="s">
        <v>12</v>
      </c>
      <c r="E198" s="66" t="s">
        <v>78</v>
      </c>
      <c r="F198" s="66" t="s">
        <v>102</v>
      </c>
      <c r="G198" s="66" t="s">
        <v>192</v>
      </c>
      <c r="H198" s="66" t="s">
        <v>100</v>
      </c>
      <c r="I198" s="66" t="s">
        <v>98</v>
      </c>
      <c r="J198" s="66" t="s">
        <v>97</v>
      </c>
      <c r="K198" s="66" t="s">
        <v>167</v>
      </c>
      <c r="L198" s="66" t="s">
        <v>103</v>
      </c>
      <c r="M198" s="66" t="s">
        <v>101</v>
      </c>
      <c r="N198" s="66" t="s">
        <v>50</v>
      </c>
      <c r="O198" s="66" t="s">
        <v>157</v>
      </c>
      <c r="P198" s="66" t="s">
        <v>123</v>
      </c>
      <c r="Q198" s="66" t="s">
        <v>144</v>
      </c>
      <c r="R198" s="66" t="s">
        <v>181</v>
      </c>
    </row>
    <row r="199" spans="1:18" s="67" customFormat="1">
      <c r="A199" s="66" t="str">
        <f>VLOOKUP(C199,classifications!C:F,4,FALSE)</f>
        <v>SD</v>
      </c>
      <c r="B199" s="66" t="s">
        <v>626</v>
      </c>
      <c r="C199" s="66" t="s">
        <v>121</v>
      </c>
      <c r="D199" s="66" t="s">
        <v>140</v>
      </c>
      <c r="E199" s="66" t="s">
        <v>182</v>
      </c>
      <c r="F199" s="66" t="s">
        <v>158</v>
      </c>
      <c r="G199" s="66" t="s">
        <v>37</v>
      </c>
      <c r="H199" s="66" t="s">
        <v>93</v>
      </c>
      <c r="I199" s="66" t="s">
        <v>44</v>
      </c>
      <c r="J199" s="66" t="s">
        <v>78</v>
      </c>
      <c r="K199" s="66" t="s">
        <v>109</v>
      </c>
      <c r="L199" s="66" t="s">
        <v>62</v>
      </c>
      <c r="M199" s="66" t="s">
        <v>12</v>
      </c>
      <c r="N199" s="66" t="s">
        <v>50</v>
      </c>
      <c r="O199" s="66" t="s">
        <v>45</v>
      </c>
      <c r="P199" s="66" t="s">
        <v>170</v>
      </c>
      <c r="Q199" s="66" t="s">
        <v>156</v>
      </c>
      <c r="R199" s="66" t="s">
        <v>71</v>
      </c>
    </row>
    <row r="200" spans="1:18" s="67" customFormat="1">
      <c r="A200" s="66" t="str">
        <f>VLOOKUP(C200,classifications!C:F,4,FALSE)</f>
        <v>SD</v>
      </c>
      <c r="B200" s="66" t="s">
        <v>627</v>
      </c>
      <c r="C200" s="66" t="s">
        <v>182</v>
      </c>
      <c r="D200" s="66" t="s">
        <v>140</v>
      </c>
      <c r="E200" s="66" t="s">
        <v>37</v>
      </c>
      <c r="F200" s="66" t="s">
        <v>53</v>
      </c>
      <c r="G200" s="66" t="s">
        <v>127</v>
      </c>
      <c r="H200" s="66" t="s">
        <v>143</v>
      </c>
      <c r="I200" s="66" t="s">
        <v>164</v>
      </c>
      <c r="J200" s="66" t="s">
        <v>113</v>
      </c>
      <c r="K200" s="66" t="s">
        <v>71</v>
      </c>
      <c r="L200" s="66" t="s">
        <v>121</v>
      </c>
      <c r="M200" s="66" t="s">
        <v>158</v>
      </c>
      <c r="N200" s="66" t="s">
        <v>93</v>
      </c>
      <c r="O200" s="66" t="s">
        <v>106</v>
      </c>
      <c r="P200" s="66" t="s">
        <v>44</v>
      </c>
      <c r="Q200" s="66" t="s">
        <v>108</v>
      </c>
      <c r="R200" s="66" t="s">
        <v>50</v>
      </c>
    </row>
    <row r="201" spans="1:18" s="67" customFormat="1">
      <c r="A201" s="66" t="str">
        <f>VLOOKUP(C201,classifications!C:F,4,FALSE)</f>
        <v>SD</v>
      </c>
      <c r="B201" s="66" t="s">
        <v>628</v>
      </c>
      <c r="C201" s="66" t="s">
        <v>351</v>
      </c>
      <c r="D201" s="66" t="s">
        <v>108</v>
      </c>
      <c r="E201" s="66" t="s">
        <v>4</v>
      </c>
      <c r="F201" s="66" t="s">
        <v>170</v>
      </c>
      <c r="G201" s="66" t="s">
        <v>164</v>
      </c>
      <c r="H201" s="66" t="s">
        <v>71</v>
      </c>
      <c r="I201" s="66" t="s">
        <v>194</v>
      </c>
      <c r="J201" s="66" t="s">
        <v>163</v>
      </c>
      <c r="K201" s="66" t="s">
        <v>191</v>
      </c>
      <c r="L201" s="66" t="s">
        <v>6</v>
      </c>
      <c r="M201" s="66" t="s">
        <v>134</v>
      </c>
      <c r="N201" s="66" t="s">
        <v>93</v>
      </c>
      <c r="O201" s="66" t="s">
        <v>30</v>
      </c>
      <c r="P201" s="66" t="s">
        <v>101</v>
      </c>
      <c r="Q201" s="66" t="s">
        <v>92</v>
      </c>
      <c r="R201" s="66" t="s">
        <v>182</v>
      </c>
    </row>
    <row r="202" spans="1:18" s="67" customFormat="1">
      <c r="A202" s="66" t="str">
        <f>VLOOKUP(C202,classifications!C:F,4,FALSE)</f>
        <v>SD</v>
      </c>
      <c r="B202" s="66" t="s">
        <v>629</v>
      </c>
      <c r="C202" s="66" t="s">
        <v>60</v>
      </c>
      <c r="D202" s="66" t="s">
        <v>191</v>
      </c>
      <c r="E202" s="66" t="s">
        <v>901</v>
      </c>
      <c r="F202" s="66" t="s">
        <v>34</v>
      </c>
      <c r="G202" s="66" t="s">
        <v>168</v>
      </c>
      <c r="H202" s="66" t="s">
        <v>66</v>
      </c>
      <c r="I202" s="66" t="s">
        <v>8</v>
      </c>
      <c r="J202" s="66" t="s">
        <v>4</v>
      </c>
      <c r="K202" s="66" t="s">
        <v>195</v>
      </c>
      <c r="L202" s="66" t="s">
        <v>83</v>
      </c>
      <c r="M202" s="66" t="s">
        <v>163</v>
      </c>
      <c r="N202" s="66" t="s">
        <v>133</v>
      </c>
      <c r="O202" s="66" t="s">
        <v>190</v>
      </c>
      <c r="P202" s="66" t="s">
        <v>93</v>
      </c>
      <c r="Q202" s="66" t="s">
        <v>29</v>
      </c>
      <c r="R202" s="66" t="s">
        <v>90</v>
      </c>
    </row>
    <row r="203" spans="1:18" s="67" customFormat="1">
      <c r="A203" s="66" t="str">
        <f>VLOOKUP(C203,classifications!C:F,4,FALSE)</f>
        <v>SD</v>
      </c>
      <c r="B203" s="66" t="s">
        <v>630</v>
      </c>
      <c r="C203" s="66" t="s">
        <v>83</v>
      </c>
      <c r="D203" s="66" t="s">
        <v>168</v>
      </c>
      <c r="E203" s="66" t="s">
        <v>76</v>
      </c>
      <c r="F203" s="66" t="s">
        <v>901</v>
      </c>
      <c r="G203" s="66" t="s">
        <v>74</v>
      </c>
      <c r="H203" s="66" t="s">
        <v>95</v>
      </c>
      <c r="I203" s="66" t="s">
        <v>90</v>
      </c>
      <c r="J203" s="66" t="s">
        <v>190</v>
      </c>
      <c r="K203" s="66" t="s">
        <v>191</v>
      </c>
      <c r="L203" s="66" t="s">
        <v>60</v>
      </c>
      <c r="M203" s="66" t="s">
        <v>13</v>
      </c>
      <c r="N203" s="66" t="s">
        <v>120</v>
      </c>
      <c r="O203" s="66" t="s">
        <v>89</v>
      </c>
      <c r="P203" s="66" t="s">
        <v>51</v>
      </c>
      <c r="Q203" s="66" t="s">
        <v>119</v>
      </c>
      <c r="R203" s="66" t="s">
        <v>36</v>
      </c>
    </row>
    <row r="204" spans="1:18" s="67" customFormat="1">
      <c r="A204" s="66" t="str">
        <f>VLOOKUP(C204,classifications!C:F,4,FALSE)</f>
        <v>SD</v>
      </c>
      <c r="B204" s="66" t="s">
        <v>631</v>
      </c>
      <c r="C204" s="66" t="s">
        <v>93</v>
      </c>
      <c r="D204" s="66" t="s">
        <v>164</v>
      </c>
      <c r="E204" s="66" t="s">
        <v>134</v>
      </c>
      <c r="F204" s="66" t="s">
        <v>125</v>
      </c>
      <c r="G204" s="66" t="s">
        <v>158</v>
      </c>
      <c r="H204" s="66" t="s">
        <v>4</v>
      </c>
      <c r="I204" s="66" t="s">
        <v>8</v>
      </c>
      <c r="J204" s="66" t="s">
        <v>71</v>
      </c>
      <c r="K204" s="66" t="s">
        <v>37</v>
      </c>
      <c r="L204" s="66" t="s">
        <v>901</v>
      </c>
      <c r="M204" s="66" t="s">
        <v>182</v>
      </c>
      <c r="N204" s="66" t="s">
        <v>170</v>
      </c>
      <c r="O204" s="66" t="s">
        <v>67</v>
      </c>
      <c r="P204" s="66" t="s">
        <v>108</v>
      </c>
      <c r="Q204" s="66" t="s">
        <v>178</v>
      </c>
      <c r="R204" s="66" t="s">
        <v>140</v>
      </c>
    </row>
    <row r="205" spans="1:18" s="67" customFormat="1">
      <c r="A205" s="66" t="str">
        <f>VLOOKUP(C205,classifications!C:F,4,FALSE)</f>
        <v>SD</v>
      </c>
      <c r="B205" s="66" t="s">
        <v>632</v>
      </c>
      <c r="C205" s="66" t="s">
        <v>127</v>
      </c>
      <c r="D205" s="66" t="s">
        <v>53</v>
      </c>
      <c r="E205" s="66" t="s">
        <v>182</v>
      </c>
      <c r="F205" s="66" t="s">
        <v>113</v>
      </c>
      <c r="G205" s="66" t="s">
        <v>37</v>
      </c>
      <c r="H205" s="66" t="s">
        <v>71</v>
      </c>
      <c r="I205" s="66" t="s">
        <v>164</v>
      </c>
      <c r="J205" s="66" t="s">
        <v>140</v>
      </c>
      <c r="K205" s="66" t="s">
        <v>93</v>
      </c>
      <c r="L205" s="66" t="s">
        <v>8</v>
      </c>
      <c r="M205" s="66" t="s">
        <v>98</v>
      </c>
      <c r="N205" s="66" t="s">
        <v>40</v>
      </c>
      <c r="O205" s="66" t="s">
        <v>106</v>
      </c>
      <c r="P205" s="66" t="s">
        <v>121</v>
      </c>
      <c r="Q205" s="66" t="s">
        <v>186</v>
      </c>
      <c r="R205" s="66" t="s">
        <v>158</v>
      </c>
    </row>
    <row r="206" spans="1:18" s="67" customFormat="1">
      <c r="A206" s="66" t="str">
        <f>VLOOKUP(C206,classifications!C:F,4,FALSE)</f>
        <v>SD</v>
      </c>
      <c r="B206" s="66" t="s">
        <v>633</v>
      </c>
      <c r="C206" s="66" t="s">
        <v>178</v>
      </c>
      <c r="D206" s="66" t="s">
        <v>106</v>
      </c>
      <c r="E206" s="66" t="s">
        <v>164</v>
      </c>
      <c r="F206" s="66" t="s">
        <v>158</v>
      </c>
      <c r="G206" s="66" t="s">
        <v>37</v>
      </c>
      <c r="H206" s="66" t="s">
        <v>87</v>
      </c>
      <c r="I206" s="66" t="s">
        <v>93</v>
      </c>
      <c r="J206" s="66" t="s">
        <v>53</v>
      </c>
      <c r="K206" s="66" t="s">
        <v>67</v>
      </c>
      <c r="L206" s="66" t="s">
        <v>140</v>
      </c>
      <c r="M206" s="66" t="s">
        <v>156</v>
      </c>
      <c r="N206" s="66" t="s">
        <v>55</v>
      </c>
      <c r="O206" s="66" t="s">
        <v>81</v>
      </c>
      <c r="P206" s="66" t="s">
        <v>182</v>
      </c>
      <c r="Q206" s="66" t="s">
        <v>104</v>
      </c>
      <c r="R206" s="66" t="s">
        <v>78</v>
      </c>
    </row>
    <row r="207" spans="1:18" s="67" customFormat="1">
      <c r="A207" s="66" t="str">
        <f>VLOOKUP(C207,classifications!C:F,4,FALSE)</f>
        <v>SD</v>
      </c>
      <c r="B207" s="66" t="s">
        <v>634</v>
      </c>
      <c r="C207" s="66" t="s">
        <v>14</v>
      </c>
      <c r="D207" s="66" t="s">
        <v>47</v>
      </c>
      <c r="E207" s="66" t="s">
        <v>41</v>
      </c>
      <c r="F207" s="66" t="s">
        <v>19</v>
      </c>
      <c r="G207" s="66" t="s">
        <v>73</v>
      </c>
      <c r="H207" s="66" t="s">
        <v>111</v>
      </c>
      <c r="I207" s="66" t="s">
        <v>343</v>
      </c>
      <c r="J207" s="66" t="s">
        <v>116</v>
      </c>
      <c r="K207" s="66" t="s">
        <v>155</v>
      </c>
      <c r="L207" s="66" t="s">
        <v>90</v>
      </c>
      <c r="M207" s="66" t="s">
        <v>122</v>
      </c>
      <c r="N207" s="66" t="s">
        <v>347</v>
      </c>
      <c r="O207" s="66" t="s">
        <v>96</v>
      </c>
      <c r="P207" s="66" t="s">
        <v>75</v>
      </c>
      <c r="Q207" s="66" t="s">
        <v>33</v>
      </c>
      <c r="R207" s="66" t="s">
        <v>160</v>
      </c>
    </row>
    <row r="208" spans="1:18" s="67" customFormat="1">
      <c r="A208" s="66" t="str">
        <f>VLOOKUP(C208,classifications!C:F,4,FALSE)</f>
        <v>SD</v>
      </c>
      <c r="B208" s="66" t="s">
        <v>635</v>
      </c>
      <c r="C208" s="66" t="s">
        <v>19</v>
      </c>
      <c r="D208" s="66" t="s">
        <v>96</v>
      </c>
      <c r="E208" s="66" t="s">
        <v>142</v>
      </c>
      <c r="F208" s="66" t="s">
        <v>111</v>
      </c>
      <c r="G208" s="66" t="s">
        <v>41</v>
      </c>
      <c r="H208" s="66" t="s">
        <v>346</v>
      </c>
      <c r="I208" s="66" t="s">
        <v>39</v>
      </c>
      <c r="J208" s="66" t="s">
        <v>183</v>
      </c>
      <c r="K208" s="66" t="s">
        <v>88</v>
      </c>
      <c r="L208" s="66" t="s">
        <v>157</v>
      </c>
      <c r="M208" s="66" t="s">
        <v>152</v>
      </c>
      <c r="N208" s="66" t="s">
        <v>128</v>
      </c>
      <c r="O208" s="66" t="s">
        <v>58</v>
      </c>
      <c r="P208" s="66" t="s">
        <v>153</v>
      </c>
      <c r="Q208" s="66" t="s">
        <v>10</v>
      </c>
      <c r="R208" s="66" t="s">
        <v>32</v>
      </c>
    </row>
    <row r="209" spans="1:18" s="67" customFormat="1">
      <c r="A209" s="66" t="str">
        <f>VLOOKUP(C209,classifications!C:F,4,FALSE)</f>
        <v>SD</v>
      </c>
      <c r="B209" s="66" t="s">
        <v>636</v>
      </c>
      <c r="C209" s="66" t="s">
        <v>21</v>
      </c>
      <c r="D209" s="66" t="s">
        <v>64</v>
      </c>
      <c r="E209" s="66" t="s">
        <v>188</v>
      </c>
      <c r="F209" s="66" t="s">
        <v>55</v>
      </c>
      <c r="G209" s="66" t="s">
        <v>136</v>
      </c>
      <c r="H209" s="66" t="s">
        <v>169</v>
      </c>
      <c r="I209" s="66" t="s">
        <v>87</v>
      </c>
      <c r="J209" s="66" t="s">
        <v>159</v>
      </c>
      <c r="K209" s="66" t="s">
        <v>173</v>
      </c>
      <c r="L209" s="66" t="s">
        <v>150</v>
      </c>
      <c r="M209" s="66" t="s">
        <v>105</v>
      </c>
      <c r="N209" s="66" t="s">
        <v>166</v>
      </c>
      <c r="O209" s="66" t="s">
        <v>162</v>
      </c>
      <c r="P209" s="66" t="s">
        <v>349</v>
      </c>
      <c r="Q209" s="66" t="s">
        <v>104</v>
      </c>
      <c r="R209" s="66" t="s">
        <v>185</v>
      </c>
    </row>
    <row r="210" spans="1:18" s="67" customFormat="1">
      <c r="A210" s="66" t="str">
        <f>VLOOKUP(C210,classifications!C:F,4,FALSE)</f>
        <v>SD</v>
      </c>
      <c r="B210" s="66" t="s">
        <v>637</v>
      </c>
      <c r="C210" s="66" t="s">
        <v>31</v>
      </c>
      <c r="D210" s="66" t="s">
        <v>72</v>
      </c>
      <c r="E210" s="66" t="s">
        <v>154</v>
      </c>
      <c r="F210" s="66" t="s">
        <v>147</v>
      </c>
      <c r="G210" s="66" t="s">
        <v>25</v>
      </c>
      <c r="H210" s="66" t="s">
        <v>345</v>
      </c>
      <c r="I210" s="66" t="s">
        <v>94</v>
      </c>
      <c r="J210" s="66" t="s">
        <v>149</v>
      </c>
      <c r="K210" s="66" t="s">
        <v>348</v>
      </c>
      <c r="L210" s="66" t="s">
        <v>195</v>
      </c>
      <c r="M210" s="66" t="s">
        <v>86</v>
      </c>
      <c r="N210" s="66" t="s">
        <v>65</v>
      </c>
      <c r="O210" s="66" t="s">
        <v>39</v>
      </c>
      <c r="P210" s="66" t="s">
        <v>7</v>
      </c>
      <c r="Q210" s="66" t="s">
        <v>23</v>
      </c>
      <c r="R210" s="66" t="s">
        <v>157</v>
      </c>
    </row>
    <row r="211" spans="1:18" s="67" customFormat="1">
      <c r="A211" s="66" t="str">
        <f>VLOOKUP(C211,classifications!C:F,4,FALSE)</f>
        <v>SD</v>
      </c>
      <c r="B211" s="66" t="s">
        <v>638</v>
      </c>
      <c r="C211" s="66" t="s">
        <v>33</v>
      </c>
      <c r="D211" s="66" t="s">
        <v>96</v>
      </c>
      <c r="E211" s="66" t="s">
        <v>41</v>
      </c>
      <c r="F211" s="66" t="s">
        <v>174</v>
      </c>
      <c r="G211" s="66" t="s">
        <v>343</v>
      </c>
      <c r="H211" s="66" t="s">
        <v>88</v>
      </c>
      <c r="I211" s="66" t="s">
        <v>47</v>
      </c>
      <c r="J211" s="66" t="s">
        <v>32</v>
      </c>
      <c r="K211" s="66" t="s">
        <v>56</v>
      </c>
      <c r="L211" s="66" t="s">
        <v>153</v>
      </c>
      <c r="M211" s="66" t="s">
        <v>81</v>
      </c>
      <c r="N211" s="66" t="s">
        <v>19</v>
      </c>
      <c r="O211" s="66" t="s">
        <v>111</v>
      </c>
      <c r="P211" s="66" t="s">
        <v>104</v>
      </c>
      <c r="Q211" s="66" t="s">
        <v>166</v>
      </c>
      <c r="R211" s="66" t="s">
        <v>193</v>
      </c>
    </row>
    <row r="212" spans="1:18" s="67" customFormat="1">
      <c r="A212" s="66" t="str">
        <f>VLOOKUP(C212,classifications!C:F,4,FALSE)</f>
        <v>SD</v>
      </c>
      <c r="B212" s="66" t="s">
        <v>639</v>
      </c>
      <c r="C212" s="66" t="s">
        <v>41</v>
      </c>
      <c r="D212" s="66" t="s">
        <v>96</v>
      </c>
      <c r="E212" s="66" t="s">
        <v>32</v>
      </c>
      <c r="F212" s="66" t="s">
        <v>33</v>
      </c>
      <c r="G212" s="66" t="s">
        <v>19</v>
      </c>
      <c r="H212" s="66" t="s">
        <v>88</v>
      </c>
      <c r="I212" s="66" t="s">
        <v>111</v>
      </c>
      <c r="J212" s="66" t="s">
        <v>343</v>
      </c>
      <c r="K212" s="66" t="s">
        <v>153</v>
      </c>
      <c r="L212" s="66" t="s">
        <v>174</v>
      </c>
      <c r="M212" s="66" t="s">
        <v>128</v>
      </c>
      <c r="N212" s="66" t="s">
        <v>142</v>
      </c>
      <c r="O212" s="66" t="s">
        <v>47</v>
      </c>
      <c r="P212" s="66" t="s">
        <v>35</v>
      </c>
      <c r="Q212" s="66" t="s">
        <v>152</v>
      </c>
      <c r="R212" s="66" t="s">
        <v>59</v>
      </c>
    </row>
    <row r="213" spans="1:18" s="67" customFormat="1">
      <c r="A213" s="66" t="str">
        <f>VLOOKUP(C213,classifications!C:F,4,FALSE)</f>
        <v>SD</v>
      </c>
      <c r="B213" s="66" t="s">
        <v>640</v>
      </c>
      <c r="C213" s="66" t="s">
        <v>64</v>
      </c>
      <c r="D213" s="66" t="s">
        <v>136</v>
      </c>
      <c r="E213" s="66" t="s">
        <v>55</v>
      </c>
      <c r="F213" s="66" t="s">
        <v>111</v>
      </c>
      <c r="G213" s="66" t="s">
        <v>87</v>
      </c>
      <c r="H213" s="66" t="s">
        <v>56</v>
      </c>
      <c r="I213" s="66" t="s">
        <v>21</v>
      </c>
      <c r="J213" s="66" t="s">
        <v>166</v>
      </c>
      <c r="K213" s="66" t="s">
        <v>188</v>
      </c>
      <c r="L213" s="66" t="s">
        <v>146</v>
      </c>
      <c r="M213" s="66" t="s">
        <v>169</v>
      </c>
      <c r="N213" s="66" t="s">
        <v>104</v>
      </c>
      <c r="O213" s="66" t="s">
        <v>349</v>
      </c>
      <c r="P213" s="66" t="s">
        <v>173</v>
      </c>
      <c r="Q213" s="66" t="s">
        <v>185</v>
      </c>
      <c r="R213" s="66" t="s">
        <v>96</v>
      </c>
    </row>
    <row r="214" spans="1:18" s="67" customFormat="1">
      <c r="A214" s="66" t="str">
        <f>VLOOKUP(C214,classifications!C:F,4,FALSE)</f>
        <v>SD</v>
      </c>
      <c r="B214" s="66" t="s">
        <v>641</v>
      </c>
      <c r="C214" s="66" t="s">
        <v>80</v>
      </c>
      <c r="D214" s="66" t="s">
        <v>155</v>
      </c>
      <c r="E214" s="66" t="s">
        <v>90</v>
      </c>
      <c r="F214" s="66" t="s">
        <v>122</v>
      </c>
      <c r="G214" s="66" t="s">
        <v>14</v>
      </c>
      <c r="H214" s="66" t="s">
        <v>43</v>
      </c>
      <c r="I214" s="66" t="s">
        <v>161</v>
      </c>
      <c r="J214" s="66" t="s">
        <v>131</v>
      </c>
      <c r="K214" s="66" t="s">
        <v>75</v>
      </c>
      <c r="L214" s="66" t="s">
        <v>180</v>
      </c>
      <c r="M214" s="66" t="s">
        <v>46</v>
      </c>
      <c r="N214" s="66" t="s">
        <v>36</v>
      </c>
      <c r="O214" s="66" t="s">
        <v>120</v>
      </c>
      <c r="P214" s="66" t="s">
        <v>95</v>
      </c>
      <c r="Q214" s="66" t="s">
        <v>179</v>
      </c>
      <c r="R214" s="66" t="s">
        <v>73</v>
      </c>
    </row>
    <row r="215" spans="1:18" s="67" customFormat="1">
      <c r="A215" s="66" t="str">
        <f>VLOOKUP(C215,classifications!C:F,4,FALSE)</f>
        <v>SD</v>
      </c>
      <c r="B215" s="66" t="s">
        <v>642</v>
      </c>
      <c r="C215" s="66" t="s">
        <v>97</v>
      </c>
      <c r="D215" s="66" t="s">
        <v>100</v>
      </c>
      <c r="E215" s="66" t="s">
        <v>124</v>
      </c>
      <c r="F215" s="66" t="s">
        <v>167</v>
      </c>
      <c r="G215" s="66" t="s">
        <v>157</v>
      </c>
      <c r="H215" s="66" t="s">
        <v>23</v>
      </c>
      <c r="I215" s="66" t="s">
        <v>109</v>
      </c>
      <c r="J215" s="66" t="s">
        <v>94</v>
      </c>
      <c r="K215" s="66" t="s">
        <v>123</v>
      </c>
      <c r="L215" s="66" t="s">
        <v>78</v>
      </c>
      <c r="M215" s="66" t="s">
        <v>12</v>
      </c>
      <c r="N215" s="66" t="s">
        <v>102</v>
      </c>
      <c r="O215" s="66" t="s">
        <v>79</v>
      </c>
      <c r="P215" s="66" t="s">
        <v>181</v>
      </c>
      <c r="Q215" s="66" t="s">
        <v>70</v>
      </c>
      <c r="R215" s="66" t="s">
        <v>149</v>
      </c>
    </row>
    <row r="216" spans="1:18" s="67" customFormat="1">
      <c r="A216" s="66" t="str">
        <f>VLOOKUP(C216,classifications!C:F,4,FALSE)</f>
        <v>SD</v>
      </c>
      <c r="B216" s="66" t="s">
        <v>643</v>
      </c>
      <c r="C216" s="66" t="s">
        <v>125</v>
      </c>
      <c r="D216" s="66" t="s">
        <v>67</v>
      </c>
      <c r="E216" s="66" t="s">
        <v>93</v>
      </c>
      <c r="F216" s="66" t="s">
        <v>61</v>
      </c>
      <c r="G216" s="66" t="s">
        <v>130</v>
      </c>
      <c r="H216" s="66" t="s">
        <v>94</v>
      </c>
      <c r="I216" s="66" t="s">
        <v>16</v>
      </c>
      <c r="J216" s="66" t="s">
        <v>102</v>
      </c>
      <c r="K216" s="66" t="s">
        <v>164</v>
      </c>
      <c r="L216" s="66" t="s">
        <v>345</v>
      </c>
      <c r="M216" s="66" t="s">
        <v>31</v>
      </c>
      <c r="N216" s="66" t="s">
        <v>4</v>
      </c>
      <c r="O216" s="66" t="s">
        <v>134</v>
      </c>
      <c r="P216" s="66" t="s">
        <v>147</v>
      </c>
      <c r="Q216" s="66" t="s">
        <v>170</v>
      </c>
      <c r="R216" s="66" t="s">
        <v>178</v>
      </c>
    </row>
    <row r="217" spans="1:18" s="67" customFormat="1">
      <c r="A217" s="66" t="str">
        <f>VLOOKUP(C217,classifications!C:F,4,FALSE)</f>
        <v>SD</v>
      </c>
      <c r="B217" s="66" t="s">
        <v>644</v>
      </c>
      <c r="C217" s="66" t="s">
        <v>165</v>
      </c>
      <c r="D217" s="66" t="s">
        <v>176</v>
      </c>
      <c r="E217" s="66" t="s">
        <v>194</v>
      </c>
      <c r="F217" s="66" t="s">
        <v>901</v>
      </c>
      <c r="G217" s="66" t="s">
        <v>8</v>
      </c>
      <c r="H217" s="66" t="s">
        <v>57</v>
      </c>
      <c r="I217" s="66" t="s">
        <v>51</v>
      </c>
      <c r="J217" s="66" t="s">
        <v>133</v>
      </c>
      <c r="K217" s="66" t="s">
        <v>164</v>
      </c>
      <c r="L217" s="66" t="s">
        <v>170</v>
      </c>
      <c r="M217" s="66" t="s">
        <v>113</v>
      </c>
      <c r="N217" s="66" t="s">
        <v>108</v>
      </c>
      <c r="O217" s="66" t="s">
        <v>134</v>
      </c>
      <c r="P217" s="66" t="s">
        <v>168</v>
      </c>
      <c r="Q217" s="66" t="s">
        <v>71</v>
      </c>
      <c r="R217" s="66" t="s">
        <v>76</v>
      </c>
    </row>
    <row r="218" spans="1:18" s="67" customFormat="1">
      <c r="A218" s="66" t="str">
        <f>VLOOKUP(C218,classifications!C:F,4,FALSE)</f>
        <v>SD</v>
      </c>
      <c r="B218" s="66" t="s">
        <v>645</v>
      </c>
      <c r="C218" s="66" t="s">
        <v>172</v>
      </c>
      <c r="D218" s="66" t="s">
        <v>79</v>
      </c>
      <c r="E218" s="66" t="s">
        <v>145</v>
      </c>
      <c r="F218" s="66" t="s">
        <v>188</v>
      </c>
      <c r="G218" s="66" t="s">
        <v>136</v>
      </c>
      <c r="H218" s="66" t="s">
        <v>138</v>
      </c>
      <c r="I218" s="66" t="s">
        <v>350</v>
      </c>
      <c r="J218" s="66" t="s">
        <v>166</v>
      </c>
      <c r="K218" s="66" t="s">
        <v>173</v>
      </c>
      <c r="L218" s="66" t="s">
        <v>146</v>
      </c>
      <c r="M218" s="66" t="s">
        <v>82</v>
      </c>
      <c r="N218" s="66" t="s">
        <v>167</v>
      </c>
      <c r="O218" s="66" t="s">
        <v>55</v>
      </c>
      <c r="P218" s="66" t="s">
        <v>156</v>
      </c>
      <c r="Q218" s="66" t="s">
        <v>87</v>
      </c>
      <c r="R218" s="66" t="s">
        <v>185</v>
      </c>
    </row>
    <row r="219" spans="1:18" s="67" customFormat="1">
      <c r="A219" s="66" t="str">
        <f>VLOOKUP(C219,classifications!C:F,4,FALSE)</f>
        <v>SD</v>
      </c>
      <c r="B219" s="66" t="s">
        <v>646</v>
      </c>
      <c r="C219" s="66" t="s">
        <v>34</v>
      </c>
      <c r="D219" s="66" t="s">
        <v>174</v>
      </c>
      <c r="E219" s="66" t="s">
        <v>66</v>
      </c>
      <c r="F219" s="66" t="s">
        <v>190</v>
      </c>
      <c r="G219" s="66" t="s">
        <v>24</v>
      </c>
      <c r="H219" s="66" t="s">
        <v>73</v>
      </c>
      <c r="I219" s="66" t="s">
        <v>33</v>
      </c>
      <c r="J219" s="66" t="s">
        <v>41</v>
      </c>
      <c r="K219" s="66" t="s">
        <v>128</v>
      </c>
      <c r="L219" s="66" t="s">
        <v>29</v>
      </c>
      <c r="M219" s="66" t="s">
        <v>163</v>
      </c>
      <c r="N219" s="66" t="s">
        <v>171</v>
      </c>
      <c r="O219" s="66" t="s">
        <v>131</v>
      </c>
      <c r="P219" s="66" t="s">
        <v>96</v>
      </c>
      <c r="Q219" s="66" t="s">
        <v>191</v>
      </c>
      <c r="R219" s="66" t="s">
        <v>111</v>
      </c>
    </row>
    <row r="220" spans="1:18" s="67" customFormat="1">
      <c r="A220" s="66" t="str">
        <f>VLOOKUP(C220,classifications!C:F,4,FALSE)</f>
        <v>SD</v>
      </c>
      <c r="B220" s="66" t="s">
        <v>647</v>
      </c>
      <c r="C220" s="66" t="s">
        <v>44</v>
      </c>
      <c r="D220" s="66" t="s">
        <v>156</v>
      </c>
      <c r="E220" s="66" t="s">
        <v>78</v>
      </c>
      <c r="F220" s="66" t="s">
        <v>50</v>
      </c>
      <c r="G220" s="66" t="s">
        <v>45</v>
      </c>
      <c r="H220" s="66" t="s">
        <v>192</v>
      </c>
      <c r="I220" s="66" t="s">
        <v>140</v>
      </c>
      <c r="J220" s="66" t="s">
        <v>109</v>
      </c>
      <c r="K220" s="66" t="s">
        <v>132</v>
      </c>
      <c r="L220" s="66" t="s">
        <v>37</v>
      </c>
      <c r="M220" s="66" t="s">
        <v>98</v>
      </c>
      <c r="N220" s="66" t="s">
        <v>62</v>
      </c>
      <c r="O220" s="66" t="s">
        <v>182</v>
      </c>
      <c r="P220" s="66" t="s">
        <v>181</v>
      </c>
      <c r="Q220" s="66" t="s">
        <v>121</v>
      </c>
      <c r="R220" s="66" t="s">
        <v>12</v>
      </c>
    </row>
    <row r="221" spans="1:18" s="67" customFormat="1">
      <c r="A221" s="66" t="str">
        <f>VLOOKUP(C221,classifications!C:F,4,FALSE)</f>
        <v>SD</v>
      </c>
      <c r="B221" s="66" t="s">
        <v>648</v>
      </c>
      <c r="C221" s="66" t="s">
        <v>70</v>
      </c>
      <c r="D221" s="66" t="s">
        <v>184</v>
      </c>
      <c r="E221" s="66" t="s">
        <v>100</v>
      </c>
      <c r="F221" s="66" t="s">
        <v>12</v>
      </c>
      <c r="G221" s="66" t="s">
        <v>346</v>
      </c>
      <c r="H221" s="66" t="s">
        <v>97</v>
      </c>
      <c r="I221" s="66" t="s">
        <v>112</v>
      </c>
      <c r="J221" s="66" t="s">
        <v>183</v>
      </c>
      <c r="K221" s="66" t="s">
        <v>144</v>
      </c>
      <c r="L221" s="66" t="s">
        <v>103</v>
      </c>
      <c r="M221" s="66" t="s">
        <v>109</v>
      </c>
      <c r="N221" s="66" t="s">
        <v>157</v>
      </c>
      <c r="O221" s="66" t="s">
        <v>154</v>
      </c>
      <c r="P221" s="66" t="s">
        <v>345</v>
      </c>
      <c r="Q221" s="66" t="s">
        <v>20</v>
      </c>
      <c r="R221" s="66" t="s">
        <v>102</v>
      </c>
    </row>
    <row r="222" spans="1:18" s="67" customFormat="1">
      <c r="A222" s="66" t="str">
        <f>VLOOKUP(C222,classifications!C:F,4,FALSE)</f>
        <v>SD</v>
      </c>
      <c r="B222" s="66" t="s">
        <v>649</v>
      </c>
      <c r="C222" s="66" t="s">
        <v>73</v>
      </c>
      <c r="D222" s="66" t="s">
        <v>190</v>
      </c>
      <c r="E222" s="66" t="s">
        <v>91</v>
      </c>
      <c r="F222" s="66" t="s">
        <v>347</v>
      </c>
      <c r="G222" s="66" t="s">
        <v>131</v>
      </c>
      <c r="H222" s="66" t="s">
        <v>59</v>
      </c>
      <c r="I222" s="66" t="s">
        <v>75</v>
      </c>
      <c r="J222" s="66" t="s">
        <v>28</v>
      </c>
      <c r="K222" s="66" t="s">
        <v>90</v>
      </c>
      <c r="L222" s="66" t="s">
        <v>128</v>
      </c>
      <c r="M222" s="66" t="s">
        <v>122</v>
      </c>
      <c r="N222" s="66" t="s">
        <v>119</v>
      </c>
      <c r="O222" s="66" t="s">
        <v>161</v>
      </c>
      <c r="P222" s="66" t="s">
        <v>65</v>
      </c>
      <c r="Q222" s="66" t="s">
        <v>99</v>
      </c>
      <c r="R222" s="66" t="s">
        <v>41</v>
      </c>
    </row>
    <row r="223" spans="1:18" s="67" customFormat="1">
      <c r="A223" s="66" t="str">
        <f>VLOOKUP(C223,classifications!C:F,4,FALSE)</f>
        <v>SD</v>
      </c>
      <c r="B223" s="66" t="s">
        <v>650</v>
      </c>
      <c r="C223" s="66" t="s">
        <v>157</v>
      </c>
      <c r="D223" s="66" t="s">
        <v>94</v>
      </c>
      <c r="E223" s="66" t="s">
        <v>101</v>
      </c>
      <c r="F223" s="66" t="s">
        <v>23</v>
      </c>
      <c r="G223" s="66" t="s">
        <v>345</v>
      </c>
      <c r="H223" s="66" t="s">
        <v>149</v>
      </c>
      <c r="I223" s="66" t="s">
        <v>167</v>
      </c>
      <c r="J223" s="66" t="s">
        <v>97</v>
      </c>
      <c r="K223" s="66" t="s">
        <v>153</v>
      </c>
      <c r="L223" s="66" t="s">
        <v>163</v>
      </c>
      <c r="M223" s="66" t="s">
        <v>185</v>
      </c>
      <c r="N223" s="66" t="s">
        <v>55</v>
      </c>
      <c r="O223" s="66" t="s">
        <v>102</v>
      </c>
      <c r="P223" s="66" t="s">
        <v>12</v>
      </c>
      <c r="Q223" s="66" t="s">
        <v>166</v>
      </c>
      <c r="R223" s="66" t="s">
        <v>346</v>
      </c>
    </row>
    <row r="224" spans="1:18" s="67" customFormat="1">
      <c r="A224" s="66" t="str">
        <f>VLOOKUP(C224,classifications!C:F,4,FALSE)</f>
        <v>SD</v>
      </c>
      <c r="B224" s="66" t="s">
        <v>651</v>
      </c>
      <c r="C224" s="66" t="s">
        <v>167</v>
      </c>
      <c r="D224" s="66" t="s">
        <v>166</v>
      </c>
      <c r="E224" s="66" t="s">
        <v>12</v>
      </c>
      <c r="F224" s="66" t="s">
        <v>97</v>
      </c>
      <c r="G224" s="66" t="s">
        <v>157</v>
      </c>
      <c r="H224" s="66" t="s">
        <v>79</v>
      </c>
      <c r="I224" s="66" t="s">
        <v>100</v>
      </c>
      <c r="J224" s="66" t="s">
        <v>94</v>
      </c>
      <c r="K224" s="66" t="s">
        <v>185</v>
      </c>
      <c r="L224" s="66" t="s">
        <v>109</v>
      </c>
      <c r="M224" s="66" t="s">
        <v>192</v>
      </c>
      <c r="N224" s="66" t="s">
        <v>78</v>
      </c>
      <c r="O224" s="66" t="s">
        <v>23</v>
      </c>
      <c r="P224" s="66" t="s">
        <v>130</v>
      </c>
      <c r="Q224" s="66" t="s">
        <v>49</v>
      </c>
      <c r="R224" s="66" t="s">
        <v>345</v>
      </c>
    </row>
    <row r="225" spans="1:18" s="67" customFormat="1">
      <c r="A225" s="66" t="str">
        <f>VLOOKUP(C225,classifications!C:F,4,FALSE)</f>
        <v>SD</v>
      </c>
      <c r="B225" s="66" t="s">
        <v>652</v>
      </c>
      <c r="C225" s="66" t="s">
        <v>343</v>
      </c>
      <c r="D225" s="66" t="s">
        <v>88</v>
      </c>
      <c r="E225" s="66" t="s">
        <v>47</v>
      </c>
      <c r="F225" s="66" t="s">
        <v>33</v>
      </c>
      <c r="G225" s="66" t="s">
        <v>96</v>
      </c>
      <c r="H225" s="66" t="s">
        <v>193</v>
      </c>
      <c r="I225" s="66" t="s">
        <v>11</v>
      </c>
      <c r="J225" s="66" t="s">
        <v>35</v>
      </c>
      <c r="K225" s="66" t="s">
        <v>41</v>
      </c>
      <c r="L225" s="66" t="s">
        <v>350</v>
      </c>
      <c r="M225" s="66" t="s">
        <v>56</v>
      </c>
      <c r="N225" s="66" t="s">
        <v>19</v>
      </c>
      <c r="O225" s="66" t="s">
        <v>111</v>
      </c>
      <c r="P225" s="66" t="s">
        <v>166</v>
      </c>
      <c r="Q225" s="66" t="s">
        <v>173</v>
      </c>
      <c r="R225" s="66" t="s">
        <v>10</v>
      </c>
    </row>
    <row r="226" spans="1:18" s="67" customFormat="1">
      <c r="A226" s="66" t="str">
        <f>VLOOKUP(C226,classifications!C:F,4,FALSE)</f>
        <v>SD</v>
      </c>
      <c r="B226" s="66" t="s">
        <v>653</v>
      </c>
      <c r="C226" s="66" t="s">
        <v>55</v>
      </c>
      <c r="D226" s="66" t="s">
        <v>146</v>
      </c>
      <c r="E226" s="66" t="s">
        <v>136</v>
      </c>
      <c r="F226" s="66" t="s">
        <v>185</v>
      </c>
      <c r="G226" s="66" t="s">
        <v>87</v>
      </c>
      <c r="H226" s="66" t="s">
        <v>166</v>
      </c>
      <c r="I226" s="66" t="s">
        <v>64</v>
      </c>
      <c r="J226" s="66" t="s">
        <v>104</v>
      </c>
      <c r="K226" s="66" t="s">
        <v>157</v>
      </c>
      <c r="L226" s="66" t="s">
        <v>56</v>
      </c>
      <c r="M226" s="66" t="s">
        <v>173</v>
      </c>
      <c r="N226" s="66" t="s">
        <v>188</v>
      </c>
      <c r="O226" s="66" t="s">
        <v>130</v>
      </c>
      <c r="P226" s="66" t="s">
        <v>79</v>
      </c>
      <c r="Q226" s="66" t="s">
        <v>23</v>
      </c>
      <c r="R226" s="66" t="s">
        <v>167</v>
      </c>
    </row>
    <row r="227" spans="1:18" s="67" customFormat="1">
      <c r="A227" s="66" t="str">
        <f>VLOOKUP(C227,classifications!C:F,4,FALSE)</f>
        <v>SD</v>
      </c>
      <c r="B227" s="66" t="s">
        <v>654</v>
      </c>
      <c r="C227" s="66" t="s">
        <v>61</v>
      </c>
      <c r="D227" s="66" t="s">
        <v>67</v>
      </c>
      <c r="E227" s="66" t="s">
        <v>125</v>
      </c>
      <c r="F227" s="66" t="s">
        <v>33</v>
      </c>
      <c r="G227" s="66" t="s">
        <v>128</v>
      </c>
      <c r="H227" s="66" t="s">
        <v>88</v>
      </c>
      <c r="I227" s="66" t="s">
        <v>96</v>
      </c>
      <c r="J227" s="66" t="s">
        <v>84</v>
      </c>
      <c r="K227" s="66" t="s">
        <v>16</v>
      </c>
      <c r="L227" s="66" t="s">
        <v>35</v>
      </c>
      <c r="M227" s="66" t="s">
        <v>166</v>
      </c>
      <c r="N227" s="66" t="s">
        <v>343</v>
      </c>
      <c r="O227" s="66" t="s">
        <v>147</v>
      </c>
      <c r="P227" s="66" t="s">
        <v>29</v>
      </c>
      <c r="Q227" s="66" t="s">
        <v>153</v>
      </c>
      <c r="R227" s="66" t="s">
        <v>160</v>
      </c>
    </row>
    <row r="228" spans="1:18" s="67" customFormat="1">
      <c r="A228" s="66" t="str">
        <f>VLOOKUP(C228,classifications!C:F,4,FALSE)</f>
        <v>SD</v>
      </c>
      <c r="B228" s="66" t="s">
        <v>655</v>
      </c>
      <c r="C228" s="66" t="s">
        <v>67</v>
      </c>
      <c r="D228" s="66" t="s">
        <v>125</v>
      </c>
      <c r="E228" s="66" t="s">
        <v>61</v>
      </c>
      <c r="F228" s="66" t="s">
        <v>93</v>
      </c>
      <c r="G228" s="66" t="s">
        <v>130</v>
      </c>
      <c r="H228" s="66" t="s">
        <v>158</v>
      </c>
      <c r="I228" s="66" t="s">
        <v>164</v>
      </c>
      <c r="J228" s="66" t="s">
        <v>178</v>
      </c>
      <c r="K228" s="66" t="s">
        <v>94</v>
      </c>
      <c r="L228" s="66" t="s">
        <v>16</v>
      </c>
      <c r="M228" s="66" t="s">
        <v>23</v>
      </c>
      <c r="N228" s="66" t="s">
        <v>153</v>
      </c>
      <c r="O228" s="66" t="s">
        <v>185</v>
      </c>
      <c r="P228" s="66" t="s">
        <v>167</v>
      </c>
      <c r="Q228" s="66" t="s">
        <v>166</v>
      </c>
      <c r="R228" s="66" t="s">
        <v>147</v>
      </c>
    </row>
    <row r="229" spans="1:18" s="67" customFormat="1">
      <c r="A229" s="66" t="str">
        <f>VLOOKUP(C229,classifications!C:F,4,FALSE)</f>
        <v>SD</v>
      </c>
      <c r="B229" s="66" t="s">
        <v>656</v>
      </c>
      <c r="C229" s="66" t="s">
        <v>74</v>
      </c>
      <c r="D229" s="66" t="s">
        <v>84</v>
      </c>
      <c r="E229" s="66" t="s">
        <v>4</v>
      </c>
      <c r="F229" s="66" t="s">
        <v>160</v>
      </c>
      <c r="G229" s="66" t="s">
        <v>75</v>
      </c>
      <c r="H229" s="66" t="s">
        <v>73</v>
      </c>
      <c r="I229" s="66" t="s">
        <v>51</v>
      </c>
      <c r="J229" s="66" t="s">
        <v>901</v>
      </c>
      <c r="K229" s="66" t="s">
        <v>347</v>
      </c>
      <c r="L229" s="66" t="s">
        <v>28</v>
      </c>
      <c r="M229" s="66" t="s">
        <v>91</v>
      </c>
      <c r="N229" s="66" t="s">
        <v>13</v>
      </c>
      <c r="O229" s="66" t="s">
        <v>190</v>
      </c>
      <c r="P229" s="66" t="s">
        <v>99</v>
      </c>
      <c r="Q229" s="66" t="s">
        <v>161</v>
      </c>
      <c r="R229" s="66" t="s">
        <v>122</v>
      </c>
    </row>
    <row r="230" spans="1:18" s="67" customFormat="1">
      <c r="A230" s="66" t="str">
        <f>VLOOKUP(C230,classifications!C:F,4,FALSE)</f>
        <v>SD</v>
      </c>
      <c r="B230" s="66" t="s">
        <v>657</v>
      </c>
      <c r="C230" s="66" t="s">
        <v>82</v>
      </c>
      <c r="D230" s="66" t="s">
        <v>136</v>
      </c>
      <c r="E230" s="66" t="s">
        <v>38</v>
      </c>
      <c r="F230" s="66" t="s">
        <v>146</v>
      </c>
      <c r="G230" s="66" t="s">
        <v>55</v>
      </c>
      <c r="H230" s="66" t="s">
        <v>104</v>
      </c>
      <c r="I230" s="66" t="s">
        <v>169</v>
      </c>
      <c r="J230" s="66" t="s">
        <v>56</v>
      </c>
      <c r="K230" s="66" t="s">
        <v>87</v>
      </c>
      <c r="L230" s="66" t="s">
        <v>172</v>
      </c>
      <c r="M230" s="66" t="s">
        <v>188</v>
      </c>
      <c r="N230" s="66" t="s">
        <v>151</v>
      </c>
      <c r="O230" s="66" t="s">
        <v>145</v>
      </c>
      <c r="P230" s="66" t="s">
        <v>159</v>
      </c>
      <c r="Q230" s="66" t="s">
        <v>79</v>
      </c>
      <c r="R230" s="66" t="s">
        <v>173</v>
      </c>
    </row>
    <row r="231" spans="1:18" s="67" customFormat="1">
      <c r="A231" s="66" t="str">
        <f>VLOOKUP(C231,classifications!C:F,4,FALSE)</f>
        <v>SD</v>
      </c>
      <c r="B231" s="66" t="s">
        <v>658</v>
      </c>
      <c r="C231" s="66" t="s">
        <v>84</v>
      </c>
      <c r="D231" s="66" t="s">
        <v>4</v>
      </c>
      <c r="E231" s="66" t="s">
        <v>51</v>
      </c>
      <c r="F231" s="66" t="s">
        <v>29</v>
      </c>
      <c r="G231" s="66" t="s">
        <v>61</v>
      </c>
      <c r="H231" s="66" t="s">
        <v>74</v>
      </c>
      <c r="I231" s="66" t="s">
        <v>901</v>
      </c>
      <c r="J231" s="66" t="s">
        <v>134</v>
      </c>
      <c r="K231" s="66" t="s">
        <v>107</v>
      </c>
      <c r="L231" s="66" t="s">
        <v>195</v>
      </c>
      <c r="M231" s="66" t="s">
        <v>93</v>
      </c>
      <c r="N231" s="66" t="s">
        <v>160</v>
      </c>
      <c r="O231" s="66" t="s">
        <v>176</v>
      </c>
      <c r="P231" s="66" t="s">
        <v>65</v>
      </c>
      <c r="Q231" s="66" t="s">
        <v>153</v>
      </c>
      <c r="R231" s="66" t="s">
        <v>67</v>
      </c>
    </row>
    <row r="232" spans="1:18" s="67" customFormat="1">
      <c r="A232" s="66" t="str">
        <f>VLOOKUP(C232,classifications!C:F,4,FALSE)</f>
        <v>SD</v>
      </c>
      <c r="B232" s="66" t="s">
        <v>659</v>
      </c>
      <c r="C232" s="66" t="s">
        <v>106</v>
      </c>
      <c r="D232" s="66" t="s">
        <v>53</v>
      </c>
      <c r="E232" s="66" t="s">
        <v>178</v>
      </c>
      <c r="F232" s="66" t="s">
        <v>158</v>
      </c>
      <c r="G232" s="66" t="s">
        <v>164</v>
      </c>
      <c r="H232" s="66" t="s">
        <v>37</v>
      </c>
      <c r="I232" s="66" t="s">
        <v>182</v>
      </c>
      <c r="J232" s="66" t="s">
        <v>8</v>
      </c>
      <c r="K232" s="66" t="s">
        <v>93</v>
      </c>
      <c r="L232" s="66" t="s">
        <v>140</v>
      </c>
      <c r="M232" s="66" t="s">
        <v>156</v>
      </c>
      <c r="N232" s="66" t="s">
        <v>148</v>
      </c>
      <c r="O232" s="66" t="s">
        <v>67</v>
      </c>
      <c r="P232" s="66" t="s">
        <v>127</v>
      </c>
      <c r="Q232" s="66" t="s">
        <v>81</v>
      </c>
      <c r="R232" s="66" t="s">
        <v>143</v>
      </c>
    </row>
    <row r="233" spans="1:18" s="67" customFormat="1">
      <c r="A233" s="66" t="str">
        <f>VLOOKUP(C233,classifications!C:F,4,FALSE)</f>
        <v>SD</v>
      </c>
      <c r="B233" s="66" t="s">
        <v>660</v>
      </c>
      <c r="C233" s="66" t="s">
        <v>131</v>
      </c>
      <c r="D233" s="66" t="s">
        <v>73</v>
      </c>
      <c r="E233" s="66" t="s">
        <v>190</v>
      </c>
      <c r="F233" s="66" t="s">
        <v>24</v>
      </c>
      <c r="G233" s="66" t="s">
        <v>122</v>
      </c>
      <c r="H233" s="66" t="s">
        <v>128</v>
      </c>
      <c r="I233" s="66" t="s">
        <v>75</v>
      </c>
      <c r="J233" s="66" t="s">
        <v>91</v>
      </c>
      <c r="K233" s="66" t="s">
        <v>155</v>
      </c>
      <c r="L233" s="66" t="s">
        <v>48</v>
      </c>
      <c r="M233" s="66" t="s">
        <v>34</v>
      </c>
      <c r="N233" s="66" t="s">
        <v>179</v>
      </c>
      <c r="O233" s="66" t="s">
        <v>59</v>
      </c>
      <c r="P233" s="66" t="s">
        <v>175</v>
      </c>
      <c r="Q233" s="66" t="s">
        <v>90</v>
      </c>
      <c r="R233" s="66" t="s">
        <v>161</v>
      </c>
    </row>
    <row r="234" spans="1:18" s="67" customFormat="1">
      <c r="A234" s="66" t="str">
        <f>VLOOKUP(C234,classifications!C:F,4,FALSE)</f>
        <v>SD</v>
      </c>
      <c r="B234" s="66" t="s">
        <v>661</v>
      </c>
      <c r="C234" s="66" t="s">
        <v>166</v>
      </c>
      <c r="D234" s="66" t="s">
        <v>173</v>
      </c>
      <c r="E234" s="66" t="s">
        <v>185</v>
      </c>
      <c r="F234" s="66" t="s">
        <v>146</v>
      </c>
      <c r="G234" s="66" t="s">
        <v>55</v>
      </c>
      <c r="H234" s="66" t="s">
        <v>167</v>
      </c>
      <c r="I234" s="66" t="s">
        <v>350</v>
      </c>
      <c r="J234" s="66" t="s">
        <v>136</v>
      </c>
      <c r="K234" s="66" t="s">
        <v>188</v>
      </c>
      <c r="L234" s="66" t="s">
        <v>157</v>
      </c>
      <c r="M234" s="66" t="s">
        <v>56</v>
      </c>
      <c r="N234" s="66" t="s">
        <v>96</v>
      </c>
      <c r="O234" s="66" t="s">
        <v>64</v>
      </c>
      <c r="P234" s="66" t="s">
        <v>10</v>
      </c>
      <c r="Q234" s="66" t="s">
        <v>87</v>
      </c>
      <c r="R234" s="66" t="s">
        <v>79</v>
      </c>
    </row>
    <row r="235" spans="1:18" s="67" customFormat="1">
      <c r="A235" s="66" t="str">
        <f>VLOOKUP(C235,classifications!C:F,4,FALSE)</f>
        <v>SD</v>
      </c>
      <c r="B235" s="66" t="s">
        <v>662</v>
      </c>
      <c r="C235" s="66" t="s">
        <v>188</v>
      </c>
      <c r="D235" s="66" t="s">
        <v>173</v>
      </c>
      <c r="E235" s="66" t="s">
        <v>136</v>
      </c>
      <c r="F235" s="66" t="s">
        <v>166</v>
      </c>
      <c r="G235" s="66" t="s">
        <v>87</v>
      </c>
      <c r="H235" s="66" t="s">
        <v>55</v>
      </c>
      <c r="I235" s="66" t="s">
        <v>146</v>
      </c>
      <c r="J235" s="66" t="s">
        <v>64</v>
      </c>
      <c r="K235" s="66" t="s">
        <v>104</v>
      </c>
      <c r="L235" s="66" t="s">
        <v>21</v>
      </c>
      <c r="M235" s="66" t="s">
        <v>156</v>
      </c>
      <c r="N235" s="66" t="s">
        <v>56</v>
      </c>
      <c r="O235" s="66" t="s">
        <v>350</v>
      </c>
      <c r="P235" s="66" t="s">
        <v>185</v>
      </c>
      <c r="Q235" s="66" t="s">
        <v>172</v>
      </c>
      <c r="R235" s="66" t="s">
        <v>169</v>
      </c>
    </row>
    <row r="236" spans="1:18" s="67" customFormat="1">
      <c r="A236" s="66" t="str">
        <f>VLOOKUP(C236,classifications!C:F,4,FALSE)</f>
        <v>SD</v>
      </c>
      <c r="B236" s="66" t="s">
        <v>663</v>
      </c>
      <c r="C236" s="66" t="s">
        <v>23</v>
      </c>
      <c r="D236" s="66" t="s">
        <v>157</v>
      </c>
      <c r="E236" s="66" t="s">
        <v>94</v>
      </c>
      <c r="F236" s="66" t="s">
        <v>97</v>
      </c>
      <c r="G236" s="66" t="s">
        <v>149</v>
      </c>
      <c r="H236" s="66" t="s">
        <v>167</v>
      </c>
      <c r="I236" s="66" t="s">
        <v>130</v>
      </c>
      <c r="J236" s="66" t="s">
        <v>55</v>
      </c>
      <c r="K236" s="66" t="s">
        <v>79</v>
      </c>
      <c r="L236" s="66" t="s">
        <v>154</v>
      </c>
      <c r="M236" s="66" t="s">
        <v>345</v>
      </c>
      <c r="N236" s="66" t="s">
        <v>98</v>
      </c>
      <c r="O236" s="66" t="s">
        <v>153</v>
      </c>
      <c r="P236" s="66" t="s">
        <v>181</v>
      </c>
      <c r="Q236" s="66" t="s">
        <v>78</v>
      </c>
      <c r="R236" s="66" t="s">
        <v>123</v>
      </c>
    </row>
    <row r="237" spans="1:18" s="67" customFormat="1">
      <c r="A237" s="66" t="str">
        <f>VLOOKUP(C237,classifications!C:F,4,FALSE)</f>
        <v>SD</v>
      </c>
      <c r="B237" s="66" t="s">
        <v>664</v>
      </c>
      <c r="C237" s="66" t="s">
        <v>122</v>
      </c>
      <c r="D237" s="66" t="s">
        <v>161</v>
      </c>
      <c r="E237" s="66" t="s">
        <v>28</v>
      </c>
      <c r="F237" s="66" t="s">
        <v>155</v>
      </c>
      <c r="G237" s="66" t="s">
        <v>190</v>
      </c>
      <c r="H237" s="66" t="s">
        <v>75</v>
      </c>
      <c r="I237" s="66" t="s">
        <v>179</v>
      </c>
      <c r="J237" s="66" t="s">
        <v>91</v>
      </c>
      <c r="K237" s="66" t="s">
        <v>73</v>
      </c>
      <c r="L237" s="66" t="s">
        <v>131</v>
      </c>
      <c r="M237" s="66" t="s">
        <v>347</v>
      </c>
      <c r="N237" s="66" t="s">
        <v>90</v>
      </c>
      <c r="O237" s="66" t="s">
        <v>128</v>
      </c>
      <c r="P237" s="66" t="s">
        <v>99</v>
      </c>
      <c r="Q237" s="66" t="s">
        <v>59</v>
      </c>
      <c r="R237" s="66" t="s">
        <v>107</v>
      </c>
    </row>
    <row r="238" spans="1:18" s="67" customFormat="1">
      <c r="A238" s="66" t="str">
        <f>VLOOKUP(C238,classifications!C:F,4,FALSE)</f>
        <v>SD</v>
      </c>
      <c r="B238" s="66" t="s">
        <v>665</v>
      </c>
      <c r="C238" s="66" t="s">
        <v>190</v>
      </c>
      <c r="D238" s="66" t="s">
        <v>73</v>
      </c>
      <c r="E238" s="66" t="s">
        <v>28</v>
      </c>
      <c r="F238" s="66" t="s">
        <v>91</v>
      </c>
      <c r="G238" s="66" t="s">
        <v>59</v>
      </c>
      <c r="H238" s="66" t="s">
        <v>30</v>
      </c>
      <c r="I238" s="66" t="s">
        <v>131</v>
      </c>
      <c r="J238" s="66" t="s">
        <v>122</v>
      </c>
      <c r="K238" s="66" t="s">
        <v>86</v>
      </c>
      <c r="L238" s="66" t="s">
        <v>120</v>
      </c>
      <c r="M238" s="66" t="s">
        <v>347</v>
      </c>
      <c r="N238" s="66" t="s">
        <v>34</v>
      </c>
      <c r="O238" s="66" t="s">
        <v>161</v>
      </c>
      <c r="P238" s="66" t="s">
        <v>99</v>
      </c>
      <c r="Q238" s="66" t="s">
        <v>90</v>
      </c>
      <c r="R238" s="66" t="s">
        <v>75</v>
      </c>
    </row>
    <row r="239" spans="1:18" s="67" customFormat="1">
      <c r="A239" s="66" t="str">
        <f>VLOOKUP(C239,classifications!C:F,4,FALSE)</f>
        <v>SD</v>
      </c>
      <c r="B239" s="66" t="s">
        <v>666</v>
      </c>
      <c r="C239" s="66" t="s">
        <v>192</v>
      </c>
      <c r="D239" s="66" t="s">
        <v>156</v>
      </c>
      <c r="E239" s="66" t="s">
        <v>78</v>
      </c>
      <c r="F239" s="66" t="s">
        <v>12</v>
      </c>
      <c r="G239" s="66" t="s">
        <v>109</v>
      </c>
      <c r="H239" s="66" t="s">
        <v>167</v>
      </c>
      <c r="I239" s="66" t="s">
        <v>148</v>
      </c>
      <c r="J239" s="66" t="s">
        <v>98</v>
      </c>
      <c r="K239" s="66" t="s">
        <v>144</v>
      </c>
      <c r="L239" s="66" t="s">
        <v>157</v>
      </c>
      <c r="M239" s="66" t="s">
        <v>101</v>
      </c>
      <c r="N239" s="66" t="s">
        <v>103</v>
      </c>
      <c r="O239" s="66" t="s">
        <v>50</v>
      </c>
      <c r="P239" s="66" t="s">
        <v>163</v>
      </c>
      <c r="Q239" s="66" t="s">
        <v>97</v>
      </c>
      <c r="R239" s="66" t="s">
        <v>153</v>
      </c>
    </row>
    <row r="240" spans="1:18" s="67" customFormat="1">
      <c r="A240" s="66" t="str">
        <f>VLOOKUP(C240,classifications!C:F,4,FALSE)</f>
        <v>SD</v>
      </c>
      <c r="B240" s="66" t="s">
        <v>667</v>
      </c>
      <c r="C240" s="66" t="s">
        <v>195</v>
      </c>
      <c r="D240" s="66" t="s">
        <v>65</v>
      </c>
      <c r="E240" s="66" t="s">
        <v>7</v>
      </c>
      <c r="F240" s="66" t="s">
        <v>107</v>
      </c>
      <c r="G240" s="66" t="s">
        <v>30</v>
      </c>
      <c r="H240" s="66" t="s">
        <v>86</v>
      </c>
      <c r="I240" s="66" t="s">
        <v>183</v>
      </c>
      <c r="J240" s="66" t="s">
        <v>15</v>
      </c>
      <c r="K240" s="66" t="s">
        <v>72</v>
      </c>
      <c r="L240" s="66" t="s">
        <v>346</v>
      </c>
      <c r="M240" s="66" t="s">
        <v>142</v>
      </c>
      <c r="N240" s="66" t="s">
        <v>68</v>
      </c>
      <c r="O240" s="66" t="s">
        <v>28</v>
      </c>
      <c r="P240" s="66" t="s">
        <v>91</v>
      </c>
      <c r="Q240" s="66" t="s">
        <v>163</v>
      </c>
      <c r="R240" s="66" t="s">
        <v>99</v>
      </c>
    </row>
    <row r="241" spans="1:18" s="67" customFormat="1">
      <c r="A241" s="66" t="str">
        <f>VLOOKUP(C241,classifications!C:F,4,FALSE)</f>
        <v>SD</v>
      </c>
      <c r="B241" s="66" t="s">
        <v>668</v>
      </c>
      <c r="C241" s="66" t="s">
        <v>98</v>
      </c>
      <c r="D241" s="66" t="s">
        <v>109</v>
      </c>
      <c r="E241" s="66" t="s">
        <v>192</v>
      </c>
      <c r="F241" s="66" t="s">
        <v>12</v>
      </c>
      <c r="G241" s="66" t="s">
        <v>181</v>
      </c>
      <c r="H241" s="66" t="s">
        <v>78</v>
      </c>
      <c r="I241" s="66" t="s">
        <v>50</v>
      </c>
      <c r="J241" s="66" t="s">
        <v>97</v>
      </c>
      <c r="K241" s="66" t="s">
        <v>70</v>
      </c>
      <c r="L241" s="66" t="s">
        <v>167</v>
      </c>
      <c r="M241" s="66" t="s">
        <v>156</v>
      </c>
      <c r="N241" s="66" t="s">
        <v>23</v>
      </c>
      <c r="O241" s="66" t="s">
        <v>157</v>
      </c>
      <c r="P241" s="66" t="s">
        <v>132</v>
      </c>
      <c r="Q241" s="66" t="s">
        <v>44</v>
      </c>
      <c r="R241" s="66" t="s">
        <v>102</v>
      </c>
    </row>
    <row r="242" spans="1:18" s="67" customFormat="1">
      <c r="A242" s="66" t="str">
        <f>VLOOKUP(C242,classifications!C:F,4,FALSE)</f>
        <v>SD</v>
      </c>
      <c r="B242" s="66" t="s">
        <v>669</v>
      </c>
      <c r="C242" s="66" t="s">
        <v>24</v>
      </c>
      <c r="D242" s="66" t="s">
        <v>128</v>
      </c>
      <c r="E242" s="66" t="s">
        <v>85</v>
      </c>
      <c r="F242" s="66" t="s">
        <v>75</v>
      </c>
      <c r="G242" s="66" t="s">
        <v>96</v>
      </c>
      <c r="H242" s="66" t="s">
        <v>47</v>
      </c>
      <c r="I242" s="66" t="s">
        <v>131</v>
      </c>
      <c r="J242" s="66" t="s">
        <v>111</v>
      </c>
      <c r="K242" s="66" t="s">
        <v>10</v>
      </c>
      <c r="L242" s="66" t="s">
        <v>171</v>
      </c>
      <c r="M242" s="66" t="s">
        <v>91</v>
      </c>
      <c r="N242" s="66" t="s">
        <v>73</v>
      </c>
      <c r="O242" s="66" t="s">
        <v>34</v>
      </c>
      <c r="P242" s="66" t="s">
        <v>33</v>
      </c>
      <c r="Q242" s="66" t="s">
        <v>190</v>
      </c>
      <c r="R242" s="66" t="s">
        <v>169</v>
      </c>
    </row>
    <row r="243" spans="1:18" s="67" customFormat="1">
      <c r="A243" s="66" t="str">
        <f>VLOOKUP(C243,classifications!C:F,4,FALSE)</f>
        <v>SD</v>
      </c>
      <c r="B243" s="66" t="s">
        <v>670</v>
      </c>
      <c r="C243" s="66" t="s">
        <v>47</v>
      </c>
      <c r="D243" s="66" t="s">
        <v>111</v>
      </c>
      <c r="E243" s="66" t="s">
        <v>343</v>
      </c>
      <c r="F243" s="66" t="s">
        <v>33</v>
      </c>
      <c r="G243" s="66" t="s">
        <v>96</v>
      </c>
      <c r="H243" s="66" t="s">
        <v>180</v>
      </c>
      <c r="I243" s="66" t="s">
        <v>85</v>
      </c>
      <c r="J243" s="66" t="s">
        <v>171</v>
      </c>
      <c r="K243" s="66" t="s">
        <v>19</v>
      </c>
      <c r="L243" s="66" t="s">
        <v>350</v>
      </c>
      <c r="M243" s="66" t="s">
        <v>24</v>
      </c>
      <c r="N243" s="66" t="s">
        <v>41</v>
      </c>
      <c r="O243" s="66" t="s">
        <v>56</v>
      </c>
      <c r="P243" s="66" t="s">
        <v>64</v>
      </c>
      <c r="Q243" s="66" t="s">
        <v>10</v>
      </c>
      <c r="R243" s="66" t="s">
        <v>128</v>
      </c>
    </row>
    <row r="244" spans="1:18" s="67" customFormat="1">
      <c r="A244" s="66" t="str">
        <f>VLOOKUP(C244,classifications!C:F,4,FALSE)</f>
        <v>SD</v>
      </c>
      <c r="B244" s="66" t="s">
        <v>671</v>
      </c>
      <c r="C244" s="66" t="s">
        <v>56</v>
      </c>
      <c r="D244" s="66" t="s">
        <v>104</v>
      </c>
      <c r="E244" s="66" t="s">
        <v>87</v>
      </c>
      <c r="F244" s="66" t="s">
        <v>55</v>
      </c>
      <c r="G244" s="66" t="s">
        <v>96</v>
      </c>
      <c r="H244" s="66" t="s">
        <v>350</v>
      </c>
      <c r="I244" s="66" t="s">
        <v>166</v>
      </c>
      <c r="J244" s="66" t="s">
        <v>136</v>
      </c>
      <c r="K244" s="66" t="s">
        <v>64</v>
      </c>
      <c r="L244" s="66" t="s">
        <v>146</v>
      </c>
      <c r="M244" s="66" t="s">
        <v>33</v>
      </c>
      <c r="N244" s="66" t="s">
        <v>193</v>
      </c>
      <c r="O244" s="66" t="s">
        <v>11</v>
      </c>
      <c r="P244" s="66" t="s">
        <v>169</v>
      </c>
      <c r="Q244" s="66" t="s">
        <v>173</v>
      </c>
      <c r="R244" s="66" t="s">
        <v>188</v>
      </c>
    </row>
    <row r="245" spans="1:18" s="67" customFormat="1">
      <c r="A245" s="66" t="str">
        <f>VLOOKUP(C245,classifications!C:F,4,FALSE)</f>
        <v>SD</v>
      </c>
      <c r="B245" s="66" t="s">
        <v>672</v>
      </c>
      <c r="C245" s="66" t="s">
        <v>85</v>
      </c>
      <c r="D245" s="66" t="s">
        <v>169</v>
      </c>
      <c r="E245" s="66" t="s">
        <v>24</v>
      </c>
      <c r="F245" s="66" t="s">
        <v>47</v>
      </c>
      <c r="G245" s="66" t="s">
        <v>171</v>
      </c>
      <c r="H245" s="66" t="s">
        <v>111</v>
      </c>
      <c r="I245" s="66" t="s">
        <v>64</v>
      </c>
      <c r="J245" s="66" t="s">
        <v>180</v>
      </c>
      <c r="K245" s="66" t="s">
        <v>56</v>
      </c>
      <c r="L245" s="66" t="s">
        <v>151</v>
      </c>
      <c r="M245" s="66" t="s">
        <v>193</v>
      </c>
      <c r="N245" s="66" t="s">
        <v>128</v>
      </c>
      <c r="O245" s="66" t="s">
        <v>96</v>
      </c>
      <c r="P245" s="66" t="s">
        <v>188</v>
      </c>
      <c r="Q245" s="66" t="s">
        <v>350</v>
      </c>
      <c r="R245" s="66" t="s">
        <v>21</v>
      </c>
    </row>
    <row r="246" spans="1:18" s="67" customFormat="1">
      <c r="A246" s="66" t="str">
        <f>VLOOKUP(C246,classifications!C:F,4,FALSE)</f>
        <v>SD</v>
      </c>
      <c r="B246" s="66" t="s">
        <v>673</v>
      </c>
      <c r="C246" s="66" t="s">
        <v>111</v>
      </c>
      <c r="D246" s="66" t="s">
        <v>47</v>
      </c>
      <c r="E246" s="66" t="s">
        <v>19</v>
      </c>
      <c r="F246" s="66" t="s">
        <v>96</v>
      </c>
      <c r="G246" s="66" t="s">
        <v>64</v>
      </c>
      <c r="H246" s="66" t="s">
        <v>128</v>
      </c>
      <c r="I246" s="66" t="s">
        <v>163</v>
      </c>
      <c r="J246" s="66" t="s">
        <v>166</v>
      </c>
      <c r="K246" s="66" t="s">
        <v>41</v>
      </c>
      <c r="L246" s="66" t="s">
        <v>33</v>
      </c>
      <c r="M246" s="66" t="s">
        <v>157</v>
      </c>
      <c r="N246" s="66" t="s">
        <v>56</v>
      </c>
      <c r="O246" s="66" t="s">
        <v>10</v>
      </c>
      <c r="P246" s="66" t="s">
        <v>343</v>
      </c>
      <c r="Q246" s="66" t="s">
        <v>85</v>
      </c>
      <c r="R246" s="66" t="s">
        <v>152</v>
      </c>
    </row>
    <row r="247" spans="1:18" s="67" customFormat="1">
      <c r="A247" s="66" t="str">
        <f>VLOOKUP(C247,classifications!C:F,4,FALSE)</f>
        <v>SD</v>
      </c>
      <c r="B247" s="66" t="s">
        <v>674</v>
      </c>
      <c r="C247" s="66" t="s">
        <v>151</v>
      </c>
      <c r="D247" s="66" t="s">
        <v>104</v>
      </c>
      <c r="E247" s="66" t="s">
        <v>56</v>
      </c>
      <c r="F247" s="66" t="s">
        <v>169</v>
      </c>
      <c r="G247" s="66" t="s">
        <v>193</v>
      </c>
      <c r="H247" s="66" t="s">
        <v>82</v>
      </c>
      <c r="I247" s="66" t="s">
        <v>188</v>
      </c>
      <c r="J247" s="66" t="s">
        <v>87</v>
      </c>
      <c r="K247" s="66" t="s">
        <v>85</v>
      </c>
      <c r="L247" s="66" t="s">
        <v>171</v>
      </c>
      <c r="M247" s="66" t="s">
        <v>350</v>
      </c>
      <c r="N247" s="66" t="s">
        <v>38</v>
      </c>
      <c r="O247" s="66" t="s">
        <v>136</v>
      </c>
      <c r="P247" s="66" t="s">
        <v>173</v>
      </c>
      <c r="Q247" s="66" t="s">
        <v>349</v>
      </c>
      <c r="R247" s="66" t="s">
        <v>63</v>
      </c>
    </row>
    <row r="248" spans="1:18" s="67" customFormat="1">
      <c r="A248" s="66" t="str">
        <f>VLOOKUP(C248,classifications!C:F,4,FALSE)</f>
        <v>SD</v>
      </c>
      <c r="B248" s="66" t="s">
        <v>675</v>
      </c>
      <c r="C248" s="66" t="s">
        <v>155</v>
      </c>
      <c r="D248" s="66" t="s">
        <v>80</v>
      </c>
      <c r="E248" s="66" t="s">
        <v>122</v>
      </c>
      <c r="F248" s="66" t="s">
        <v>90</v>
      </c>
      <c r="G248" s="66" t="s">
        <v>131</v>
      </c>
      <c r="H248" s="66" t="s">
        <v>14</v>
      </c>
      <c r="I248" s="66" t="s">
        <v>161</v>
      </c>
      <c r="J248" s="66" t="s">
        <v>180</v>
      </c>
      <c r="K248" s="66" t="s">
        <v>75</v>
      </c>
      <c r="L248" s="66" t="s">
        <v>190</v>
      </c>
      <c r="M248" s="66" t="s">
        <v>73</v>
      </c>
      <c r="N248" s="66" t="s">
        <v>43</v>
      </c>
      <c r="O248" s="66" t="s">
        <v>120</v>
      </c>
      <c r="P248" s="66" t="s">
        <v>28</v>
      </c>
      <c r="Q248" s="66" t="s">
        <v>36</v>
      </c>
      <c r="R248" s="66" t="s">
        <v>179</v>
      </c>
    </row>
    <row r="249" spans="1:18" s="67" customFormat="1">
      <c r="A249" s="66" t="str">
        <f>VLOOKUP(C249,classifications!C:F,4,FALSE)</f>
        <v>SD</v>
      </c>
      <c r="B249" s="66" t="s">
        <v>676</v>
      </c>
      <c r="C249" s="66" t="s">
        <v>169</v>
      </c>
      <c r="D249" s="66" t="s">
        <v>85</v>
      </c>
      <c r="E249" s="66" t="s">
        <v>87</v>
      </c>
      <c r="F249" s="66" t="s">
        <v>56</v>
      </c>
      <c r="G249" s="66" t="s">
        <v>64</v>
      </c>
      <c r="H249" s="66" t="s">
        <v>55</v>
      </c>
      <c r="I249" s="66" t="s">
        <v>104</v>
      </c>
      <c r="J249" s="66" t="s">
        <v>21</v>
      </c>
      <c r="K249" s="66" t="s">
        <v>188</v>
      </c>
      <c r="L249" s="66" t="s">
        <v>151</v>
      </c>
      <c r="M249" s="66" t="s">
        <v>166</v>
      </c>
      <c r="N249" s="66" t="s">
        <v>136</v>
      </c>
      <c r="O249" s="66" t="s">
        <v>82</v>
      </c>
      <c r="P249" s="66" t="s">
        <v>350</v>
      </c>
      <c r="Q249" s="66" t="s">
        <v>173</v>
      </c>
      <c r="R249" s="66" t="s">
        <v>24</v>
      </c>
    </row>
    <row r="250" spans="1:18" s="67" customFormat="1">
      <c r="A250" s="66" t="str">
        <f>VLOOKUP(C250,classifications!C:F,4,FALSE)</f>
        <v>SD</v>
      </c>
      <c r="B250" s="66" t="s">
        <v>677</v>
      </c>
      <c r="C250" s="66" t="s">
        <v>175</v>
      </c>
      <c r="D250" s="66" t="s">
        <v>48</v>
      </c>
      <c r="E250" s="66" t="s">
        <v>131</v>
      </c>
      <c r="F250" s="66" t="s">
        <v>118</v>
      </c>
      <c r="G250" s="66" t="s">
        <v>120</v>
      </c>
      <c r="H250" s="66" t="s">
        <v>66</v>
      </c>
      <c r="I250" s="66" t="s">
        <v>24</v>
      </c>
      <c r="J250" s="66" t="s">
        <v>34</v>
      </c>
      <c r="K250" s="66" t="s">
        <v>190</v>
      </c>
      <c r="L250" s="66" t="s">
        <v>155</v>
      </c>
      <c r="M250" s="66" t="s">
        <v>27</v>
      </c>
      <c r="N250" s="66" t="s">
        <v>73</v>
      </c>
      <c r="O250" s="66" t="s">
        <v>85</v>
      </c>
      <c r="P250" s="66" t="s">
        <v>116</v>
      </c>
      <c r="Q250" s="66" t="s">
        <v>46</v>
      </c>
      <c r="R250" s="66" t="s">
        <v>180</v>
      </c>
    </row>
    <row r="251" spans="1:18" s="67" customFormat="1">
      <c r="A251" s="66" t="str">
        <f>VLOOKUP(C251,classifications!C:F,4,FALSE)</f>
        <v>SD</v>
      </c>
      <c r="B251" s="66" t="s">
        <v>678</v>
      </c>
      <c r="C251" s="66" t="s">
        <v>180</v>
      </c>
      <c r="D251" s="66" t="s">
        <v>47</v>
      </c>
      <c r="E251" s="66" t="s">
        <v>85</v>
      </c>
      <c r="F251" s="66" t="s">
        <v>111</v>
      </c>
      <c r="G251" s="66" t="s">
        <v>24</v>
      </c>
      <c r="H251" s="66" t="s">
        <v>155</v>
      </c>
      <c r="I251" s="66" t="s">
        <v>343</v>
      </c>
      <c r="J251" s="66" t="s">
        <v>128</v>
      </c>
      <c r="K251" s="66" t="s">
        <v>122</v>
      </c>
      <c r="L251" s="66" t="s">
        <v>174</v>
      </c>
      <c r="M251" s="66" t="s">
        <v>131</v>
      </c>
      <c r="N251" s="66" t="s">
        <v>41</v>
      </c>
      <c r="O251" s="66" t="s">
        <v>171</v>
      </c>
      <c r="P251" s="66" t="s">
        <v>33</v>
      </c>
      <c r="Q251" s="66" t="s">
        <v>14</v>
      </c>
      <c r="R251" s="66" t="s">
        <v>96</v>
      </c>
    </row>
    <row r="252" spans="1:18" s="67" customFormat="1">
      <c r="A252" s="66" t="str">
        <f>VLOOKUP(C252,classifications!C:F,4,FALSE)</f>
        <v>SD</v>
      </c>
      <c r="B252" s="66" t="s">
        <v>679</v>
      </c>
      <c r="C252" s="66" t="s">
        <v>10</v>
      </c>
      <c r="D252" s="66" t="s">
        <v>350</v>
      </c>
      <c r="E252" s="66" t="s">
        <v>96</v>
      </c>
      <c r="F252" s="66" t="s">
        <v>128</v>
      </c>
      <c r="G252" s="66" t="s">
        <v>58</v>
      </c>
      <c r="H252" s="66" t="s">
        <v>101</v>
      </c>
      <c r="I252" s="66" t="s">
        <v>152</v>
      </c>
      <c r="J252" s="66" t="s">
        <v>19</v>
      </c>
      <c r="K252" s="66" t="s">
        <v>166</v>
      </c>
      <c r="L252" s="66" t="s">
        <v>142</v>
      </c>
      <c r="M252" s="66" t="s">
        <v>59</v>
      </c>
      <c r="N252" s="66" t="s">
        <v>35</v>
      </c>
      <c r="O252" s="66" t="s">
        <v>88</v>
      </c>
      <c r="P252" s="66" t="s">
        <v>163</v>
      </c>
      <c r="Q252" s="66" t="s">
        <v>94</v>
      </c>
      <c r="R252" s="66" t="s">
        <v>111</v>
      </c>
    </row>
    <row r="253" spans="1:18" s="67" customFormat="1">
      <c r="A253" s="66" t="str">
        <f>VLOOKUP(C253,classifications!C:F,4,FALSE)</f>
        <v>SD</v>
      </c>
      <c r="B253" s="66" t="s">
        <v>680</v>
      </c>
      <c r="C253" s="66" t="s">
        <v>29</v>
      </c>
      <c r="D253" s="66" t="s">
        <v>901</v>
      </c>
      <c r="E253" s="66" t="s">
        <v>92</v>
      </c>
      <c r="F253" s="66" t="s">
        <v>51</v>
      </c>
      <c r="G253" s="66" t="s">
        <v>41</v>
      </c>
      <c r="H253" s="66" t="s">
        <v>32</v>
      </c>
      <c r="I253" s="66" t="s">
        <v>84</v>
      </c>
      <c r="J253" s="66" t="s">
        <v>174</v>
      </c>
      <c r="K253" s="66" t="s">
        <v>134</v>
      </c>
      <c r="L253" s="66" t="s">
        <v>93</v>
      </c>
      <c r="M253" s="66" t="s">
        <v>34</v>
      </c>
      <c r="N253" s="66" t="s">
        <v>153</v>
      </c>
      <c r="O253" s="66" t="s">
        <v>164</v>
      </c>
      <c r="P253" s="66" t="s">
        <v>61</v>
      </c>
      <c r="Q253" s="66" t="s">
        <v>96</v>
      </c>
      <c r="R253" s="66" t="s">
        <v>33</v>
      </c>
    </row>
    <row r="254" spans="1:18" s="67" customFormat="1">
      <c r="A254" s="66" t="str">
        <f>VLOOKUP(C254,classifications!C:F,4,FALSE)</f>
        <v>SD</v>
      </c>
      <c r="B254" s="66" t="s">
        <v>681</v>
      </c>
      <c r="C254" s="66" t="s">
        <v>48</v>
      </c>
      <c r="D254" s="66" t="s">
        <v>131</v>
      </c>
      <c r="E254" s="66" t="s">
        <v>175</v>
      </c>
      <c r="F254" s="66" t="s">
        <v>190</v>
      </c>
      <c r="G254" s="66" t="s">
        <v>73</v>
      </c>
      <c r="H254" s="66" t="s">
        <v>24</v>
      </c>
      <c r="I254" s="66" t="s">
        <v>59</v>
      </c>
      <c r="J254" s="66" t="s">
        <v>120</v>
      </c>
      <c r="K254" s="66" t="s">
        <v>128</v>
      </c>
      <c r="L254" s="66" t="s">
        <v>34</v>
      </c>
      <c r="M254" s="66" t="s">
        <v>155</v>
      </c>
      <c r="N254" s="66" t="s">
        <v>35</v>
      </c>
      <c r="O254" s="66" t="s">
        <v>66</v>
      </c>
      <c r="P254" s="66" t="s">
        <v>46</v>
      </c>
      <c r="Q254" s="66" t="s">
        <v>14</v>
      </c>
      <c r="R254" s="66" t="s">
        <v>91</v>
      </c>
    </row>
    <row r="255" spans="1:18" s="67" customFormat="1">
      <c r="A255" s="66" t="str">
        <f>VLOOKUP(C255,classifications!C:F,4,FALSE)</f>
        <v>SD</v>
      </c>
      <c r="B255" s="66" t="s">
        <v>682</v>
      </c>
      <c r="C255" s="66" t="s">
        <v>51</v>
      </c>
      <c r="D255" s="66" t="s">
        <v>134</v>
      </c>
      <c r="E255" s="66" t="s">
        <v>901</v>
      </c>
      <c r="F255" s="66" t="s">
        <v>160</v>
      </c>
      <c r="G255" s="66" t="s">
        <v>176</v>
      </c>
      <c r="H255" s="66" t="s">
        <v>195</v>
      </c>
      <c r="I255" s="66" t="s">
        <v>29</v>
      </c>
      <c r="J255" s="66" t="s">
        <v>6</v>
      </c>
      <c r="K255" s="66" t="s">
        <v>84</v>
      </c>
      <c r="L255" s="66" t="s">
        <v>108</v>
      </c>
      <c r="M255" s="66" t="s">
        <v>183</v>
      </c>
      <c r="N255" s="66" t="s">
        <v>4</v>
      </c>
      <c r="O255" s="66" t="s">
        <v>15</v>
      </c>
      <c r="P255" s="66" t="s">
        <v>346</v>
      </c>
      <c r="Q255" s="66" t="s">
        <v>68</v>
      </c>
      <c r="R255" s="66" t="s">
        <v>92</v>
      </c>
    </row>
    <row r="256" spans="1:18" s="67" customFormat="1">
      <c r="A256" s="66" t="str">
        <f>VLOOKUP(C256,classifications!C:F,4,FALSE)</f>
        <v>SD</v>
      </c>
      <c r="B256" s="66" t="s">
        <v>683</v>
      </c>
      <c r="C256" s="66" t="s">
        <v>75</v>
      </c>
      <c r="D256" s="66" t="s">
        <v>73</v>
      </c>
      <c r="E256" s="66" t="s">
        <v>24</v>
      </c>
      <c r="F256" s="66" t="s">
        <v>179</v>
      </c>
      <c r="G256" s="66" t="s">
        <v>122</v>
      </c>
      <c r="H256" s="66" t="s">
        <v>91</v>
      </c>
      <c r="I256" s="66" t="s">
        <v>90</v>
      </c>
      <c r="J256" s="66" t="s">
        <v>190</v>
      </c>
      <c r="K256" s="66" t="s">
        <v>128</v>
      </c>
      <c r="L256" s="66" t="s">
        <v>131</v>
      </c>
      <c r="M256" s="66" t="s">
        <v>347</v>
      </c>
      <c r="N256" s="66" t="s">
        <v>119</v>
      </c>
      <c r="O256" s="66" t="s">
        <v>161</v>
      </c>
      <c r="P256" s="66" t="s">
        <v>59</v>
      </c>
      <c r="Q256" s="66" t="s">
        <v>74</v>
      </c>
      <c r="R256" s="66" t="s">
        <v>160</v>
      </c>
    </row>
    <row r="257" spans="1:18" s="67" customFormat="1">
      <c r="A257" s="66" t="str">
        <f>VLOOKUP(C257,classifications!C:F,4,FALSE)</f>
        <v>SD</v>
      </c>
      <c r="B257" s="66" t="s">
        <v>684</v>
      </c>
      <c r="C257" s="66" t="s">
        <v>96</v>
      </c>
      <c r="D257" s="66" t="s">
        <v>33</v>
      </c>
      <c r="E257" s="66" t="s">
        <v>41</v>
      </c>
      <c r="F257" s="66" t="s">
        <v>19</v>
      </c>
      <c r="G257" s="66" t="s">
        <v>88</v>
      </c>
      <c r="H257" s="66" t="s">
        <v>10</v>
      </c>
      <c r="I257" s="66" t="s">
        <v>111</v>
      </c>
      <c r="J257" s="66" t="s">
        <v>32</v>
      </c>
      <c r="K257" s="66" t="s">
        <v>56</v>
      </c>
      <c r="L257" s="66" t="s">
        <v>128</v>
      </c>
      <c r="M257" s="66" t="s">
        <v>343</v>
      </c>
      <c r="N257" s="66" t="s">
        <v>81</v>
      </c>
      <c r="O257" s="66" t="s">
        <v>35</v>
      </c>
      <c r="P257" s="66" t="s">
        <v>166</v>
      </c>
      <c r="Q257" s="66" t="s">
        <v>153</v>
      </c>
      <c r="R257" s="66" t="s">
        <v>47</v>
      </c>
    </row>
    <row r="258" spans="1:18" s="67" customFormat="1">
      <c r="A258" s="66" t="str">
        <f>VLOOKUP(C258,classifications!C:F,4,FALSE)</f>
        <v>SD</v>
      </c>
      <c r="B258" s="66" t="s">
        <v>685</v>
      </c>
      <c r="C258" s="66" t="s">
        <v>136</v>
      </c>
      <c r="D258" s="66" t="s">
        <v>146</v>
      </c>
      <c r="E258" s="66" t="s">
        <v>55</v>
      </c>
      <c r="F258" s="66" t="s">
        <v>188</v>
      </c>
      <c r="G258" s="66" t="s">
        <v>64</v>
      </c>
      <c r="H258" s="66" t="s">
        <v>166</v>
      </c>
      <c r="I258" s="66" t="s">
        <v>185</v>
      </c>
      <c r="J258" s="66" t="s">
        <v>87</v>
      </c>
      <c r="K258" s="66" t="s">
        <v>173</v>
      </c>
      <c r="L258" s="66" t="s">
        <v>56</v>
      </c>
      <c r="M258" s="66" t="s">
        <v>177</v>
      </c>
      <c r="N258" s="66" t="s">
        <v>21</v>
      </c>
      <c r="O258" s="66" t="s">
        <v>104</v>
      </c>
      <c r="P258" s="66" t="s">
        <v>162</v>
      </c>
      <c r="Q258" s="66" t="s">
        <v>156</v>
      </c>
      <c r="R258" s="66" t="s">
        <v>172</v>
      </c>
    </row>
    <row r="259" spans="1:18" s="67" customFormat="1">
      <c r="A259" s="66" t="str">
        <f>VLOOKUP(C259,classifications!C:F,4,FALSE)</f>
        <v>SD</v>
      </c>
      <c r="B259" s="66" t="s">
        <v>686</v>
      </c>
      <c r="C259" s="66" t="s">
        <v>901</v>
      </c>
      <c r="D259" s="66" t="s">
        <v>51</v>
      </c>
      <c r="E259" s="66" t="s">
        <v>29</v>
      </c>
      <c r="F259" s="66" t="s">
        <v>176</v>
      </c>
      <c r="G259" s="66" t="s">
        <v>191</v>
      </c>
      <c r="H259" s="66" t="s">
        <v>4</v>
      </c>
      <c r="I259" s="66" t="s">
        <v>134</v>
      </c>
      <c r="J259" s="66" t="s">
        <v>108</v>
      </c>
      <c r="K259" s="66" t="s">
        <v>168</v>
      </c>
      <c r="L259" s="66" t="s">
        <v>93</v>
      </c>
      <c r="M259" s="66" t="s">
        <v>133</v>
      </c>
      <c r="N259" s="66" t="s">
        <v>195</v>
      </c>
      <c r="O259" s="66" t="s">
        <v>92</v>
      </c>
      <c r="P259" s="66" t="s">
        <v>84</v>
      </c>
      <c r="Q259" s="66" t="s">
        <v>160</v>
      </c>
      <c r="R259" s="66" t="s">
        <v>165</v>
      </c>
    </row>
    <row r="260" spans="1:18" s="67" customFormat="1">
      <c r="A260" s="66" t="str">
        <f>VLOOKUP(C260,classifications!C:F,4,FALSE)</f>
        <v>SD</v>
      </c>
      <c r="B260" s="66" t="s">
        <v>687</v>
      </c>
      <c r="C260" s="66" t="s">
        <v>160</v>
      </c>
      <c r="D260" s="66" t="s">
        <v>51</v>
      </c>
      <c r="E260" s="66" t="s">
        <v>134</v>
      </c>
      <c r="F260" s="66" t="s">
        <v>91</v>
      </c>
      <c r="G260" s="66" t="s">
        <v>347</v>
      </c>
      <c r="H260" s="66" t="s">
        <v>19</v>
      </c>
      <c r="I260" s="66" t="s">
        <v>65</v>
      </c>
      <c r="J260" s="66" t="s">
        <v>59</v>
      </c>
      <c r="K260" s="66" t="s">
        <v>73</v>
      </c>
      <c r="L260" s="66" t="s">
        <v>183</v>
      </c>
      <c r="M260" s="66" t="s">
        <v>901</v>
      </c>
      <c r="N260" s="66" t="s">
        <v>74</v>
      </c>
      <c r="O260" s="66" t="s">
        <v>61</v>
      </c>
      <c r="P260" s="66" t="s">
        <v>84</v>
      </c>
      <c r="Q260" s="66" t="s">
        <v>128</v>
      </c>
      <c r="R260" s="66" t="s">
        <v>195</v>
      </c>
    </row>
    <row r="261" spans="1:18" s="67" customFormat="1">
      <c r="A261" s="66" t="str">
        <f>VLOOKUP(C261,classifications!C:F,4,FALSE)</f>
        <v>SD</v>
      </c>
      <c r="B261" s="66" t="s">
        <v>688</v>
      </c>
      <c r="C261" s="66" t="s">
        <v>168</v>
      </c>
      <c r="D261" s="66" t="s">
        <v>83</v>
      </c>
      <c r="E261" s="66" t="s">
        <v>76</v>
      </c>
      <c r="F261" s="66" t="s">
        <v>901</v>
      </c>
      <c r="G261" s="66" t="s">
        <v>176</v>
      </c>
      <c r="H261" s="66" t="s">
        <v>51</v>
      </c>
      <c r="I261" s="66" t="s">
        <v>133</v>
      </c>
      <c r="J261" s="66" t="s">
        <v>165</v>
      </c>
      <c r="K261" s="66" t="s">
        <v>60</v>
      </c>
      <c r="L261" s="66" t="s">
        <v>191</v>
      </c>
      <c r="M261" s="66" t="s">
        <v>74</v>
      </c>
      <c r="N261" s="66" t="s">
        <v>90</v>
      </c>
      <c r="O261" s="66" t="s">
        <v>13</v>
      </c>
      <c r="P261" s="66" t="s">
        <v>92</v>
      </c>
      <c r="Q261" s="66" t="s">
        <v>160</v>
      </c>
      <c r="R261" s="66" t="s">
        <v>119</v>
      </c>
    </row>
    <row r="262" spans="1:18" s="67" customFormat="1">
      <c r="A262" s="66" t="str">
        <f>VLOOKUP(C262,classifications!C:F,4,FALSE)</f>
        <v>SD</v>
      </c>
      <c r="B262" s="66" t="s">
        <v>689</v>
      </c>
      <c r="C262" s="66" t="s">
        <v>350</v>
      </c>
      <c r="D262" s="66" t="s">
        <v>10</v>
      </c>
      <c r="E262" s="66" t="s">
        <v>166</v>
      </c>
      <c r="F262" s="66" t="s">
        <v>56</v>
      </c>
      <c r="G262" s="66" t="s">
        <v>96</v>
      </c>
      <c r="H262" s="66" t="s">
        <v>173</v>
      </c>
      <c r="I262" s="66" t="s">
        <v>188</v>
      </c>
      <c r="J262" s="66" t="s">
        <v>343</v>
      </c>
      <c r="K262" s="66" t="s">
        <v>172</v>
      </c>
      <c r="L262" s="66" t="s">
        <v>47</v>
      </c>
      <c r="M262" s="66" t="s">
        <v>33</v>
      </c>
      <c r="N262" s="66" t="s">
        <v>87</v>
      </c>
      <c r="O262" s="66" t="s">
        <v>136</v>
      </c>
      <c r="P262" s="66" t="s">
        <v>104</v>
      </c>
      <c r="Q262" s="66" t="s">
        <v>167</v>
      </c>
      <c r="R262" s="66" t="s">
        <v>146</v>
      </c>
    </row>
    <row r="263" spans="1:18" s="67" customFormat="1">
      <c r="A263" s="66" t="str">
        <f>VLOOKUP(C263,classifications!C:F,4,FALSE)</f>
        <v>SD</v>
      </c>
      <c r="B263" s="66" t="s">
        <v>690</v>
      </c>
      <c r="C263" s="66" t="s">
        <v>171</v>
      </c>
      <c r="D263" s="66" t="s">
        <v>56</v>
      </c>
      <c r="E263" s="66" t="s">
        <v>47</v>
      </c>
      <c r="F263" s="66" t="s">
        <v>85</v>
      </c>
      <c r="G263" s="66" t="s">
        <v>104</v>
      </c>
      <c r="H263" s="66" t="s">
        <v>174</v>
      </c>
      <c r="I263" s="66" t="s">
        <v>111</v>
      </c>
      <c r="J263" s="66" t="s">
        <v>10</v>
      </c>
      <c r="K263" s="66" t="s">
        <v>350</v>
      </c>
      <c r="L263" s="66" t="s">
        <v>188</v>
      </c>
      <c r="M263" s="66" t="s">
        <v>24</v>
      </c>
      <c r="N263" s="66" t="s">
        <v>64</v>
      </c>
      <c r="O263" s="66" t="s">
        <v>96</v>
      </c>
      <c r="P263" s="66" t="s">
        <v>81</v>
      </c>
      <c r="Q263" s="66" t="s">
        <v>33</v>
      </c>
      <c r="R263" s="66" t="s">
        <v>87</v>
      </c>
    </row>
    <row r="264" spans="1:18" s="67" customFormat="1">
      <c r="A264" s="66" t="str">
        <f>VLOOKUP(C264,classifications!C:F,4,FALSE)</f>
        <v>SD</v>
      </c>
      <c r="B264" s="66" t="s">
        <v>691</v>
      </c>
      <c r="C264" s="66" t="s">
        <v>26</v>
      </c>
      <c r="D264" s="66" t="s">
        <v>89</v>
      </c>
      <c r="E264" s="66" t="s">
        <v>119</v>
      </c>
      <c r="F264" s="66" t="s">
        <v>99</v>
      </c>
      <c r="G264" s="66" t="s">
        <v>9</v>
      </c>
      <c r="H264" s="66" t="s">
        <v>120</v>
      </c>
      <c r="I264" s="66" t="s">
        <v>28</v>
      </c>
      <c r="J264" s="66" t="s">
        <v>95</v>
      </c>
      <c r="K264" s="66" t="s">
        <v>347</v>
      </c>
      <c r="L264" s="66" t="s">
        <v>13</v>
      </c>
      <c r="M264" s="66" t="s">
        <v>17</v>
      </c>
      <c r="N264" s="66" t="s">
        <v>36</v>
      </c>
      <c r="O264" s="66" t="s">
        <v>190</v>
      </c>
      <c r="P264" s="66" t="s">
        <v>76</v>
      </c>
      <c r="Q264" s="66" t="s">
        <v>30</v>
      </c>
      <c r="R264" s="66" t="s">
        <v>126</v>
      </c>
    </row>
    <row r="265" spans="1:18" s="67" customFormat="1">
      <c r="A265" s="66" t="str">
        <f>VLOOKUP(C265,classifications!C:F,4,FALSE)</f>
        <v>SD</v>
      </c>
      <c r="B265" s="66" t="s">
        <v>692</v>
      </c>
      <c r="C265" s="66" t="s">
        <v>39</v>
      </c>
      <c r="D265" s="66" t="s">
        <v>86</v>
      </c>
      <c r="E265" s="66" t="s">
        <v>147</v>
      </c>
      <c r="F265" s="66" t="s">
        <v>345</v>
      </c>
      <c r="G265" s="66" t="s">
        <v>346</v>
      </c>
      <c r="H265" s="66" t="s">
        <v>7</v>
      </c>
      <c r="I265" s="66" t="s">
        <v>58</v>
      </c>
      <c r="J265" s="66" t="s">
        <v>142</v>
      </c>
      <c r="K265" s="66" t="s">
        <v>72</v>
      </c>
      <c r="L265" s="66" t="s">
        <v>94</v>
      </c>
      <c r="M265" s="66" t="s">
        <v>19</v>
      </c>
      <c r="N265" s="66" t="s">
        <v>91</v>
      </c>
      <c r="O265" s="66" t="s">
        <v>183</v>
      </c>
      <c r="P265" s="66" t="s">
        <v>107</v>
      </c>
      <c r="Q265" s="66" t="s">
        <v>126</v>
      </c>
      <c r="R265" s="66" t="s">
        <v>139</v>
      </c>
    </row>
    <row r="266" spans="1:18" s="67" customFormat="1">
      <c r="A266" s="66" t="str">
        <f>VLOOKUP(C266,classifications!C:F,4,FALSE)</f>
        <v>SD</v>
      </c>
      <c r="B266" s="66" t="s">
        <v>693</v>
      </c>
      <c r="C266" s="66" t="s">
        <v>71</v>
      </c>
      <c r="D266" s="66" t="s">
        <v>194</v>
      </c>
      <c r="E266" s="66" t="s">
        <v>164</v>
      </c>
      <c r="F266" s="66" t="s">
        <v>108</v>
      </c>
      <c r="G266" s="66" t="s">
        <v>140</v>
      </c>
      <c r="H266" s="66" t="s">
        <v>182</v>
      </c>
      <c r="I266" s="66" t="s">
        <v>170</v>
      </c>
      <c r="J266" s="66" t="s">
        <v>93</v>
      </c>
      <c r="K266" s="66" t="s">
        <v>53</v>
      </c>
      <c r="L266" s="66" t="s">
        <v>4</v>
      </c>
      <c r="M266" s="66" t="s">
        <v>181</v>
      </c>
      <c r="N266" s="66" t="s">
        <v>127</v>
      </c>
      <c r="O266" s="66" t="s">
        <v>8</v>
      </c>
      <c r="P266" s="66" t="s">
        <v>45</v>
      </c>
      <c r="Q266" s="66" t="s">
        <v>143</v>
      </c>
      <c r="R266" s="66" t="s">
        <v>158</v>
      </c>
    </row>
    <row r="267" spans="1:18" s="67" customFormat="1">
      <c r="A267" s="66" t="str">
        <f>VLOOKUP(C267,classifications!C:F,4,FALSE)</f>
        <v>SD</v>
      </c>
      <c r="B267" s="66" t="s">
        <v>694</v>
      </c>
      <c r="C267" s="66" t="s">
        <v>89</v>
      </c>
      <c r="D267" s="66" t="s">
        <v>119</v>
      </c>
      <c r="E267" s="66" t="s">
        <v>26</v>
      </c>
      <c r="F267" s="66" t="s">
        <v>99</v>
      </c>
      <c r="G267" s="66" t="s">
        <v>9</v>
      </c>
      <c r="H267" s="66" t="s">
        <v>28</v>
      </c>
      <c r="I267" s="66" t="s">
        <v>126</v>
      </c>
      <c r="J267" s="66" t="s">
        <v>13</v>
      </c>
      <c r="K267" s="66" t="s">
        <v>347</v>
      </c>
      <c r="L267" s="66" t="s">
        <v>190</v>
      </c>
      <c r="M267" s="66" t="s">
        <v>120</v>
      </c>
      <c r="N267" s="66" t="s">
        <v>73</v>
      </c>
      <c r="O267" s="66" t="s">
        <v>30</v>
      </c>
      <c r="P267" s="66" t="s">
        <v>91</v>
      </c>
      <c r="Q267" s="66" t="s">
        <v>36</v>
      </c>
      <c r="R267" s="66" t="s">
        <v>17</v>
      </c>
    </row>
    <row r="268" spans="1:18" s="67" customFormat="1">
      <c r="A268" s="66" t="str">
        <f>VLOOKUP(C268,classifications!C:F,4,FALSE)</f>
        <v>SD</v>
      </c>
      <c r="B268" s="66" t="s">
        <v>695</v>
      </c>
      <c r="C268" s="66" t="s">
        <v>92</v>
      </c>
      <c r="D268" s="66" t="s">
        <v>29</v>
      </c>
      <c r="E268" s="66" t="s">
        <v>30</v>
      </c>
      <c r="F268" s="66" t="s">
        <v>901</v>
      </c>
      <c r="G268" s="66" t="s">
        <v>51</v>
      </c>
      <c r="H268" s="66" t="s">
        <v>108</v>
      </c>
      <c r="I268" s="66" t="s">
        <v>194</v>
      </c>
      <c r="J268" s="66" t="s">
        <v>13</v>
      </c>
      <c r="K268" s="66" t="s">
        <v>190</v>
      </c>
      <c r="L268" s="66" t="s">
        <v>191</v>
      </c>
      <c r="M268" s="66" t="s">
        <v>133</v>
      </c>
      <c r="N268" s="66" t="s">
        <v>59</v>
      </c>
      <c r="O268" s="66" t="s">
        <v>34</v>
      </c>
      <c r="P268" s="66" t="s">
        <v>134</v>
      </c>
      <c r="Q268" s="66" t="s">
        <v>86</v>
      </c>
      <c r="R268" s="66" t="s">
        <v>4</v>
      </c>
    </row>
    <row r="269" spans="1:18" s="67" customFormat="1">
      <c r="A269" s="66" t="str">
        <f>VLOOKUP(C269,classifications!C:F,4,FALSE)</f>
        <v>SD</v>
      </c>
      <c r="B269" s="66" t="s">
        <v>696</v>
      </c>
      <c r="C269" s="66" t="s">
        <v>119</v>
      </c>
      <c r="D269" s="66" t="s">
        <v>89</v>
      </c>
      <c r="E269" s="66" t="s">
        <v>99</v>
      </c>
      <c r="F269" s="66" t="s">
        <v>91</v>
      </c>
      <c r="G269" s="66" t="s">
        <v>73</v>
      </c>
      <c r="H269" s="66" t="s">
        <v>347</v>
      </c>
      <c r="I269" s="66" t="s">
        <v>190</v>
      </c>
      <c r="J269" s="66" t="s">
        <v>126</v>
      </c>
      <c r="K269" s="66" t="s">
        <v>28</v>
      </c>
      <c r="L269" s="66" t="s">
        <v>9</v>
      </c>
      <c r="M269" s="66" t="s">
        <v>65</v>
      </c>
      <c r="N269" s="66" t="s">
        <v>26</v>
      </c>
      <c r="O269" s="66" t="s">
        <v>59</v>
      </c>
      <c r="P269" s="66" t="s">
        <v>13</v>
      </c>
      <c r="Q269" s="66" t="s">
        <v>30</v>
      </c>
      <c r="R269" s="66" t="s">
        <v>75</v>
      </c>
    </row>
    <row r="270" spans="1:18" s="67" customFormat="1">
      <c r="A270" s="66" t="str">
        <f>VLOOKUP(C270,classifications!C:F,4,FALSE)</f>
        <v>SD</v>
      </c>
      <c r="B270" s="66" t="s">
        <v>697</v>
      </c>
      <c r="C270" s="66" t="s">
        <v>120</v>
      </c>
      <c r="D270" s="66" t="s">
        <v>95</v>
      </c>
      <c r="E270" s="66" t="s">
        <v>90</v>
      </c>
      <c r="F270" s="66" t="s">
        <v>190</v>
      </c>
      <c r="G270" s="66" t="s">
        <v>73</v>
      </c>
      <c r="H270" s="66" t="s">
        <v>116</v>
      </c>
      <c r="I270" s="66" t="s">
        <v>28</v>
      </c>
      <c r="J270" s="66" t="s">
        <v>99</v>
      </c>
      <c r="K270" s="66" t="s">
        <v>89</v>
      </c>
      <c r="L270" s="66" t="s">
        <v>119</v>
      </c>
      <c r="M270" s="66" t="s">
        <v>131</v>
      </c>
      <c r="N270" s="66" t="s">
        <v>36</v>
      </c>
      <c r="O270" s="66" t="s">
        <v>347</v>
      </c>
      <c r="P270" s="66" t="s">
        <v>26</v>
      </c>
      <c r="Q270" s="66" t="s">
        <v>122</v>
      </c>
      <c r="R270" s="66" t="s">
        <v>30</v>
      </c>
    </row>
    <row r="271" spans="1:18" s="67" customFormat="1">
      <c r="A271" s="66" t="str">
        <f>VLOOKUP(C271,classifications!C:F,4,FALSE)</f>
        <v>SD</v>
      </c>
      <c r="B271" s="66" t="s">
        <v>698</v>
      </c>
      <c r="C271" s="66" t="s">
        <v>123</v>
      </c>
      <c r="D271" s="66" t="s">
        <v>79</v>
      </c>
      <c r="E271" s="66" t="s">
        <v>97</v>
      </c>
      <c r="F271" s="66" t="s">
        <v>50</v>
      </c>
      <c r="G271" s="66" t="s">
        <v>124</v>
      </c>
      <c r="H271" s="66" t="s">
        <v>100</v>
      </c>
      <c r="I271" s="66" t="s">
        <v>109</v>
      </c>
      <c r="J271" s="66" t="s">
        <v>78</v>
      </c>
      <c r="K271" s="66" t="s">
        <v>62</v>
      </c>
      <c r="L271" s="66" t="s">
        <v>45</v>
      </c>
      <c r="M271" s="66" t="s">
        <v>23</v>
      </c>
      <c r="N271" s="66" t="s">
        <v>12</v>
      </c>
      <c r="O271" s="66" t="s">
        <v>132</v>
      </c>
      <c r="P271" s="66" t="s">
        <v>181</v>
      </c>
      <c r="Q271" s="66" t="s">
        <v>130</v>
      </c>
      <c r="R271" s="66" t="s">
        <v>167</v>
      </c>
    </row>
    <row r="272" spans="1:18" s="67" customFormat="1">
      <c r="A272" s="66" t="str">
        <f>VLOOKUP(C272,classifications!C:F,4,FALSE)</f>
        <v>SD</v>
      </c>
      <c r="B272" s="66" t="s">
        <v>699</v>
      </c>
      <c r="C272" s="66" t="s">
        <v>126</v>
      </c>
      <c r="D272" s="66" t="s">
        <v>86</v>
      </c>
      <c r="E272" s="66" t="s">
        <v>39</v>
      </c>
      <c r="F272" s="66" t="s">
        <v>91</v>
      </c>
      <c r="G272" s="66" t="s">
        <v>28</v>
      </c>
      <c r="H272" s="66" t="s">
        <v>65</v>
      </c>
      <c r="I272" s="66" t="s">
        <v>346</v>
      </c>
      <c r="J272" s="66" t="s">
        <v>15</v>
      </c>
      <c r="K272" s="66" t="s">
        <v>183</v>
      </c>
      <c r="L272" s="66" t="s">
        <v>99</v>
      </c>
      <c r="M272" s="66" t="s">
        <v>9</v>
      </c>
      <c r="N272" s="66" t="s">
        <v>30</v>
      </c>
      <c r="O272" s="66" t="s">
        <v>7</v>
      </c>
      <c r="P272" s="66" t="s">
        <v>58</v>
      </c>
      <c r="Q272" s="66" t="s">
        <v>347</v>
      </c>
      <c r="R272" s="66" t="s">
        <v>195</v>
      </c>
    </row>
    <row r="273" spans="1:18" s="67" customFormat="1">
      <c r="A273" s="66" t="str">
        <f>VLOOKUP(C273,classifications!C:F,4,FALSE)</f>
        <v>SD</v>
      </c>
      <c r="B273" s="66" t="s">
        <v>700</v>
      </c>
      <c r="C273" s="66" t="s">
        <v>147</v>
      </c>
      <c r="D273" s="66" t="s">
        <v>345</v>
      </c>
      <c r="E273" s="66" t="s">
        <v>39</v>
      </c>
      <c r="F273" s="66" t="s">
        <v>94</v>
      </c>
      <c r="G273" s="66" t="s">
        <v>72</v>
      </c>
      <c r="H273" s="66" t="s">
        <v>142</v>
      </c>
      <c r="I273" s="66" t="s">
        <v>7</v>
      </c>
      <c r="J273" s="66" t="s">
        <v>153</v>
      </c>
      <c r="K273" s="66" t="s">
        <v>16</v>
      </c>
      <c r="L273" s="66" t="s">
        <v>58</v>
      </c>
      <c r="M273" s="66" t="s">
        <v>86</v>
      </c>
      <c r="N273" s="66" t="s">
        <v>154</v>
      </c>
      <c r="O273" s="66" t="s">
        <v>346</v>
      </c>
      <c r="P273" s="66" t="s">
        <v>112</v>
      </c>
      <c r="Q273" s="66" t="s">
        <v>65</v>
      </c>
      <c r="R273" s="66" t="s">
        <v>91</v>
      </c>
    </row>
    <row r="274" spans="1:18" s="67" customFormat="1">
      <c r="A274" s="66" t="str">
        <f>VLOOKUP(C274,classifications!C:F,4,FALSE)</f>
        <v>SD</v>
      </c>
      <c r="B274" s="66" t="s">
        <v>701</v>
      </c>
      <c r="C274" s="66" t="s">
        <v>183</v>
      </c>
      <c r="D274" s="66" t="s">
        <v>346</v>
      </c>
      <c r="E274" s="66" t="s">
        <v>7</v>
      </c>
      <c r="F274" s="66" t="s">
        <v>184</v>
      </c>
      <c r="G274" s="66" t="s">
        <v>15</v>
      </c>
      <c r="H274" s="66" t="s">
        <v>94</v>
      </c>
      <c r="I274" s="66" t="s">
        <v>115</v>
      </c>
      <c r="J274" s="66" t="s">
        <v>86</v>
      </c>
      <c r="K274" s="66" t="s">
        <v>345</v>
      </c>
      <c r="L274" s="66" t="s">
        <v>195</v>
      </c>
      <c r="M274" s="66" t="s">
        <v>142</v>
      </c>
      <c r="N274" s="66" t="s">
        <v>39</v>
      </c>
      <c r="O274" s="66" t="s">
        <v>149</v>
      </c>
      <c r="P274" s="66" t="s">
        <v>153</v>
      </c>
      <c r="Q274" s="66" t="s">
        <v>152</v>
      </c>
      <c r="R274" s="66" t="s">
        <v>19</v>
      </c>
    </row>
    <row r="275" spans="1:18" s="67" customFormat="1">
      <c r="A275" s="66" t="str">
        <f>VLOOKUP(C275,classifications!C:F,4,FALSE)</f>
        <v>SD</v>
      </c>
      <c r="B275" s="66" t="s">
        <v>702</v>
      </c>
      <c r="C275" s="66" t="s">
        <v>194</v>
      </c>
      <c r="D275" s="66" t="s">
        <v>71</v>
      </c>
      <c r="E275" s="66" t="s">
        <v>108</v>
      </c>
      <c r="F275" s="66" t="s">
        <v>170</v>
      </c>
      <c r="G275" s="66" t="s">
        <v>164</v>
      </c>
      <c r="H275" s="66" t="s">
        <v>133</v>
      </c>
      <c r="I275" s="66" t="s">
        <v>176</v>
      </c>
      <c r="J275" s="66" t="s">
        <v>165</v>
      </c>
      <c r="K275" s="66" t="s">
        <v>92</v>
      </c>
      <c r="L275" s="66" t="s">
        <v>6</v>
      </c>
      <c r="M275" s="66" t="s">
        <v>113</v>
      </c>
      <c r="N275" s="66" t="s">
        <v>8</v>
      </c>
      <c r="O275" s="66" t="s">
        <v>4</v>
      </c>
      <c r="P275" s="66" t="s">
        <v>901</v>
      </c>
      <c r="Q275" s="66" t="s">
        <v>134</v>
      </c>
      <c r="R275" s="66" t="s">
        <v>51</v>
      </c>
    </row>
    <row r="276" spans="1:18" s="67" customFormat="1">
      <c r="A276" s="66" t="str">
        <f>VLOOKUP(C276,classifications!C:F,4,FALSE)</f>
        <v>SD</v>
      </c>
      <c r="B276" s="66" t="s">
        <v>703</v>
      </c>
      <c r="C276" s="66" t="s">
        <v>16</v>
      </c>
      <c r="D276" s="66" t="s">
        <v>147</v>
      </c>
      <c r="E276" s="66" t="s">
        <v>345</v>
      </c>
      <c r="F276" s="66" t="s">
        <v>130</v>
      </c>
      <c r="G276" s="66" t="s">
        <v>58</v>
      </c>
      <c r="H276" s="66" t="s">
        <v>94</v>
      </c>
      <c r="I276" s="66" t="s">
        <v>112</v>
      </c>
      <c r="J276" s="66" t="s">
        <v>167</v>
      </c>
      <c r="K276" s="66" t="s">
        <v>153</v>
      </c>
      <c r="L276" s="66" t="s">
        <v>22</v>
      </c>
      <c r="M276" s="66" t="s">
        <v>128</v>
      </c>
      <c r="N276" s="66" t="s">
        <v>102</v>
      </c>
      <c r="O276" s="66" t="s">
        <v>79</v>
      </c>
      <c r="P276" s="66" t="s">
        <v>100</v>
      </c>
      <c r="Q276" s="66" t="s">
        <v>139</v>
      </c>
      <c r="R276" s="66" t="s">
        <v>348</v>
      </c>
    </row>
    <row r="277" spans="1:18" s="67" customFormat="1">
      <c r="A277" s="66" t="str">
        <f>VLOOKUP(C277,classifications!C:F,4,FALSE)</f>
        <v>SD</v>
      </c>
      <c r="B277" s="66" t="s">
        <v>704</v>
      </c>
      <c r="C277" s="66" t="s">
        <v>32</v>
      </c>
      <c r="D277" s="66" t="s">
        <v>41</v>
      </c>
      <c r="E277" s="66" t="s">
        <v>153</v>
      </c>
      <c r="F277" s="66" t="s">
        <v>88</v>
      </c>
      <c r="G277" s="66" t="s">
        <v>96</v>
      </c>
      <c r="H277" s="66" t="s">
        <v>142</v>
      </c>
      <c r="I277" s="66" t="s">
        <v>19</v>
      </c>
      <c r="J277" s="66" t="s">
        <v>33</v>
      </c>
      <c r="K277" s="66" t="s">
        <v>147</v>
      </c>
      <c r="L277" s="66" t="s">
        <v>39</v>
      </c>
      <c r="M277" s="66" t="s">
        <v>72</v>
      </c>
      <c r="N277" s="66" t="s">
        <v>345</v>
      </c>
      <c r="O277" s="66" t="s">
        <v>174</v>
      </c>
      <c r="P277" s="66" t="s">
        <v>7</v>
      </c>
      <c r="Q277" s="66" t="s">
        <v>152</v>
      </c>
      <c r="R277" s="66" t="s">
        <v>94</v>
      </c>
    </row>
    <row r="278" spans="1:18" s="67" customFormat="1">
      <c r="A278" s="66" t="str">
        <f>VLOOKUP(C278,classifications!C:F,4,FALSE)</f>
        <v>SD</v>
      </c>
      <c r="B278" s="66" t="s">
        <v>705</v>
      </c>
      <c r="C278" s="66" t="s">
        <v>79</v>
      </c>
      <c r="D278" s="66" t="s">
        <v>167</v>
      </c>
      <c r="E278" s="66" t="s">
        <v>123</v>
      </c>
      <c r="F278" s="66" t="s">
        <v>130</v>
      </c>
      <c r="G278" s="66" t="s">
        <v>145</v>
      </c>
      <c r="H278" s="66" t="s">
        <v>185</v>
      </c>
      <c r="I278" s="66" t="s">
        <v>97</v>
      </c>
      <c r="J278" s="66" t="s">
        <v>166</v>
      </c>
      <c r="K278" s="66" t="s">
        <v>100</v>
      </c>
      <c r="L278" s="66" t="s">
        <v>172</v>
      </c>
      <c r="M278" s="66" t="s">
        <v>55</v>
      </c>
      <c r="N278" s="66" t="s">
        <v>124</v>
      </c>
      <c r="O278" s="66" t="s">
        <v>23</v>
      </c>
      <c r="P278" s="66" t="s">
        <v>78</v>
      </c>
      <c r="Q278" s="66" t="s">
        <v>49</v>
      </c>
      <c r="R278" s="66" t="s">
        <v>103</v>
      </c>
    </row>
    <row r="279" spans="1:18" s="67" customFormat="1">
      <c r="A279" s="66" t="str">
        <f>VLOOKUP(C279,classifications!C:F,4,FALSE)</f>
        <v>SD</v>
      </c>
      <c r="B279" s="66" t="s">
        <v>706</v>
      </c>
      <c r="C279" s="66" t="s">
        <v>345</v>
      </c>
      <c r="D279" s="66" t="s">
        <v>147</v>
      </c>
      <c r="E279" s="66" t="s">
        <v>154</v>
      </c>
      <c r="F279" s="66" t="s">
        <v>94</v>
      </c>
      <c r="G279" s="66" t="s">
        <v>112</v>
      </c>
      <c r="H279" s="66" t="s">
        <v>58</v>
      </c>
      <c r="I279" s="66" t="s">
        <v>39</v>
      </c>
      <c r="J279" s="66" t="s">
        <v>153</v>
      </c>
      <c r="K279" s="66" t="s">
        <v>7</v>
      </c>
      <c r="L279" s="66" t="s">
        <v>346</v>
      </c>
      <c r="M279" s="66" t="s">
        <v>157</v>
      </c>
      <c r="N279" s="66" t="s">
        <v>149</v>
      </c>
      <c r="O279" s="66" t="s">
        <v>139</v>
      </c>
      <c r="P279" s="66" t="s">
        <v>142</v>
      </c>
      <c r="Q279" s="66" t="s">
        <v>16</v>
      </c>
      <c r="R279" s="66" t="s">
        <v>100</v>
      </c>
    </row>
    <row r="280" spans="1:18" s="67" customFormat="1">
      <c r="A280" s="66" t="str">
        <f>VLOOKUP(C280,classifications!C:F,4,FALSE)</f>
        <v>SD</v>
      </c>
      <c r="B280" s="66" t="s">
        <v>707</v>
      </c>
      <c r="C280" s="66" t="s">
        <v>100</v>
      </c>
      <c r="D280" s="66" t="s">
        <v>97</v>
      </c>
      <c r="E280" s="66" t="s">
        <v>124</v>
      </c>
      <c r="F280" s="66" t="s">
        <v>12</v>
      </c>
      <c r="G280" s="66" t="s">
        <v>167</v>
      </c>
      <c r="H280" s="66" t="s">
        <v>102</v>
      </c>
      <c r="I280" s="66" t="s">
        <v>109</v>
      </c>
      <c r="J280" s="66" t="s">
        <v>58</v>
      </c>
      <c r="K280" s="66" t="s">
        <v>70</v>
      </c>
      <c r="L280" s="66" t="s">
        <v>345</v>
      </c>
      <c r="M280" s="66" t="s">
        <v>103</v>
      </c>
      <c r="N280" s="66" t="s">
        <v>157</v>
      </c>
      <c r="O280" s="66" t="s">
        <v>79</v>
      </c>
      <c r="P280" s="66" t="s">
        <v>184</v>
      </c>
      <c r="Q280" s="66" t="s">
        <v>112</v>
      </c>
      <c r="R280" s="66" t="s">
        <v>94</v>
      </c>
    </row>
    <row r="281" spans="1:18" s="67" customFormat="1">
      <c r="A281" s="66" t="str">
        <f>VLOOKUP(C281,classifications!C:F,4,FALSE)</f>
        <v>SD</v>
      </c>
      <c r="B281" s="66" t="s">
        <v>708</v>
      </c>
      <c r="C281" s="66" t="s">
        <v>115</v>
      </c>
      <c r="D281" s="66" t="s">
        <v>135</v>
      </c>
      <c r="E281" s="66" t="s">
        <v>114</v>
      </c>
      <c r="F281" s="66" t="s">
        <v>346</v>
      </c>
      <c r="G281" s="66" t="s">
        <v>15</v>
      </c>
      <c r="H281" s="66" t="s">
        <v>152</v>
      </c>
      <c r="I281" s="66" t="s">
        <v>183</v>
      </c>
      <c r="J281" s="66" t="s">
        <v>49</v>
      </c>
      <c r="K281" s="66" t="s">
        <v>58</v>
      </c>
      <c r="L281" s="66" t="s">
        <v>345</v>
      </c>
      <c r="M281" s="66" t="s">
        <v>59</v>
      </c>
      <c r="N281" s="66" t="s">
        <v>7</v>
      </c>
      <c r="O281" s="66" t="s">
        <v>139</v>
      </c>
      <c r="P281" s="66" t="s">
        <v>39</v>
      </c>
      <c r="Q281" s="66" t="s">
        <v>94</v>
      </c>
      <c r="R281" s="66" t="s">
        <v>100</v>
      </c>
    </row>
    <row r="282" spans="1:18" s="67" customFormat="1">
      <c r="A282" s="66" t="str">
        <f>VLOOKUP(C282,classifications!C:F,4,FALSE)</f>
        <v>SD</v>
      </c>
      <c r="B282" s="66" t="s">
        <v>709</v>
      </c>
      <c r="C282" s="66" t="s">
        <v>348</v>
      </c>
      <c r="D282" s="66" t="s">
        <v>31</v>
      </c>
      <c r="E282" s="66" t="s">
        <v>72</v>
      </c>
      <c r="F282" s="66" t="s">
        <v>16</v>
      </c>
      <c r="G282" s="66" t="s">
        <v>25</v>
      </c>
      <c r="H282" s="66" t="s">
        <v>147</v>
      </c>
      <c r="I282" s="66" t="s">
        <v>345</v>
      </c>
      <c r="J282" s="66" t="s">
        <v>128</v>
      </c>
      <c r="K282" s="66" t="s">
        <v>94</v>
      </c>
      <c r="L282" s="66" t="s">
        <v>125</v>
      </c>
      <c r="M282" s="66" t="s">
        <v>58</v>
      </c>
      <c r="N282" s="66" t="s">
        <v>154</v>
      </c>
      <c r="O282" s="66" t="s">
        <v>91</v>
      </c>
      <c r="P282" s="66" t="s">
        <v>102</v>
      </c>
      <c r="Q282" s="66" t="s">
        <v>130</v>
      </c>
      <c r="R282" s="66" t="s">
        <v>112</v>
      </c>
    </row>
    <row r="283" spans="1:18" s="67" customFormat="1">
      <c r="A283" s="66" t="str">
        <f>VLOOKUP(C283,classifications!C:F,4,FALSE)</f>
        <v>SD</v>
      </c>
      <c r="B283" s="66" t="s">
        <v>710</v>
      </c>
      <c r="C283" s="66" t="s">
        <v>18</v>
      </c>
      <c r="D283" s="66" t="s">
        <v>69</v>
      </c>
      <c r="E283" s="66" t="s">
        <v>68</v>
      </c>
      <c r="F283" s="66" t="s">
        <v>141</v>
      </c>
      <c r="G283" s="66" t="s">
        <v>179</v>
      </c>
      <c r="H283" s="66" t="s">
        <v>99</v>
      </c>
      <c r="I283" s="66" t="s">
        <v>15</v>
      </c>
      <c r="J283" s="66" t="s">
        <v>20</v>
      </c>
      <c r="K283" s="66" t="s">
        <v>30</v>
      </c>
      <c r="L283" s="66" t="s">
        <v>59</v>
      </c>
      <c r="M283" s="66" t="s">
        <v>17</v>
      </c>
      <c r="N283" s="66" t="s">
        <v>195</v>
      </c>
      <c r="O283" s="66" t="s">
        <v>91</v>
      </c>
      <c r="P283" s="66" t="s">
        <v>152</v>
      </c>
      <c r="Q283" s="66" t="s">
        <v>36</v>
      </c>
      <c r="R283" s="66" t="s">
        <v>42</v>
      </c>
    </row>
    <row r="284" spans="1:18" s="67" customFormat="1">
      <c r="A284" s="66" t="str">
        <f>VLOOKUP(C284,classifications!C:F,4,FALSE)</f>
        <v>SD</v>
      </c>
      <c r="B284" s="66" t="s">
        <v>711</v>
      </c>
      <c r="C284" s="66" t="s">
        <v>57</v>
      </c>
      <c r="D284" s="66" t="s">
        <v>377</v>
      </c>
      <c r="E284" s="66" t="s">
        <v>7</v>
      </c>
      <c r="F284" s="66" t="s">
        <v>68</v>
      </c>
      <c r="G284" s="66" t="s">
        <v>165</v>
      </c>
      <c r="H284" s="66" t="s">
        <v>30</v>
      </c>
      <c r="I284" s="66" t="s">
        <v>20</v>
      </c>
      <c r="J284" s="66" t="s">
        <v>141</v>
      </c>
      <c r="K284" s="66" t="s">
        <v>15</v>
      </c>
      <c r="L284" s="66" t="s">
        <v>176</v>
      </c>
      <c r="M284" s="66" t="s">
        <v>6</v>
      </c>
      <c r="N284" s="66" t="s">
        <v>194</v>
      </c>
      <c r="O284" s="66" t="s">
        <v>195</v>
      </c>
      <c r="P284" s="66" t="s">
        <v>346</v>
      </c>
      <c r="Q284" s="66" t="s">
        <v>133</v>
      </c>
      <c r="R284" s="66" t="s">
        <v>184</v>
      </c>
    </row>
    <row r="285" spans="1:18" s="67" customFormat="1">
      <c r="A285" s="66" t="str">
        <f>VLOOKUP(C285,classifications!C:F,4,FALSE)</f>
        <v>SD</v>
      </c>
      <c r="B285" s="66" t="s">
        <v>712</v>
      </c>
      <c r="C285" s="66" t="s">
        <v>95</v>
      </c>
      <c r="D285" s="66" t="s">
        <v>120</v>
      </c>
      <c r="E285" s="66" t="s">
        <v>90</v>
      </c>
      <c r="F285" s="66" t="s">
        <v>36</v>
      </c>
      <c r="G285" s="66" t="s">
        <v>190</v>
      </c>
      <c r="H285" s="66" t="s">
        <v>117</v>
      </c>
      <c r="I285" s="66" t="s">
        <v>28</v>
      </c>
      <c r="J285" s="66" t="s">
        <v>99</v>
      </c>
      <c r="K285" s="66" t="s">
        <v>66</v>
      </c>
      <c r="L285" s="66" t="s">
        <v>83</v>
      </c>
      <c r="M285" s="66" t="s">
        <v>73</v>
      </c>
      <c r="N285" s="66" t="s">
        <v>89</v>
      </c>
      <c r="O285" s="66" t="s">
        <v>26</v>
      </c>
      <c r="P285" s="66" t="s">
        <v>30</v>
      </c>
      <c r="Q285" s="66" t="s">
        <v>76</v>
      </c>
      <c r="R285" s="66" t="s">
        <v>119</v>
      </c>
    </row>
    <row r="286" spans="1:18" s="67" customFormat="1">
      <c r="A286" s="66" t="str">
        <f>VLOOKUP(C286,classifications!C:F,4,FALSE)</f>
        <v>SD</v>
      </c>
      <c r="B286" s="66" t="s">
        <v>713</v>
      </c>
      <c r="C286" s="66" t="s">
        <v>112</v>
      </c>
      <c r="D286" s="66" t="s">
        <v>345</v>
      </c>
      <c r="E286" s="66" t="s">
        <v>184</v>
      </c>
      <c r="F286" s="66" t="s">
        <v>22</v>
      </c>
      <c r="G286" s="66" t="s">
        <v>154</v>
      </c>
      <c r="H286" s="66" t="s">
        <v>144</v>
      </c>
      <c r="I286" s="66" t="s">
        <v>12</v>
      </c>
      <c r="J286" s="66" t="s">
        <v>346</v>
      </c>
      <c r="K286" s="66" t="s">
        <v>149</v>
      </c>
      <c r="L286" s="66" t="s">
        <v>20</v>
      </c>
      <c r="M286" s="66" t="s">
        <v>70</v>
      </c>
      <c r="N286" s="66" t="s">
        <v>147</v>
      </c>
      <c r="O286" s="66" t="s">
        <v>157</v>
      </c>
      <c r="P286" s="66" t="s">
        <v>7</v>
      </c>
      <c r="Q286" s="66" t="s">
        <v>100</v>
      </c>
      <c r="R286" s="66" t="s">
        <v>139</v>
      </c>
    </row>
    <row r="287" spans="1:18" s="67" customFormat="1">
      <c r="A287" s="66" t="str">
        <f>VLOOKUP(C287,classifications!C:F,4,FALSE)</f>
        <v>SD</v>
      </c>
      <c r="B287" s="66" t="s">
        <v>714</v>
      </c>
      <c r="C287" s="66" t="s">
        <v>141</v>
      </c>
      <c r="D287" s="66" t="s">
        <v>20</v>
      </c>
      <c r="E287" s="66" t="s">
        <v>377</v>
      </c>
      <c r="F287" s="66" t="s">
        <v>68</v>
      </c>
      <c r="G287" s="66" t="s">
        <v>184</v>
      </c>
      <c r="H287" s="66" t="s">
        <v>346</v>
      </c>
      <c r="I287" s="66" t="s">
        <v>70</v>
      </c>
      <c r="J287" s="66" t="s">
        <v>15</v>
      </c>
      <c r="K287" s="66" t="s">
        <v>112</v>
      </c>
      <c r="L287" s="66" t="s">
        <v>7</v>
      </c>
      <c r="M287" s="66" t="s">
        <v>152</v>
      </c>
      <c r="N287" s="66" t="s">
        <v>183</v>
      </c>
      <c r="O287" s="66" t="s">
        <v>18</v>
      </c>
      <c r="P287" s="66" t="s">
        <v>12</v>
      </c>
      <c r="Q287" s="66" t="s">
        <v>115</v>
      </c>
      <c r="R287" s="66" t="s">
        <v>154</v>
      </c>
    </row>
    <row r="288" spans="1:18" s="67" customFormat="1">
      <c r="A288" s="66" t="str">
        <f>VLOOKUP(C288,classifications!C:F,4,FALSE)</f>
        <v>SD</v>
      </c>
      <c r="B288" s="66" t="s">
        <v>715</v>
      </c>
      <c r="C288" s="66" t="s">
        <v>142</v>
      </c>
      <c r="D288" s="66" t="s">
        <v>7</v>
      </c>
      <c r="E288" s="66" t="s">
        <v>346</v>
      </c>
      <c r="F288" s="66" t="s">
        <v>101</v>
      </c>
      <c r="G288" s="66" t="s">
        <v>153</v>
      </c>
      <c r="H288" s="66" t="s">
        <v>152</v>
      </c>
      <c r="I288" s="66" t="s">
        <v>147</v>
      </c>
      <c r="J288" s="66" t="s">
        <v>19</v>
      </c>
      <c r="K288" s="66" t="s">
        <v>345</v>
      </c>
      <c r="L288" s="66" t="s">
        <v>39</v>
      </c>
      <c r="M288" s="66" t="s">
        <v>94</v>
      </c>
      <c r="N288" s="66" t="s">
        <v>163</v>
      </c>
      <c r="O288" s="66" t="s">
        <v>86</v>
      </c>
      <c r="P288" s="66" t="s">
        <v>183</v>
      </c>
      <c r="Q288" s="66" t="s">
        <v>59</v>
      </c>
      <c r="R288" s="66" t="s">
        <v>58</v>
      </c>
    </row>
    <row r="289" spans="1:18" s="67" customFormat="1">
      <c r="A289" s="66" t="str">
        <f>VLOOKUP(C289,classifications!C:F,4,FALSE)</f>
        <v>SD</v>
      </c>
      <c r="B289" s="66" t="s">
        <v>716</v>
      </c>
      <c r="C289" s="66" t="s">
        <v>184</v>
      </c>
      <c r="D289" s="66" t="s">
        <v>70</v>
      </c>
      <c r="E289" s="66" t="s">
        <v>112</v>
      </c>
      <c r="F289" s="66" t="s">
        <v>183</v>
      </c>
      <c r="G289" s="66" t="s">
        <v>346</v>
      </c>
      <c r="H289" s="66" t="s">
        <v>345</v>
      </c>
      <c r="I289" s="66" t="s">
        <v>7</v>
      </c>
      <c r="J289" s="66" t="s">
        <v>154</v>
      </c>
      <c r="K289" s="66" t="s">
        <v>20</v>
      </c>
      <c r="L289" s="66" t="s">
        <v>12</v>
      </c>
      <c r="M289" s="66" t="s">
        <v>100</v>
      </c>
      <c r="N289" s="66" t="s">
        <v>149</v>
      </c>
      <c r="O289" s="66" t="s">
        <v>110</v>
      </c>
      <c r="P289" s="66" t="s">
        <v>144</v>
      </c>
      <c r="Q289" s="66" t="s">
        <v>141</v>
      </c>
      <c r="R289" s="66" t="s">
        <v>58</v>
      </c>
    </row>
    <row r="290" spans="1:18" s="67" customFormat="1">
      <c r="A290" s="66" t="str">
        <f>VLOOKUP(C290,classifications!C:F,4,FALSE)</f>
        <v>SD</v>
      </c>
      <c r="B290" s="66" t="s">
        <v>717</v>
      </c>
      <c r="C290" s="66" t="s">
        <v>20</v>
      </c>
      <c r="D290" s="66" t="s">
        <v>377</v>
      </c>
      <c r="E290" s="66" t="s">
        <v>141</v>
      </c>
      <c r="F290" s="66" t="s">
        <v>346</v>
      </c>
      <c r="G290" s="66" t="s">
        <v>184</v>
      </c>
      <c r="H290" s="66" t="s">
        <v>148</v>
      </c>
      <c r="I290" s="66" t="s">
        <v>112</v>
      </c>
      <c r="J290" s="66" t="s">
        <v>7</v>
      </c>
      <c r="K290" s="66" t="s">
        <v>152</v>
      </c>
      <c r="L290" s="66" t="s">
        <v>68</v>
      </c>
      <c r="M290" s="66" t="s">
        <v>142</v>
      </c>
      <c r="N290" s="66" t="s">
        <v>183</v>
      </c>
      <c r="O290" s="66" t="s">
        <v>70</v>
      </c>
      <c r="P290" s="66" t="s">
        <v>15</v>
      </c>
      <c r="Q290" s="66" t="s">
        <v>101</v>
      </c>
      <c r="R290" s="66" t="s">
        <v>110</v>
      </c>
    </row>
    <row r="291" spans="1:18" s="67" customFormat="1">
      <c r="A291" s="66" t="str">
        <f>VLOOKUP(C291,classifications!C:F,4,FALSE)</f>
        <v>SD</v>
      </c>
      <c r="B291" s="66" t="s">
        <v>718</v>
      </c>
      <c r="C291" s="66" t="s">
        <v>22</v>
      </c>
      <c r="D291" s="66" t="s">
        <v>112</v>
      </c>
      <c r="E291" s="66" t="s">
        <v>154</v>
      </c>
      <c r="F291" s="66" t="s">
        <v>144</v>
      </c>
      <c r="G291" s="66" t="s">
        <v>345</v>
      </c>
      <c r="H291" s="66" t="s">
        <v>12</v>
      </c>
      <c r="I291" s="66" t="s">
        <v>149</v>
      </c>
      <c r="J291" s="66" t="s">
        <v>130</v>
      </c>
      <c r="K291" s="66" t="s">
        <v>103</v>
      </c>
      <c r="L291" s="66" t="s">
        <v>157</v>
      </c>
      <c r="M291" s="66" t="s">
        <v>153</v>
      </c>
      <c r="N291" s="66" t="s">
        <v>16</v>
      </c>
      <c r="O291" s="66" t="s">
        <v>94</v>
      </c>
      <c r="P291" s="66" t="s">
        <v>167</v>
      </c>
      <c r="Q291" s="66" t="s">
        <v>102</v>
      </c>
      <c r="R291" s="66" t="s">
        <v>148</v>
      </c>
    </row>
    <row r="292" spans="1:18" s="67" customFormat="1">
      <c r="A292" s="66" t="str">
        <f>VLOOKUP(C292,classifications!C:F,4,FALSE)</f>
        <v>SD</v>
      </c>
      <c r="B292" s="66" t="s">
        <v>719</v>
      </c>
      <c r="C292" s="66" t="s">
        <v>76</v>
      </c>
      <c r="D292" s="66" t="s">
        <v>168</v>
      </c>
      <c r="E292" s="66" t="s">
        <v>176</v>
      </c>
      <c r="F292" s="66" t="s">
        <v>13</v>
      </c>
      <c r="G292" s="66" t="s">
        <v>51</v>
      </c>
      <c r="H292" s="66" t="s">
        <v>901</v>
      </c>
      <c r="I292" s="66" t="s">
        <v>83</v>
      </c>
      <c r="J292" s="66" t="s">
        <v>133</v>
      </c>
      <c r="K292" s="66" t="s">
        <v>36</v>
      </c>
      <c r="L292" s="66" t="s">
        <v>99</v>
      </c>
      <c r="M292" s="66" t="s">
        <v>165</v>
      </c>
      <c r="N292" s="66" t="s">
        <v>119</v>
      </c>
      <c r="O292" s="66" t="s">
        <v>6</v>
      </c>
      <c r="P292" s="66" t="s">
        <v>89</v>
      </c>
      <c r="Q292" s="66" t="s">
        <v>95</v>
      </c>
      <c r="R292" s="66" t="s">
        <v>195</v>
      </c>
    </row>
    <row r="293" spans="1:18" s="67" customFormat="1">
      <c r="A293" s="66" t="str">
        <f>VLOOKUP(C293,classifications!C:F,4,FALSE)</f>
        <v>SD</v>
      </c>
      <c r="B293" s="66" t="s">
        <v>720</v>
      </c>
      <c r="C293" s="68" t="s">
        <v>377</v>
      </c>
      <c r="D293" s="66" t="s">
        <v>20</v>
      </c>
      <c r="E293" s="66" t="s">
        <v>148</v>
      </c>
      <c r="F293" s="66" t="s">
        <v>141</v>
      </c>
      <c r="G293" s="66" t="s">
        <v>346</v>
      </c>
      <c r="H293" s="66" t="s">
        <v>7</v>
      </c>
      <c r="I293" s="66" t="s">
        <v>184</v>
      </c>
      <c r="J293" s="66" t="s">
        <v>142</v>
      </c>
      <c r="K293" s="66" t="s">
        <v>101</v>
      </c>
      <c r="L293" s="66" t="s">
        <v>68</v>
      </c>
      <c r="M293" s="66" t="s">
        <v>152</v>
      </c>
      <c r="N293" s="66" t="s">
        <v>183</v>
      </c>
      <c r="O293" s="66" t="s">
        <v>57</v>
      </c>
      <c r="P293" s="66" t="s">
        <v>70</v>
      </c>
      <c r="Q293" s="66" t="s">
        <v>15</v>
      </c>
      <c r="R293" s="66" t="s">
        <v>144</v>
      </c>
    </row>
    <row r="294" spans="1:18" s="67" customFormat="1">
      <c r="A294" s="66" t="str">
        <f>VLOOKUP(C294,classifications!C:F,4,FALSE)</f>
        <v>SD</v>
      </c>
      <c r="B294" s="66" t="s">
        <v>721</v>
      </c>
      <c r="C294" s="66" t="s">
        <v>113</v>
      </c>
      <c r="D294" s="66" t="s">
        <v>182</v>
      </c>
      <c r="E294" s="66" t="s">
        <v>127</v>
      </c>
      <c r="F294" s="66" t="s">
        <v>53</v>
      </c>
      <c r="G294" s="66" t="s">
        <v>170</v>
      </c>
      <c r="H294" s="66" t="s">
        <v>71</v>
      </c>
      <c r="I294" s="66" t="s">
        <v>164</v>
      </c>
      <c r="J294" s="66" t="s">
        <v>194</v>
      </c>
      <c r="K294" s="66" t="s">
        <v>186</v>
      </c>
      <c r="L294" s="66" t="s">
        <v>108</v>
      </c>
      <c r="M294" s="66" t="s">
        <v>140</v>
      </c>
      <c r="N294" s="66" t="s">
        <v>143</v>
      </c>
      <c r="O294" s="66" t="s">
        <v>165</v>
      </c>
      <c r="P294" s="66" t="s">
        <v>57</v>
      </c>
      <c r="Q294" s="66" t="s">
        <v>121</v>
      </c>
      <c r="R294" s="66" t="s">
        <v>37</v>
      </c>
    </row>
    <row r="295" spans="1:18" s="67" customFormat="1">
      <c r="A295" s="66" t="str">
        <f>VLOOKUP(C295,classifications!C:F,4,FALSE)</f>
        <v>SD</v>
      </c>
      <c r="B295" s="66" t="s">
        <v>722</v>
      </c>
      <c r="C295" s="66" t="s">
        <v>117</v>
      </c>
      <c r="D295" s="66" t="s">
        <v>95</v>
      </c>
      <c r="E295" s="66" t="s">
        <v>90</v>
      </c>
      <c r="F295" s="66" t="s">
        <v>120</v>
      </c>
      <c r="G295" s="66" t="s">
        <v>66</v>
      </c>
      <c r="H295" s="66" t="s">
        <v>36</v>
      </c>
      <c r="I295" s="66" t="s">
        <v>80</v>
      </c>
      <c r="J295" s="66" t="s">
        <v>155</v>
      </c>
      <c r="K295" s="66" t="s">
        <v>190</v>
      </c>
      <c r="L295" s="66" t="s">
        <v>83</v>
      </c>
      <c r="M295" s="66" t="s">
        <v>180</v>
      </c>
      <c r="N295" s="66" t="s">
        <v>122</v>
      </c>
      <c r="O295" s="66" t="s">
        <v>73</v>
      </c>
      <c r="P295" s="66" t="s">
        <v>14</v>
      </c>
      <c r="Q295" s="66" t="s">
        <v>28</v>
      </c>
      <c r="R295" s="66" t="s">
        <v>76</v>
      </c>
    </row>
    <row r="296" spans="1:18" s="67" customFormat="1">
      <c r="A296" s="66" t="str">
        <f>VLOOKUP(C296,classifications!C:F,4,FALSE)</f>
        <v>SD</v>
      </c>
      <c r="B296" s="66" t="s">
        <v>723</v>
      </c>
      <c r="C296" s="66" t="s">
        <v>144</v>
      </c>
      <c r="D296" s="66" t="s">
        <v>103</v>
      </c>
      <c r="E296" s="66" t="s">
        <v>12</v>
      </c>
      <c r="F296" s="66" t="s">
        <v>112</v>
      </c>
      <c r="G296" s="66" t="s">
        <v>22</v>
      </c>
      <c r="H296" s="66" t="s">
        <v>148</v>
      </c>
      <c r="I296" s="66" t="s">
        <v>192</v>
      </c>
      <c r="J296" s="66" t="s">
        <v>70</v>
      </c>
      <c r="K296" s="66" t="s">
        <v>109</v>
      </c>
      <c r="L296" s="66" t="s">
        <v>102</v>
      </c>
      <c r="M296" s="66" t="s">
        <v>78</v>
      </c>
      <c r="N296" s="66" t="s">
        <v>184</v>
      </c>
      <c r="O296" s="66" t="s">
        <v>157</v>
      </c>
      <c r="P296" s="66" t="s">
        <v>167</v>
      </c>
      <c r="Q296" s="66" t="s">
        <v>345</v>
      </c>
      <c r="R296" s="66" t="s">
        <v>130</v>
      </c>
    </row>
    <row r="297" spans="1:18" s="67" customFormat="1">
      <c r="A297" s="66" t="str">
        <f>VLOOKUP(C297,classifications!C:F,4,FALSE)</f>
        <v>SD</v>
      </c>
      <c r="B297" s="66" t="s">
        <v>724</v>
      </c>
      <c r="C297" s="66" t="s">
        <v>45</v>
      </c>
      <c r="D297" s="66" t="s">
        <v>62</v>
      </c>
      <c r="E297" s="66" t="s">
        <v>132</v>
      </c>
      <c r="F297" s="66" t="s">
        <v>50</v>
      </c>
      <c r="G297" s="66" t="s">
        <v>181</v>
      </c>
      <c r="H297" s="66" t="s">
        <v>44</v>
      </c>
      <c r="I297" s="66" t="s">
        <v>123</v>
      </c>
      <c r="J297" s="66" t="s">
        <v>78</v>
      </c>
      <c r="K297" s="66" t="s">
        <v>140</v>
      </c>
      <c r="L297" s="66" t="s">
        <v>109</v>
      </c>
      <c r="M297" s="66" t="s">
        <v>101</v>
      </c>
      <c r="N297" s="66" t="s">
        <v>143</v>
      </c>
      <c r="O297" s="66" t="s">
        <v>12</v>
      </c>
      <c r="P297" s="66" t="s">
        <v>71</v>
      </c>
      <c r="Q297" s="66" t="s">
        <v>97</v>
      </c>
      <c r="R297" s="66" t="s">
        <v>156</v>
      </c>
    </row>
    <row r="298" spans="1:18" s="67" customFormat="1">
      <c r="A298" s="66" t="str">
        <f>VLOOKUP(C298,classifications!C:F,4,FALSE)</f>
        <v>SD</v>
      </c>
      <c r="B298" s="66" t="s">
        <v>725</v>
      </c>
      <c r="C298" s="66" t="s">
        <v>78</v>
      </c>
      <c r="D298" s="66" t="s">
        <v>109</v>
      </c>
      <c r="E298" s="66" t="s">
        <v>12</v>
      </c>
      <c r="F298" s="66" t="s">
        <v>192</v>
      </c>
      <c r="G298" s="66" t="s">
        <v>156</v>
      </c>
      <c r="H298" s="66" t="s">
        <v>50</v>
      </c>
      <c r="I298" s="66" t="s">
        <v>44</v>
      </c>
      <c r="J298" s="66" t="s">
        <v>102</v>
      </c>
      <c r="K298" s="66" t="s">
        <v>97</v>
      </c>
      <c r="L298" s="66" t="s">
        <v>167</v>
      </c>
      <c r="M298" s="66" t="s">
        <v>62</v>
      </c>
      <c r="N298" s="66" t="s">
        <v>157</v>
      </c>
      <c r="O298" s="66" t="s">
        <v>98</v>
      </c>
      <c r="P298" s="66" t="s">
        <v>103</v>
      </c>
      <c r="Q298" s="66" t="s">
        <v>123</v>
      </c>
      <c r="R298" s="66" t="s">
        <v>94</v>
      </c>
    </row>
    <row r="299" spans="1:18" s="67" customFormat="1">
      <c r="A299" s="66" t="str">
        <f>VLOOKUP(C299,classifications!C:F,4,FALSE)</f>
        <v>SD</v>
      </c>
      <c r="B299" s="66" t="s">
        <v>726</v>
      </c>
      <c r="C299" s="66" t="s">
        <v>124</v>
      </c>
      <c r="D299" s="66" t="s">
        <v>100</v>
      </c>
      <c r="E299" s="66" t="s">
        <v>97</v>
      </c>
      <c r="F299" s="66" t="s">
        <v>123</v>
      </c>
      <c r="G299" s="66" t="s">
        <v>79</v>
      </c>
      <c r="H299" s="66" t="s">
        <v>167</v>
      </c>
      <c r="I299" s="66" t="s">
        <v>78</v>
      </c>
      <c r="J299" s="66" t="s">
        <v>109</v>
      </c>
      <c r="K299" s="66" t="s">
        <v>157</v>
      </c>
      <c r="L299" s="66" t="s">
        <v>94</v>
      </c>
      <c r="M299" s="66" t="s">
        <v>102</v>
      </c>
      <c r="N299" s="66" t="s">
        <v>345</v>
      </c>
      <c r="O299" s="66" t="s">
        <v>12</v>
      </c>
      <c r="P299" s="66" t="s">
        <v>49</v>
      </c>
      <c r="Q299" s="66" t="s">
        <v>135</v>
      </c>
      <c r="R299" s="66" t="s">
        <v>103</v>
      </c>
    </row>
    <row r="300" spans="1:18" s="67" customFormat="1">
      <c r="A300" s="66" t="str">
        <f>VLOOKUP(C300,classifications!C:F,4,FALSE)</f>
        <v>SD</v>
      </c>
      <c r="B300" s="66" t="s">
        <v>727</v>
      </c>
      <c r="C300" s="66" t="s">
        <v>133</v>
      </c>
      <c r="D300" s="66" t="s">
        <v>108</v>
      </c>
      <c r="E300" s="66" t="s">
        <v>194</v>
      </c>
      <c r="F300" s="66" t="s">
        <v>176</v>
      </c>
      <c r="G300" s="66" t="s">
        <v>901</v>
      </c>
      <c r="H300" s="66" t="s">
        <v>165</v>
      </c>
      <c r="I300" s="66" t="s">
        <v>92</v>
      </c>
      <c r="J300" s="66" t="s">
        <v>76</v>
      </c>
      <c r="K300" s="66" t="s">
        <v>51</v>
      </c>
      <c r="L300" s="66" t="s">
        <v>57</v>
      </c>
      <c r="M300" s="66" t="s">
        <v>71</v>
      </c>
      <c r="N300" s="66" t="s">
        <v>6</v>
      </c>
      <c r="O300" s="66" t="s">
        <v>168</v>
      </c>
      <c r="P300" s="66" t="s">
        <v>191</v>
      </c>
      <c r="Q300" s="66" t="s">
        <v>170</v>
      </c>
      <c r="R300" s="66" t="s">
        <v>13</v>
      </c>
    </row>
    <row r="301" spans="1:18" s="67" customFormat="1">
      <c r="A301" s="66" t="str">
        <f>VLOOKUP(C301,classifications!C:F,4,FALSE)</f>
        <v>SD</v>
      </c>
      <c r="B301" s="66" t="s">
        <v>728</v>
      </c>
      <c r="C301" s="66" t="s">
        <v>81</v>
      </c>
      <c r="D301" s="66" t="s">
        <v>104</v>
      </c>
      <c r="E301" s="66" t="s">
        <v>96</v>
      </c>
      <c r="F301" s="66" t="s">
        <v>87</v>
      </c>
      <c r="G301" s="66" t="s">
        <v>174</v>
      </c>
      <c r="H301" s="66" t="s">
        <v>101</v>
      </c>
      <c r="I301" s="66" t="s">
        <v>33</v>
      </c>
      <c r="J301" s="66" t="s">
        <v>163</v>
      </c>
      <c r="K301" s="66" t="s">
        <v>56</v>
      </c>
      <c r="L301" s="66" t="s">
        <v>157</v>
      </c>
      <c r="M301" s="66" t="s">
        <v>55</v>
      </c>
      <c r="N301" s="66" t="s">
        <v>153</v>
      </c>
      <c r="O301" s="66" t="s">
        <v>156</v>
      </c>
      <c r="P301" s="66" t="s">
        <v>142</v>
      </c>
      <c r="Q301" s="66" t="s">
        <v>166</v>
      </c>
      <c r="R301" s="66" t="s">
        <v>148</v>
      </c>
    </row>
    <row r="302" spans="1:18" s="67" customFormat="1">
      <c r="A302" s="66" t="str">
        <f>VLOOKUP(C302,classifications!C:F,4,FALSE)</f>
        <v>SD</v>
      </c>
      <c r="B302" s="66" t="s">
        <v>729</v>
      </c>
      <c r="C302" s="66" t="s">
        <v>132</v>
      </c>
      <c r="D302" s="66" t="s">
        <v>181</v>
      </c>
      <c r="E302" s="66" t="s">
        <v>50</v>
      </c>
      <c r="F302" s="66" t="s">
        <v>62</v>
      </c>
      <c r="G302" s="66" t="s">
        <v>45</v>
      </c>
      <c r="H302" s="66" t="s">
        <v>78</v>
      </c>
      <c r="I302" s="66" t="s">
        <v>44</v>
      </c>
      <c r="J302" s="66" t="s">
        <v>109</v>
      </c>
      <c r="K302" s="66" t="s">
        <v>97</v>
      </c>
      <c r="L302" s="66" t="s">
        <v>98</v>
      </c>
      <c r="M302" s="66" t="s">
        <v>123</v>
      </c>
      <c r="N302" s="66" t="s">
        <v>12</v>
      </c>
      <c r="O302" s="66" t="s">
        <v>101</v>
      </c>
      <c r="P302" s="66" t="s">
        <v>140</v>
      </c>
      <c r="Q302" s="66" t="s">
        <v>154</v>
      </c>
      <c r="R302" s="66" t="s">
        <v>100</v>
      </c>
    </row>
    <row r="303" spans="1:18" s="67" customFormat="1">
      <c r="A303" s="66" t="str">
        <f>VLOOKUP(C303,classifications!C:F,4,FALSE)</f>
        <v>SD</v>
      </c>
      <c r="B303" s="66" t="s">
        <v>730</v>
      </c>
      <c r="C303" s="66" t="s">
        <v>135</v>
      </c>
      <c r="D303" s="66" t="s">
        <v>49</v>
      </c>
      <c r="E303" s="66" t="s">
        <v>115</v>
      </c>
      <c r="F303" s="66" t="s">
        <v>114</v>
      </c>
      <c r="G303" s="66" t="s">
        <v>167</v>
      </c>
      <c r="H303" s="66" t="s">
        <v>346</v>
      </c>
      <c r="I303" s="66" t="s">
        <v>139</v>
      </c>
      <c r="J303" s="66" t="s">
        <v>100</v>
      </c>
      <c r="K303" s="66" t="s">
        <v>345</v>
      </c>
      <c r="L303" s="66" t="s">
        <v>183</v>
      </c>
      <c r="M303" s="66" t="s">
        <v>94</v>
      </c>
      <c r="N303" s="66" t="s">
        <v>58</v>
      </c>
      <c r="O303" s="66" t="s">
        <v>152</v>
      </c>
      <c r="P303" s="66" t="s">
        <v>157</v>
      </c>
      <c r="Q303" s="66" t="s">
        <v>79</v>
      </c>
      <c r="R303" s="66" t="s">
        <v>124</v>
      </c>
    </row>
    <row r="304" spans="1:18" s="67" customFormat="1">
      <c r="A304" s="66" t="str">
        <f>VLOOKUP(C304,classifications!C:F,4,FALSE)</f>
        <v>SD</v>
      </c>
      <c r="B304" s="66" t="s">
        <v>731</v>
      </c>
      <c r="C304" s="66" t="s">
        <v>43</v>
      </c>
      <c r="D304" s="66" t="s">
        <v>122</v>
      </c>
      <c r="E304" s="66" t="s">
        <v>161</v>
      </c>
      <c r="F304" s="66" t="s">
        <v>99</v>
      </c>
      <c r="G304" s="66" t="s">
        <v>347</v>
      </c>
      <c r="H304" s="66" t="s">
        <v>179</v>
      </c>
      <c r="I304" s="66" t="s">
        <v>9</v>
      </c>
      <c r="J304" s="66" t="s">
        <v>155</v>
      </c>
      <c r="K304" s="66" t="s">
        <v>91</v>
      </c>
      <c r="L304" s="66" t="s">
        <v>28</v>
      </c>
      <c r="M304" s="66" t="s">
        <v>73</v>
      </c>
      <c r="N304" s="66" t="s">
        <v>131</v>
      </c>
      <c r="O304" s="66" t="s">
        <v>89</v>
      </c>
      <c r="P304" s="66" t="s">
        <v>17</v>
      </c>
      <c r="Q304" s="66" t="s">
        <v>119</v>
      </c>
      <c r="R304" s="66" t="s">
        <v>18</v>
      </c>
    </row>
    <row r="305" spans="1:18" s="67" customFormat="1">
      <c r="A305" s="66" t="str">
        <f>VLOOKUP(C305,classifications!C:F,4,FALSE)</f>
        <v>SD</v>
      </c>
      <c r="B305" s="66" t="s">
        <v>732</v>
      </c>
      <c r="C305" s="66" t="s">
        <v>49</v>
      </c>
      <c r="D305" s="66" t="s">
        <v>135</v>
      </c>
      <c r="E305" s="66" t="s">
        <v>115</v>
      </c>
      <c r="F305" s="66" t="s">
        <v>167</v>
      </c>
      <c r="G305" s="66" t="s">
        <v>79</v>
      </c>
      <c r="H305" s="66" t="s">
        <v>100</v>
      </c>
      <c r="I305" s="66" t="s">
        <v>114</v>
      </c>
      <c r="J305" s="66" t="s">
        <v>139</v>
      </c>
      <c r="K305" s="66" t="s">
        <v>166</v>
      </c>
      <c r="L305" s="66" t="s">
        <v>58</v>
      </c>
      <c r="M305" s="66" t="s">
        <v>124</v>
      </c>
      <c r="N305" s="66" t="s">
        <v>97</v>
      </c>
      <c r="O305" s="66" t="s">
        <v>157</v>
      </c>
      <c r="P305" s="66" t="s">
        <v>94</v>
      </c>
      <c r="Q305" s="66" t="s">
        <v>346</v>
      </c>
      <c r="R305" s="66" t="s">
        <v>345</v>
      </c>
    </row>
    <row r="306" spans="1:18" s="67" customFormat="1">
      <c r="A306" s="66" t="str">
        <f>VLOOKUP(C306,classifications!C:F,4,FALSE)</f>
        <v>SD</v>
      </c>
      <c r="B306" s="66" t="s">
        <v>733</v>
      </c>
      <c r="C306" s="66" t="s">
        <v>58</v>
      </c>
      <c r="D306" s="66" t="s">
        <v>345</v>
      </c>
      <c r="E306" s="66" t="s">
        <v>139</v>
      </c>
      <c r="F306" s="66" t="s">
        <v>39</v>
      </c>
      <c r="G306" s="66" t="s">
        <v>94</v>
      </c>
      <c r="H306" s="66" t="s">
        <v>100</v>
      </c>
      <c r="I306" s="66" t="s">
        <v>147</v>
      </c>
      <c r="J306" s="66" t="s">
        <v>346</v>
      </c>
      <c r="K306" s="66" t="s">
        <v>128</v>
      </c>
      <c r="L306" s="66" t="s">
        <v>157</v>
      </c>
      <c r="M306" s="66" t="s">
        <v>91</v>
      </c>
      <c r="N306" s="66" t="s">
        <v>10</v>
      </c>
      <c r="O306" s="66" t="s">
        <v>102</v>
      </c>
      <c r="P306" s="66" t="s">
        <v>115</v>
      </c>
      <c r="Q306" s="66" t="s">
        <v>183</v>
      </c>
      <c r="R306" s="66" t="s">
        <v>142</v>
      </c>
    </row>
    <row r="307" spans="1:18" s="67" customFormat="1">
      <c r="A307" s="66" t="str">
        <f>VLOOKUP(C307,classifications!C:F,4,FALSE)</f>
        <v>SD</v>
      </c>
      <c r="B307" s="66" t="s">
        <v>734</v>
      </c>
      <c r="C307" s="66" t="s">
        <v>91</v>
      </c>
      <c r="D307" s="66" t="s">
        <v>128</v>
      </c>
      <c r="E307" s="66" t="s">
        <v>59</v>
      </c>
      <c r="F307" s="66" t="s">
        <v>73</v>
      </c>
      <c r="G307" s="66" t="s">
        <v>347</v>
      </c>
      <c r="H307" s="66" t="s">
        <v>65</v>
      </c>
      <c r="I307" s="66" t="s">
        <v>39</v>
      </c>
      <c r="J307" s="66" t="s">
        <v>58</v>
      </c>
      <c r="K307" s="66" t="s">
        <v>86</v>
      </c>
      <c r="L307" s="66" t="s">
        <v>126</v>
      </c>
      <c r="M307" s="66" t="s">
        <v>72</v>
      </c>
      <c r="N307" s="66" t="s">
        <v>190</v>
      </c>
      <c r="O307" s="66" t="s">
        <v>179</v>
      </c>
      <c r="P307" s="66" t="s">
        <v>147</v>
      </c>
      <c r="Q307" s="66" t="s">
        <v>142</v>
      </c>
      <c r="R307" s="66" t="s">
        <v>19</v>
      </c>
    </row>
    <row r="308" spans="1:18" s="67" customFormat="1">
      <c r="A308" s="66" t="str">
        <f>VLOOKUP(C308,classifications!C:F,4,FALSE)</f>
        <v>SD</v>
      </c>
      <c r="B308" s="66" t="s">
        <v>735</v>
      </c>
      <c r="C308" s="66" t="s">
        <v>116</v>
      </c>
      <c r="D308" s="66" t="s">
        <v>120</v>
      </c>
      <c r="E308" s="66" t="s">
        <v>14</v>
      </c>
      <c r="F308" s="66" t="s">
        <v>73</v>
      </c>
      <c r="G308" s="66" t="s">
        <v>90</v>
      </c>
      <c r="H308" s="66" t="s">
        <v>41</v>
      </c>
      <c r="I308" s="66" t="s">
        <v>131</v>
      </c>
      <c r="J308" s="66" t="s">
        <v>347</v>
      </c>
      <c r="K308" s="66" t="s">
        <v>190</v>
      </c>
      <c r="L308" s="66" t="s">
        <v>75</v>
      </c>
      <c r="M308" s="66" t="s">
        <v>122</v>
      </c>
      <c r="N308" s="66" t="s">
        <v>19</v>
      </c>
      <c r="O308" s="66" t="s">
        <v>96</v>
      </c>
      <c r="P308" s="66" t="s">
        <v>91</v>
      </c>
      <c r="Q308" s="66" t="s">
        <v>59</v>
      </c>
      <c r="R308" s="66" t="s">
        <v>32</v>
      </c>
    </row>
    <row r="309" spans="1:18" s="67" customFormat="1">
      <c r="A309" s="66" t="str">
        <f>VLOOKUP(C309,classifications!C:F,4,FALSE)</f>
        <v>SD</v>
      </c>
      <c r="B309" s="66" t="s">
        <v>736</v>
      </c>
      <c r="C309" s="66" t="s">
        <v>145</v>
      </c>
      <c r="D309" s="66" t="s">
        <v>79</v>
      </c>
      <c r="E309" s="66" t="s">
        <v>103</v>
      </c>
      <c r="F309" s="66" t="s">
        <v>130</v>
      </c>
      <c r="G309" s="66" t="s">
        <v>172</v>
      </c>
      <c r="H309" s="66" t="s">
        <v>52</v>
      </c>
      <c r="I309" s="66" t="s">
        <v>185</v>
      </c>
      <c r="J309" s="66" t="s">
        <v>100</v>
      </c>
      <c r="K309" s="66" t="s">
        <v>124</v>
      </c>
      <c r="L309" s="66" t="s">
        <v>167</v>
      </c>
      <c r="M309" s="66" t="s">
        <v>144</v>
      </c>
      <c r="N309" s="66" t="s">
        <v>166</v>
      </c>
      <c r="O309" s="66" t="s">
        <v>146</v>
      </c>
      <c r="P309" s="66" t="s">
        <v>82</v>
      </c>
      <c r="Q309" s="66" t="s">
        <v>97</v>
      </c>
      <c r="R309" s="66" t="s">
        <v>55</v>
      </c>
    </row>
    <row r="310" spans="1:18" s="67" customFormat="1">
      <c r="A310" s="66" t="str">
        <f>VLOOKUP(C310,classifications!C:F,4,FALSE)</f>
        <v>SD</v>
      </c>
      <c r="B310" s="66" t="s">
        <v>737</v>
      </c>
      <c r="C310" s="66" t="s">
        <v>179</v>
      </c>
      <c r="D310" s="66" t="s">
        <v>128</v>
      </c>
      <c r="E310" s="66" t="s">
        <v>91</v>
      </c>
      <c r="F310" s="66" t="s">
        <v>59</v>
      </c>
      <c r="G310" s="66" t="s">
        <v>75</v>
      </c>
      <c r="H310" s="66" t="s">
        <v>122</v>
      </c>
      <c r="I310" s="66" t="s">
        <v>69</v>
      </c>
      <c r="J310" s="66" t="s">
        <v>161</v>
      </c>
      <c r="K310" s="66" t="s">
        <v>152</v>
      </c>
      <c r="L310" s="66" t="s">
        <v>73</v>
      </c>
      <c r="M310" s="66" t="s">
        <v>10</v>
      </c>
      <c r="N310" s="66" t="s">
        <v>68</v>
      </c>
      <c r="O310" s="66" t="s">
        <v>58</v>
      </c>
      <c r="P310" s="66" t="s">
        <v>15</v>
      </c>
      <c r="Q310" s="66" t="s">
        <v>65</v>
      </c>
      <c r="R310" s="66" t="s">
        <v>195</v>
      </c>
    </row>
    <row r="311" spans="1:18" s="67" customFormat="1">
      <c r="A311" s="66" t="str">
        <f>VLOOKUP(C311,classifications!C:F,4,FALSE)</f>
        <v>SD</v>
      </c>
      <c r="B311" s="66" t="s">
        <v>738</v>
      </c>
      <c r="C311" s="66" t="s">
        <v>9</v>
      </c>
      <c r="D311" s="66" t="s">
        <v>99</v>
      </c>
      <c r="E311" s="66" t="s">
        <v>347</v>
      </c>
      <c r="F311" s="66" t="s">
        <v>28</v>
      </c>
      <c r="G311" s="66" t="s">
        <v>17</v>
      </c>
      <c r="H311" s="66" t="s">
        <v>65</v>
      </c>
      <c r="I311" s="66" t="s">
        <v>107</v>
      </c>
      <c r="J311" s="66" t="s">
        <v>15</v>
      </c>
      <c r="K311" s="66" t="s">
        <v>30</v>
      </c>
      <c r="L311" s="66" t="s">
        <v>126</v>
      </c>
      <c r="M311" s="66" t="s">
        <v>36</v>
      </c>
      <c r="N311" s="66" t="s">
        <v>161</v>
      </c>
      <c r="O311" s="66" t="s">
        <v>91</v>
      </c>
      <c r="P311" s="66" t="s">
        <v>119</v>
      </c>
      <c r="Q311" s="66" t="s">
        <v>7</v>
      </c>
      <c r="R311" s="66" t="s">
        <v>89</v>
      </c>
    </row>
    <row r="312" spans="1:18" s="67" customFormat="1">
      <c r="A312" s="66" t="str">
        <f>VLOOKUP(C312,classifications!C:F,4,FALSE)</f>
        <v>SD</v>
      </c>
      <c r="B312" s="66" t="s">
        <v>739</v>
      </c>
      <c r="C312" s="66" t="s">
        <v>15</v>
      </c>
      <c r="D312" s="66" t="s">
        <v>346</v>
      </c>
      <c r="E312" s="66" t="s">
        <v>30</v>
      </c>
      <c r="F312" s="66" t="s">
        <v>7</v>
      </c>
      <c r="G312" s="66" t="s">
        <v>115</v>
      </c>
      <c r="H312" s="66" t="s">
        <v>183</v>
      </c>
      <c r="I312" s="66" t="s">
        <v>42</v>
      </c>
      <c r="J312" s="66" t="s">
        <v>59</v>
      </c>
      <c r="K312" s="66" t="s">
        <v>195</v>
      </c>
      <c r="L312" s="66" t="s">
        <v>107</v>
      </c>
      <c r="M312" s="66" t="s">
        <v>152</v>
      </c>
      <c r="N312" s="66" t="s">
        <v>65</v>
      </c>
      <c r="O312" s="66" t="s">
        <v>142</v>
      </c>
      <c r="P312" s="66" t="s">
        <v>68</v>
      </c>
      <c r="Q312" s="66" t="s">
        <v>86</v>
      </c>
      <c r="R312" s="66" t="s">
        <v>39</v>
      </c>
    </row>
    <row r="313" spans="1:18" s="67" customFormat="1">
      <c r="A313" s="66" t="str">
        <f>VLOOKUP(C313,classifications!C:F,4,FALSE)</f>
        <v>SD</v>
      </c>
      <c r="B313" s="66" t="s">
        <v>740</v>
      </c>
      <c r="C313" s="66" t="s">
        <v>25</v>
      </c>
      <c r="D313" s="66" t="s">
        <v>72</v>
      </c>
      <c r="E313" s="66" t="s">
        <v>65</v>
      </c>
      <c r="F313" s="66" t="s">
        <v>7</v>
      </c>
      <c r="G313" s="66" t="s">
        <v>31</v>
      </c>
      <c r="H313" s="66" t="s">
        <v>147</v>
      </c>
      <c r="I313" s="66" t="s">
        <v>39</v>
      </c>
      <c r="J313" s="66" t="s">
        <v>345</v>
      </c>
      <c r="K313" s="66" t="s">
        <v>86</v>
      </c>
      <c r="L313" s="66" t="s">
        <v>107</v>
      </c>
      <c r="M313" s="66" t="s">
        <v>142</v>
      </c>
      <c r="N313" s="66" t="s">
        <v>154</v>
      </c>
      <c r="O313" s="66" t="s">
        <v>32</v>
      </c>
      <c r="P313" s="66" t="s">
        <v>195</v>
      </c>
      <c r="Q313" s="66" t="s">
        <v>348</v>
      </c>
      <c r="R313" s="66" t="s">
        <v>149</v>
      </c>
    </row>
    <row r="314" spans="1:18" s="67" customFormat="1">
      <c r="A314" s="66" t="str">
        <f>VLOOKUP(C314,classifications!C:F,4,FALSE)</f>
        <v>SD</v>
      </c>
      <c r="B314" s="66" t="s">
        <v>741</v>
      </c>
      <c r="C314" s="66" t="s">
        <v>72</v>
      </c>
      <c r="D314" s="66" t="s">
        <v>65</v>
      </c>
      <c r="E314" s="66" t="s">
        <v>25</v>
      </c>
      <c r="F314" s="66" t="s">
        <v>147</v>
      </c>
      <c r="G314" s="66" t="s">
        <v>31</v>
      </c>
      <c r="H314" s="66" t="s">
        <v>39</v>
      </c>
      <c r="I314" s="66" t="s">
        <v>345</v>
      </c>
      <c r="J314" s="66" t="s">
        <v>7</v>
      </c>
      <c r="K314" s="66" t="s">
        <v>91</v>
      </c>
      <c r="L314" s="66" t="s">
        <v>142</v>
      </c>
      <c r="M314" s="66" t="s">
        <v>195</v>
      </c>
      <c r="N314" s="66" t="s">
        <v>86</v>
      </c>
      <c r="O314" s="66" t="s">
        <v>94</v>
      </c>
      <c r="P314" s="66" t="s">
        <v>107</v>
      </c>
      <c r="Q314" s="66" t="s">
        <v>149</v>
      </c>
      <c r="R314" s="66" t="s">
        <v>183</v>
      </c>
    </row>
    <row r="315" spans="1:18" s="67" customFormat="1">
      <c r="A315" s="66" t="str">
        <f>VLOOKUP(C315,classifications!C:F,4,FALSE)</f>
        <v>SD</v>
      </c>
      <c r="B315" s="66" t="s">
        <v>742</v>
      </c>
      <c r="C315" s="66" t="s">
        <v>99</v>
      </c>
      <c r="D315" s="66" t="s">
        <v>9</v>
      </c>
      <c r="E315" s="66" t="s">
        <v>347</v>
      </c>
      <c r="F315" s="66" t="s">
        <v>28</v>
      </c>
      <c r="G315" s="66" t="s">
        <v>36</v>
      </c>
      <c r="H315" s="66" t="s">
        <v>65</v>
      </c>
      <c r="I315" s="66" t="s">
        <v>30</v>
      </c>
      <c r="J315" s="66" t="s">
        <v>107</v>
      </c>
      <c r="K315" s="66" t="s">
        <v>17</v>
      </c>
      <c r="L315" s="66" t="s">
        <v>195</v>
      </c>
      <c r="M315" s="66" t="s">
        <v>15</v>
      </c>
      <c r="N315" s="66" t="s">
        <v>161</v>
      </c>
      <c r="O315" s="66" t="s">
        <v>119</v>
      </c>
      <c r="P315" s="66" t="s">
        <v>91</v>
      </c>
      <c r="Q315" s="66" t="s">
        <v>126</v>
      </c>
      <c r="R315" s="66" t="s">
        <v>190</v>
      </c>
    </row>
    <row r="316" spans="1:18" s="67" customFormat="1">
      <c r="A316" s="66" t="str">
        <f>VLOOKUP(C316,classifications!C:F,4,FALSE)</f>
        <v>SD</v>
      </c>
      <c r="B316" s="66" t="s">
        <v>743</v>
      </c>
      <c r="C316" s="66" t="s">
        <v>346</v>
      </c>
      <c r="D316" s="66" t="s">
        <v>183</v>
      </c>
      <c r="E316" s="66" t="s">
        <v>7</v>
      </c>
      <c r="F316" s="66" t="s">
        <v>15</v>
      </c>
      <c r="G316" s="66" t="s">
        <v>142</v>
      </c>
      <c r="H316" s="66" t="s">
        <v>39</v>
      </c>
      <c r="I316" s="66" t="s">
        <v>115</v>
      </c>
      <c r="J316" s="66" t="s">
        <v>345</v>
      </c>
      <c r="K316" s="66" t="s">
        <v>184</v>
      </c>
      <c r="L316" s="66" t="s">
        <v>152</v>
      </c>
      <c r="M316" s="66" t="s">
        <v>86</v>
      </c>
      <c r="N316" s="66" t="s">
        <v>20</v>
      </c>
      <c r="O316" s="66" t="s">
        <v>58</v>
      </c>
      <c r="P316" s="66" t="s">
        <v>19</v>
      </c>
      <c r="Q316" s="66" t="s">
        <v>157</v>
      </c>
      <c r="R316" s="66" t="s">
        <v>94</v>
      </c>
    </row>
    <row r="317" spans="1:18" s="67" customFormat="1">
      <c r="A317" s="66" t="str">
        <f>VLOOKUP(C317,classifications!C:F,4,FALSE)</f>
        <v>SD</v>
      </c>
      <c r="B317" s="66" t="s">
        <v>744</v>
      </c>
      <c r="C317" s="66" t="s">
        <v>130</v>
      </c>
      <c r="D317" s="66" t="s">
        <v>79</v>
      </c>
      <c r="E317" s="66" t="s">
        <v>94</v>
      </c>
      <c r="F317" s="66" t="s">
        <v>167</v>
      </c>
      <c r="G317" s="66" t="s">
        <v>157</v>
      </c>
      <c r="H317" s="66" t="s">
        <v>23</v>
      </c>
      <c r="I317" s="66" t="s">
        <v>345</v>
      </c>
      <c r="J317" s="66" t="s">
        <v>16</v>
      </c>
      <c r="K317" s="66" t="s">
        <v>55</v>
      </c>
      <c r="L317" s="66" t="s">
        <v>145</v>
      </c>
      <c r="M317" s="66" t="s">
        <v>185</v>
      </c>
      <c r="N317" s="66" t="s">
        <v>166</v>
      </c>
      <c r="O317" s="66" t="s">
        <v>12</v>
      </c>
      <c r="P317" s="66" t="s">
        <v>97</v>
      </c>
      <c r="Q317" s="66" t="s">
        <v>153</v>
      </c>
      <c r="R317" s="66" t="s">
        <v>78</v>
      </c>
    </row>
    <row r="318" spans="1:18" s="67" customFormat="1">
      <c r="A318" s="66" t="str">
        <f>VLOOKUP(C318,classifications!C:F,4,FALSE)</f>
        <v>SD</v>
      </c>
      <c r="B318" s="66" t="s">
        <v>745</v>
      </c>
      <c r="C318" s="66" t="s">
        <v>35</v>
      </c>
      <c r="D318" s="66" t="s">
        <v>88</v>
      </c>
      <c r="E318" s="66" t="s">
        <v>96</v>
      </c>
      <c r="F318" s="66" t="s">
        <v>128</v>
      </c>
      <c r="G318" s="66" t="s">
        <v>11</v>
      </c>
      <c r="H318" s="66" t="s">
        <v>166</v>
      </c>
      <c r="I318" s="66" t="s">
        <v>173</v>
      </c>
      <c r="J318" s="66" t="s">
        <v>343</v>
      </c>
      <c r="K318" s="66" t="s">
        <v>10</v>
      </c>
      <c r="L318" s="66" t="s">
        <v>193</v>
      </c>
      <c r="M318" s="66" t="s">
        <v>33</v>
      </c>
      <c r="N318" s="66" t="s">
        <v>185</v>
      </c>
      <c r="O318" s="66" t="s">
        <v>41</v>
      </c>
      <c r="P318" s="66" t="s">
        <v>146</v>
      </c>
      <c r="Q318" s="66" t="s">
        <v>111</v>
      </c>
      <c r="R318" s="66" t="s">
        <v>152</v>
      </c>
    </row>
    <row r="319" spans="1:18" s="67" customFormat="1">
      <c r="A319" s="66" t="str">
        <f>VLOOKUP(C319,classifications!C:F,4,FALSE)</f>
        <v>SD</v>
      </c>
      <c r="B319" s="66" t="s">
        <v>746</v>
      </c>
      <c r="C319" s="66" t="s">
        <v>118</v>
      </c>
      <c r="D319" s="66" t="s">
        <v>27</v>
      </c>
      <c r="E319" s="66" t="s">
        <v>175</v>
      </c>
      <c r="F319" s="66" t="s">
        <v>131</v>
      </c>
      <c r="G319" s="66" t="s">
        <v>180</v>
      </c>
      <c r="H319" s="66" t="s">
        <v>66</v>
      </c>
      <c r="I319" s="66" t="s">
        <v>34</v>
      </c>
      <c r="J319" s="66" t="s">
        <v>46</v>
      </c>
      <c r="K319" s="66" t="s">
        <v>116</v>
      </c>
      <c r="L319" s="66" t="s">
        <v>174</v>
      </c>
      <c r="M319" s="66" t="s">
        <v>41</v>
      </c>
      <c r="N319" s="66" t="s">
        <v>189</v>
      </c>
      <c r="O319" s="66" t="s">
        <v>47</v>
      </c>
      <c r="P319" s="66" t="s">
        <v>155</v>
      </c>
      <c r="Q319" s="66" t="s">
        <v>120</v>
      </c>
      <c r="R319" s="66" t="s">
        <v>48</v>
      </c>
    </row>
    <row r="320" spans="1:18" s="67" customFormat="1">
      <c r="A320" s="66" t="str">
        <f>VLOOKUP(C320,classifications!C:F,4,FALSE)</f>
        <v>SD</v>
      </c>
      <c r="B320" s="66" t="s">
        <v>747</v>
      </c>
      <c r="C320" s="66" t="s">
        <v>146</v>
      </c>
      <c r="D320" s="66" t="s">
        <v>136</v>
      </c>
      <c r="E320" s="66" t="s">
        <v>55</v>
      </c>
      <c r="F320" s="66" t="s">
        <v>185</v>
      </c>
      <c r="G320" s="66" t="s">
        <v>166</v>
      </c>
      <c r="H320" s="66" t="s">
        <v>173</v>
      </c>
      <c r="I320" s="66" t="s">
        <v>11</v>
      </c>
      <c r="J320" s="66" t="s">
        <v>56</v>
      </c>
      <c r="K320" s="66" t="s">
        <v>188</v>
      </c>
      <c r="L320" s="66" t="s">
        <v>64</v>
      </c>
      <c r="M320" s="66" t="s">
        <v>87</v>
      </c>
      <c r="N320" s="66" t="s">
        <v>138</v>
      </c>
      <c r="O320" s="66" t="s">
        <v>79</v>
      </c>
      <c r="P320" s="66" t="s">
        <v>104</v>
      </c>
      <c r="Q320" s="66" t="s">
        <v>82</v>
      </c>
      <c r="R320" s="66" t="s">
        <v>130</v>
      </c>
    </row>
    <row r="321" spans="1:18" s="67" customFormat="1">
      <c r="A321" s="66" t="str">
        <f>VLOOKUP(C321,classifications!C:F,4,FALSE)</f>
        <v>SD</v>
      </c>
      <c r="B321" s="66" t="s">
        <v>748</v>
      </c>
      <c r="C321" s="66" t="s">
        <v>173</v>
      </c>
      <c r="D321" s="66" t="s">
        <v>166</v>
      </c>
      <c r="E321" s="66" t="s">
        <v>146</v>
      </c>
      <c r="F321" s="66" t="s">
        <v>188</v>
      </c>
      <c r="G321" s="66" t="s">
        <v>185</v>
      </c>
      <c r="H321" s="66" t="s">
        <v>136</v>
      </c>
      <c r="I321" s="66" t="s">
        <v>55</v>
      </c>
      <c r="J321" s="66" t="s">
        <v>138</v>
      </c>
      <c r="K321" s="66" t="s">
        <v>35</v>
      </c>
      <c r="L321" s="66" t="s">
        <v>56</v>
      </c>
      <c r="M321" s="66" t="s">
        <v>350</v>
      </c>
      <c r="N321" s="66" t="s">
        <v>167</v>
      </c>
      <c r="O321" s="66" t="s">
        <v>64</v>
      </c>
      <c r="P321" s="66" t="s">
        <v>193</v>
      </c>
      <c r="Q321" s="66" t="s">
        <v>11</v>
      </c>
      <c r="R321" s="66" t="s">
        <v>104</v>
      </c>
    </row>
    <row r="322" spans="1:18" s="67" customFormat="1">
      <c r="A322" s="66" t="str">
        <f>VLOOKUP(C322,classifications!C:F,4,FALSE)</f>
        <v>SD</v>
      </c>
      <c r="B322" s="66" t="s">
        <v>749</v>
      </c>
      <c r="C322" s="66" t="s">
        <v>185</v>
      </c>
      <c r="D322" s="66" t="s">
        <v>166</v>
      </c>
      <c r="E322" s="66" t="s">
        <v>146</v>
      </c>
      <c r="F322" s="66" t="s">
        <v>55</v>
      </c>
      <c r="G322" s="66" t="s">
        <v>173</v>
      </c>
      <c r="H322" s="66" t="s">
        <v>136</v>
      </c>
      <c r="I322" s="66" t="s">
        <v>157</v>
      </c>
      <c r="J322" s="66" t="s">
        <v>167</v>
      </c>
      <c r="K322" s="66" t="s">
        <v>79</v>
      </c>
      <c r="L322" s="66" t="s">
        <v>130</v>
      </c>
      <c r="M322" s="66" t="s">
        <v>97</v>
      </c>
      <c r="N322" s="66" t="s">
        <v>188</v>
      </c>
      <c r="O322" s="66" t="s">
        <v>64</v>
      </c>
      <c r="P322" s="66" t="s">
        <v>78</v>
      </c>
      <c r="Q322" s="66" t="s">
        <v>156</v>
      </c>
      <c r="R322" s="66" t="s">
        <v>145</v>
      </c>
    </row>
    <row r="323" spans="1:18" s="67" customFormat="1">
      <c r="A323" s="66" t="str">
        <f>VLOOKUP(C323,classifications!C:F,4,FALSE)</f>
        <v>SD</v>
      </c>
      <c r="B323" s="66" t="s">
        <v>750</v>
      </c>
      <c r="C323" s="66" t="s">
        <v>101</v>
      </c>
      <c r="D323" s="66" t="s">
        <v>163</v>
      </c>
      <c r="E323" s="66" t="s">
        <v>152</v>
      </c>
      <c r="F323" s="66" t="s">
        <v>157</v>
      </c>
      <c r="G323" s="66" t="s">
        <v>142</v>
      </c>
      <c r="H323" s="66" t="s">
        <v>102</v>
      </c>
      <c r="I323" s="66" t="s">
        <v>12</v>
      </c>
      <c r="J323" s="66" t="s">
        <v>148</v>
      </c>
      <c r="K323" s="66" t="s">
        <v>153</v>
      </c>
      <c r="L323" s="66" t="s">
        <v>109</v>
      </c>
      <c r="M323" s="66" t="s">
        <v>346</v>
      </c>
      <c r="N323" s="66" t="s">
        <v>94</v>
      </c>
      <c r="O323" s="66" t="s">
        <v>345</v>
      </c>
      <c r="P323" s="66" t="s">
        <v>10</v>
      </c>
      <c r="Q323" s="66" t="s">
        <v>86</v>
      </c>
      <c r="R323" s="66" t="s">
        <v>58</v>
      </c>
    </row>
    <row r="324" spans="1:18" s="67" customFormat="1">
      <c r="A324" s="66" t="str">
        <f>VLOOKUP(C324,classifications!C:F,4,FALSE)</f>
        <v>SD</v>
      </c>
      <c r="B324" s="66" t="s">
        <v>751</v>
      </c>
      <c r="C324" s="66" t="s">
        <v>134</v>
      </c>
      <c r="D324" s="66" t="s">
        <v>51</v>
      </c>
      <c r="E324" s="66" t="s">
        <v>164</v>
      </c>
      <c r="F324" s="66" t="s">
        <v>108</v>
      </c>
      <c r="G324" s="66" t="s">
        <v>170</v>
      </c>
      <c r="H324" s="66" t="s">
        <v>93</v>
      </c>
      <c r="I324" s="66" t="s">
        <v>101</v>
      </c>
      <c r="J324" s="66" t="s">
        <v>160</v>
      </c>
      <c r="K324" s="66" t="s">
        <v>7</v>
      </c>
      <c r="L324" s="66" t="s">
        <v>901</v>
      </c>
      <c r="M324" s="66" t="s">
        <v>142</v>
      </c>
      <c r="N324" s="66" t="s">
        <v>152</v>
      </c>
      <c r="O324" s="66" t="s">
        <v>346</v>
      </c>
      <c r="P324" s="66" t="s">
        <v>163</v>
      </c>
      <c r="Q324" s="66" t="s">
        <v>183</v>
      </c>
      <c r="R324" s="66" t="s">
        <v>158</v>
      </c>
    </row>
    <row r="325" spans="1:18" s="67" customFormat="1">
      <c r="A325" s="66" t="str">
        <f>VLOOKUP(C325,classifications!C:F,4,FALSE)</f>
        <v>SD</v>
      </c>
      <c r="B325" s="66" t="s">
        <v>752</v>
      </c>
      <c r="C325" s="66" t="s">
        <v>163</v>
      </c>
      <c r="D325" s="66" t="s">
        <v>101</v>
      </c>
      <c r="E325" s="66" t="s">
        <v>152</v>
      </c>
      <c r="F325" s="66" t="s">
        <v>157</v>
      </c>
      <c r="G325" s="66" t="s">
        <v>142</v>
      </c>
      <c r="H325" s="66" t="s">
        <v>153</v>
      </c>
      <c r="I325" s="66" t="s">
        <v>148</v>
      </c>
      <c r="J325" s="66" t="s">
        <v>102</v>
      </c>
      <c r="K325" s="66" t="s">
        <v>94</v>
      </c>
      <c r="L325" s="66" t="s">
        <v>12</v>
      </c>
      <c r="M325" s="66" t="s">
        <v>167</v>
      </c>
      <c r="N325" s="66" t="s">
        <v>128</v>
      </c>
      <c r="O325" s="66" t="s">
        <v>346</v>
      </c>
      <c r="P325" s="66" t="s">
        <v>111</v>
      </c>
      <c r="Q325" s="66" t="s">
        <v>195</v>
      </c>
      <c r="R325" s="66" t="s">
        <v>192</v>
      </c>
    </row>
    <row r="326" spans="1:18" s="67" customFormat="1">
      <c r="A326" s="66" t="str">
        <f>VLOOKUP(C326,classifications!C:F,4,FALSE)</f>
        <v>SD</v>
      </c>
      <c r="B326" s="66" t="s">
        <v>753</v>
      </c>
      <c r="C326" s="66" t="s">
        <v>148</v>
      </c>
      <c r="D326" s="66" t="s">
        <v>377</v>
      </c>
      <c r="E326" s="66" t="s">
        <v>101</v>
      </c>
      <c r="F326" s="66" t="s">
        <v>192</v>
      </c>
      <c r="G326" s="66" t="s">
        <v>163</v>
      </c>
      <c r="H326" s="66" t="s">
        <v>144</v>
      </c>
      <c r="I326" s="66" t="s">
        <v>20</v>
      </c>
      <c r="J326" s="66" t="s">
        <v>12</v>
      </c>
      <c r="K326" s="66" t="s">
        <v>152</v>
      </c>
      <c r="L326" s="66" t="s">
        <v>153</v>
      </c>
      <c r="M326" s="66" t="s">
        <v>142</v>
      </c>
      <c r="N326" s="66" t="s">
        <v>157</v>
      </c>
      <c r="O326" s="66" t="s">
        <v>346</v>
      </c>
      <c r="P326" s="66" t="s">
        <v>81</v>
      </c>
      <c r="Q326" s="66" t="s">
        <v>102</v>
      </c>
      <c r="R326" s="66" t="s">
        <v>156</v>
      </c>
    </row>
    <row r="327" spans="1:18" s="67" customFormat="1">
      <c r="A327" s="66" t="str">
        <f>VLOOKUP(C327,classifications!C:F,4,FALSE)</f>
        <v>SD</v>
      </c>
      <c r="B327" s="66" t="s">
        <v>754</v>
      </c>
      <c r="C327" s="66" t="s">
        <v>186</v>
      </c>
      <c r="D327" s="66" t="s">
        <v>113</v>
      </c>
      <c r="E327" s="66" t="s">
        <v>132</v>
      </c>
      <c r="F327" s="66" t="s">
        <v>182</v>
      </c>
      <c r="G327" s="66" t="s">
        <v>45</v>
      </c>
      <c r="H327" s="66" t="s">
        <v>181</v>
      </c>
      <c r="I327" s="66" t="s">
        <v>127</v>
      </c>
      <c r="J327" s="66" t="s">
        <v>40</v>
      </c>
      <c r="K327" s="66" t="s">
        <v>121</v>
      </c>
      <c r="L327" s="66" t="s">
        <v>50</v>
      </c>
      <c r="M327" s="66" t="s">
        <v>62</v>
      </c>
      <c r="N327" s="66" t="s">
        <v>44</v>
      </c>
      <c r="O327" s="66" t="s">
        <v>98</v>
      </c>
      <c r="P327" s="66" t="s">
        <v>71</v>
      </c>
      <c r="Q327" s="66" t="s">
        <v>140</v>
      </c>
      <c r="R327" s="66" t="s">
        <v>170</v>
      </c>
    </row>
    <row r="328" spans="1:18" s="67" customFormat="1">
      <c r="A328" s="66" t="str">
        <f>VLOOKUP(C328,classifications!C:F,4,FALSE)</f>
        <v>SD</v>
      </c>
      <c r="B328" s="66" t="s">
        <v>755</v>
      </c>
      <c r="C328" s="66" t="s">
        <v>28</v>
      </c>
      <c r="D328" s="66" t="s">
        <v>99</v>
      </c>
      <c r="E328" s="66" t="s">
        <v>161</v>
      </c>
      <c r="F328" s="66" t="s">
        <v>347</v>
      </c>
      <c r="G328" s="66" t="s">
        <v>190</v>
      </c>
      <c r="H328" s="66" t="s">
        <v>9</v>
      </c>
      <c r="I328" s="66" t="s">
        <v>65</v>
      </c>
      <c r="J328" s="66" t="s">
        <v>30</v>
      </c>
      <c r="K328" s="66" t="s">
        <v>36</v>
      </c>
      <c r="L328" s="66" t="s">
        <v>107</v>
      </c>
      <c r="M328" s="66" t="s">
        <v>91</v>
      </c>
      <c r="N328" s="66" t="s">
        <v>126</v>
      </c>
      <c r="O328" s="66" t="s">
        <v>122</v>
      </c>
      <c r="P328" s="66" t="s">
        <v>73</v>
      </c>
      <c r="Q328" s="66" t="s">
        <v>195</v>
      </c>
      <c r="R328" s="66" t="s">
        <v>86</v>
      </c>
    </row>
    <row r="329" spans="1:18" s="67" customFormat="1">
      <c r="A329" s="66" t="str">
        <f>VLOOKUP(C329,classifications!C:F,4,FALSE)</f>
        <v>SD</v>
      </c>
      <c r="B329" s="66" t="s">
        <v>756</v>
      </c>
      <c r="C329" s="66" t="s">
        <v>59</v>
      </c>
      <c r="D329" s="66" t="s">
        <v>91</v>
      </c>
      <c r="E329" s="66" t="s">
        <v>128</v>
      </c>
      <c r="F329" s="66" t="s">
        <v>15</v>
      </c>
      <c r="G329" s="66" t="s">
        <v>152</v>
      </c>
      <c r="H329" s="66" t="s">
        <v>142</v>
      </c>
      <c r="I329" s="66" t="s">
        <v>30</v>
      </c>
      <c r="J329" s="66" t="s">
        <v>115</v>
      </c>
      <c r="K329" s="66" t="s">
        <v>86</v>
      </c>
      <c r="L329" s="66" t="s">
        <v>73</v>
      </c>
      <c r="M329" s="66" t="s">
        <v>346</v>
      </c>
      <c r="N329" s="66" t="s">
        <v>7</v>
      </c>
      <c r="O329" s="66" t="s">
        <v>190</v>
      </c>
      <c r="P329" s="66" t="s">
        <v>179</v>
      </c>
      <c r="Q329" s="66" t="s">
        <v>39</v>
      </c>
      <c r="R329" s="66" t="s">
        <v>65</v>
      </c>
    </row>
    <row r="330" spans="1:18" s="67" customFormat="1">
      <c r="A330" s="66" t="str">
        <f>VLOOKUP(C330,classifications!C:F,4,FALSE)</f>
        <v>SD</v>
      </c>
      <c r="B330" s="66" t="s">
        <v>757</v>
      </c>
      <c r="C330" s="66" t="s">
        <v>94</v>
      </c>
      <c r="D330" s="66" t="s">
        <v>153</v>
      </c>
      <c r="E330" s="66" t="s">
        <v>345</v>
      </c>
      <c r="F330" s="66" t="s">
        <v>149</v>
      </c>
      <c r="G330" s="66" t="s">
        <v>157</v>
      </c>
      <c r="H330" s="66" t="s">
        <v>147</v>
      </c>
      <c r="I330" s="66" t="s">
        <v>23</v>
      </c>
      <c r="J330" s="66" t="s">
        <v>167</v>
      </c>
      <c r="K330" s="66" t="s">
        <v>58</v>
      </c>
      <c r="L330" s="66" t="s">
        <v>183</v>
      </c>
      <c r="M330" s="66" t="s">
        <v>142</v>
      </c>
      <c r="N330" s="66" t="s">
        <v>97</v>
      </c>
      <c r="O330" s="66" t="s">
        <v>154</v>
      </c>
      <c r="P330" s="66" t="s">
        <v>39</v>
      </c>
      <c r="Q330" s="66" t="s">
        <v>130</v>
      </c>
      <c r="R330" s="66" t="s">
        <v>152</v>
      </c>
    </row>
    <row r="331" spans="1:18" s="67" customFormat="1">
      <c r="A331" s="66" t="str">
        <f>VLOOKUP(C331,classifications!C:F,4,FALSE)</f>
        <v>SD</v>
      </c>
      <c r="B331" s="66" t="s">
        <v>758</v>
      </c>
      <c r="C331" s="66" t="s">
        <v>107</v>
      </c>
      <c r="D331" s="66" t="s">
        <v>30</v>
      </c>
      <c r="E331" s="66" t="s">
        <v>65</v>
      </c>
      <c r="F331" s="66" t="s">
        <v>195</v>
      </c>
      <c r="G331" s="66" t="s">
        <v>7</v>
      </c>
      <c r="H331" s="66" t="s">
        <v>110</v>
      </c>
      <c r="I331" s="66" t="s">
        <v>99</v>
      </c>
      <c r="J331" s="66" t="s">
        <v>15</v>
      </c>
      <c r="K331" s="66" t="s">
        <v>39</v>
      </c>
      <c r="L331" s="66" t="s">
        <v>28</v>
      </c>
      <c r="M331" s="66" t="s">
        <v>346</v>
      </c>
      <c r="N331" s="66" t="s">
        <v>183</v>
      </c>
      <c r="O331" s="66" t="s">
        <v>347</v>
      </c>
      <c r="P331" s="66" t="s">
        <v>86</v>
      </c>
      <c r="Q331" s="66" t="s">
        <v>72</v>
      </c>
      <c r="R331" s="66" t="s">
        <v>36</v>
      </c>
    </row>
    <row r="332" spans="1:18" s="67" customFormat="1">
      <c r="A332" s="66" t="str">
        <f>VLOOKUP(C332,classifications!C:F,4,FALSE)</f>
        <v>SD</v>
      </c>
      <c r="B332" s="66" t="s">
        <v>759</v>
      </c>
      <c r="C332" s="66" t="s">
        <v>149</v>
      </c>
      <c r="D332" s="66" t="s">
        <v>94</v>
      </c>
      <c r="E332" s="66" t="s">
        <v>154</v>
      </c>
      <c r="F332" s="66" t="s">
        <v>157</v>
      </c>
      <c r="G332" s="66" t="s">
        <v>345</v>
      </c>
      <c r="H332" s="66" t="s">
        <v>23</v>
      </c>
      <c r="I332" s="66" t="s">
        <v>153</v>
      </c>
      <c r="J332" s="66" t="s">
        <v>183</v>
      </c>
      <c r="K332" s="66" t="s">
        <v>112</v>
      </c>
      <c r="L332" s="66" t="s">
        <v>346</v>
      </c>
      <c r="M332" s="66" t="s">
        <v>110</v>
      </c>
      <c r="N332" s="66" t="s">
        <v>97</v>
      </c>
      <c r="O332" s="66" t="s">
        <v>39</v>
      </c>
      <c r="P332" s="66" t="s">
        <v>184</v>
      </c>
      <c r="Q332" s="66" t="s">
        <v>72</v>
      </c>
      <c r="R332" s="66" t="s">
        <v>147</v>
      </c>
    </row>
    <row r="333" spans="1:18" s="67" customFormat="1">
      <c r="A333" s="66" t="str">
        <f>VLOOKUP(C333,classifications!C:F,4,FALSE)</f>
        <v>SD</v>
      </c>
      <c r="B333" s="66" t="s">
        <v>760</v>
      </c>
      <c r="C333" s="66" t="s">
        <v>153</v>
      </c>
      <c r="D333" s="66" t="s">
        <v>94</v>
      </c>
      <c r="E333" s="66" t="s">
        <v>152</v>
      </c>
      <c r="F333" s="66" t="s">
        <v>142</v>
      </c>
      <c r="G333" s="66" t="s">
        <v>345</v>
      </c>
      <c r="H333" s="66" t="s">
        <v>32</v>
      </c>
      <c r="I333" s="66" t="s">
        <v>157</v>
      </c>
      <c r="J333" s="66" t="s">
        <v>147</v>
      </c>
      <c r="K333" s="66" t="s">
        <v>163</v>
      </c>
      <c r="L333" s="66" t="s">
        <v>149</v>
      </c>
      <c r="M333" s="66" t="s">
        <v>101</v>
      </c>
      <c r="N333" s="66" t="s">
        <v>7</v>
      </c>
      <c r="O333" s="66" t="s">
        <v>183</v>
      </c>
      <c r="P333" s="66" t="s">
        <v>346</v>
      </c>
      <c r="Q333" s="66" t="s">
        <v>19</v>
      </c>
      <c r="R333" s="66" t="s">
        <v>96</v>
      </c>
    </row>
    <row r="334" spans="1:18" s="67" customFormat="1">
      <c r="A334" s="66" t="str">
        <f>VLOOKUP(C334,classifications!C:F,4,FALSE)</f>
        <v>SD</v>
      </c>
      <c r="B334" s="66" t="s">
        <v>761</v>
      </c>
      <c r="C334" s="66" t="s">
        <v>154</v>
      </c>
      <c r="D334" s="66" t="s">
        <v>345</v>
      </c>
      <c r="E334" s="66" t="s">
        <v>112</v>
      </c>
      <c r="F334" s="66" t="s">
        <v>149</v>
      </c>
      <c r="G334" s="66" t="s">
        <v>94</v>
      </c>
      <c r="H334" s="66" t="s">
        <v>7</v>
      </c>
      <c r="I334" s="66" t="s">
        <v>22</v>
      </c>
      <c r="J334" s="66" t="s">
        <v>147</v>
      </c>
      <c r="K334" s="66" t="s">
        <v>157</v>
      </c>
      <c r="L334" s="66" t="s">
        <v>184</v>
      </c>
      <c r="M334" s="66" t="s">
        <v>346</v>
      </c>
      <c r="N334" s="66" t="s">
        <v>153</v>
      </c>
      <c r="O334" s="66" t="s">
        <v>100</v>
      </c>
      <c r="P334" s="66" t="s">
        <v>97</v>
      </c>
      <c r="Q334" s="66" t="s">
        <v>39</v>
      </c>
      <c r="R334" s="66" t="s">
        <v>23</v>
      </c>
    </row>
    <row r="335" spans="1:18" s="67" customFormat="1">
      <c r="A335" s="66" t="str">
        <f>VLOOKUP(C335,classifications!C:F,4,FALSE)</f>
        <v>SD</v>
      </c>
      <c r="B335" s="66" t="s">
        <v>762</v>
      </c>
      <c r="C335" s="66" t="s">
        <v>161</v>
      </c>
      <c r="D335" s="66" t="s">
        <v>122</v>
      </c>
      <c r="E335" s="66" t="s">
        <v>28</v>
      </c>
      <c r="F335" s="66" t="s">
        <v>347</v>
      </c>
      <c r="G335" s="66" t="s">
        <v>91</v>
      </c>
      <c r="H335" s="66" t="s">
        <v>99</v>
      </c>
      <c r="I335" s="66" t="s">
        <v>190</v>
      </c>
      <c r="J335" s="66" t="s">
        <v>73</v>
      </c>
      <c r="K335" s="66" t="s">
        <v>9</v>
      </c>
      <c r="L335" s="66" t="s">
        <v>179</v>
      </c>
      <c r="M335" s="66" t="s">
        <v>65</v>
      </c>
      <c r="N335" s="66" t="s">
        <v>126</v>
      </c>
      <c r="O335" s="66" t="s">
        <v>59</v>
      </c>
      <c r="P335" s="66" t="s">
        <v>107</v>
      </c>
      <c r="Q335" s="66" t="s">
        <v>36</v>
      </c>
      <c r="R335" s="66" t="s">
        <v>75</v>
      </c>
    </row>
    <row r="336" spans="1:18" s="67" customFormat="1">
      <c r="A336" s="66" t="str">
        <f>VLOOKUP(C336,classifications!C:F,4,FALSE)</f>
        <v>SD</v>
      </c>
      <c r="B336" s="66" t="s">
        <v>763</v>
      </c>
      <c r="C336" s="66" t="s">
        <v>12</v>
      </c>
      <c r="D336" s="66" t="s">
        <v>109</v>
      </c>
      <c r="E336" s="66" t="s">
        <v>102</v>
      </c>
      <c r="F336" s="66" t="s">
        <v>144</v>
      </c>
      <c r="G336" s="66" t="s">
        <v>78</v>
      </c>
      <c r="H336" s="66" t="s">
        <v>103</v>
      </c>
      <c r="I336" s="66" t="s">
        <v>100</v>
      </c>
      <c r="J336" s="66" t="s">
        <v>192</v>
      </c>
      <c r="K336" s="66" t="s">
        <v>167</v>
      </c>
      <c r="L336" s="66" t="s">
        <v>101</v>
      </c>
      <c r="M336" s="66" t="s">
        <v>70</v>
      </c>
      <c r="N336" s="66" t="s">
        <v>157</v>
      </c>
      <c r="O336" s="66" t="s">
        <v>112</v>
      </c>
      <c r="P336" s="66" t="s">
        <v>97</v>
      </c>
      <c r="Q336" s="66" t="s">
        <v>345</v>
      </c>
      <c r="R336" s="66" t="s">
        <v>94</v>
      </c>
    </row>
    <row r="337" spans="1:18" s="67" customFormat="1">
      <c r="A337" s="66" t="str">
        <f>VLOOKUP(C337,classifications!C:F,4,FALSE)</f>
        <v>SD</v>
      </c>
      <c r="B337" s="66" t="s">
        <v>764</v>
      </c>
      <c r="C337" s="66" t="s">
        <v>69</v>
      </c>
      <c r="D337" s="66" t="s">
        <v>179</v>
      </c>
      <c r="E337" s="66" t="s">
        <v>18</v>
      </c>
      <c r="F337" s="66" t="s">
        <v>128</v>
      </c>
      <c r="G337" s="66" t="s">
        <v>152</v>
      </c>
      <c r="H337" s="66" t="s">
        <v>59</v>
      </c>
      <c r="I337" s="66" t="s">
        <v>91</v>
      </c>
      <c r="J337" s="66" t="s">
        <v>68</v>
      </c>
      <c r="K337" s="66" t="s">
        <v>131</v>
      </c>
      <c r="L337" s="66" t="s">
        <v>58</v>
      </c>
      <c r="M337" s="66" t="s">
        <v>141</v>
      </c>
      <c r="N337" s="66" t="s">
        <v>101</v>
      </c>
      <c r="O337" s="66" t="s">
        <v>142</v>
      </c>
      <c r="P337" s="66" t="s">
        <v>122</v>
      </c>
      <c r="Q337" s="66" t="s">
        <v>163</v>
      </c>
      <c r="R337" s="66" t="s">
        <v>73</v>
      </c>
    </row>
    <row r="338" spans="1:18" s="67" customFormat="1">
      <c r="A338" s="66" t="str">
        <f>VLOOKUP(C338,classifications!C:F,4,FALSE)</f>
        <v>SD</v>
      </c>
      <c r="B338" s="66" t="s">
        <v>765</v>
      </c>
      <c r="C338" s="66" t="s">
        <v>90</v>
      </c>
      <c r="D338" s="66" t="s">
        <v>73</v>
      </c>
      <c r="E338" s="66" t="s">
        <v>120</v>
      </c>
      <c r="F338" s="66" t="s">
        <v>75</v>
      </c>
      <c r="G338" s="66" t="s">
        <v>190</v>
      </c>
      <c r="H338" s="66" t="s">
        <v>95</v>
      </c>
      <c r="I338" s="66" t="s">
        <v>122</v>
      </c>
      <c r="J338" s="66" t="s">
        <v>36</v>
      </c>
      <c r="K338" s="66" t="s">
        <v>155</v>
      </c>
      <c r="L338" s="66" t="s">
        <v>28</v>
      </c>
      <c r="M338" s="66" t="s">
        <v>99</v>
      </c>
      <c r="N338" s="66" t="s">
        <v>14</v>
      </c>
      <c r="O338" s="66" t="s">
        <v>347</v>
      </c>
      <c r="P338" s="66" t="s">
        <v>161</v>
      </c>
      <c r="Q338" s="66" t="s">
        <v>131</v>
      </c>
      <c r="R338" s="66" t="s">
        <v>116</v>
      </c>
    </row>
    <row r="339" spans="1:18" s="67" customFormat="1">
      <c r="A339" s="66" t="str">
        <f>VLOOKUP(C339,classifications!C:F,4,FALSE)</f>
        <v>SD</v>
      </c>
      <c r="B339" s="66" t="s">
        <v>766</v>
      </c>
      <c r="C339" s="66" t="s">
        <v>103</v>
      </c>
      <c r="D339" s="66" t="s">
        <v>144</v>
      </c>
      <c r="E339" s="66" t="s">
        <v>12</v>
      </c>
      <c r="F339" s="66" t="s">
        <v>145</v>
      </c>
      <c r="G339" s="66" t="s">
        <v>109</v>
      </c>
      <c r="H339" s="66" t="s">
        <v>100</v>
      </c>
      <c r="I339" s="66" t="s">
        <v>52</v>
      </c>
      <c r="J339" s="66" t="s">
        <v>102</v>
      </c>
      <c r="K339" s="66" t="s">
        <v>78</v>
      </c>
      <c r="L339" s="66" t="s">
        <v>112</v>
      </c>
      <c r="M339" s="66" t="s">
        <v>167</v>
      </c>
      <c r="N339" s="66" t="s">
        <v>192</v>
      </c>
      <c r="O339" s="66" t="s">
        <v>70</v>
      </c>
      <c r="P339" s="66" t="s">
        <v>79</v>
      </c>
      <c r="Q339" s="66" t="s">
        <v>130</v>
      </c>
      <c r="R339" s="66" t="s">
        <v>97</v>
      </c>
    </row>
    <row r="340" spans="1:18" s="67" customFormat="1">
      <c r="A340" s="66" t="str">
        <f>VLOOKUP(C340,classifications!C:F,4,FALSE)</f>
        <v>SD</v>
      </c>
      <c r="B340" s="66" t="s">
        <v>767</v>
      </c>
      <c r="C340" s="66" t="s">
        <v>152</v>
      </c>
      <c r="D340" s="66" t="s">
        <v>163</v>
      </c>
      <c r="E340" s="66" t="s">
        <v>153</v>
      </c>
      <c r="F340" s="66" t="s">
        <v>101</v>
      </c>
      <c r="G340" s="66" t="s">
        <v>142</v>
      </c>
      <c r="H340" s="66" t="s">
        <v>128</v>
      </c>
      <c r="I340" s="66" t="s">
        <v>346</v>
      </c>
      <c r="J340" s="66" t="s">
        <v>115</v>
      </c>
      <c r="K340" s="66" t="s">
        <v>59</v>
      </c>
      <c r="L340" s="66" t="s">
        <v>94</v>
      </c>
      <c r="M340" s="66" t="s">
        <v>183</v>
      </c>
      <c r="N340" s="66" t="s">
        <v>157</v>
      </c>
      <c r="O340" s="66" t="s">
        <v>345</v>
      </c>
      <c r="P340" s="66" t="s">
        <v>19</v>
      </c>
      <c r="Q340" s="66" t="s">
        <v>58</v>
      </c>
      <c r="R340" s="66" t="s">
        <v>10</v>
      </c>
    </row>
    <row r="341" spans="1:18" s="67" customFormat="1">
      <c r="A341" s="66" t="str">
        <f>VLOOKUP(C341,classifications!C:F,4,FALSE)</f>
        <v>SD</v>
      </c>
      <c r="B341" s="66" t="s">
        <v>768</v>
      </c>
      <c r="C341" s="66" t="s">
        <v>158</v>
      </c>
      <c r="D341" s="66" t="s">
        <v>140</v>
      </c>
      <c r="E341" s="66" t="s">
        <v>164</v>
      </c>
      <c r="F341" s="66" t="s">
        <v>37</v>
      </c>
      <c r="G341" s="66" t="s">
        <v>106</v>
      </c>
      <c r="H341" s="66" t="s">
        <v>182</v>
      </c>
      <c r="I341" s="66" t="s">
        <v>93</v>
      </c>
      <c r="J341" s="66" t="s">
        <v>178</v>
      </c>
      <c r="K341" s="66" t="s">
        <v>121</v>
      </c>
      <c r="L341" s="66" t="s">
        <v>156</v>
      </c>
      <c r="M341" s="66" t="s">
        <v>134</v>
      </c>
      <c r="N341" s="66" t="s">
        <v>67</v>
      </c>
      <c r="O341" s="66" t="s">
        <v>192</v>
      </c>
      <c r="P341" s="66" t="s">
        <v>78</v>
      </c>
      <c r="Q341" s="66" t="s">
        <v>12</v>
      </c>
      <c r="R341" s="66" t="s">
        <v>53</v>
      </c>
    </row>
    <row r="342" spans="1:18" s="67" customFormat="1">
      <c r="A342" s="66" t="str">
        <f>VLOOKUP(C342,classifications!C:F,4,FALSE)</f>
        <v>SD</v>
      </c>
      <c r="B342" s="66" t="s">
        <v>769</v>
      </c>
      <c r="C342" s="66" t="s">
        <v>176</v>
      </c>
      <c r="D342" s="66" t="s">
        <v>165</v>
      </c>
      <c r="E342" s="66" t="s">
        <v>51</v>
      </c>
      <c r="F342" s="66" t="s">
        <v>901</v>
      </c>
      <c r="G342" s="66" t="s">
        <v>6</v>
      </c>
      <c r="H342" s="66" t="s">
        <v>134</v>
      </c>
      <c r="I342" s="66" t="s">
        <v>76</v>
      </c>
      <c r="J342" s="66" t="s">
        <v>133</v>
      </c>
      <c r="K342" s="66" t="s">
        <v>108</v>
      </c>
      <c r="L342" s="66" t="s">
        <v>195</v>
      </c>
      <c r="M342" s="66" t="s">
        <v>194</v>
      </c>
      <c r="N342" s="66" t="s">
        <v>170</v>
      </c>
      <c r="O342" s="66" t="s">
        <v>4</v>
      </c>
      <c r="P342" s="66" t="s">
        <v>13</v>
      </c>
      <c r="Q342" s="66" t="s">
        <v>84</v>
      </c>
      <c r="R342" s="66" t="s">
        <v>65</v>
      </c>
    </row>
    <row r="343" spans="1:18" s="67" customFormat="1">
      <c r="A343" s="66" t="str">
        <f>VLOOKUP(C343,classifications!C:F,4,FALSE)</f>
        <v>SD</v>
      </c>
      <c r="B343" s="66" t="s">
        <v>770</v>
      </c>
      <c r="C343" s="66" t="s">
        <v>63</v>
      </c>
      <c r="D343" s="66" t="s">
        <v>344</v>
      </c>
      <c r="E343" s="66" t="s">
        <v>349</v>
      </c>
      <c r="F343" s="66" t="s">
        <v>177</v>
      </c>
      <c r="G343" s="66" t="s">
        <v>159</v>
      </c>
      <c r="H343" s="66" t="s">
        <v>189</v>
      </c>
      <c r="I343" s="66" t="s">
        <v>105</v>
      </c>
      <c r="J343" s="66" t="s">
        <v>151</v>
      </c>
      <c r="K343" s="66" t="s">
        <v>77</v>
      </c>
      <c r="L343" s="66" t="s">
        <v>162</v>
      </c>
      <c r="M343" s="66" t="s">
        <v>150</v>
      </c>
      <c r="N343" s="66" t="s">
        <v>193</v>
      </c>
      <c r="O343" s="66" t="s">
        <v>21</v>
      </c>
      <c r="P343" s="66" t="s">
        <v>82</v>
      </c>
      <c r="Q343" s="66" t="s">
        <v>136</v>
      </c>
      <c r="R343" s="66" t="s">
        <v>129</v>
      </c>
    </row>
    <row r="344" spans="1:18" s="67" customFormat="1">
      <c r="A344" s="66" t="str">
        <f>VLOOKUP(C344,classifications!C:F,4,FALSE)</f>
        <v>SD</v>
      </c>
      <c r="B344" s="66" t="s">
        <v>771</v>
      </c>
      <c r="C344" s="66" t="s">
        <v>344</v>
      </c>
      <c r="D344" s="66" t="s">
        <v>159</v>
      </c>
      <c r="E344" s="66" t="s">
        <v>63</v>
      </c>
      <c r="F344" s="66" t="s">
        <v>349</v>
      </c>
      <c r="G344" s="66" t="s">
        <v>189</v>
      </c>
      <c r="H344" s="66" t="s">
        <v>150</v>
      </c>
      <c r="I344" s="66" t="s">
        <v>177</v>
      </c>
      <c r="J344" s="66" t="s">
        <v>129</v>
      </c>
      <c r="K344" s="66" t="s">
        <v>21</v>
      </c>
      <c r="L344" s="66" t="s">
        <v>162</v>
      </c>
      <c r="M344" s="66" t="s">
        <v>105</v>
      </c>
      <c r="N344" s="66" t="s">
        <v>82</v>
      </c>
      <c r="O344" s="66" t="s">
        <v>77</v>
      </c>
      <c r="P344" s="66" t="s">
        <v>64</v>
      </c>
      <c r="Q344" s="66" t="s">
        <v>169</v>
      </c>
      <c r="R344" s="66" t="s">
        <v>136</v>
      </c>
    </row>
    <row r="345" spans="1:18" s="67" customFormat="1">
      <c r="A345" s="66" t="str">
        <f>VLOOKUP(C345,classifications!C:F,4,FALSE)</f>
        <v>SD</v>
      </c>
      <c r="B345" s="66" t="s">
        <v>772</v>
      </c>
      <c r="C345" s="66" t="s">
        <v>77</v>
      </c>
      <c r="D345" s="66" t="s">
        <v>129</v>
      </c>
      <c r="E345" s="66" t="s">
        <v>349</v>
      </c>
      <c r="F345" s="66" t="s">
        <v>173</v>
      </c>
      <c r="G345" s="66" t="s">
        <v>193</v>
      </c>
      <c r="H345" s="66" t="s">
        <v>189</v>
      </c>
      <c r="I345" s="66" t="s">
        <v>150</v>
      </c>
      <c r="J345" s="66" t="s">
        <v>159</v>
      </c>
      <c r="K345" s="66" t="s">
        <v>177</v>
      </c>
      <c r="L345" s="66" t="s">
        <v>188</v>
      </c>
      <c r="M345" s="66" t="s">
        <v>105</v>
      </c>
      <c r="N345" s="66" t="s">
        <v>344</v>
      </c>
      <c r="O345" s="66" t="s">
        <v>146</v>
      </c>
      <c r="P345" s="66" t="s">
        <v>64</v>
      </c>
      <c r="Q345" s="66" t="s">
        <v>63</v>
      </c>
      <c r="R345" s="66" t="s">
        <v>136</v>
      </c>
    </row>
    <row r="346" spans="1:18" s="67" customFormat="1">
      <c r="A346" s="66" t="str">
        <f>VLOOKUP(C346,classifications!C:F,4,FALSE)</f>
        <v>SD</v>
      </c>
      <c r="B346" s="66" t="s">
        <v>773</v>
      </c>
      <c r="C346" s="66" t="s">
        <v>105</v>
      </c>
      <c r="D346" s="66" t="s">
        <v>177</v>
      </c>
      <c r="E346" s="66" t="s">
        <v>162</v>
      </c>
      <c r="F346" s="66" t="s">
        <v>21</v>
      </c>
      <c r="G346" s="66" t="s">
        <v>159</v>
      </c>
      <c r="H346" s="66" t="s">
        <v>136</v>
      </c>
      <c r="I346" s="66" t="s">
        <v>349</v>
      </c>
      <c r="J346" s="66" t="s">
        <v>344</v>
      </c>
      <c r="K346" s="66" t="s">
        <v>77</v>
      </c>
      <c r="L346" s="66" t="s">
        <v>63</v>
      </c>
      <c r="M346" s="66" t="s">
        <v>188</v>
      </c>
      <c r="N346" s="66" t="s">
        <v>137</v>
      </c>
      <c r="O346" s="66" t="s">
        <v>129</v>
      </c>
      <c r="P346" s="66" t="s">
        <v>64</v>
      </c>
      <c r="Q346" s="66" t="s">
        <v>150</v>
      </c>
      <c r="R346" s="66" t="s">
        <v>146</v>
      </c>
    </row>
    <row r="347" spans="1:18" s="67" customFormat="1">
      <c r="A347" s="66" t="str">
        <f>VLOOKUP(C347,classifications!C:F,4,FALSE)</f>
        <v>SD</v>
      </c>
      <c r="B347" s="66" t="s">
        <v>774</v>
      </c>
      <c r="C347" s="66" t="s">
        <v>349</v>
      </c>
      <c r="D347" s="66" t="s">
        <v>150</v>
      </c>
      <c r="E347" s="66" t="s">
        <v>159</v>
      </c>
      <c r="F347" s="66" t="s">
        <v>177</v>
      </c>
      <c r="G347" s="66" t="s">
        <v>189</v>
      </c>
      <c r="H347" s="66" t="s">
        <v>344</v>
      </c>
      <c r="I347" s="66" t="s">
        <v>77</v>
      </c>
      <c r="J347" s="66" t="s">
        <v>64</v>
      </c>
      <c r="K347" s="66" t="s">
        <v>63</v>
      </c>
      <c r="L347" s="66" t="s">
        <v>193</v>
      </c>
      <c r="M347" s="66" t="s">
        <v>173</v>
      </c>
      <c r="N347" s="66" t="s">
        <v>146</v>
      </c>
      <c r="O347" s="66" t="s">
        <v>162</v>
      </c>
      <c r="P347" s="66" t="s">
        <v>129</v>
      </c>
      <c r="Q347" s="66" t="s">
        <v>136</v>
      </c>
      <c r="R347" s="66" t="s">
        <v>21</v>
      </c>
    </row>
    <row r="348" spans="1:18" s="67" customFormat="1">
      <c r="A348" s="66" t="str">
        <f>VLOOKUP(C348,classifications!C:F,4,FALSE)</f>
        <v>SD</v>
      </c>
      <c r="B348" s="66" t="s">
        <v>775</v>
      </c>
      <c r="C348" s="66" t="s">
        <v>129</v>
      </c>
      <c r="D348" s="66" t="s">
        <v>150</v>
      </c>
      <c r="E348" s="66" t="s">
        <v>77</v>
      </c>
      <c r="F348" s="66" t="s">
        <v>189</v>
      </c>
      <c r="G348" s="66" t="s">
        <v>159</v>
      </c>
      <c r="H348" s="66" t="s">
        <v>349</v>
      </c>
      <c r="I348" s="66" t="s">
        <v>21</v>
      </c>
      <c r="J348" s="66" t="s">
        <v>344</v>
      </c>
      <c r="K348" s="66" t="s">
        <v>173</v>
      </c>
      <c r="L348" s="66" t="s">
        <v>105</v>
      </c>
      <c r="M348" s="66" t="s">
        <v>64</v>
      </c>
      <c r="N348" s="66" t="s">
        <v>188</v>
      </c>
      <c r="O348" s="66" t="s">
        <v>162</v>
      </c>
      <c r="P348" s="66" t="s">
        <v>193</v>
      </c>
      <c r="Q348" s="66" t="s">
        <v>85</v>
      </c>
      <c r="R348" s="66" t="s">
        <v>177</v>
      </c>
    </row>
    <row r="349" spans="1:18" s="67" customFormat="1">
      <c r="A349" s="66" t="str">
        <f>VLOOKUP(C349,classifications!C:F,4,FALSE)</f>
        <v>SD</v>
      </c>
      <c r="B349" s="66" t="s">
        <v>776</v>
      </c>
      <c r="C349" s="66" t="s">
        <v>150</v>
      </c>
      <c r="D349" s="66" t="s">
        <v>129</v>
      </c>
      <c r="E349" s="66" t="s">
        <v>189</v>
      </c>
      <c r="F349" s="66" t="s">
        <v>349</v>
      </c>
      <c r="G349" s="66" t="s">
        <v>159</v>
      </c>
      <c r="H349" s="66" t="s">
        <v>344</v>
      </c>
      <c r="I349" s="66" t="s">
        <v>21</v>
      </c>
      <c r="J349" s="66" t="s">
        <v>64</v>
      </c>
      <c r="K349" s="66" t="s">
        <v>77</v>
      </c>
      <c r="L349" s="66" t="s">
        <v>173</v>
      </c>
      <c r="M349" s="66" t="s">
        <v>193</v>
      </c>
      <c r="N349" s="66" t="s">
        <v>85</v>
      </c>
      <c r="O349" s="66" t="s">
        <v>24</v>
      </c>
      <c r="P349" s="66" t="s">
        <v>162</v>
      </c>
      <c r="Q349" s="66" t="s">
        <v>111</v>
      </c>
      <c r="R349" s="66" t="s">
        <v>174</v>
      </c>
    </row>
    <row r="350" spans="1:18" s="67" customFormat="1">
      <c r="A350" s="66" t="str">
        <f>VLOOKUP(C350,classifications!C:F,4,FALSE)</f>
        <v>SD</v>
      </c>
      <c r="B350" s="66" t="s">
        <v>777</v>
      </c>
      <c r="C350" s="66" t="s">
        <v>159</v>
      </c>
      <c r="D350" s="66" t="s">
        <v>344</v>
      </c>
      <c r="E350" s="66" t="s">
        <v>349</v>
      </c>
      <c r="F350" s="66" t="s">
        <v>162</v>
      </c>
      <c r="G350" s="66" t="s">
        <v>150</v>
      </c>
      <c r="H350" s="66" t="s">
        <v>189</v>
      </c>
      <c r="I350" s="66" t="s">
        <v>21</v>
      </c>
      <c r="J350" s="66" t="s">
        <v>63</v>
      </c>
      <c r="K350" s="66" t="s">
        <v>177</v>
      </c>
      <c r="L350" s="66" t="s">
        <v>129</v>
      </c>
      <c r="M350" s="66" t="s">
        <v>82</v>
      </c>
      <c r="N350" s="66" t="s">
        <v>105</v>
      </c>
      <c r="O350" s="66" t="s">
        <v>77</v>
      </c>
      <c r="P350" s="66" t="s">
        <v>136</v>
      </c>
      <c r="Q350" s="66" t="s">
        <v>173</v>
      </c>
      <c r="R350" s="66" t="s">
        <v>146</v>
      </c>
    </row>
    <row r="351" spans="1:18" s="67" customFormat="1">
      <c r="A351" s="66" t="str">
        <f>VLOOKUP(C351,classifications!C:F,4,FALSE)</f>
        <v>SD</v>
      </c>
      <c r="B351" s="66" t="s">
        <v>778</v>
      </c>
      <c r="C351" s="66" t="s">
        <v>162</v>
      </c>
      <c r="D351" s="66" t="s">
        <v>159</v>
      </c>
      <c r="E351" s="66" t="s">
        <v>105</v>
      </c>
      <c r="F351" s="66" t="s">
        <v>177</v>
      </c>
      <c r="G351" s="66" t="s">
        <v>136</v>
      </c>
      <c r="H351" s="66" t="s">
        <v>349</v>
      </c>
      <c r="I351" s="66" t="s">
        <v>21</v>
      </c>
      <c r="J351" s="66" t="s">
        <v>55</v>
      </c>
      <c r="K351" s="66" t="s">
        <v>146</v>
      </c>
      <c r="L351" s="66" t="s">
        <v>64</v>
      </c>
      <c r="M351" s="66" t="s">
        <v>344</v>
      </c>
      <c r="N351" s="66" t="s">
        <v>185</v>
      </c>
      <c r="O351" s="66" t="s">
        <v>82</v>
      </c>
      <c r="P351" s="66" t="s">
        <v>173</v>
      </c>
      <c r="Q351" s="66" t="s">
        <v>63</v>
      </c>
      <c r="R351" s="66" t="s">
        <v>150</v>
      </c>
    </row>
    <row r="352" spans="1:18" s="67" customFormat="1">
      <c r="A352" s="66" t="str">
        <f>VLOOKUP(C352,classifications!C:F,4,FALSE)</f>
        <v>SD</v>
      </c>
      <c r="B352" s="66" t="s">
        <v>779</v>
      </c>
      <c r="C352" s="66" t="s">
        <v>177</v>
      </c>
      <c r="D352" s="66" t="s">
        <v>105</v>
      </c>
      <c r="E352" s="66" t="s">
        <v>349</v>
      </c>
      <c r="F352" s="66" t="s">
        <v>162</v>
      </c>
      <c r="G352" s="66" t="s">
        <v>136</v>
      </c>
      <c r="H352" s="66" t="s">
        <v>63</v>
      </c>
      <c r="I352" s="66" t="s">
        <v>159</v>
      </c>
      <c r="J352" s="66" t="s">
        <v>146</v>
      </c>
      <c r="K352" s="66" t="s">
        <v>344</v>
      </c>
      <c r="L352" s="66" t="s">
        <v>188</v>
      </c>
      <c r="M352" s="66" t="s">
        <v>77</v>
      </c>
      <c r="N352" s="66" t="s">
        <v>21</v>
      </c>
      <c r="O352" s="66" t="s">
        <v>64</v>
      </c>
      <c r="P352" s="66" t="s">
        <v>55</v>
      </c>
      <c r="Q352" s="66" t="s">
        <v>173</v>
      </c>
      <c r="R352" s="66" t="s">
        <v>185</v>
      </c>
    </row>
    <row r="353" spans="1:18" s="67" customFormat="1">
      <c r="A353" s="66" t="str">
        <f>VLOOKUP(C353,classifications!C:F,4,FALSE)</f>
        <v>SD</v>
      </c>
      <c r="B353" s="66" t="s">
        <v>780</v>
      </c>
      <c r="C353" s="66" t="s">
        <v>189</v>
      </c>
      <c r="D353" s="66" t="s">
        <v>150</v>
      </c>
      <c r="E353" s="66" t="s">
        <v>129</v>
      </c>
      <c r="F353" s="66" t="s">
        <v>349</v>
      </c>
      <c r="G353" s="66" t="s">
        <v>344</v>
      </c>
      <c r="H353" s="66" t="s">
        <v>159</v>
      </c>
      <c r="I353" s="66" t="s">
        <v>77</v>
      </c>
      <c r="J353" s="66" t="s">
        <v>193</v>
      </c>
      <c r="K353" s="66" t="s">
        <v>63</v>
      </c>
      <c r="L353" s="66" t="s">
        <v>85</v>
      </c>
      <c r="M353" s="66" t="s">
        <v>64</v>
      </c>
      <c r="N353" s="66" t="s">
        <v>21</v>
      </c>
      <c r="O353" s="66" t="s">
        <v>173</v>
      </c>
      <c r="P353" s="66" t="s">
        <v>24</v>
      </c>
      <c r="Q353" s="66" t="s">
        <v>177</v>
      </c>
      <c r="R353" s="66" t="s">
        <v>169</v>
      </c>
    </row>
    <row r="354" spans="1:18" s="67" customFormat="1">
      <c r="A354" s="66" t="str">
        <f>VLOOKUP(C354,classifications!C:F,4,FALSE)</f>
        <v>SD</v>
      </c>
      <c r="B354" s="66" t="s">
        <v>781</v>
      </c>
      <c r="C354" s="66" t="s">
        <v>114</v>
      </c>
      <c r="D354" s="66" t="s">
        <v>115</v>
      </c>
      <c r="E354" s="66" t="s">
        <v>135</v>
      </c>
      <c r="F354" s="66" t="s">
        <v>42</v>
      </c>
      <c r="G354" s="66" t="s">
        <v>49</v>
      </c>
      <c r="H354" s="66" t="s">
        <v>15</v>
      </c>
      <c r="I354" s="66" t="s">
        <v>152</v>
      </c>
      <c r="J354" s="66" t="s">
        <v>167</v>
      </c>
      <c r="K354" s="66" t="s">
        <v>183</v>
      </c>
      <c r="L354" s="66" t="s">
        <v>346</v>
      </c>
      <c r="M354" s="66" t="s">
        <v>59</v>
      </c>
      <c r="N354" s="66" t="s">
        <v>100</v>
      </c>
      <c r="O354" s="66" t="s">
        <v>94</v>
      </c>
      <c r="P354" s="66" t="s">
        <v>345</v>
      </c>
      <c r="Q354" s="66" t="s">
        <v>58</v>
      </c>
      <c r="R354" s="66" t="s">
        <v>128</v>
      </c>
    </row>
    <row r="355" spans="1:18" s="67" customFormat="1">
      <c r="A355" s="66" t="str">
        <f>VLOOKUP(C355,classifications!C:F,4,FALSE)</f>
        <v>SD</v>
      </c>
      <c r="B355" s="66" t="s">
        <v>782</v>
      </c>
      <c r="C355" s="66" t="s">
        <v>347</v>
      </c>
      <c r="D355" s="66" t="s">
        <v>9</v>
      </c>
      <c r="E355" s="66" t="s">
        <v>99</v>
      </c>
      <c r="F355" s="66" t="s">
        <v>28</v>
      </c>
      <c r="G355" s="66" t="s">
        <v>65</v>
      </c>
      <c r="H355" s="66" t="s">
        <v>91</v>
      </c>
      <c r="I355" s="66" t="s">
        <v>73</v>
      </c>
      <c r="J355" s="66" t="s">
        <v>107</v>
      </c>
      <c r="K355" s="66" t="s">
        <v>161</v>
      </c>
      <c r="L355" s="66" t="s">
        <v>72</v>
      </c>
      <c r="M355" s="66" t="s">
        <v>30</v>
      </c>
      <c r="N355" s="66" t="s">
        <v>190</v>
      </c>
      <c r="O355" s="66" t="s">
        <v>195</v>
      </c>
      <c r="P355" s="66" t="s">
        <v>59</v>
      </c>
      <c r="Q355" s="66" t="s">
        <v>119</v>
      </c>
      <c r="R355" s="66" t="s">
        <v>15</v>
      </c>
    </row>
    <row r="356" spans="1:18" s="67" customFormat="1">
      <c r="A356" s="66" t="str">
        <f>VLOOKUP(C356,classifications!C:F,4,FALSE)</f>
        <v>SD</v>
      </c>
      <c r="B356" s="66" t="s">
        <v>783</v>
      </c>
      <c r="C356" s="66" t="s">
        <v>128</v>
      </c>
      <c r="D356" s="66" t="s">
        <v>91</v>
      </c>
      <c r="E356" s="66" t="s">
        <v>152</v>
      </c>
      <c r="F356" s="66" t="s">
        <v>59</v>
      </c>
      <c r="G356" s="66" t="s">
        <v>10</v>
      </c>
      <c r="H356" s="66" t="s">
        <v>58</v>
      </c>
      <c r="I356" s="66" t="s">
        <v>96</v>
      </c>
      <c r="J356" s="66" t="s">
        <v>24</v>
      </c>
      <c r="K356" s="66" t="s">
        <v>19</v>
      </c>
      <c r="L356" s="66" t="s">
        <v>142</v>
      </c>
      <c r="M356" s="66" t="s">
        <v>35</v>
      </c>
      <c r="N356" s="66" t="s">
        <v>179</v>
      </c>
      <c r="O356" s="66" t="s">
        <v>111</v>
      </c>
      <c r="P356" s="66" t="s">
        <v>163</v>
      </c>
      <c r="Q356" s="66" t="s">
        <v>94</v>
      </c>
      <c r="R356" s="66" t="s">
        <v>147</v>
      </c>
    </row>
    <row r="357" spans="1:18" s="67" customFormat="1">
      <c r="A357" s="66" t="str">
        <f>VLOOKUP(C357,classifications!C:F,4,FALSE)</f>
        <v>SD</v>
      </c>
      <c r="B357" s="66" t="s">
        <v>784</v>
      </c>
      <c r="C357" s="66" t="s">
        <v>156</v>
      </c>
      <c r="D357" s="66" t="s">
        <v>192</v>
      </c>
      <c r="E357" s="66" t="s">
        <v>78</v>
      </c>
      <c r="F357" s="66" t="s">
        <v>44</v>
      </c>
      <c r="G357" s="66" t="s">
        <v>167</v>
      </c>
      <c r="H357" s="66" t="s">
        <v>166</v>
      </c>
      <c r="I357" s="66" t="s">
        <v>188</v>
      </c>
      <c r="J357" s="66" t="s">
        <v>55</v>
      </c>
      <c r="K357" s="66" t="s">
        <v>87</v>
      </c>
      <c r="L357" s="66" t="s">
        <v>109</v>
      </c>
      <c r="M357" s="66" t="s">
        <v>136</v>
      </c>
      <c r="N357" s="66" t="s">
        <v>12</v>
      </c>
      <c r="O357" s="66" t="s">
        <v>185</v>
      </c>
      <c r="P357" s="66" t="s">
        <v>50</v>
      </c>
      <c r="Q357" s="66" t="s">
        <v>81</v>
      </c>
      <c r="R357" s="66" t="s">
        <v>98</v>
      </c>
    </row>
    <row r="358" spans="1:18" s="67" customFormat="1">
      <c r="A358" s="66" t="str">
        <f>VLOOKUP(C358,classifications!C:F,4,FALSE)</f>
        <v>SD</v>
      </c>
      <c r="B358" s="66" t="s">
        <v>785</v>
      </c>
      <c r="C358" s="66" t="s">
        <v>174</v>
      </c>
      <c r="D358" s="66" t="s">
        <v>33</v>
      </c>
      <c r="E358" s="66" t="s">
        <v>34</v>
      </c>
      <c r="F358" s="66" t="s">
        <v>96</v>
      </c>
      <c r="G358" s="66" t="s">
        <v>81</v>
      </c>
      <c r="H358" s="66" t="s">
        <v>153</v>
      </c>
      <c r="I358" s="66" t="s">
        <v>41</v>
      </c>
      <c r="J358" s="66" t="s">
        <v>32</v>
      </c>
      <c r="K358" s="66" t="s">
        <v>171</v>
      </c>
      <c r="L358" s="66" t="s">
        <v>111</v>
      </c>
      <c r="M358" s="66" t="s">
        <v>104</v>
      </c>
      <c r="N358" s="66" t="s">
        <v>163</v>
      </c>
      <c r="O358" s="66" t="s">
        <v>128</v>
      </c>
      <c r="P358" s="66" t="s">
        <v>35</v>
      </c>
      <c r="Q358" s="66" t="s">
        <v>47</v>
      </c>
      <c r="R358" s="66" t="s">
        <v>166</v>
      </c>
    </row>
    <row r="359" spans="1:18" s="67" customFormat="1">
      <c r="A359" s="66" t="str">
        <f>VLOOKUP(C359,classifications!C:F,4,FALSE)</f>
        <v>SD</v>
      </c>
      <c r="B359" s="66" t="s">
        <v>786</v>
      </c>
      <c r="C359" s="66" t="s">
        <v>4</v>
      </c>
      <c r="D359" s="66" t="s">
        <v>901</v>
      </c>
      <c r="E359" s="66" t="s">
        <v>93</v>
      </c>
      <c r="F359" s="66" t="s">
        <v>84</v>
      </c>
      <c r="G359" s="66" t="s">
        <v>51</v>
      </c>
      <c r="H359" s="66" t="s">
        <v>170</v>
      </c>
      <c r="I359" s="66" t="s">
        <v>108</v>
      </c>
      <c r="J359" s="66" t="s">
        <v>191</v>
      </c>
      <c r="K359" s="66" t="s">
        <v>71</v>
      </c>
      <c r="L359" s="66" t="s">
        <v>195</v>
      </c>
      <c r="M359" s="66" t="s">
        <v>134</v>
      </c>
      <c r="N359" s="66" t="s">
        <v>74</v>
      </c>
      <c r="O359" s="66" t="s">
        <v>164</v>
      </c>
      <c r="P359" s="66" t="s">
        <v>176</v>
      </c>
      <c r="Q359" s="66" t="s">
        <v>125</v>
      </c>
      <c r="R359" s="66" t="s">
        <v>31</v>
      </c>
    </row>
    <row r="360" spans="1:18" s="67" customFormat="1">
      <c r="A360" s="66" t="str">
        <f>VLOOKUP(C360,classifications!C:F,4,FALSE)</f>
        <v>SD</v>
      </c>
      <c r="B360" s="66" t="s">
        <v>787</v>
      </c>
      <c r="C360" s="66" t="s">
        <v>8</v>
      </c>
      <c r="D360" s="66" t="s">
        <v>164</v>
      </c>
      <c r="E360" s="66" t="s">
        <v>93</v>
      </c>
      <c r="F360" s="66" t="s">
        <v>53</v>
      </c>
      <c r="G360" s="66" t="s">
        <v>106</v>
      </c>
      <c r="H360" s="66" t="s">
        <v>71</v>
      </c>
      <c r="I360" s="66" t="s">
        <v>165</v>
      </c>
      <c r="J360" s="66" t="s">
        <v>901</v>
      </c>
      <c r="K360" s="66" t="s">
        <v>194</v>
      </c>
      <c r="L360" s="66" t="s">
        <v>191</v>
      </c>
      <c r="M360" s="66" t="s">
        <v>182</v>
      </c>
      <c r="N360" s="66" t="s">
        <v>29</v>
      </c>
      <c r="O360" s="66" t="s">
        <v>127</v>
      </c>
      <c r="P360" s="66" t="s">
        <v>37</v>
      </c>
      <c r="Q360" s="66" t="s">
        <v>108</v>
      </c>
      <c r="R360" s="66" t="s">
        <v>176</v>
      </c>
    </row>
    <row r="361" spans="1:18" s="67" customFormat="1">
      <c r="A361" s="66" t="str">
        <f>VLOOKUP(C361,classifications!C:F,4,FALSE)</f>
        <v>SD</v>
      </c>
      <c r="B361" s="66" t="s">
        <v>788</v>
      </c>
      <c r="C361" s="66" t="s">
        <v>37</v>
      </c>
      <c r="D361" s="66" t="s">
        <v>182</v>
      </c>
      <c r="E361" s="66" t="s">
        <v>140</v>
      </c>
      <c r="F361" s="66" t="s">
        <v>158</v>
      </c>
      <c r="G361" s="66" t="s">
        <v>53</v>
      </c>
      <c r="H361" s="66" t="s">
        <v>121</v>
      </c>
      <c r="I361" s="66" t="s">
        <v>106</v>
      </c>
      <c r="J361" s="66" t="s">
        <v>178</v>
      </c>
      <c r="K361" s="66" t="s">
        <v>44</v>
      </c>
      <c r="L361" s="66" t="s">
        <v>93</v>
      </c>
      <c r="M361" s="66" t="s">
        <v>156</v>
      </c>
      <c r="N361" s="66" t="s">
        <v>127</v>
      </c>
      <c r="O361" s="66" t="s">
        <v>164</v>
      </c>
      <c r="P361" s="66" t="s">
        <v>192</v>
      </c>
      <c r="Q361" s="66" t="s">
        <v>143</v>
      </c>
      <c r="R361" s="66" t="s">
        <v>98</v>
      </c>
    </row>
    <row r="362" spans="1:18" s="67" customFormat="1">
      <c r="A362" s="66" t="str">
        <f>VLOOKUP(C362,classifications!C:F,4,FALSE)</f>
        <v>SD</v>
      </c>
      <c r="B362" s="66" t="s">
        <v>789</v>
      </c>
      <c r="C362" s="66" t="s">
        <v>46</v>
      </c>
      <c r="D362" s="66" t="s">
        <v>48</v>
      </c>
      <c r="E362" s="66" t="s">
        <v>80</v>
      </c>
      <c r="F362" s="66" t="s">
        <v>155</v>
      </c>
      <c r="G362" s="66" t="s">
        <v>131</v>
      </c>
      <c r="H362" s="66" t="s">
        <v>175</v>
      </c>
      <c r="I362" s="66" t="s">
        <v>118</v>
      </c>
      <c r="J362" s="66" t="s">
        <v>180</v>
      </c>
      <c r="K362" s="66" t="s">
        <v>14</v>
      </c>
      <c r="L362" s="66" t="s">
        <v>122</v>
      </c>
      <c r="M362" s="66" t="s">
        <v>43</v>
      </c>
      <c r="N362" s="66" t="s">
        <v>73</v>
      </c>
      <c r="O362" s="66" t="s">
        <v>27</v>
      </c>
      <c r="P362" s="66" t="s">
        <v>90</v>
      </c>
      <c r="Q362" s="66" t="s">
        <v>66</v>
      </c>
      <c r="R362" s="66" t="s">
        <v>116</v>
      </c>
    </row>
    <row r="363" spans="1:18" s="67" customFormat="1">
      <c r="A363" s="66" t="str">
        <f>VLOOKUP(C363,classifications!C:F,4,FALSE)</f>
        <v>SD</v>
      </c>
      <c r="B363" s="66" t="s">
        <v>790</v>
      </c>
      <c r="C363" s="66" t="s">
        <v>87</v>
      </c>
      <c r="D363" s="66" t="s">
        <v>104</v>
      </c>
      <c r="E363" s="66" t="s">
        <v>55</v>
      </c>
      <c r="F363" s="66" t="s">
        <v>56</v>
      </c>
      <c r="G363" s="66" t="s">
        <v>136</v>
      </c>
      <c r="H363" s="66" t="s">
        <v>188</v>
      </c>
      <c r="I363" s="66" t="s">
        <v>64</v>
      </c>
      <c r="J363" s="66" t="s">
        <v>166</v>
      </c>
      <c r="K363" s="66" t="s">
        <v>81</v>
      </c>
      <c r="L363" s="66" t="s">
        <v>169</v>
      </c>
      <c r="M363" s="66" t="s">
        <v>146</v>
      </c>
      <c r="N363" s="66" t="s">
        <v>156</v>
      </c>
      <c r="O363" s="66" t="s">
        <v>21</v>
      </c>
      <c r="P363" s="66" t="s">
        <v>130</v>
      </c>
      <c r="Q363" s="66" t="s">
        <v>350</v>
      </c>
      <c r="R363" s="66" t="s">
        <v>173</v>
      </c>
    </row>
    <row r="364" spans="1:18">
      <c r="A364" s="66" t="str">
        <f>VLOOKUP(C364,classifications!C:F,4,FALSE)</f>
        <v>SD</v>
      </c>
      <c r="B364" s="66" t="s">
        <v>791</v>
      </c>
      <c r="C364" s="66" t="s">
        <v>104</v>
      </c>
      <c r="D364" s="66" t="s">
        <v>87</v>
      </c>
      <c r="E364" s="66" t="s">
        <v>56</v>
      </c>
      <c r="F364" s="66" t="s">
        <v>81</v>
      </c>
      <c r="G364" s="66" t="s">
        <v>55</v>
      </c>
      <c r="H364" s="66" t="s">
        <v>188</v>
      </c>
      <c r="I364" s="66" t="s">
        <v>96</v>
      </c>
      <c r="J364" s="66" t="s">
        <v>166</v>
      </c>
      <c r="K364" s="66" t="s">
        <v>64</v>
      </c>
      <c r="L364" s="66" t="s">
        <v>146</v>
      </c>
      <c r="M364" s="66" t="s">
        <v>136</v>
      </c>
      <c r="N364" s="66" t="s">
        <v>151</v>
      </c>
      <c r="O364" s="66" t="s">
        <v>130</v>
      </c>
      <c r="P364" s="66" t="s">
        <v>33</v>
      </c>
      <c r="Q364" s="66" t="s">
        <v>169</v>
      </c>
      <c r="R364" s="66" t="s">
        <v>171</v>
      </c>
    </row>
    <row r="365" spans="1:18">
      <c r="A365" s="66" t="str">
        <f>VLOOKUP(C365,classifications!C:F,4,FALSE)</f>
        <v>SD</v>
      </c>
      <c r="B365" s="66" t="s">
        <v>792</v>
      </c>
      <c r="C365" s="66" t="s">
        <v>191</v>
      </c>
      <c r="D365" s="66" t="s">
        <v>901</v>
      </c>
      <c r="E365" s="66" t="s">
        <v>4</v>
      </c>
      <c r="F365" s="66" t="s">
        <v>60</v>
      </c>
      <c r="G365" s="66" t="s">
        <v>34</v>
      </c>
      <c r="H365" s="66" t="s">
        <v>29</v>
      </c>
      <c r="I365" s="66" t="s">
        <v>8</v>
      </c>
      <c r="J365" s="66" t="s">
        <v>108</v>
      </c>
      <c r="K365" s="66" t="s">
        <v>92</v>
      </c>
      <c r="L365" s="66" t="s">
        <v>71</v>
      </c>
      <c r="M365" s="66" t="s">
        <v>93</v>
      </c>
      <c r="N365" s="66" t="s">
        <v>194</v>
      </c>
      <c r="O365" s="66" t="s">
        <v>164</v>
      </c>
      <c r="P365" s="66" t="s">
        <v>133</v>
      </c>
      <c r="Q365" s="66" t="s">
        <v>51</v>
      </c>
      <c r="R365" s="66" t="s">
        <v>74</v>
      </c>
    </row>
  </sheetData>
  <pageMargins left="0.39370078740157483" right="0.34" top="0.39370078740157483" bottom="0.39370078740157483" header="0.51181102362204722" footer="0.51181102362204722"/>
  <pageSetup paperSize="9" scale="35" fitToHeight="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K49"/>
  <sheetViews>
    <sheetView workbookViewId="0">
      <selection sqref="A1:XFD1048576"/>
    </sheetView>
  </sheetViews>
  <sheetFormatPr defaultRowHeight="13.2"/>
  <cols>
    <col min="1" max="1" width="8.33203125" customWidth="1"/>
    <col min="2" max="3" width="34.33203125" customWidth="1"/>
    <col min="5" max="6" width="11.5546875" customWidth="1"/>
    <col min="8" max="8" width="13.6640625" customWidth="1"/>
    <col min="9" max="9" width="18.33203125" customWidth="1"/>
    <col min="10" max="10" width="25.88671875" customWidth="1"/>
    <col min="11" max="11" width="26.109375" customWidth="1"/>
    <col min="12" max="12" width="9.6640625" customWidth="1"/>
  </cols>
  <sheetData>
    <row r="1" spans="1:11" ht="14.4">
      <c r="A1" s="210" t="s">
        <v>876</v>
      </c>
    </row>
    <row r="2" spans="1:11">
      <c r="A2" t="s">
        <v>871</v>
      </c>
    </row>
    <row r="3" spans="1:11" ht="9" customHeight="1"/>
    <row r="4" spans="1:11">
      <c r="A4" s="21" t="s">
        <v>875</v>
      </c>
    </row>
    <row r="5" spans="1:11" ht="8.25" customHeight="1">
      <c r="A5" s="103"/>
    </row>
    <row r="6" spans="1:11">
      <c r="A6" s="21" t="s">
        <v>877</v>
      </c>
    </row>
    <row r="8" spans="1:11" ht="14.4">
      <c r="A8" s="210" t="s">
        <v>867</v>
      </c>
    </row>
    <row r="9" spans="1:11">
      <c r="A9" t="s">
        <v>870</v>
      </c>
    </row>
    <row r="10" spans="1:11">
      <c r="B10" t="s">
        <v>804</v>
      </c>
      <c r="C10" t="s">
        <v>861</v>
      </c>
    </row>
    <row r="11" spans="1:11">
      <c r="C11" t="s">
        <v>860</v>
      </c>
    </row>
    <row r="12" spans="1:11">
      <c r="C12" t="s">
        <v>862</v>
      </c>
    </row>
    <row r="14" spans="1:11">
      <c r="B14" t="s">
        <v>805</v>
      </c>
      <c r="C14" t="s">
        <v>858</v>
      </c>
    </row>
    <row r="15" spans="1:11">
      <c r="C15" t="s">
        <v>852</v>
      </c>
    </row>
    <row r="16" spans="1:11" ht="39.6">
      <c r="D16" t="s">
        <v>853</v>
      </c>
      <c r="E16" s="206" t="s">
        <v>856</v>
      </c>
      <c r="F16" s="206"/>
      <c r="G16" s="206"/>
      <c r="H16" s="206"/>
      <c r="I16" s="192" t="s">
        <v>855</v>
      </c>
      <c r="J16" s="193" t="s">
        <v>806</v>
      </c>
      <c r="K16" s="203" t="s">
        <v>807</v>
      </c>
    </row>
    <row r="17" spans="1:11">
      <c r="E17" s="195" t="s">
        <v>848</v>
      </c>
      <c r="F17" s="196" t="s">
        <v>848</v>
      </c>
      <c r="G17" s="196" t="s">
        <v>854</v>
      </c>
      <c r="H17" s="197" t="s">
        <v>854</v>
      </c>
      <c r="J17" s="201" t="s">
        <v>848</v>
      </c>
      <c r="K17" s="204" t="s">
        <v>849</v>
      </c>
    </row>
    <row r="18" spans="1:11" ht="48">
      <c r="E18" s="198" t="s">
        <v>849</v>
      </c>
      <c r="F18" s="199" t="s">
        <v>850</v>
      </c>
      <c r="G18" s="199" t="s">
        <v>849</v>
      </c>
      <c r="H18" s="200" t="s">
        <v>850</v>
      </c>
      <c r="J18" s="202" t="s">
        <v>854</v>
      </c>
      <c r="K18" s="205" t="s">
        <v>850</v>
      </c>
    </row>
    <row r="19" spans="1:11" ht="18.75" customHeight="1">
      <c r="C19" s="191" t="s">
        <v>863</v>
      </c>
    </row>
    <row r="20" spans="1:11">
      <c r="C20" s="191"/>
      <c r="D20" t="s">
        <v>853</v>
      </c>
      <c r="E20" s="206" t="s">
        <v>856</v>
      </c>
      <c r="F20" s="359" t="s">
        <v>857</v>
      </c>
      <c r="G20" s="359"/>
      <c r="H20" s="193" t="s">
        <v>800</v>
      </c>
      <c r="I20" s="194" t="s">
        <v>793</v>
      </c>
    </row>
    <row r="21" spans="1:11">
      <c r="C21" s="191"/>
      <c r="E21" s="207" t="s">
        <v>848</v>
      </c>
      <c r="F21" s="359"/>
      <c r="G21" s="359"/>
      <c r="H21" s="2" t="s">
        <v>810</v>
      </c>
      <c r="I21" s="4" t="s">
        <v>821</v>
      </c>
    </row>
    <row r="22" spans="1:11" ht="36">
      <c r="C22" s="191"/>
      <c r="E22" s="208" t="s">
        <v>849</v>
      </c>
      <c r="F22" s="359"/>
      <c r="G22" s="359"/>
    </row>
    <row r="23" spans="1:11">
      <c r="C23" s="191"/>
      <c r="E23" s="209">
        <v>87</v>
      </c>
      <c r="F23" s="359"/>
      <c r="G23" s="359"/>
    </row>
    <row r="24" spans="1:11">
      <c r="C24" s="191" t="s">
        <v>859</v>
      </c>
    </row>
    <row r="26" spans="1:11">
      <c r="A26" t="s">
        <v>872</v>
      </c>
    </row>
    <row r="28" spans="1:11">
      <c r="A28" t="s">
        <v>868</v>
      </c>
    </row>
    <row r="29" spans="1:11">
      <c r="A29" s="211" t="s">
        <v>874</v>
      </c>
    </row>
    <row r="30" spans="1:11">
      <c r="A30" s="211"/>
    </row>
    <row r="31" spans="1:11">
      <c r="A31" t="s">
        <v>869</v>
      </c>
    </row>
    <row r="32" spans="1:11">
      <c r="A32" s="211" t="s">
        <v>873</v>
      </c>
    </row>
    <row r="34" spans="1:1" ht="14.4">
      <c r="A34" s="210" t="s">
        <v>851</v>
      </c>
    </row>
    <row r="35" spans="1:1">
      <c r="A35" t="s">
        <v>866</v>
      </c>
    </row>
    <row r="37" spans="1:1">
      <c r="A37" t="s">
        <v>864</v>
      </c>
    </row>
    <row r="39" spans="1:1">
      <c r="A39" t="s">
        <v>865</v>
      </c>
    </row>
    <row r="41" spans="1:1">
      <c r="A41" s="211"/>
    </row>
    <row r="42" spans="1:1">
      <c r="A42" s="211"/>
    </row>
    <row r="46" spans="1:1">
      <c r="A46" s="211"/>
    </row>
    <row r="47" spans="1:1">
      <c r="A47" s="211"/>
    </row>
    <row r="49" spans="1:1">
      <c r="A49" s="211"/>
    </row>
  </sheetData>
  <mergeCells count="1">
    <mergeCell ref="F20:G2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I42"/>
  <sheetViews>
    <sheetView view="pageBreakPreview" zoomScale="60" zoomScaleNormal="100" workbookViewId="0">
      <selection sqref="A1:XFD1048576"/>
    </sheetView>
  </sheetViews>
  <sheetFormatPr defaultRowHeight="13.2"/>
  <cols>
    <col min="1" max="1" width="26" customWidth="1"/>
    <col min="2" max="2" width="16.5546875" customWidth="1"/>
  </cols>
  <sheetData>
    <row r="2" spans="1:9">
      <c r="A2" s="212" t="s">
        <v>847</v>
      </c>
      <c r="B2" s="212"/>
      <c r="C2" s="212"/>
      <c r="D2" s="213"/>
    </row>
    <row r="4" spans="1:9">
      <c r="A4" s="212" t="s">
        <v>846</v>
      </c>
      <c r="B4" s="212"/>
      <c r="C4" s="212"/>
      <c r="D4" s="213"/>
    </row>
    <row r="6" spans="1:9">
      <c r="A6" s="212" t="s">
        <v>845</v>
      </c>
      <c r="B6" s="212"/>
      <c r="C6" s="212"/>
      <c r="D6" s="213"/>
    </row>
    <row r="7" spans="1:9">
      <c r="A7" s="1"/>
      <c r="B7" s="1"/>
      <c r="C7" s="1"/>
      <c r="D7" t="s">
        <v>381</v>
      </c>
      <c r="G7" t="s">
        <v>387</v>
      </c>
    </row>
    <row r="8" spans="1:9">
      <c r="D8" t="s">
        <v>878</v>
      </c>
      <c r="E8" t="s">
        <v>879</v>
      </c>
      <c r="F8" t="s">
        <v>880</v>
      </c>
      <c r="G8" t="s">
        <v>878</v>
      </c>
      <c r="H8" t="s">
        <v>879</v>
      </c>
      <c r="I8" t="s">
        <v>880</v>
      </c>
    </row>
    <row r="9" spans="1:9">
      <c r="A9" s="214" t="s">
        <v>793</v>
      </c>
      <c r="B9" s="212" t="s">
        <v>844</v>
      </c>
      <c r="C9" s="212"/>
      <c r="D9" s="213"/>
      <c r="E9" s="213"/>
      <c r="F9" s="213"/>
      <c r="G9" s="213"/>
      <c r="H9" s="213"/>
      <c r="I9" s="213"/>
    </row>
    <row r="10" spans="1:9">
      <c r="A10" s="1"/>
      <c r="B10" s="212" t="s">
        <v>843</v>
      </c>
      <c r="C10" s="212"/>
      <c r="D10" s="213"/>
      <c r="E10" s="213"/>
      <c r="F10" s="213"/>
      <c r="G10" s="213"/>
      <c r="H10" s="213"/>
      <c r="I10" s="213"/>
    </row>
    <row r="11" spans="1:9">
      <c r="A11" s="1"/>
      <c r="B11" s="212" t="s">
        <v>842</v>
      </c>
      <c r="C11" s="212"/>
      <c r="D11" s="213"/>
      <c r="E11" s="213"/>
      <c r="F11" s="213"/>
      <c r="G11" s="213"/>
      <c r="H11" s="213"/>
      <c r="I11" s="213"/>
    </row>
    <row r="12" spans="1:9">
      <c r="A12" s="1"/>
      <c r="B12" s="212" t="s">
        <v>841</v>
      </c>
      <c r="C12" s="212"/>
      <c r="D12" s="213"/>
      <c r="E12" s="213"/>
      <c r="F12" s="213"/>
      <c r="G12" s="213"/>
      <c r="H12" s="213"/>
      <c r="I12" s="213"/>
    </row>
    <row r="13" spans="1:9">
      <c r="A13" s="1"/>
      <c r="B13" s="212" t="s">
        <v>840</v>
      </c>
      <c r="C13" s="212"/>
      <c r="D13" s="213"/>
      <c r="E13" s="213"/>
      <c r="F13" s="213"/>
      <c r="G13" s="213"/>
      <c r="H13" s="213"/>
      <c r="I13" s="213"/>
    </row>
    <row r="14" spans="1:9">
      <c r="A14" s="1"/>
      <c r="B14" s="212" t="s">
        <v>839</v>
      </c>
      <c r="C14" s="212"/>
      <c r="D14" s="213"/>
      <c r="E14" s="213"/>
      <c r="F14" s="213"/>
      <c r="G14" s="213"/>
      <c r="H14" s="213"/>
      <c r="I14" s="213"/>
    </row>
    <row r="15" spans="1:9">
      <c r="A15" s="3"/>
      <c r="B15" s="212" t="s">
        <v>838</v>
      </c>
      <c r="C15" s="212"/>
      <c r="D15" s="213"/>
      <c r="E15" s="213"/>
      <c r="F15" s="213"/>
      <c r="G15" s="213"/>
      <c r="H15" s="213"/>
      <c r="I15" s="213"/>
    </row>
    <row r="17" spans="1:5">
      <c r="D17" t="s">
        <v>381</v>
      </c>
      <c r="E17" t="s">
        <v>387</v>
      </c>
    </row>
    <row r="18" spans="1:5">
      <c r="A18" s="212" t="s">
        <v>881</v>
      </c>
      <c r="B18" s="212"/>
      <c r="C18" s="212"/>
      <c r="D18" s="213"/>
      <c r="E18" s="213"/>
    </row>
    <row r="20" spans="1:5">
      <c r="A20" s="212" t="s">
        <v>837</v>
      </c>
      <c r="B20" s="212"/>
      <c r="C20" s="212"/>
      <c r="D20" s="213"/>
      <c r="E20" s="213"/>
    </row>
    <row r="22" spans="1:5">
      <c r="A22" s="212" t="s">
        <v>882</v>
      </c>
      <c r="B22" s="212"/>
      <c r="C22" s="212"/>
      <c r="D22" s="213"/>
      <c r="E22" s="213"/>
    </row>
    <row r="24" spans="1:5">
      <c r="A24" s="212" t="s">
        <v>883</v>
      </c>
      <c r="B24" s="212"/>
      <c r="C24" s="215"/>
      <c r="D24" s="213"/>
      <c r="E24" s="213"/>
    </row>
    <row r="26" spans="1:5">
      <c r="A26" s="214" t="s">
        <v>836</v>
      </c>
      <c r="B26" s="214" t="s">
        <v>408</v>
      </c>
      <c r="C26" s="212" t="s">
        <v>374</v>
      </c>
      <c r="D26" s="213"/>
      <c r="E26" s="213"/>
    </row>
    <row r="27" spans="1:5">
      <c r="A27" s="1"/>
      <c r="B27" s="3"/>
      <c r="C27" s="212" t="s">
        <v>835</v>
      </c>
      <c r="D27" s="213"/>
      <c r="E27" s="213"/>
    </row>
    <row r="28" spans="1:5">
      <c r="A28" s="1"/>
      <c r="B28" s="212" t="s">
        <v>834</v>
      </c>
      <c r="C28" s="212"/>
      <c r="D28" s="213"/>
      <c r="E28" s="213"/>
    </row>
    <row r="29" spans="1:5">
      <c r="A29" s="1"/>
      <c r="B29" s="212" t="s">
        <v>354</v>
      </c>
      <c r="C29" s="212"/>
      <c r="D29" s="213"/>
      <c r="E29" s="213"/>
    </row>
    <row r="30" spans="1:5">
      <c r="A30" s="1"/>
      <c r="B30" s="212" t="s">
        <v>833</v>
      </c>
      <c r="C30" s="212"/>
      <c r="D30" s="213"/>
      <c r="E30" s="213"/>
    </row>
    <row r="31" spans="1:5">
      <c r="A31" s="3"/>
      <c r="B31" s="212" t="s">
        <v>832</v>
      </c>
      <c r="C31" s="212"/>
      <c r="D31" s="213"/>
      <c r="E31" s="213"/>
    </row>
    <row r="33" spans="1:5">
      <c r="A33" s="214" t="s">
        <v>831</v>
      </c>
      <c r="B33" s="212" t="s">
        <v>830</v>
      </c>
      <c r="C33" s="212"/>
      <c r="D33" s="213"/>
      <c r="E33" s="213"/>
    </row>
    <row r="34" spans="1:5">
      <c r="A34" s="3"/>
      <c r="B34" s="212" t="s">
        <v>884</v>
      </c>
      <c r="C34" s="212"/>
      <c r="D34" s="213"/>
      <c r="E34" s="213"/>
    </row>
    <row r="36" spans="1:5">
      <c r="A36" s="214" t="s">
        <v>829</v>
      </c>
      <c r="B36" s="212" t="s">
        <v>828</v>
      </c>
      <c r="C36" s="212"/>
      <c r="D36" s="213"/>
      <c r="E36" s="213"/>
    </row>
    <row r="37" spans="1:5">
      <c r="A37" s="1"/>
      <c r="B37" s="212" t="s">
        <v>827</v>
      </c>
      <c r="C37" s="212"/>
      <c r="D37" s="213"/>
      <c r="E37" s="213"/>
    </row>
    <row r="38" spans="1:5">
      <c r="A38" s="1"/>
      <c r="B38" s="212" t="s">
        <v>798</v>
      </c>
      <c r="C38" s="212"/>
      <c r="D38" s="213"/>
      <c r="E38" s="213"/>
    </row>
    <row r="39" spans="1:5">
      <c r="A39" s="3"/>
      <c r="B39" s="212" t="s">
        <v>826</v>
      </c>
      <c r="C39" s="212"/>
      <c r="D39" s="213"/>
      <c r="E39" s="213"/>
    </row>
    <row r="41" spans="1:5">
      <c r="A41" s="214" t="s">
        <v>825</v>
      </c>
      <c r="B41" s="212" t="s">
        <v>824</v>
      </c>
      <c r="C41" s="212"/>
      <c r="D41" s="213"/>
      <c r="E41" s="213"/>
    </row>
    <row r="42" spans="1:5">
      <c r="A42" s="3"/>
      <c r="B42" s="3" t="s">
        <v>884</v>
      </c>
      <c r="C42" s="3"/>
      <c r="D42" s="216"/>
      <c r="E42" s="213"/>
    </row>
  </sheetData>
  <pageMargins left="0.7" right="0.7" top="0.75" bottom="0.75" header="0.3" footer="0.3"/>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8FD8C3C5FF6F64B9D4367B81D88DE0E" ma:contentTypeVersion="13" ma:contentTypeDescription="Create a new document." ma:contentTypeScope="" ma:versionID="4542aec4fcb3b327865cbc752293b694">
  <xsd:schema xmlns:xsd="http://www.w3.org/2001/XMLSchema" xmlns:p="http://schemas.microsoft.com/office/2006/metadata/properties" xmlns:ns3="c0c43d4d-b7da-4a2b-8f97-25182fb94a41" xmlns:ns4="15e9fc89-c4ce-4b6c-ba83-13639de65aee" targetNamespace="http://schemas.microsoft.com/office/2006/metadata/properties" ma:root="true" ma:fieldsID="3d3b6c5e3d0fb136d82eb1587e6c3c75" ns3:_="" ns4:_="">
    <xsd:import namespace="c0c43d4d-b7da-4a2b-8f97-25182fb94a41"/>
    <xsd:import namespace="15e9fc89-c4ce-4b6c-ba83-13639de65aee"/>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EventHashCode" minOccurs="0"/>
                <xsd:element ref="ns4:MediaServiceGenerationTime" minOccurs="0"/>
              </xsd:all>
            </xsd:complexType>
          </xsd:element>
        </xsd:sequence>
      </xsd:complexType>
    </xsd:element>
  </xsd:schema>
  <xsd:schema xmlns:xsd="http://www.w3.org/2001/XMLSchema" xmlns:dms="http://schemas.microsoft.com/office/2006/documentManagement/types" targetNamespace="c0c43d4d-b7da-4a2b-8f97-25182fb94a41" elementFormDefault="qualified">
    <xsd:import namespace="http://schemas.microsoft.com/office/2006/documentManagement/type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simpleType>
    </xsd:element>
    <xsd:element name="SharingHintHash" ma:index="10" nillable="true" ma:displayName="Sharing Hint Hash"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dms="http://schemas.microsoft.com/office/2006/documentManagement/types" targetNamespace="15e9fc89-c4ce-4b6c-ba83-13639de65aee" elementFormDefault="qualified">
    <xsd:import namespace="http://schemas.microsoft.com/office/2006/documentManagement/type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simpleType>
    </xsd:element>
    <xsd:element name="MediaServiceLocation" ma:index="18" nillable="true" ma:displayName="MediaServiceLocation" ma:internalName="MediaServiceLocation"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9388310-CBA3-45B3-B56C-2FDE3E18EB0F}">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c0c43d4d-b7da-4a2b-8f97-25182fb94a41"/>
    <ds:schemaRef ds:uri="15e9fc89-c4ce-4b6c-ba83-13639de65aee"/>
    <ds:schemaRef ds:uri="http://schemas.openxmlformats.org/package/2006/metadata/core-properties"/>
  </ds:schemaRefs>
</ds:datastoreItem>
</file>

<file path=customXml/itemProps2.xml><?xml version="1.0" encoding="utf-8"?>
<ds:datastoreItem xmlns:ds="http://schemas.openxmlformats.org/officeDocument/2006/customXml" ds:itemID="{BC450174-A772-4BC9-8694-C466A31A5032}">
  <ds:schemaRefs>
    <ds:schemaRef ds:uri="http://schemas.microsoft.com/sharepoint/v3/contenttype/forms"/>
  </ds:schemaRefs>
</ds:datastoreItem>
</file>

<file path=customXml/itemProps3.xml><?xml version="1.0" encoding="utf-8"?>
<ds:datastoreItem xmlns:ds="http://schemas.openxmlformats.org/officeDocument/2006/customXml" ds:itemID="{A4803A2A-20C7-4049-B4E2-C9B74C3CCA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c43d4d-b7da-4a2b-8f97-25182fb94a41"/>
    <ds:schemaRef ds:uri="15e9fc89-c4ce-4b6c-ba83-13639de65ae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Profile</vt:lpstr>
      <vt:lpstr>Authorities1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Ricky</dc:creator>
  <cp:lastModifiedBy>Dan Worth</cp:lastModifiedBy>
  <dcterms:created xsi:type="dcterms:W3CDTF">2014-11-12T09:55:50Z</dcterms:created>
  <dcterms:modified xsi:type="dcterms:W3CDTF">2020-10-02T11:25:12Z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CL2PublicationSequence">
    <vt:lpwstr>100.000000000000</vt:lpwstr>
  </property>
  <property fmtid="{D5CDD505-2E9C-101B-9397-08002B2CF9AE}" pid="3" name="IsMyDocuments">
    <vt:bool>true</vt:bool>
  </property>
  <property fmtid="{D5CDD505-2E9C-101B-9397-08002B2CF9AE}" pid="4" name="ACSuppressRecentUpdates">
    <vt:lpwstr>0</vt:lpwstr>
  </property>
  <property fmtid="{D5CDD505-2E9C-101B-9397-08002B2CF9AE}" pid="5" name="Categories">
    <vt:lpwstr/>
  </property>
  <property fmtid="{D5CDD505-2E9C-101B-9397-08002B2CF9AE}" pid="6" name="Approval Level">
    <vt:lpwstr/>
  </property>
  <property fmtid="{D5CDD505-2E9C-101B-9397-08002B2CF9AE}" pid="7" name="ACCreationDate">
    <vt:lpwstr>2009-12-11T15:48:00Z</vt:lpwstr>
  </property>
  <property fmtid="{D5CDD505-2E9C-101B-9397-08002B2CF9AE}" pid="8" name="ContentTypeId">
    <vt:lpwstr>0x010100C8FD8C3C5FF6F64B9D4367B81D88DE0E</vt:lpwstr>
  </property>
  <property fmtid="{D5CDD505-2E9C-101B-9397-08002B2CF9AE}" pid="9" name="ACTridionRef">
    <vt:lpwstr/>
  </property>
  <property fmtid="{D5CDD505-2E9C-101B-9397-08002B2CF9AE}" pid="10" name="Assigned To">
    <vt:lpwstr/>
  </property>
  <property fmtid="{D5CDD505-2E9C-101B-9397-08002B2CF9AE}" pid="11" name="ACMeridioRef">
    <vt:lpwstr/>
  </property>
  <property fmtid="{D5CDD505-2E9C-101B-9397-08002B2CF9AE}" pid="12" name="ACDisplayAlertControl">
    <vt:lpwstr>0</vt:lpwstr>
  </property>
  <property fmtid="{D5CDD505-2E9C-101B-9397-08002B2CF9AE}" pid="13" name="ACRelevantAIBL">
    <vt:lpwstr>0</vt:lpwstr>
  </property>
  <property fmtid="{D5CDD505-2E9C-101B-9397-08002B2CF9AE}" pid="14" name="ACSecondarySectorL">
    <vt:lpwstr/>
  </property>
  <property fmtid="{D5CDD505-2E9C-101B-9397-08002B2CF9AE}" pid="15" name="ACSuppressL2">
    <vt:lpwstr>0</vt:lpwstr>
  </property>
</Properties>
</file>