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7" documentId="8_{C4FC5CE1-A039-44BB-9341-C1E39308670A}" xr6:coauthVersionLast="45" xr6:coauthVersionMax="45" xr10:uidLastSave="{6CF255A2-A59F-4BC6-B5D1-DCD8B54075D9}"/>
  <workbookProtection workbookAlgorithmName="SHA-512" workbookHashValue="1ZiBVLr2d0JtOtoGTfZtJ9I+JfOttyPkRey3wU/1ICu8w92VQgpBWcBfwFM5uxo1KKV7PlzQgQ7bIUPxUuyzZQ==" workbookSaltValue="IbcSJhXjkx2iSCbIxyUJtg==" workbookSpinCount="100000" lockStructure="1"/>
  <bookViews>
    <workbookView xWindow="30150" yWindow="795" windowWidth="23880" windowHeight="19635"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8" i="16" l="1"/>
  <c r="I368" i="16" s="1"/>
  <c r="H367" i="16"/>
  <c r="I367" i="16" s="1"/>
  <c r="H366" i="16"/>
  <c r="I366" i="16" s="1"/>
  <c r="H365" i="16"/>
  <c r="I365" i="16" s="1"/>
  <c r="H364" i="16"/>
  <c r="I364" i="16" s="1"/>
  <c r="H363" i="16"/>
  <c r="I363" i="16" s="1"/>
  <c r="H361" i="16"/>
  <c r="I361" i="16" s="1"/>
  <c r="H360" i="16"/>
  <c r="I360" i="16" s="1"/>
  <c r="H359" i="16"/>
  <c r="I359" i="16" s="1"/>
  <c r="H358" i="16"/>
  <c r="I358" i="16" s="1"/>
  <c r="H357" i="16"/>
  <c r="I357" i="16" s="1"/>
  <c r="H356" i="16"/>
  <c r="I356" i="16" s="1"/>
  <c r="H355" i="16"/>
  <c r="I355" i="16" s="1"/>
  <c r="H354" i="16"/>
  <c r="I354" i="16" s="1"/>
  <c r="H353" i="16"/>
  <c r="I353" i="16" s="1"/>
  <c r="H352" i="16"/>
  <c r="I352" i="16" s="1"/>
  <c r="H351" i="16"/>
  <c r="I351" i="16" s="1"/>
  <c r="H349" i="16"/>
  <c r="I349" i="16" s="1"/>
  <c r="H348" i="16"/>
  <c r="I348" i="16" s="1"/>
  <c r="H347" i="16"/>
  <c r="I347" i="16" s="1"/>
  <c r="H346" i="16"/>
  <c r="I346" i="16" s="1"/>
  <c r="H345" i="16"/>
  <c r="I345" i="16" s="1"/>
  <c r="H344" i="16"/>
  <c r="I344" i="16" s="1"/>
  <c r="H343" i="16"/>
  <c r="I343" i="16" s="1"/>
  <c r="H342" i="16"/>
  <c r="I342" i="16" s="1"/>
  <c r="H341" i="16"/>
  <c r="I341" i="16" s="1"/>
  <c r="H340" i="16"/>
  <c r="I340" i="16" s="1"/>
  <c r="H339" i="16"/>
  <c r="I339" i="16" s="1"/>
  <c r="H338" i="16"/>
  <c r="I338" i="16" s="1"/>
  <c r="H337" i="16"/>
  <c r="I337" i="16" s="1"/>
  <c r="H336" i="16"/>
  <c r="I336" i="16" s="1"/>
  <c r="H334" i="16"/>
  <c r="I334" i="16" s="1"/>
  <c r="H333" i="16"/>
  <c r="I333" i="16" s="1"/>
  <c r="H332" i="16"/>
  <c r="I332" i="16" s="1"/>
  <c r="H331" i="16"/>
  <c r="I331" i="16" s="1"/>
  <c r="H330" i="16"/>
  <c r="I330" i="16" s="1"/>
  <c r="H329" i="16"/>
  <c r="I329" i="16" s="1"/>
  <c r="H328" i="16"/>
  <c r="I328" i="16" s="1"/>
  <c r="H327" i="16"/>
  <c r="I327" i="16" s="1"/>
  <c r="H326" i="16"/>
  <c r="I326" i="16" s="1"/>
  <c r="H325" i="16"/>
  <c r="I325" i="16" s="1"/>
  <c r="H324" i="16"/>
  <c r="I324" i="16" s="1"/>
  <c r="H323" i="16"/>
  <c r="I323" i="16" s="1"/>
  <c r="H322" i="16"/>
  <c r="I322" i="16" s="1"/>
  <c r="H321" i="16"/>
  <c r="I321" i="16" s="1"/>
  <c r="H320" i="16"/>
  <c r="I320" i="16" s="1"/>
  <c r="H319" i="16"/>
  <c r="I319" i="16" s="1"/>
  <c r="H318" i="16"/>
  <c r="I318" i="16" s="1"/>
  <c r="H317" i="16"/>
  <c r="I317" i="16" s="1"/>
  <c r="H316" i="16"/>
  <c r="I316" i="16" s="1"/>
  <c r="H315" i="16"/>
  <c r="I315" i="16" s="1"/>
  <c r="H314" i="16"/>
  <c r="I314" i="16" s="1"/>
  <c r="H313" i="16"/>
  <c r="I313" i="16" s="1"/>
  <c r="H312" i="16"/>
  <c r="I312" i="16" s="1"/>
  <c r="H311" i="16"/>
  <c r="I311" i="16" s="1"/>
  <c r="H310" i="16"/>
  <c r="I310" i="16" s="1"/>
  <c r="H309" i="16"/>
  <c r="I309" i="16" s="1"/>
  <c r="H308" i="16"/>
  <c r="I308" i="16" s="1"/>
  <c r="H307" i="16"/>
  <c r="I307" i="16" s="1"/>
  <c r="H306" i="16"/>
  <c r="I306" i="16" s="1"/>
  <c r="H305" i="16"/>
  <c r="I305" i="16" s="1"/>
  <c r="H303" i="16"/>
  <c r="I303" i="16" s="1"/>
  <c r="H302" i="16"/>
  <c r="I302" i="16" s="1"/>
  <c r="H300" i="16"/>
  <c r="I300" i="16" s="1"/>
  <c r="H299" i="16"/>
  <c r="I299" i="16" s="1"/>
  <c r="H298" i="16"/>
  <c r="I298" i="16" s="1"/>
  <c r="H297" i="16"/>
  <c r="I297" i="16" s="1"/>
  <c r="H296" i="16"/>
  <c r="I296" i="16" s="1"/>
  <c r="H295" i="16"/>
  <c r="I295" i="16" s="1"/>
  <c r="H294" i="16"/>
  <c r="I294" i="16" s="1"/>
  <c r="H292" i="16"/>
  <c r="I292" i="16" s="1"/>
  <c r="H291" i="16"/>
  <c r="I291" i="16" s="1"/>
  <c r="H290" i="16"/>
  <c r="I290" i="16" s="1"/>
  <c r="H289" i="16"/>
  <c r="I289" i="16" s="1"/>
  <c r="H288" i="16"/>
  <c r="I288" i="16" s="1"/>
  <c r="H287" i="16"/>
  <c r="I287" i="16" s="1"/>
  <c r="H286" i="16"/>
  <c r="I286" i="16" s="1"/>
  <c r="H285" i="16"/>
  <c r="I285" i="16" s="1"/>
  <c r="H284" i="16"/>
  <c r="I284" i="16" s="1"/>
  <c r="H283" i="16"/>
  <c r="I283" i="16" s="1"/>
  <c r="H282" i="16"/>
  <c r="I282" i="16" s="1"/>
  <c r="H281" i="16"/>
  <c r="I281" i="16" s="1"/>
  <c r="H280" i="16"/>
  <c r="I280" i="16" s="1"/>
  <c r="H279" i="16"/>
  <c r="I279" i="16" s="1"/>
  <c r="H278" i="16"/>
  <c r="I278" i="16" s="1"/>
  <c r="H277" i="16"/>
  <c r="I277" i="16" s="1"/>
  <c r="H276" i="16"/>
  <c r="I276" i="16" s="1"/>
  <c r="H275" i="16"/>
  <c r="I275" i="16" s="1"/>
  <c r="H274" i="16"/>
  <c r="I274" i="16" s="1"/>
  <c r="H273" i="16"/>
  <c r="I273" i="16" s="1"/>
  <c r="H272" i="16"/>
  <c r="I272" i="16" s="1"/>
  <c r="H271" i="16"/>
  <c r="I271" i="16" s="1"/>
  <c r="H270" i="16"/>
  <c r="I270" i="16" s="1"/>
  <c r="H269" i="16"/>
  <c r="I269" i="16" s="1"/>
  <c r="H267" i="16"/>
  <c r="I267" i="16" s="1"/>
  <c r="H266" i="16"/>
  <c r="I266" i="16" s="1"/>
  <c r="H265" i="16"/>
  <c r="I265" i="16" s="1"/>
  <c r="H264" i="16"/>
  <c r="I264" i="16" s="1"/>
  <c r="H263" i="16"/>
  <c r="I263" i="16" s="1"/>
  <c r="H262" i="16"/>
  <c r="I262" i="16" s="1"/>
  <c r="H261" i="16"/>
  <c r="I261" i="16" s="1"/>
  <c r="H260" i="16"/>
  <c r="I260" i="16" s="1"/>
  <c r="H259" i="16"/>
  <c r="I259" i="16" s="1"/>
  <c r="H258" i="16"/>
  <c r="I258" i="16" s="1"/>
  <c r="H257" i="16"/>
  <c r="I257" i="16" s="1"/>
  <c r="H256" i="16"/>
  <c r="I256" i="16" s="1"/>
  <c r="H255" i="16"/>
  <c r="I255" i="16" s="1"/>
  <c r="H254" i="16"/>
  <c r="I254" i="16" s="1"/>
  <c r="H253" i="16"/>
  <c r="I253" i="16" s="1"/>
  <c r="H252" i="16"/>
  <c r="I252" i="16" s="1"/>
  <c r="H251" i="16"/>
  <c r="I251" i="16" s="1"/>
  <c r="H250" i="16"/>
  <c r="I250" i="16" s="1"/>
  <c r="H249" i="16"/>
  <c r="I249" i="16" s="1"/>
  <c r="H248" i="16"/>
  <c r="I248" i="16" s="1"/>
  <c r="H247" i="16"/>
  <c r="I247" i="16" s="1"/>
  <c r="H246" i="16"/>
  <c r="I246" i="16" s="1"/>
  <c r="H245" i="16"/>
  <c r="I245" i="16" s="1"/>
  <c r="H244" i="16"/>
  <c r="I244" i="16" s="1"/>
  <c r="H243" i="16"/>
  <c r="I243" i="16" s="1"/>
  <c r="H242" i="16"/>
  <c r="I242" i="16" s="1"/>
  <c r="H241" i="16"/>
  <c r="I241" i="16" s="1"/>
  <c r="H240" i="16"/>
  <c r="I240" i="16" s="1"/>
  <c r="H239" i="16"/>
  <c r="I239" i="16" s="1"/>
  <c r="H238" i="16"/>
  <c r="I238" i="16" s="1"/>
  <c r="H237" i="16"/>
  <c r="I237" i="16" s="1"/>
  <c r="H236" i="16"/>
  <c r="I236" i="16" s="1"/>
  <c r="H235" i="16"/>
  <c r="I235" i="16" s="1"/>
  <c r="H234" i="16"/>
  <c r="I234" i="16" s="1"/>
  <c r="H233" i="16"/>
  <c r="I233" i="16" s="1"/>
  <c r="H232" i="16"/>
  <c r="I232" i="16" s="1"/>
  <c r="H231" i="16"/>
  <c r="I231" i="16" s="1"/>
  <c r="H230" i="16"/>
  <c r="I230" i="16" s="1"/>
  <c r="H228" i="16"/>
  <c r="I228" i="16" s="1"/>
  <c r="H227" i="16"/>
  <c r="I227" i="16" s="1"/>
  <c r="H226" i="16"/>
  <c r="I226" i="16" s="1"/>
  <c r="H225" i="16"/>
  <c r="I225" i="16" s="1"/>
  <c r="H223" i="16"/>
  <c r="I223" i="16" s="1"/>
  <c r="H222" i="16"/>
  <c r="I222" i="16" s="1"/>
  <c r="H221" i="16"/>
  <c r="I221" i="16" s="1"/>
  <c r="H219" i="16"/>
  <c r="I219" i="16" s="1"/>
  <c r="H217" i="16"/>
  <c r="I217" i="16" s="1"/>
  <c r="H216" i="16"/>
  <c r="I216" i="16" s="1"/>
  <c r="H215" i="16"/>
  <c r="I215" i="16" s="1"/>
  <c r="H214" i="16"/>
  <c r="I214" i="16" s="1"/>
  <c r="H213" i="16"/>
  <c r="I213" i="16" s="1"/>
  <c r="H212" i="16"/>
  <c r="I212" i="16" s="1"/>
  <c r="H211" i="16"/>
  <c r="I211" i="16" s="1"/>
  <c r="H210" i="16"/>
  <c r="I210" i="16" s="1"/>
  <c r="H209" i="16"/>
  <c r="I209" i="16" s="1"/>
  <c r="H208" i="16"/>
  <c r="I208" i="16" s="1"/>
  <c r="H207" i="16"/>
  <c r="I207" i="16" s="1"/>
  <c r="H206" i="16"/>
  <c r="I206" i="16" s="1"/>
  <c r="H204" i="16"/>
  <c r="I204" i="16" s="1"/>
  <c r="H203" i="16"/>
  <c r="I203" i="16" s="1"/>
  <c r="H202" i="16"/>
  <c r="I202" i="16" s="1"/>
  <c r="H201" i="16"/>
  <c r="I201" i="16" s="1"/>
  <c r="H200" i="16"/>
  <c r="I200" i="16" s="1"/>
  <c r="H199" i="16"/>
  <c r="I199" i="16" s="1"/>
  <c r="H198" i="16"/>
  <c r="I198" i="16" s="1"/>
  <c r="H197" i="16"/>
  <c r="I197" i="16" s="1"/>
  <c r="H196" i="16"/>
  <c r="I196" i="16" s="1"/>
  <c r="H195" i="16"/>
  <c r="I195" i="16" s="1"/>
  <c r="H194" i="16"/>
  <c r="I194" i="16" s="1"/>
  <c r="H193" i="16"/>
  <c r="I193" i="16" s="1"/>
  <c r="H192" i="16"/>
  <c r="I192" i="16" s="1"/>
  <c r="H191" i="16"/>
  <c r="I191" i="16" s="1"/>
  <c r="H190" i="16"/>
  <c r="I190" i="16" s="1"/>
  <c r="H189" i="16"/>
  <c r="I189" i="16" s="1"/>
  <c r="H188" i="16"/>
  <c r="I188" i="16" s="1"/>
  <c r="H187" i="16"/>
  <c r="I187" i="16" s="1"/>
  <c r="H186" i="16"/>
  <c r="I186" i="16" s="1"/>
  <c r="H185" i="16"/>
  <c r="I185" i="16" s="1"/>
  <c r="H184" i="16"/>
  <c r="I184" i="16" s="1"/>
  <c r="H183" i="16"/>
  <c r="I183" i="16" s="1"/>
  <c r="H181" i="16"/>
  <c r="I181" i="16" s="1"/>
  <c r="H180" i="16"/>
  <c r="I180" i="16" s="1"/>
  <c r="H179" i="16"/>
  <c r="I179" i="16" s="1"/>
  <c r="H178" i="16"/>
  <c r="I178" i="16" s="1"/>
  <c r="H176" i="16"/>
  <c r="I176" i="16" s="1"/>
  <c r="H175" i="16"/>
  <c r="I175" i="16" s="1"/>
  <c r="H174" i="16"/>
  <c r="I174" i="16" s="1"/>
  <c r="H172" i="16"/>
  <c r="I172" i="16" s="1"/>
  <c r="H171" i="16"/>
  <c r="I171" i="16" s="1"/>
  <c r="H170" i="16"/>
  <c r="I170" i="16" s="1"/>
  <c r="H169" i="16"/>
  <c r="I169" i="16" s="1"/>
  <c r="H168" i="16"/>
  <c r="I168" i="16" s="1"/>
  <c r="H167" i="16"/>
  <c r="I167" i="16" s="1"/>
  <c r="H166" i="16"/>
  <c r="I166" i="16" s="1"/>
  <c r="H164" i="16"/>
  <c r="I164" i="16" s="1"/>
  <c r="H163" i="16"/>
  <c r="I163" i="16" s="1"/>
  <c r="H162" i="16"/>
  <c r="I162" i="16" s="1"/>
  <c r="H161" i="16"/>
  <c r="I161" i="16" s="1"/>
  <c r="H160" i="16"/>
  <c r="I160" i="16" s="1"/>
  <c r="H159" i="16"/>
  <c r="I159" i="16" s="1"/>
  <c r="H158" i="16"/>
  <c r="I158" i="16" s="1"/>
  <c r="H157" i="16"/>
  <c r="I157" i="16" s="1"/>
  <c r="H156" i="16"/>
  <c r="I156" i="16" s="1"/>
  <c r="H155" i="16"/>
  <c r="I155" i="16" s="1"/>
  <c r="H154" i="16"/>
  <c r="I154" i="16" s="1"/>
  <c r="H153" i="16"/>
  <c r="I153" i="16" s="1"/>
  <c r="H152" i="16"/>
  <c r="I152" i="16" s="1"/>
  <c r="H150" i="16"/>
  <c r="I150" i="16" s="1"/>
  <c r="H149" i="16"/>
  <c r="I149" i="16" s="1"/>
  <c r="H148" i="16"/>
  <c r="I148" i="16" s="1"/>
  <c r="H147" i="16"/>
  <c r="I147" i="16" s="1"/>
  <c r="H146" i="16"/>
  <c r="I146" i="16" s="1"/>
  <c r="H145" i="16"/>
  <c r="I145" i="16" s="1"/>
  <c r="H144" i="16"/>
  <c r="I144" i="16" s="1"/>
  <c r="H143" i="16"/>
  <c r="I143" i="16" s="1"/>
  <c r="H142" i="16"/>
  <c r="I142" i="16" s="1"/>
  <c r="H141" i="16"/>
  <c r="I141" i="16" s="1"/>
  <c r="H140" i="16"/>
  <c r="I140" i="16" s="1"/>
  <c r="H138" i="16"/>
  <c r="I138" i="16" s="1"/>
  <c r="H137" i="16"/>
  <c r="I137" i="16" s="1"/>
  <c r="H136" i="16"/>
  <c r="I136" i="16" s="1"/>
  <c r="H135" i="16"/>
  <c r="I135" i="16" s="1"/>
  <c r="H134" i="16"/>
  <c r="I134" i="16" s="1"/>
  <c r="H133" i="16"/>
  <c r="I133" i="16" s="1"/>
  <c r="H132" i="16"/>
  <c r="I132" i="16" s="1"/>
  <c r="H131" i="16"/>
  <c r="I131" i="16" s="1"/>
  <c r="H130" i="16"/>
  <c r="I130" i="16" s="1"/>
  <c r="H128" i="16"/>
  <c r="I128" i="16" s="1"/>
  <c r="H127" i="16"/>
  <c r="I127" i="16" s="1"/>
  <c r="H126" i="16"/>
  <c r="I126" i="16" s="1"/>
  <c r="H125" i="16"/>
  <c r="I125" i="16" s="1"/>
  <c r="H124" i="16"/>
  <c r="I124" i="16" s="1"/>
  <c r="H123" i="16"/>
  <c r="I123" i="16" s="1"/>
  <c r="H122" i="16"/>
  <c r="I122" i="16" s="1"/>
  <c r="H121" i="16"/>
  <c r="I121" i="16" s="1"/>
  <c r="H120" i="16"/>
  <c r="I120" i="16" s="1"/>
  <c r="H118" i="16"/>
  <c r="I118" i="16" s="1"/>
  <c r="H117" i="16"/>
  <c r="I117" i="16" s="1"/>
  <c r="H116" i="16"/>
  <c r="I116" i="16" s="1"/>
  <c r="H115" i="16"/>
  <c r="I115" i="16" s="1"/>
  <c r="H114" i="16"/>
  <c r="I114" i="16" s="1"/>
  <c r="H113" i="16"/>
  <c r="I113" i="16" s="1"/>
  <c r="H112" i="16"/>
  <c r="I112" i="16" s="1"/>
  <c r="H111" i="16"/>
  <c r="I111" i="16" s="1"/>
  <c r="H109" i="16"/>
  <c r="I109" i="16" s="1"/>
  <c r="H108" i="16"/>
  <c r="I108" i="16" s="1"/>
  <c r="H107" i="16"/>
  <c r="I107" i="16" s="1"/>
  <c r="H106" i="16"/>
  <c r="I106" i="16" s="1"/>
  <c r="H105" i="16"/>
  <c r="I105" i="16" s="1"/>
  <c r="H104" i="16"/>
  <c r="I104" i="16" s="1"/>
  <c r="H103" i="16"/>
  <c r="I103" i="16" s="1"/>
  <c r="H102" i="16"/>
  <c r="I102" i="16" s="1"/>
  <c r="H101" i="16"/>
  <c r="I101" i="16" s="1"/>
  <c r="H100" i="16"/>
  <c r="I100" i="16" s="1"/>
  <c r="H99" i="16"/>
  <c r="I99" i="16" s="1"/>
  <c r="H98" i="16"/>
  <c r="I98" i="16" s="1"/>
  <c r="H97" i="16"/>
  <c r="I97" i="16" s="1"/>
  <c r="H96" i="16"/>
  <c r="I96" i="16" s="1"/>
  <c r="H95" i="16"/>
  <c r="I95" i="16" s="1"/>
  <c r="H93" i="16"/>
  <c r="I93" i="16" s="1"/>
  <c r="H91" i="16"/>
  <c r="I91" i="16" s="1"/>
  <c r="H89" i="16"/>
  <c r="I89" i="16" s="1"/>
  <c r="H88" i="16"/>
  <c r="I88" i="16" s="1"/>
  <c r="H87" i="16"/>
  <c r="I87" i="16" s="1"/>
  <c r="H86" i="16"/>
  <c r="I86" i="16" s="1"/>
  <c r="H85" i="16"/>
  <c r="I85" i="16" s="1"/>
  <c r="H83" i="16"/>
  <c r="I83" i="16" s="1"/>
  <c r="H82" i="16"/>
  <c r="I82" i="16" s="1"/>
  <c r="H81" i="16"/>
  <c r="I81" i="16" s="1"/>
  <c r="H80" i="16"/>
  <c r="I80" i="16" s="1"/>
  <c r="H79" i="16"/>
  <c r="I79" i="16" s="1"/>
  <c r="H78" i="16"/>
  <c r="I78" i="16" s="1"/>
  <c r="H77" i="16"/>
  <c r="I77" i="16" s="1"/>
  <c r="H76" i="16"/>
  <c r="I76" i="16" s="1"/>
  <c r="H75" i="16"/>
  <c r="I75" i="16" s="1"/>
  <c r="H74" i="16"/>
  <c r="I74" i="16" s="1"/>
  <c r="H73" i="16"/>
  <c r="I73" i="16" s="1"/>
  <c r="H72" i="16"/>
  <c r="I72" i="16" s="1"/>
  <c r="H71" i="16"/>
  <c r="I71" i="16" s="1"/>
  <c r="H70" i="16"/>
  <c r="I70" i="16" s="1"/>
  <c r="H69" i="16"/>
  <c r="I69" i="16" s="1"/>
  <c r="H68" i="16"/>
  <c r="I68" i="16" s="1"/>
  <c r="H67" i="16"/>
  <c r="I67" i="16" s="1"/>
  <c r="H66" i="16"/>
  <c r="I66" i="16" s="1"/>
  <c r="H65" i="16"/>
  <c r="I65" i="16" s="1"/>
  <c r="H64" i="16"/>
  <c r="I64" i="16" s="1"/>
  <c r="H63" i="16"/>
  <c r="I63" i="16" s="1"/>
  <c r="H62" i="16"/>
  <c r="I62" i="16" s="1"/>
  <c r="H61" i="16"/>
  <c r="I61" i="16" s="1"/>
  <c r="H60" i="16"/>
  <c r="I60" i="16" s="1"/>
  <c r="H59" i="16"/>
  <c r="I59" i="16" s="1"/>
  <c r="H58" i="16"/>
  <c r="I58" i="16" s="1"/>
  <c r="H57" i="16"/>
  <c r="I57" i="16" s="1"/>
  <c r="H55" i="16"/>
  <c r="I55" i="16" s="1"/>
  <c r="H54" i="16"/>
  <c r="I54" i="16" s="1"/>
  <c r="H53" i="16"/>
  <c r="I53" i="16" s="1"/>
  <c r="H52" i="16"/>
  <c r="I52" i="16" s="1"/>
  <c r="H50" i="16"/>
  <c r="I50" i="16" s="1"/>
  <c r="H49" i="16"/>
  <c r="I49" i="16" s="1"/>
  <c r="H48" i="16"/>
  <c r="I48" i="16" s="1"/>
  <c r="H47" i="16"/>
  <c r="I47" i="16" s="1"/>
  <c r="H46" i="16"/>
  <c r="I46" i="16" s="1"/>
  <c r="H45" i="16"/>
  <c r="I45" i="16" s="1"/>
  <c r="H44" i="16"/>
  <c r="I44" i="16" s="1"/>
  <c r="H43" i="16"/>
  <c r="I43" i="16" s="1"/>
  <c r="H42" i="16"/>
  <c r="I42" i="16" s="1"/>
  <c r="H41" i="16"/>
  <c r="I41" i="16" s="1"/>
  <c r="H40" i="16"/>
  <c r="I40" i="16" s="1"/>
  <c r="H39" i="16"/>
  <c r="I39" i="16" s="1"/>
  <c r="H38" i="16"/>
  <c r="I38" i="16" s="1"/>
  <c r="H37" i="16"/>
  <c r="I37" i="16" s="1"/>
  <c r="H36" i="16"/>
  <c r="I36" i="16" s="1"/>
  <c r="H35" i="16"/>
  <c r="I35" i="16" s="1"/>
  <c r="H34" i="16"/>
  <c r="I34" i="16" s="1"/>
  <c r="H33" i="16"/>
  <c r="I33" i="16" s="1"/>
  <c r="H32" i="16"/>
  <c r="I32" i="16" s="1"/>
  <c r="H31" i="16"/>
  <c r="I31" i="16" s="1"/>
  <c r="H30" i="16"/>
  <c r="I30" i="16" s="1"/>
  <c r="H29" i="16"/>
  <c r="I29" i="16" s="1"/>
  <c r="H28" i="16"/>
  <c r="I28" i="16" s="1"/>
  <c r="H27" i="16"/>
  <c r="I27" i="16" s="1"/>
  <c r="H26" i="16"/>
  <c r="I26" i="16" s="1"/>
  <c r="H25" i="16"/>
  <c r="I25" i="16" s="1"/>
  <c r="H24" i="16"/>
  <c r="I24" i="16" s="1"/>
  <c r="H23" i="16"/>
  <c r="I23" i="16" s="1"/>
  <c r="H22" i="16"/>
  <c r="I22" i="16" s="1"/>
  <c r="H21" i="16"/>
  <c r="I21" i="16" s="1"/>
  <c r="H20" i="16"/>
  <c r="I20" i="16" s="1"/>
  <c r="H19" i="16"/>
  <c r="I19" i="16" s="1"/>
  <c r="H18" i="16"/>
  <c r="I18" i="16" s="1"/>
  <c r="H17" i="16"/>
  <c r="I17" i="16" s="1"/>
  <c r="H16" i="16"/>
  <c r="I16" i="16" s="1"/>
  <c r="H15" i="16"/>
  <c r="I15" i="16" s="1"/>
  <c r="H14" i="16"/>
  <c r="I14" i="16" s="1"/>
  <c r="H13" i="16"/>
  <c r="I13" i="16" s="1"/>
  <c r="H12" i="16"/>
  <c r="H11" i="16"/>
  <c r="I11" i="16" s="1"/>
  <c r="D364" i="16"/>
  <c r="E364" i="16"/>
  <c r="Y364" i="16"/>
  <c r="D365" i="16"/>
  <c r="E365" i="16"/>
  <c r="Y365" i="16"/>
  <c r="D366" i="16"/>
  <c r="E366" i="16"/>
  <c r="Y366" i="16"/>
  <c r="D367" i="16"/>
  <c r="E367" i="16"/>
  <c r="Y367" i="16"/>
  <c r="D368" i="16"/>
  <c r="E368" i="16"/>
  <c r="Y368" i="16"/>
  <c r="B364" i="16"/>
  <c r="B365" i="16"/>
  <c r="B366" i="16"/>
  <c r="B367" i="16"/>
  <c r="B368" i="16"/>
  <c r="A368" i="16"/>
  <c r="A367" i="16"/>
  <c r="A366" i="16"/>
  <c r="A365" i="16"/>
  <c r="A364" i="16"/>
  <c r="B340" i="11"/>
  <c r="A340" i="11"/>
  <c r="B260" i="11"/>
  <c r="A260" i="11"/>
  <c r="B100" i="11"/>
  <c r="A100" i="11"/>
  <c r="B86" i="11"/>
  <c r="A86" i="11"/>
  <c r="B28" i="11"/>
  <c r="A28" i="11"/>
  <c r="I12" i="16" l="1"/>
  <c r="B91" i="8"/>
  <c r="U90" i="8"/>
  <c r="E90" i="8"/>
  <c r="B90" i="8"/>
  <c r="B88" i="8"/>
  <c r="B38" i="8"/>
  <c r="Y363" i="16"/>
  <c r="Y362" i="16"/>
  <c r="Y361" i="16"/>
  <c r="Y360" i="16"/>
  <c r="Y359" i="16"/>
  <c r="Y358" i="16"/>
  <c r="Y357" i="16"/>
  <c r="Y356" i="16"/>
  <c r="Y355" i="16"/>
  <c r="Y354" i="16"/>
  <c r="Y353" i="16"/>
  <c r="Y352" i="16"/>
  <c r="Y351" i="16"/>
  <c r="Y350" i="16"/>
  <c r="Y349" i="16"/>
  <c r="Y348" i="16"/>
  <c r="Y347" i="16"/>
  <c r="Y346" i="16"/>
  <c r="Y345" i="16"/>
  <c r="Y344" i="16"/>
  <c r="Y343" i="16"/>
  <c r="Y342" i="16"/>
  <c r="Y341" i="16"/>
  <c r="Y340" i="16"/>
  <c r="Y339" i="16"/>
  <c r="Y338" i="16"/>
  <c r="Y337" i="16"/>
  <c r="Y336" i="16"/>
  <c r="Y335" i="16"/>
  <c r="Y334" i="16"/>
  <c r="Y333" i="16"/>
  <c r="Y332" i="16"/>
  <c r="Y331" i="16"/>
  <c r="Y330" i="16"/>
  <c r="Y329" i="16"/>
  <c r="Y328" i="16"/>
  <c r="Y327" i="16"/>
  <c r="Y326" i="16"/>
  <c r="Y325" i="16"/>
  <c r="Y324" i="16"/>
  <c r="Y323" i="16"/>
  <c r="Y322" i="16"/>
  <c r="Y321" i="16"/>
  <c r="Y320" i="16"/>
  <c r="Y319" i="16"/>
  <c r="Y318" i="16"/>
  <c r="Y317" i="16"/>
  <c r="Y316" i="16"/>
  <c r="Y315" i="16"/>
  <c r="Y314" i="16"/>
  <c r="Y313" i="16"/>
  <c r="Y312" i="16"/>
  <c r="Y311" i="16"/>
  <c r="Y310" i="16"/>
  <c r="Y309" i="16"/>
  <c r="Y308" i="16"/>
  <c r="Y307" i="16"/>
  <c r="Y306" i="16"/>
  <c r="Y305" i="16"/>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M1" i="11"/>
  <c r="Z58" i="16" l="1"/>
  <c r="Z70" i="16"/>
  <c r="Z82" i="16"/>
  <c r="Z22" i="16"/>
  <c r="Z367" i="16"/>
  <c r="Z23" i="16"/>
  <c r="Z71" i="16"/>
  <c r="Z131" i="16"/>
  <c r="Z179" i="16"/>
  <c r="Z251" i="16"/>
  <c r="Z12" i="16"/>
  <c r="Z24" i="16"/>
  <c r="Z36" i="16"/>
  <c r="Z48" i="16"/>
  <c r="Z60" i="16"/>
  <c r="Z72" i="16"/>
  <c r="Z84" i="16"/>
  <c r="Z96" i="16"/>
  <c r="Z108" i="16"/>
  <c r="Z120" i="16"/>
  <c r="Z132" i="16"/>
  <c r="Z144" i="16"/>
  <c r="Z156" i="16"/>
  <c r="Z168" i="16"/>
  <c r="Z180" i="16"/>
  <c r="Z192" i="16"/>
  <c r="Z204" i="16"/>
  <c r="Z216" i="16"/>
  <c r="Z228" i="16"/>
  <c r="Z240" i="16"/>
  <c r="Z252" i="16"/>
  <c r="Z264" i="16"/>
  <c r="Z276" i="16"/>
  <c r="Z288" i="16"/>
  <c r="Z300" i="16"/>
  <c r="Z312" i="16"/>
  <c r="Z324" i="16"/>
  <c r="Z336" i="16"/>
  <c r="Z348" i="16"/>
  <c r="Z360" i="16"/>
  <c r="Z142" i="16"/>
  <c r="Z250" i="16"/>
  <c r="Z322" i="16"/>
  <c r="Z346" i="16"/>
  <c r="Z107" i="16"/>
  <c r="Z287" i="16"/>
  <c r="Z133" i="16"/>
  <c r="Z241" i="16"/>
  <c r="Z289" i="16"/>
  <c r="Z301" i="16"/>
  <c r="Z313" i="16"/>
  <c r="Z325" i="16"/>
  <c r="Z337" i="16"/>
  <c r="Z349" i="16"/>
  <c r="Z361" i="16"/>
  <c r="Z118" i="16"/>
  <c r="Z178" i="16"/>
  <c r="Z286" i="16"/>
  <c r="Z61" i="16"/>
  <c r="Z121" i="16"/>
  <c r="Z181" i="16"/>
  <c r="Z50" i="16"/>
  <c r="Z110" i="16"/>
  <c r="Z122" i="16"/>
  <c r="Z134" i="16"/>
  <c r="Z146" i="16"/>
  <c r="Z158" i="16"/>
  <c r="Z170" i="16"/>
  <c r="Z182" i="16"/>
  <c r="Z194" i="16"/>
  <c r="Z206" i="16"/>
  <c r="Z218" i="16"/>
  <c r="Z230" i="16"/>
  <c r="Z242" i="16"/>
  <c r="Z254" i="16"/>
  <c r="Z266" i="16"/>
  <c r="Z278" i="16"/>
  <c r="Z290" i="16"/>
  <c r="Z302" i="16"/>
  <c r="Z314" i="16"/>
  <c r="Z326" i="16"/>
  <c r="Z338" i="16"/>
  <c r="Z350" i="16"/>
  <c r="Z362" i="16"/>
  <c r="Z190" i="16"/>
  <c r="Z298" i="16"/>
  <c r="Z358" i="16"/>
  <c r="Z47" i="16"/>
  <c r="Z203" i="16"/>
  <c r="Z335" i="16"/>
  <c r="Z49" i="16"/>
  <c r="Z15" i="16"/>
  <c r="Z267" i="16"/>
  <c r="Z130" i="16"/>
  <c r="Z214" i="16"/>
  <c r="Z35" i="16"/>
  <c r="Z95" i="16"/>
  <c r="Z155" i="16"/>
  <c r="Z215" i="16"/>
  <c r="Z263" i="16"/>
  <c r="Z311" i="16"/>
  <c r="Z347" i="16"/>
  <c r="Z13" i="16"/>
  <c r="Z73" i="16"/>
  <c r="Z97" i="16"/>
  <c r="Z145" i="16"/>
  <c r="Z205" i="16"/>
  <c r="Z265" i="16"/>
  <c r="Z14" i="16"/>
  <c r="Z62" i="16"/>
  <c r="Z98" i="16"/>
  <c r="Z51" i="16"/>
  <c r="Z87" i="16"/>
  <c r="Z135" i="16"/>
  <c r="Z171" i="16"/>
  <c r="Z219" i="16"/>
  <c r="Z255" i="16"/>
  <c r="Z291" i="16"/>
  <c r="Z351" i="16"/>
  <c r="Z28" i="16"/>
  <c r="Z76" i="16"/>
  <c r="Z112" i="16"/>
  <c r="Z124" i="16"/>
  <c r="Z136" i="16"/>
  <c r="Z148" i="16"/>
  <c r="Z160" i="16"/>
  <c r="Z172" i="16"/>
  <c r="Z184" i="16"/>
  <c r="Z196" i="16"/>
  <c r="Z208" i="16"/>
  <c r="Z220" i="16"/>
  <c r="Z232" i="16"/>
  <c r="Z244" i="16"/>
  <c r="Z256" i="16"/>
  <c r="Z268" i="16"/>
  <c r="Z280" i="16"/>
  <c r="Z292" i="16"/>
  <c r="Z304" i="16"/>
  <c r="Z316" i="16"/>
  <c r="Z328" i="16"/>
  <c r="Z340" i="16"/>
  <c r="Z352" i="16"/>
  <c r="Z46" i="16"/>
  <c r="Z106" i="16"/>
  <c r="Z154" i="16"/>
  <c r="Z202" i="16"/>
  <c r="Z274" i="16"/>
  <c r="Z310" i="16"/>
  <c r="Z334" i="16"/>
  <c r="Z59" i="16"/>
  <c r="Z119" i="16"/>
  <c r="Z167" i="16"/>
  <c r="Z227" i="16"/>
  <c r="Z275" i="16"/>
  <c r="Z299" i="16"/>
  <c r="Z359" i="16"/>
  <c r="Z37" i="16"/>
  <c r="Z85" i="16"/>
  <c r="Z157" i="16"/>
  <c r="Z193" i="16"/>
  <c r="Z229" i="16"/>
  <c r="Z277" i="16"/>
  <c r="Z38" i="16"/>
  <c r="Z86" i="16"/>
  <c r="Z39" i="16"/>
  <c r="Z75" i="16"/>
  <c r="Z111" i="16"/>
  <c r="Z147" i="16"/>
  <c r="Z183" i="16"/>
  <c r="Z207" i="16"/>
  <c r="Z243" i="16"/>
  <c r="Z303" i="16"/>
  <c r="Z327" i="16"/>
  <c r="Z363" i="16"/>
  <c r="Z16" i="16"/>
  <c r="Z52" i="16"/>
  <c r="Z100" i="16"/>
  <c r="Z17" i="16"/>
  <c r="Z29" i="16"/>
  <c r="Z41" i="16"/>
  <c r="Z53" i="16"/>
  <c r="Z65" i="16"/>
  <c r="Z77" i="16"/>
  <c r="Z89" i="16"/>
  <c r="Z101" i="16"/>
  <c r="Z113" i="16"/>
  <c r="Z125" i="16"/>
  <c r="Z137" i="16"/>
  <c r="Z149" i="16"/>
  <c r="Z161" i="16"/>
  <c r="Z173" i="16"/>
  <c r="Z185" i="16"/>
  <c r="Z197" i="16"/>
  <c r="Z209" i="16"/>
  <c r="Z221" i="16"/>
  <c r="Z233" i="16"/>
  <c r="Z245" i="16"/>
  <c r="Z257" i="16"/>
  <c r="Z269" i="16"/>
  <c r="Z281" i="16"/>
  <c r="Z293" i="16"/>
  <c r="Z305" i="16"/>
  <c r="Z317" i="16"/>
  <c r="Z329" i="16"/>
  <c r="Z341" i="16"/>
  <c r="Z353" i="16"/>
  <c r="Z11" i="16"/>
  <c r="Z83" i="16"/>
  <c r="Z143" i="16"/>
  <c r="Z191" i="16"/>
  <c r="Z239" i="16"/>
  <c r="Z323" i="16"/>
  <c r="Z25" i="16"/>
  <c r="Z109" i="16"/>
  <c r="Z169" i="16"/>
  <c r="Z217" i="16"/>
  <c r="Z253" i="16"/>
  <c r="Z26" i="16"/>
  <c r="Z74" i="16"/>
  <c r="Z27" i="16"/>
  <c r="Z63" i="16"/>
  <c r="Z99" i="16"/>
  <c r="Z123" i="16"/>
  <c r="Z159" i="16"/>
  <c r="Z195" i="16"/>
  <c r="Z231" i="16"/>
  <c r="Z279" i="16"/>
  <c r="Z315" i="16"/>
  <c r="Z339" i="16"/>
  <c r="Z40" i="16"/>
  <c r="Z64" i="16"/>
  <c r="Z88" i="16"/>
  <c r="Z18" i="16"/>
  <c r="Z30" i="16"/>
  <c r="Z42" i="16"/>
  <c r="Z54" i="16"/>
  <c r="Z66" i="16"/>
  <c r="Z78" i="16"/>
  <c r="Z90" i="16"/>
  <c r="Z102" i="16"/>
  <c r="Z114" i="16"/>
  <c r="Z126" i="16"/>
  <c r="Z138" i="16"/>
  <c r="Z150" i="16"/>
  <c r="Z162" i="16"/>
  <c r="Z174" i="16"/>
  <c r="Z186" i="16"/>
  <c r="Z198" i="16"/>
  <c r="Z210" i="16"/>
  <c r="Z222" i="16"/>
  <c r="Z234" i="16"/>
  <c r="Z246" i="16"/>
  <c r="Z258" i="16"/>
  <c r="Z270" i="16"/>
  <c r="Z282" i="16"/>
  <c r="Z294" i="16"/>
  <c r="Z306" i="16"/>
  <c r="Z318" i="16"/>
  <c r="Z330" i="16"/>
  <c r="Z342" i="16"/>
  <c r="Z354" i="16"/>
  <c r="Z364" i="16"/>
  <c r="Z226" i="16"/>
  <c r="Z55" i="16"/>
  <c r="Z103" i="16"/>
  <c r="Z163" i="16"/>
  <c r="Z199" i="16"/>
  <c r="Z211" i="16"/>
  <c r="Z223" i="16"/>
  <c r="Z235" i="16"/>
  <c r="Z247" i="16"/>
  <c r="Z259" i="16"/>
  <c r="Z271" i="16"/>
  <c r="Z283" i="16"/>
  <c r="Z295" i="16"/>
  <c r="Z307" i="16"/>
  <c r="Z319" i="16"/>
  <c r="Z331" i="16"/>
  <c r="Z343" i="16"/>
  <c r="Z355" i="16"/>
  <c r="Z366" i="16"/>
  <c r="Z238" i="16"/>
  <c r="Z31" i="16"/>
  <c r="Z79" i="16"/>
  <c r="Z127" i="16"/>
  <c r="Z175" i="16"/>
  <c r="Z44" i="16"/>
  <c r="Z80" i="16"/>
  <c r="Z116" i="16"/>
  <c r="Z152" i="16"/>
  <c r="Z200" i="16"/>
  <c r="Z236" i="16"/>
  <c r="Z272" i="16"/>
  <c r="Z296" i="16"/>
  <c r="Z308" i="16"/>
  <c r="Z320" i="16"/>
  <c r="Z332" i="16"/>
  <c r="Z344" i="16"/>
  <c r="Z356" i="16"/>
  <c r="Z365" i="16"/>
  <c r="Z34" i="16"/>
  <c r="Z94" i="16"/>
  <c r="Z166" i="16"/>
  <c r="Z262" i="16"/>
  <c r="Z19" i="16"/>
  <c r="Z43" i="16"/>
  <c r="Z67" i="16"/>
  <c r="Z91" i="16"/>
  <c r="Z115" i="16"/>
  <c r="Z139" i="16"/>
  <c r="Z151" i="16"/>
  <c r="Z187" i="16"/>
  <c r="Z20" i="16"/>
  <c r="Z32" i="16"/>
  <c r="Z56" i="16"/>
  <c r="Z68" i="16"/>
  <c r="Z92" i="16"/>
  <c r="Z104" i="16"/>
  <c r="Z128" i="16"/>
  <c r="Z140" i="16"/>
  <c r="Z164" i="16"/>
  <c r="Z176" i="16"/>
  <c r="Z188" i="16"/>
  <c r="Z212" i="16"/>
  <c r="Z224" i="16"/>
  <c r="Z248" i="16"/>
  <c r="Z260" i="16"/>
  <c r="Z284" i="16"/>
  <c r="Z21" i="16"/>
  <c r="Z33" i="16"/>
  <c r="Z45" i="16"/>
  <c r="Z57" i="16"/>
  <c r="Z69" i="16"/>
  <c r="Z81" i="16"/>
  <c r="Z93" i="16"/>
  <c r="Z105" i="16"/>
  <c r="Z117" i="16"/>
  <c r="Z129" i="16"/>
  <c r="Z141" i="16"/>
  <c r="Z153" i="16"/>
  <c r="Z165" i="16"/>
  <c r="Z177" i="16"/>
  <c r="Z189" i="16"/>
  <c r="Z201" i="16"/>
  <c r="Z213" i="16"/>
  <c r="Z225" i="16"/>
  <c r="Z237" i="16"/>
  <c r="Z249" i="16"/>
  <c r="Z261" i="16"/>
  <c r="Z273" i="16"/>
  <c r="Z285" i="16"/>
  <c r="Z297" i="16"/>
  <c r="Z309" i="16"/>
  <c r="Z321" i="16"/>
  <c r="Z333" i="16"/>
  <c r="Z345" i="16"/>
  <c r="Z357" i="16"/>
  <c r="Z368" i="16"/>
  <c r="AF12" i="16"/>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A362" i="16"/>
  <c r="E361" i="16"/>
  <c r="D361" i="16"/>
  <c r="A361" i="16"/>
  <c r="E360" i="16"/>
  <c r="D360" i="16"/>
  <c r="A360" i="16"/>
  <c r="E359" i="16"/>
  <c r="D359" i="16"/>
  <c r="A359" i="16"/>
  <c r="E358" i="16"/>
  <c r="D358" i="16"/>
  <c r="A358" i="16"/>
  <c r="E357" i="16"/>
  <c r="D357" i="16"/>
  <c r="A357" i="16"/>
  <c r="E356" i="16"/>
  <c r="D356" i="16"/>
  <c r="A356" i="16"/>
  <c r="E355" i="16"/>
  <c r="D355" i="16"/>
  <c r="A355" i="16"/>
  <c r="E354" i="16"/>
  <c r="D354" i="16"/>
  <c r="A354" i="16"/>
  <c r="E353" i="16"/>
  <c r="D353" i="16"/>
  <c r="A353" i="16"/>
  <c r="E352" i="16"/>
  <c r="D352" i="16"/>
  <c r="A352" i="16"/>
  <c r="E351" i="16"/>
  <c r="D351" i="16"/>
  <c r="A351" i="16"/>
  <c r="E350" i="16"/>
  <c r="D350" i="16"/>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A342" i="16"/>
  <c r="E341" i="16"/>
  <c r="D341" i="16"/>
  <c r="A341" i="16"/>
  <c r="E340" i="16"/>
  <c r="D340" i="16"/>
  <c r="A340" i="16"/>
  <c r="E339" i="16"/>
  <c r="D339" i="16"/>
  <c r="A339" i="16"/>
  <c r="E338" i="16"/>
  <c r="D338" i="16"/>
  <c r="A338" i="16"/>
  <c r="E337" i="16"/>
  <c r="D337" i="16"/>
  <c r="A337" i="16"/>
  <c r="E336" i="16"/>
  <c r="D336" i="16"/>
  <c r="A336" i="16"/>
  <c r="E335" i="16"/>
  <c r="D335" i="16"/>
  <c r="A335" i="16"/>
  <c r="E334" i="16"/>
  <c r="D334" i="16"/>
  <c r="A334" i="16"/>
  <c r="E333" i="16"/>
  <c r="D333" i="16"/>
  <c r="A333" i="16"/>
  <c r="E332" i="16"/>
  <c r="D332" i="16"/>
  <c r="A332" i="16"/>
  <c r="E331" i="16"/>
  <c r="D331" i="16"/>
  <c r="A331" i="16"/>
  <c r="E330" i="16"/>
  <c r="D330" i="16"/>
  <c r="A330" i="16"/>
  <c r="E329" i="16"/>
  <c r="D329" i="16"/>
  <c r="A329" i="16"/>
  <c r="E328" i="16"/>
  <c r="D328" i="16"/>
  <c r="A328" i="16"/>
  <c r="E327" i="16"/>
  <c r="D327" i="16"/>
  <c r="A327" i="16"/>
  <c r="E326" i="16"/>
  <c r="D326" i="16"/>
  <c r="A326" i="16"/>
  <c r="E325" i="16"/>
  <c r="D325" i="16"/>
  <c r="A325" i="16"/>
  <c r="E324" i="16"/>
  <c r="D324" i="16"/>
  <c r="A324" i="16"/>
  <c r="E323" i="16"/>
  <c r="D323" i="16"/>
  <c r="A323" i="16"/>
  <c r="E322" i="16"/>
  <c r="D322" i="16"/>
  <c r="A322" i="16"/>
  <c r="E321" i="16"/>
  <c r="D321" i="16"/>
  <c r="A321" i="16"/>
  <c r="E320" i="16"/>
  <c r="D320" i="16"/>
  <c r="A320" i="16"/>
  <c r="E319" i="16"/>
  <c r="D319" i="16"/>
  <c r="A319" i="16"/>
  <c r="E318" i="16"/>
  <c r="D318" i="16"/>
  <c r="A318" i="16"/>
  <c r="E317" i="16"/>
  <c r="D317" i="16"/>
  <c r="A317" i="16"/>
  <c r="E316" i="16"/>
  <c r="D316" i="16"/>
  <c r="A316" i="16"/>
  <c r="E315" i="16"/>
  <c r="D315" i="16"/>
  <c r="A315" i="16"/>
  <c r="E314" i="16"/>
  <c r="D314" i="16"/>
  <c r="A314" i="16"/>
  <c r="E313" i="16"/>
  <c r="D313" i="16"/>
  <c r="A313" i="16"/>
  <c r="E312" i="16"/>
  <c r="D312" i="16"/>
  <c r="A312" i="16"/>
  <c r="E311" i="16"/>
  <c r="D311" i="16"/>
  <c r="A311" i="16"/>
  <c r="E310" i="16"/>
  <c r="D310" i="16"/>
  <c r="A310" i="16"/>
  <c r="E309" i="16"/>
  <c r="D309" i="16"/>
  <c r="A309" i="16"/>
  <c r="E308" i="16"/>
  <c r="D308" i="16"/>
  <c r="A308" i="16"/>
  <c r="E307" i="16"/>
  <c r="D307" i="16"/>
  <c r="A307" i="16"/>
  <c r="E306" i="16"/>
  <c r="D306" i="16"/>
  <c r="A306" i="16"/>
  <c r="E305" i="16"/>
  <c r="D305" i="16"/>
  <c r="A305" i="16"/>
  <c r="E304" i="16"/>
  <c r="D304" i="16"/>
  <c r="A304" i="16"/>
  <c r="E303" i="16"/>
  <c r="D303" i="16"/>
  <c r="A303" i="16"/>
  <c r="E302" i="16"/>
  <c r="D302" i="16"/>
  <c r="A302" i="16"/>
  <c r="E301" i="16"/>
  <c r="D301" i="16"/>
  <c r="A301" i="16"/>
  <c r="E300" i="16"/>
  <c r="D300" i="16"/>
  <c r="A300" i="16"/>
  <c r="E299" i="16"/>
  <c r="D299" i="16"/>
  <c r="A299" i="16"/>
  <c r="E298" i="16"/>
  <c r="D298" i="16"/>
  <c r="A298" i="16"/>
  <c r="E297" i="16"/>
  <c r="D297" i="16"/>
  <c r="A297" i="16"/>
  <c r="E296" i="16"/>
  <c r="D296" i="16"/>
  <c r="A296" i="16"/>
  <c r="E295" i="16"/>
  <c r="D295" i="16"/>
  <c r="A295" i="16"/>
  <c r="E294" i="16"/>
  <c r="D294" i="16"/>
  <c r="A294" i="16"/>
  <c r="E293" i="16"/>
  <c r="D293" i="16"/>
  <c r="A293" i="16"/>
  <c r="E292" i="16"/>
  <c r="D292" i="16"/>
  <c r="A292" i="16"/>
  <c r="E291" i="16"/>
  <c r="D291" i="16"/>
  <c r="A291" i="16"/>
  <c r="E290" i="16"/>
  <c r="D290" i="16"/>
  <c r="A290" i="16"/>
  <c r="E289" i="16"/>
  <c r="D289" i="16"/>
  <c r="A289" i="16"/>
  <c r="E288" i="16"/>
  <c r="D288" i="16"/>
  <c r="A288" i="16"/>
  <c r="E287" i="16"/>
  <c r="D287" i="16"/>
  <c r="A287" i="16"/>
  <c r="E286" i="16"/>
  <c r="D286" i="16"/>
  <c r="A286" i="16"/>
  <c r="E285" i="16"/>
  <c r="D285" i="16"/>
  <c r="A285" i="16"/>
  <c r="E284" i="16"/>
  <c r="D284" i="16"/>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A273" i="16"/>
  <c r="E272" i="16"/>
  <c r="D272" i="16"/>
  <c r="A272" i="16"/>
  <c r="E271" i="16"/>
  <c r="D271" i="16"/>
  <c r="A271" i="16"/>
  <c r="E270" i="16"/>
  <c r="D270" i="16"/>
  <c r="A270" i="16"/>
  <c r="E269" i="16"/>
  <c r="D269" i="16"/>
  <c r="A269" i="16"/>
  <c r="E268" i="16"/>
  <c r="D268" i="16"/>
  <c r="A268" i="16"/>
  <c r="E267" i="16"/>
  <c r="D267" i="16"/>
  <c r="A267" i="16"/>
  <c r="E266" i="16"/>
  <c r="D266" i="16"/>
  <c r="A266" i="16"/>
  <c r="E265" i="16"/>
  <c r="D265" i="16"/>
  <c r="A265" i="16"/>
  <c r="E264" i="16"/>
  <c r="D264" i="16"/>
  <c r="A264" i="16"/>
  <c r="E263" i="16"/>
  <c r="D263" i="16"/>
  <c r="A263" i="16"/>
  <c r="E262" i="16"/>
  <c r="D262" i="16"/>
  <c r="A262" i="16"/>
  <c r="E261" i="16"/>
  <c r="D261" i="16"/>
  <c r="A261" i="16"/>
  <c r="E260" i="16"/>
  <c r="D260" i="16"/>
  <c r="A260" i="16"/>
  <c r="E259" i="16"/>
  <c r="D259" i="16"/>
  <c r="A259" i="16"/>
  <c r="E258" i="16"/>
  <c r="D258" i="16"/>
  <c r="A258" i="16"/>
  <c r="E257" i="16"/>
  <c r="D257" i="16"/>
  <c r="A257" i="16"/>
  <c r="E256" i="16"/>
  <c r="D256" i="16"/>
  <c r="A256" i="16"/>
  <c r="E255" i="16"/>
  <c r="D255" i="16"/>
  <c r="A255" i="16"/>
  <c r="E254" i="16"/>
  <c r="D254" i="16"/>
  <c r="A254" i="16"/>
  <c r="E253" i="16"/>
  <c r="D253" i="16"/>
  <c r="A253" i="16"/>
  <c r="E252" i="16"/>
  <c r="D252" i="16"/>
  <c r="A252" i="16"/>
  <c r="E251" i="16"/>
  <c r="D251" i="16"/>
  <c r="A251" i="16"/>
  <c r="E250" i="16"/>
  <c r="D250" i="16"/>
  <c r="A250" i="16"/>
  <c r="E249" i="16"/>
  <c r="D249" i="16"/>
  <c r="A249" i="16"/>
  <c r="E248" i="16"/>
  <c r="D248" i="16"/>
  <c r="A248" i="16"/>
  <c r="E247" i="16"/>
  <c r="D247" i="16"/>
  <c r="A247" i="16"/>
  <c r="E246" i="16"/>
  <c r="D246" i="16"/>
  <c r="A246" i="16"/>
  <c r="E245" i="16"/>
  <c r="D245" i="16"/>
  <c r="A245" i="16"/>
  <c r="E244" i="16"/>
  <c r="D244" i="16"/>
  <c r="A244" i="16"/>
  <c r="E243" i="16"/>
  <c r="D243" i="16"/>
  <c r="A243" i="16"/>
  <c r="E242" i="16"/>
  <c r="D242" i="16"/>
  <c r="A242" i="16"/>
  <c r="E241" i="16"/>
  <c r="D241" i="16"/>
  <c r="A241" i="16"/>
  <c r="E240" i="16"/>
  <c r="D240" i="16"/>
  <c r="A240" i="16"/>
  <c r="E239" i="16"/>
  <c r="D239" i="16"/>
  <c r="A239" i="16"/>
  <c r="E238" i="16"/>
  <c r="D238" i="16"/>
  <c r="A238" i="16"/>
  <c r="E237" i="16"/>
  <c r="D237" i="16"/>
  <c r="A237" i="16"/>
  <c r="E236" i="16"/>
  <c r="D236" i="16"/>
  <c r="A236" i="16"/>
  <c r="E235" i="16"/>
  <c r="D235" i="16"/>
  <c r="A235" i="16"/>
  <c r="E234" i="16"/>
  <c r="D234" i="16"/>
  <c r="A234" i="16"/>
  <c r="E233" i="16"/>
  <c r="D233" i="16"/>
  <c r="A233" i="16"/>
  <c r="E232" i="16"/>
  <c r="D232" i="16"/>
  <c r="A232" i="16"/>
  <c r="E231" i="16"/>
  <c r="D231" i="16"/>
  <c r="A231" i="16"/>
  <c r="E230" i="16"/>
  <c r="D230" i="16"/>
  <c r="A230" i="16"/>
  <c r="E229" i="16"/>
  <c r="D229" i="16"/>
  <c r="A229" i="16"/>
  <c r="E228" i="16"/>
  <c r="D228" i="16"/>
  <c r="A228" i="16"/>
  <c r="E227" i="16"/>
  <c r="D227" i="16"/>
  <c r="A227" i="16"/>
  <c r="E226" i="16"/>
  <c r="D226" i="16"/>
  <c r="A226" i="16"/>
  <c r="E225" i="16"/>
  <c r="D225" i="16"/>
  <c r="A225" i="16"/>
  <c r="E224" i="16"/>
  <c r="D224" i="16"/>
  <c r="A224" i="16"/>
  <c r="E223" i="16"/>
  <c r="D223" i="16"/>
  <c r="A223" i="16"/>
  <c r="E222" i="16"/>
  <c r="D222" i="16"/>
  <c r="A222" i="16"/>
  <c r="E221" i="16"/>
  <c r="D221" i="16"/>
  <c r="A221" i="16"/>
  <c r="E220" i="16"/>
  <c r="D220" i="16"/>
  <c r="A220" i="16"/>
  <c r="E219" i="16"/>
  <c r="D219" i="16"/>
  <c r="A219" i="16"/>
  <c r="E218" i="16"/>
  <c r="D218" i="16"/>
  <c r="A218" i="16"/>
  <c r="E217" i="16"/>
  <c r="D217" i="16"/>
  <c r="A217" i="16"/>
  <c r="E216" i="16"/>
  <c r="D216" i="16"/>
  <c r="A216" i="16"/>
  <c r="E215" i="16"/>
  <c r="D215" i="16"/>
  <c r="A215" i="16"/>
  <c r="E214" i="16"/>
  <c r="D214" i="16"/>
  <c r="A214" i="16"/>
  <c r="E213" i="16"/>
  <c r="D213" i="16"/>
  <c r="A213" i="16"/>
  <c r="E212" i="16"/>
  <c r="D212" i="16"/>
  <c r="A212" i="16"/>
  <c r="E211" i="16"/>
  <c r="D211" i="16"/>
  <c r="A211" i="16"/>
  <c r="E210" i="16"/>
  <c r="D210" i="16"/>
  <c r="A210" i="16"/>
  <c r="E209" i="16"/>
  <c r="D209" i="16"/>
  <c r="A209" i="16"/>
  <c r="E208" i="16"/>
  <c r="D208" i="16"/>
  <c r="A208" i="16"/>
  <c r="E207" i="16"/>
  <c r="D207" i="16"/>
  <c r="A207" i="16"/>
  <c r="E206" i="16"/>
  <c r="D206" i="16"/>
  <c r="A206" i="16"/>
  <c r="E205" i="16"/>
  <c r="D205" i="16"/>
  <c r="A205" i="16"/>
  <c r="E204" i="16"/>
  <c r="D204" i="16"/>
  <c r="A204" i="16"/>
  <c r="E203" i="16"/>
  <c r="D203" i="16"/>
  <c r="A203" i="16"/>
  <c r="E202" i="16"/>
  <c r="D202" i="16"/>
  <c r="A202" i="16"/>
  <c r="E201" i="16"/>
  <c r="D201" i="16"/>
  <c r="A201" i="16"/>
  <c r="E200" i="16"/>
  <c r="D200" i="16"/>
  <c r="A200" i="16"/>
  <c r="E199" i="16"/>
  <c r="D199" i="16"/>
  <c r="A199" i="16"/>
  <c r="E198" i="16"/>
  <c r="D198" i="16"/>
  <c r="A198" i="16"/>
  <c r="E197" i="16"/>
  <c r="D197" i="16"/>
  <c r="A197" i="16"/>
  <c r="E196" i="16"/>
  <c r="D196" i="16"/>
  <c r="A196" i="16"/>
  <c r="E195" i="16"/>
  <c r="D195" i="16"/>
  <c r="A195" i="16"/>
  <c r="E194" i="16"/>
  <c r="D194" i="16"/>
  <c r="A194" i="16"/>
  <c r="E193" i="16"/>
  <c r="D193" i="16"/>
  <c r="A193" i="16"/>
  <c r="E192" i="16"/>
  <c r="D192" i="16"/>
  <c r="A192" i="16"/>
  <c r="E191" i="16"/>
  <c r="D191" i="16"/>
  <c r="A191" i="16"/>
  <c r="E190" i="16"/>
  <c r="D190" i="16"/>
  <c r="A190" i="16"/>
  <c r="E189" i="16"/>
  <c r="D189" i="16"/>
  <c r="A189" i="16"/>
  <c r="E188" i="16"/>
  <c r="D188" i="16"/>
  <c r="A188" i="16"/>
  <c r="E187" i="16"/>
  <c r="D187" i="16"/>
  <c r="A187" i="16"/>
  <c r="E186" i="16"/>
  <c r="D186" i="16"/>
  <c r="A186" i="16"/>
  <c r="E185" i="16"/>
  <c r="D185" i="16"/>
  <c r="A185" i="16"/>
  <c r="E184" i="16"/>
  <c r="D184" i="16"/>
  <c r="A184" i="16"/>
  <c r="E183" i="16"/>
  <c r="D183" i="16"/>
  <c r="A183" i="16"/>
  <c r="E182" i="16"/>
  <c r="D182" i="16"/>
  <c r="A182" i="16"/>
  <c r="E181" i="16"/>
  <c r="D181" i="16"/>
  <c r="A181" i="16"/>
  <c r="E180" i="16"/>
  <c r="D180" i="16"/>
  <c r="A180" i="16"/>
  <c r="E179" i="16"/>
  <c r="D179" i="16"/>
  <c r="A179" i="16"/>
  <c r="E178" i="16"/>
  <c r="D178" i="16"/>
  <c r="A178" i="16"/>
  <c r="E177" i="16"/>
  <c r="D177" i="16"/>
  <c r="A177" i="16"/>
  <c r="E176" i="16"/>
  <c r="D176" i="16"/>
  <c r="A176" i="16"/>
  <c r="E175" i="16"/>
  <c r="D175" i="16"/>
  <c r="A175" i="16"/>
  <c r="E174" i="16"/>
  <c r="D174" i="16"/>
  <c r="A174" i="16"/>
  <c r="E173" i="16"/>
  <c r="D173" i="16"/>
  <c r="A173" i="16"/>
  <c r="E172" i="16"/>
  <c r="D172" i="16"/>
  <c r="A172" i="16"/>
  <c r="E171" i="16"/>
  <c r="D171" i="16"/>
  <c r="A171" i="16"/>
  <c r="E170" i="16"/>
  <c r="D170" i="16"/>
  <c r="A170" i="16"/>
  <c r="E169" i="16"/>
  <c r="D169" i="16"/>
  <c r="A169" i="16"/>
  <c r="E168" i="16"/>
  <c r="D168" i="16"/>
  <c r="A168" i="16"/>
  <c r="E167" i="16"/>
  <c r="D167" i="16"/>
  <c r="A167" i="16"/>
  <c r="E166" i="16"/>
  <c r="D166" i="16"/>
  <c r="A166" i="16"/>
  <c r="E165" i="16"/>
  <c r="D165" i="16"/>
  <c r="A165" i="16"/>
  <c r="E164" i="16"/>
  <c r="D164" i="16"/>
  <c r="A164" i="16"/>
  <c r="E163" i="16"/>
  <c r="D163" i="16"/>
  <c r="A163" i="16"/>
  <c r="E162" i="16"/>
  <c r="D162" i="16"/>
  <c r="A162" i="16"/>
  <c r="E161" i="16"/>
  <c r="D161" i="16"/>
  <c r="A161" i="16"/>
  <c r="E160" i="16"/>
  <c r="D160" i="16"/>
  <c r="A160" i="16"/>
  <c r="E159" i="16"/>
  <c r="D159" i="16"/>
  <c r="A159" i="16"/>
  <c r="E158" i="16"/>
  <c r="D158" i="16"/>
  <c r="A158" i="16"/>
  <c r="E157" i="16"/>
  <c r="D157" i="16"/>
  <c r="A157" i="16"/>
  <c r="E156" i="16"/>
  <c r="D156" i="16"/>
  <c r="A156" i="16"/>
  <c r="E155" i="16"/>
  <c r="D155" i="16"/>
  <c r="A155" i="16"/>
  <c r="E154" i="16"/>
  <c r="D154" i="16"/>
  <c r="A154" i="16"/>
  <c r="E153" i="16"/>
  <c r="D153" i="16"/>
  <c r="A153" i="16"/>
  <c r="E152" i="16"/>
  <c r="D152" i="16"/>
  <c r="A152" i="16"/>
  <c r="E151" i="16"/>
  <c r="D151" i="16"/>
  <c r="A151" i="16"/>
  <c r="E150" i="16"/>
  <c r="D150" i="16"/>
  <c r="A150" i="16"/>
  <c r="E149" i="16"/>
  <c r="D149" i="16"/>
  <c r="A149" i="16"/>
  <c r="E148" i="16"/>
  <c r="D148" i="16"/>
  <c r="A148" i="16"/>
  <c r="E147" i="16"/>
  <c r="D147" i="16"/>
  <c r="A147" i="16"/>
  <c r="E146" i="16"/>
  <c r="D146" i="16"/>
  <c r="A146" i="16"/>
  <c r="E145" i="16"/>
  <c r="D145" i="16"/>
  <c r="A145" i="16"/>
  <c r="E144" i="16"/>
  <c r="D144" i="16"/>
  <c r="A144" i="16"/>
  <c r="E143" i="16"/>
  <c r="D143" i="16"/>
  <c r="A143" i="16"/>
  <c r="E142" i="16"/>
  <c r="D142" i="16"/>
  <c r="A142" i="16"/>
  <c r="E141" i="16"/>
  <c r="D141" i="16"/>
  <c r="A141" i="16"/>
  <c r="E140" i="16"/>
  <c r="D140" i="16"/>
  <c r="A140" i="16"/>
  <c r="E139" i="16"/>
  <c r="D139" i="16"/>
  <c r="A139" i="16"/>
  <c r="E138" i="16"/>
  <c r="D138" i="16"/>
  <c r="A138" i="16"/>
  <c r="E137" i="16"/>
  <c r="D137" i="16"/>
  <c r="A137" i="16"/>
  <c r="E136" i="16"/>
  <c r="D136" i="16"/>
  <c r="A136" i="16"/>
  <c r="E135" i="16"/>
  <c r="D135" i="16"/>
  <c r="A135" i="16"/>
  <c r="E134" i="16"/>
  <c r="D134" i="16"/>
  <c r="A134" i="16"/>
  <c r="E133" i="16"/>
  <c r="D133" i="16"/>
  <c r="A133" i="16"/>
  <c r="E132" i="16"/>
  <c r="D132" i="16"/>
  <c r="A132" i="16"/>
  <c r="E131" i="16"/>
  <c r="D131" i="16"/>
  <c r="A131" i="16"/>
  <c r="E130" i="16"/>
  <c r="D130" i="16"/>
  <c r="A130" i="16"/>
  <c r="E129" i="16"/>
  <c r="D129" i="16"/>
  <c r="A129" i="16"/>
  <c r="E128" i="16"/>
  <c r="D128" i="16"/>
  <c r="A128" i="16"/>
  <c r="E127" i="16"/>
  <c r="D127" i="16"/>
  <c r="A127" i="16"/>
  <c r="E126" i="16"/>
  <c r="D126" i="16"/>
  <c r="A126" i="16"/>
  <c r="E125" i="16"/>
  <c r="D125" i="16"/>
  <c r="A125" i="16"/>
  <c r="E124" i="16"/>
  <c r="D124" i="16"/>
  <c r="A124" i="16"/>
  <c r="E123" i="16"/>
  <c r="D123" i="16"/>
  <c r="A123" i="16"/>
  <c r="E122" i="16"/>
  <c r="D122" i="16"/>
  <c r="A122" i="16"/>
  <c r="E121" i="16"/>
  <c r="D121" i="16"/>
  <c r="A121" i="16"/>
  <c r="E120" i="16"/>
  <c r="D120" i="16"/>
  <c r="A120" i="16"/>
  <c r="E119" i="16"/>
  <c r="D119" i="16"/>
  <c r="A119" i="16"/>
  <c r="E118" i="16"/>
  <c r="D118" i="16"/>
  <c r="A118" i="16"/>
  <c r="E117" i="16"/>
  <c r="D117" i="16"/>
  <c r="A117" i="16"/>
  <c r="E116" i="16"/>
  <c r="D116" i="16"/>
  <c r="A116" i="16"/>
  <c r="E115" i="16"/>
  <c r="D115" i="16"/>
  <c r="A115" i="16"/>
  <c r="E114" i="16"/>
  <c r="D114" i="16"/>
  <c r="A114" i="16"/>
  <c r="E113" i="16"/>
  <c r="D113" i="16"/>
  <c r="A113" i="16"/>
  <c r="E112" i="16"/>
  <c r="D112" i="16"/>
  <c r="A112" i="16"/>
  <c r="E111" i="16"/>
  <c r="D111" i="16"/>
  <c r="A111" i="16"/>
  <c r="E110" i="16"/>
  <c r="D110" i="16"/>
  <c r="A110" i="16"/>
  <c r="E109" i="16"/>
  <c r="D109" i="16"/>
  <c r="A109" i="16"/>
  <c r="E108" i="16"/>
  <c r="D108" i="16"/>
  <c r="A108" i="16"/>
  <c r="E107" i="16"/>
  <c r="D107" i="16"/>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A99" i="16"/>
  <c r="E98" i="16"/>
  <c r="D98" i="16"/>
  <c r="A98" i="16"/>
  <c r="E97" i="16"/>
  <c r="D97" i="16"/>
  <c r="A97" i="16"/>
  <c r="E96" i="16"/>
  <c r="D96" i="16"/>
  <c r="A96" i="16"/>
  <c r="E95" i="16"/>
  <c r="D95" i="16"/>
  <c r="A95" i="16"/>
  <c r="E94" i="16"/>
  <c r="D94" i="16"/>
  <c r="A94" i="16"/>
  <c r="E93" i="16"/>
  <c r="D93" i="16"/>
  <c r="A93" i="16"/>
  <c r="E92" i="16"/>
  <c r="D92" i="16"/>
  <c r="A92" i="16"/>
  <c r="E91" i="16"/>
  <c r="D91" i="16"/>
  <c r="A91" i="16"/>
  <c r="E90" i="16"/>
  <c r="D90" i="16"/>
  <c r="A90" i="16"/>
  <c r="E89" i="16"/>
  <c r="D89" i="16"/>
  <c r="A89" i="16"/>
  <c r="E88" i="16"/>
  <c r="D88" i="16"/>
  <c r="A88" i="16"/>
  <c r="E87" i="16"/>
  <c r="D87" i="16"/>
  <c r="A87" i="16"/>
  <c r="E86" i="16"/>
  <c r="D86" i="16"/>
  <c r="A86" i="16"/>
  <c r="E85" i="16"/>
  <c r="D85" i="16"/>
  <c r="A85" i="16"/>
  <c r="E84" i="16"/>
  <c r="D84" i="16"/>
  <c r="A84" i="16"/>
  <c r="E83" i="16"/>
  <c r="D83" i="16"/>
  <c r="A83" i="16"/>
  <c r="E82" i="16"/>
  <c r="D82" i="16"/>
  <c r="A82" i="16"/>
  <c r="E81" i="16"/>
  <c r="D81" i="16"/>
  <c r="A81" i="16"/>
  <c r="E80" i="16"/>
  <c r="D80" i="16"/>
  <c r="A80" i="16"/>
  <c r="E79" i="16"/>
  <c r="D79" i="16"/>
  <c r="A79" i="16"/>
  <c r="E78" i="16"/>
  <c r="D78" i="16"/>
  <c r="A78" i="16"/>
  <c r="E77" i="16"/>
  <c r="D77" i="16"/>
  <c r="A77" i="16"/>
  <c r="E76" i="16"/>
  <c r="D76" i="16"/>
  <c r="A76" i="16"/>
  <c r="E75" i="16"/>
  <c r="D75" i="16"/>
  <c r="A75" i="16"/>
  <c r="E74" i="16"/>
  <c r="D74" i="16"/>
  <c r="A74" i="16"/>
  <c r="E73" i="16"/>
  <c r="D73" i="16"/>
  <c r="A73" i="16"/>
  <c r="E72" i="16"/>
  <c r="D72" i="16"/>
  <c r="A72" i="16"/>
  <c r="E71" i="16"/>
  <c r="D71" i="16"/>
  <c r="A71" i="16"/>
  <c r="E70" i="16"/>
  <c r="D70" i="16"/>
  <c r="A70" i="16"/>
  <c r="E69" i="16"/>
  <c r="D69" i="16"/>
  <c r="A69" i="16"/>
  <c r="E68" i="16"/>
  <c r="D68" i="16"/>
  <c r="A68" i="16"/>
  <c r="E67" i="16"/>
  <c r="D67" i="16"/>
  <c r="A67" i="16"/>
  <c r="E66" i="16"/>
  <c r="D66" i="16"/>
  <c r="A66" i="16"/>
  <c r="E65" i="16"/>
  <c r="D65" i="16"/>
  <c r="A65" i="16"/>
  <c r="E64" i="16"/>
  <c r="D64" i="16"/>
  <c r="A64" i="16"/>
  <c r="E63" i="16"/>
  <c r="D63" i="16"/>
  <c r="A63" i="16"/>
  <c r="E62" i="16"/>
  <c r="D62" i="16"/>
  <c r="A62" i="16"/>
  <c r="E61" i="16"/>
  <c r="D61" i="16"/>
  <c r="A61" i="16"/>
  <c r="E60" i="16"/>
  <c r="D60" i="16"/>
  <c r="A60" i="16"/>
  <c r="E59" i="16"/>
  <c r="D59" i="16"/>
  <c r="A59" i="16"/>
  <c r="E58" i="16"/>
  <c r="D58" i="16"/>
  <c r="A58" i="16"/>
  <c r="E57" i="16"/>
  <c r="D57" i="16"/>
  <c r="A57" i="16"/>
  <c r="E56" i="16"/>
  <c r="D56" i="16"/>
  <c r="A56" i="16"/>
  <c r="E55" i="16"/>
  <c r="D55" i="16"/>
  <c r="A55" i="16"/>
  <c r="E54" i="16"/>
  <c r="D54" i="16"/>
  <c r="A54" i="16"/>
  <c r="E53" i="16"/>
  <c r="D53" i="16"/>
  <c r="A53" i="16"/>
  <c r="E52" i="16"/>
  <c r="D52" i="16"/>
  <c r="A52" i="16"/>
  <c r="E51" i="16"/>
  <c r="D51" i="16"/>
  <c r="A51" i="16"/>
  <c r="E50" i="16"/>
  <c r="D50" i="16"/>
  <c r="A50" i="16"/>
  <c r="E49" i="16"/>
  <c r="D49" i="16"/>
  <c r="A49" i="16"/>
  <c r="E48" i="16"/>
  <c r="D48" i="16"/>
  <c r="A48" i="16"/>
  <c r="E47" i="16"/>
  <c r="D47" i="16"/>
  <c r="A47" i="16"/>
  <c r="E46" i="16"/>
  <c r="D46" i="16"/>
  <c r="A46" i="16"/>
  <c r="E45" i="16"/>
  <c r="D45" i="16"/>
  <c r="A45" i="16"/>
  <c r="E44" i="16"/>
  <c r="D44" i="16"/>
  <c r="A44" i="16"/>
  <c r="E43" i="16"/>
  <c r="D43" i="16"/>
  <c r="A43" i="16"/>
  <c r="E42" i="16"/>
  <c r="D42" i="16"/>
  <c r="A42" i="16"/>
  <c r="E41" i="16"/>
  <c r="D41" i="16"/>
  <c r="A41" i="16"/>
  <c r="E40" i="16"/>
  <c r="D40" i="16"/>
  <c r="A40" i="16"/>
  <c r="E39" i="16"/>
  <c r="D39" i="16"/>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A34" i="16"/>
  <c r="E33" i="16"/>
  <c r="D33" i="16"/>
  <c r="A33" i="16"/>
  <c r="E32" i="16"/>
  <c r="D32" i="16"/>
  <c r="A32" i="16"/>
  <c r="E31" i="16"/>
  <c r="D31" i="16"/>
  <c r="A31" i="16"/>
  <c r="E30" i="16"/>
  <c r="D30" i="16"/>
  <c r="A30" i="16"/>
  <c r="E29" i="16"/>
  <c r="D29" i="16"/>
  <c r="A29" i="16"/>
  <c r="E28" i="16"/>
  <c r="D28" i="16"/>
  <c r="A28" i="16"/>
  <c r="E27" i="16"/>
  <c r="D27" i="16"/>
  <c r="A27" i="16"/>
  <c r="AF26" i="16"/>
  <c r="E26" i="16"/>
  <c r="D26" i="16"/>
  <c r="A26" i="16"/>
  <c r="AF25" i="16"/>
  <c r="E25" i="16"/>
  <c r="D25" i="16"/>
  <c r="A25" i="16"/>
  <c r="AF24" i="16"/>
  <c r="E24" i="16"/>
  <c r="D24" i="16"/>
  <c r="A24" i="16"/>
  <c r="AF23" i="16"/>
  <c r="E23" i="16"/>
  <c r="D23" i="16"/>
  <c r="A23" i="16"/>
  <c r="AF22" i="16"/>
  <c r="E22" i="16"/>
  <c r="D22" i="16"/>
  <c r="A22" i="16"/>
  <c r="AF21" i="16"/>
  <c r="E21" i="16"/>
  <c r="D21" i="16"/>
  <c r="A21" i="16"/>
  <c r="AF20" i="16"/>
  <c r="E20" i="16"/>
  <c r="D20" i="16"/>
  <c r="A20" i="16"/>
  <c r="AF19" i="16"/>
  <c r="E19" i="16"/>
  <c r="D19" i="16"/>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7" i="8"/>
  <c r="B113" i="8"/>
  <c r="B109" i="8"/>
  <c r="B60" i="8"/>
  <c r="D46" i="8"/>
  <c r="O42" i="8"/>
  <c r="K40" i="8"/>
  <c r="T38" i="8"/>
  <c r="B37" i="8"/>
  <c r="D48" i="8" s="1"/>
  <c r="B35" i="8"/>
  <c r="D47" i="8" s="1"/>
  <c r="B16" i="8"/>
  <c r="B11" i="8"/>
  <c r="B10" i="8"/>
  <c r="B9" i="8"/>
  <c r="J8" i="8"/>
  <c r="B8" i="8"/>
  <c r="B58" i="8"/>
  <c r="B1" i="8"/>
  <c r="AX10" i="16" l="1"/>
  <c r="B34" i="16"/>
  <c r="B18" i="16"/>
  <c r="B24" i="16"/>
  <c r="B31" i="16"/>
  <c r="B15" i="16"/>
  <c r="B21" i="16"/>
  <c r="B27" i="16"/>
  <c r="B35" i="16"/>
  <c r="B30" i="16"/>
  <c r="B11"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2"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8" i="16"/>
  <c r="B32" i="16"/>
  <c r="B13" i="16"/>
  <c r="B16" i="16"/>
  <c r="B19" i="16"/>
  <c r="B2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9" i="16"/>
  <c r="B33"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14" i="16"/>
  <c r="B17" i="16"/>
  <c r="B20" i="16"/>
  <c r="B23" i="16"/>
  <c r="B2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4" i="16"/>
  <c r="F14" i="16" s="1"/>
  <c r="AX16" i="16"/>
  <c r="F16" i="16" s="1"/>
  <c r="AX18" i="16"/>
  <c r="F18" i="16" s="1"/>
  <c r="AX20" i="16"/>
  <c r="F20" i="16" s="1"/>
  <c r="AX22" i="16"/>
  <c r="F22" i="16" s="1"/>
  <c r="AX24" i="16"/>
  <c r="F24" i="16" s="1"/>
  <c r="AX26" i="16"/>
  <c r="F26" i="16" s="1"/>
  <c r="AX28" i="16"/>
  <c r="F28" i="16" s="1"/>
  <c r="AX30" i="16"/>
  <c r="F30" i="16" s="1"/>
  <c r="AX32" i="16"/>
  <c r="F32" i="16" s="1"/>
  <c r="AX34" i="16"/>
  <c r="F34" i="16" s="1"/>
  <c r="AX36" i="16"/>
  <c r="F36" i="16" s="1"/>
  <c r="AX38" i="16"/>
  <c r="F38" i="16" s="1"/>
  <c r="AX40" i="16"/>
  <c r="F40" i="16" s="1"/>
  <c r="AX42" i="16"/>
  <c r="F42" i="16" s="1"/>
  <c r="AX44" i="16"/>
  <c r="F44" i="16" s="1"/>
  <c r="AX46" i="16"/>
  <c r="F46" i="16" s="1"/>
  <c r="AX48" i="16"/>
  <c r="F48" i="16" s="1"/>
  <c r="AX50" i="16"/>
  <c r="F50" i="16" s="1"/>
  <c r="AX52" i="16"/>
  <c r="F52" i="16" s="1"/>
  <c r="AX54" i="16"/>
  <c r="F54" i="16" s="1"/>
  <c r="AX56" i="16"/>
  <c r="F56" i="16" s="1"/>
  <c r="AX58" i="16"/>
  <c r="F58" i="16" s="1"/>
  <c r="AX60" i="16"/>
  <c r="F60" i="16" s="1"/>
  <c r="AX62" i="16"/>
  <c r="F62" i="16" s="1"/>
  <c r="AX64" i="16"/>
  <c r="F64" i="16" s="1"/>
  <c r="AX66" i="16"/>
  <c r="F66" i="16" s="1"/>
  <c r="AX68" i="16"/>
  <c r="F68" i="16" s="1"/>
  <c r="AX70" i="16"/>
  <c r="F70" i="16" s="1"/>
  <c r="AX72" i="16"/>
  <c r="F72" i="16" s="1"/>
  <c r="AX74" i="16"/>
  <c r="F74" i="16" s="1"/>
  <c r="AX76" i="16"/>
  <c r="F76" i="16" s="1"/>
  <c r="AX78" i="16"/>
  <c r="F78" i="16" s="1"/>
  <c r="AX80" i="16"/>
  <c r="F80" i="16" s="1"/>
  <c r="AX82" i="16"/>
  <c r="F82" i="16" s="1"/>
  <c r="AX84" i="16"/>
  <c r="H84" i="16" s="1"/>
  <c r="AX86" i="16"/>
  <c r="F86" i="16" s="1"/>
  <c r="AX88" i="16"/>
  <c r="F88" i="16" s="1"/>
  <c r="AX90" i="16"/>
  <c r="F90" i="16" s="1"/>
  <c r="AX92" i="16"/>
  <c r="F92" i="16" s="1"/>
  <c r="AX94" i="16"/>
  <c r="F94" i="16" s="1"/>
  <c r="AX96" i="16"/>
  <c r="F96" i="16" s="1"/>
  <c r="AX98" i="16"/>
  <c r="F98" i="16" s="1"/>
  <c r="AX100" i="16"/>
  <c r="F100" i="16" s="1"/>
  <c r="AX102" i="16"/>
  <c r="F102" i="16" s="1"/>
  <c r="AX104" i="16"/>
  <c r="F104" i="16" s="1"/>
  <c r="AX106" i="16"/>
  <c r="F106" i="16" s="1"/>
  <c r="AX108" i="16"/>
  <c r="F108" i="16" s="1"/>
  <c r="AX110" i="16"/>
  <c r="F110" i="16" s="1"/>
  <c r="AX112" i="16"/>
  <c r="F112" i="16" s="1"/>
  <c r="AX114" i="16"/>
  <c r="F114" i="16" s="1"/>
  <c r="AX116" i="16"/>
  <c r="F116" i="16" s="1"/>
  <c r="AX118" i="16"/>
  <c r="F118" i="16" s="1"/>
  <c r="AX120" i="16"/>
  <c r="F120" i="16" s="1"/>
  <c r="AX122" i="16"/>
  <c r="F122" i="16" s="1"/>
  <c r="AX124" i="16"/>
  <c r="F124" i="16" s="1"/>
  <c r="AX126" i="16"/>
  <c r="F126" i="16" s="1"/>
  <c r="AX128" i="16"/>
  <c r="F128" i="16" s="1"/>
  <c r="AX130" i="16"/>
  <c r="F130" i="16" s="1"/>
  <c r="AX132" i="16"/>
  <c r="F132" i="16" s="1"/>
  <c r="AX134" i="16"/>
  <c r="F134" i="16" s="1"/>
  <c r="AX136" i="16"/>
  <c r="F136" i="16" s="1"/>
  <c r="AX138" i="16"/>
  <c r="F138" i="16" s="1"/>
  <c r="AX140" i="16"/>
  <c r="F140" i="16" s="1"/>
  <c r="AX142" i="16"/>
  <c r="F142" i="16" s="1"/>
  <c r="AX144" i="16"/>
  <c r="F144" i="16" s="1"/>
  <c r="AX146" i="16"/>
  <c r="F146" i="16" s="1"/>
  <c r="AX148" i="16"/>
  <c r="F148" i="16" s="1"/>
  <c r="AX150" i="16"/>
  <c r="F150" i="16" s="1"/>
  <c r="AX152" i="16"/>
  <c r="F152" i="16" s="1"/>
  <c r="AX154" i="16"/>
  <c r="F154" i="16" s="1"/>
  <c r="AX156" i="16"/>
  <c r="F156" i="16" s="1"/>
  <c r="AX158" i="16"/>
  <c r="F158" i="16" s="1"/>
  <c r="AX160" i="16"/>
  <c r="F160" i="16" s="1"/>
  <c r="AX162" i="16"/>
  <c r="F162" i="16" s="1"/>
  <c r="AX164" i="16"/>
  <c r="F164" i="16" s="1"/>
  <c r="AX166" i="16"/>
  <c r="F166" i="16" s="1"/>
  <c r="AX168" i="16"/>
  <c r="F168" i="16" s="1"/>
  <c r="AX170" i="16"/>
  <c r="F170" i="16" s="1"/>
  <c r="AX172" i="16"/>
  <c r="F172" i="16" s="1"/>
  <c r="AX174" i="16"/>
  <c r="F174" i="16" s="1"/>
  <c r="AX176" i="16"/>
  <c r="F176" i="16" s="1"/>
  <c r="AX178" i="16"/>
  <c r="F178" i="16" s="1"/>
  <c r="AX180" i="16"/>
  <c r="F180" i="16" s="1"/>
  <c r="AX13" i="16"/>
  <c r="F13" i="16" s="1"/>
  <c r="AX15" i="16"/>
  <c r="F15" i="16" s="1"/>
  <c r="AX17" i="16"/>
  <c r="F17" i="16" s="1"/>
  <c r="AX19" i="16"/>
  <c r="F19" i="16" s="1"/>
  <c r="AX21" i="16"/>
  <c r="F21" i="16" s="1"/>
  <c r="AX23" i="16"/>
  <c r="F23" i="16" s="1"/>
  <c r="AX25" i="16"/>
  <c r="F25" i="16" s="1"/>
  <c r="AX27" i="16"/>
  <c r="F27" i="16" s="1"/>
  <c r="AX29" i="16"/>
  <c r="F29" i="16" s="1"/>
  <c r="AX31" i="16"/>
  <c r="F31" i="16" s="1"/>
  <c r="AX33" i="16"/>
  <c r="F33" i="16" s="1"/>
  <c r="AX35" i="16"/>
  <c r="F35" i="16" s="1"/>
  <c r="AX37" i="16"/>
  <c r="F37" i="16" s="1"/>
  <c r="AX39" i="16"/>
  <c r="F39" i="16" s="1"/>
  <c r="AX41" i="16"/>
  <c r="F41" i="16" s="1"/>
  <c r="AX43" i="16"/>
  <c r="F43" i="16" s="1"/>
  <c r="AX45" i="16"/>
  <c r="F45" i="16" s="1"/>
  <c r="AX47" i="16"/>
  <c r="F47" i="16" s="1"/>
  <c r="AX49" i="16"/>
  <c r="F49" i="16" s="1"/>
  <c r="AX51" i="16"/>
  <c r="F51" i="16" s="1"/>
  <c r="AX53" i="16"/>
  <c r="F53" i="16" s="1"/>
  <c r="AX55" i="16"/>
  <c r="F55" i="16" s="1"/>
  <c r="AX57" i="16"/>
  <c r="F57" i="16" s="1"/>
  <c r="AX59" i="16"/>
  <c r="F59" i="16" s="1"/>
  <c r="AX61" i="16"/>
  <c r="F61" i="16" s="1"/>
  <c r="AX63" i="16"/>
  <c r="F63" i="16" s="1"/>
  <c r="AX65" i="16"/>
  <c r="F65" i="16" s="1"/>
  <c r="AX67" i="16"/>
  <c r="F67" i="16" s="1"/>
  <c r="AX69" i="16"/>
  <c r="F69" i="16" s="1"/>
  <c r="AX71" i="16"/>
  <c r="F71" i="16" s="1"/>
  <c r="AX73" i="16"/>
  <c r="F73" i="16" s="1"/>
  <c r="AX75" i="16"/>
  <c r="F75" i="16" s="1"/>
  <c r="AX77" i="16"/>
  <c r="F77" i="16" s="1"/>
  <c r="AX79" i="16"/>
  <c r="F79" i="16" s="1"/>
  <c r="AX81" i="16"/>
  <c r="F81" i="16" s="1"/>
  <c r="AX83" i="16"/>
  <c r="F83" i="16" s="1"/>
  <c r="AX85" i="16"/>
  <c r="F85" i="16" s="1"/>
  <c r="AX87" i="16"/>
  <c r="F87" i="16" s="1"/>
  <c r="AX89" i="16"/>
  <c r="F89" i="16" s="1"/>
  <c r="AX91" i="16"/>
  <c r="F91" i="16" s="1"/>
  <c r="AX93" i="16"/>
  <c r="F93" i="16" s="1"/>
  <c r="AX95" i="16"/>
  <c r="F95" i="16" s="1"/>
  <c r="AX97" i="16"/>
  <c r="F97" i="16" s="1"/>
  <c r="AX99" i="16"/>
  <c r="F99" i="16" s="1"/>
  <c r="AX101" i="16"/>
  <c r="F101" i="16" s="1"/>
  <c r="AX103" i="16"/>
  <c r="F103" i="16" s="1"/>
  <c r="AX105" i="16"/>
  <c r="F105" i="16" s="1"/>
  <c r="AX107" i="16"/>
  <c r="F107" i="16" s="1"/>
  <c r="AX109" i="16"/>
  <c r="F109" i="16" s="1"/>
  <c r="AX111" i="16"/>
  <c r="F111" i="16" s="1"/>
  <c r="AX113" i="16"/>
  <c r="F113" i="16" s="1"/>
  <c r="AX115" i="16"/>
  <c r="F115" i="16" s="1"/>
  <c r="AX117" i="16"/>
  <c r="F117" i="16" s="1"/>
  <c r="AX119" i="16"/>
  <c r="H119" i="16" s="1"/>
  <c r="AX121" i="16"/>
  <c r="F121" i="16" s="1"/>
  <c r="AX123" i="16"/>
  <c r="F123" i="16" s="1"/>
  <c r="AX125" i="16"/>
  <c r="F125" i="16" s="1"/>
  <c r="AX127" i="16"/>
  <c r="F127" i="16" s="1"/>
  <c r="AX129" i="16"/>
  <c r="H129" i="16" s="1"/>
  <c r="AX131" i="16"/>
  <c r="F131" i="16" s="1"/>
  <c r="AX133" i="16"/>
  <c r="F133" i="16" s="1"/>
  <c r="AX135" i="16"/>
  <c r="F135" i="16" s="1"/>
  <c r="AX137" i="16"/>
  <c r="F137" i="16" s="1"/>
  <c r="AX139" i="16"/>
  <c r="H139" i="16" s="1"/>
  <c r="AX141" i="16"/>
  <c r="F141" i="16" s="1"/>
  <c r="AX143" i="16"/>
  <c r="F143" i="16" s="1"/>
  <c r="AX145" i="16"/>
  <c r="F145" i="16" s="1"/>
  <c r="AX147" i="16"/>
  <c r="F147" i="16" s="1"/>
  <c r="AX149" i="16"/>
  <c r="F149" i="16" s="1"/>
  <c r="AX151" i="16"/>
  <c r="F151" i="16" s="1"/>
  <c r="AX153" i="16"/>
  <c r="F153" i="16" s="1"/>
  <c r="AX155" i="16"/>
  <c r="F155" i="16" s="1"/>
  <c r="AX157" i="16"/>
  <c r="F157" i="16" s="1"/>
  <c r="AX159" i="16"/>
  <c r="F159" i="16" s="1"/>
  <c r="AX161" i="16"/>
  <c r="F161" i="16" s="1"/>
  <c r="AX163" i="16"/>
  <c r="F163" i="16" s="1"/>
  <c r="AX165" i="16"/>
  <c r="F165" i="16" s="1"/>
  <c r="AX167" i="16"/>
  <c r="F167" i="16" s="1"/>
  <c r="AX169" i="16"/>
  <c r="F169" i="16" s="1"/>
  <c r="AX171" i="16"/>
  <c r="F171" i="16" s="1"/>
  <c r="AX173" i="16"/>
  <c r="F173" i="16" s="1"/>
  <c r="AX175" i="16"/>
  <c r="F175" i="16" s="1"/>
  <c r="AX177" i="16"/>
  <c r="F177" i="16" s="1"/>
  <c r="AX179" i="16"/>
  <c r="F179" i="16" s="1"/>
  <c r="AX181" i="16"/>
  <c r="F181" i="16" s="1"/>
  <c r="AX182" i="16"/>
  <c r="F182" i="16" s="1"/>
  <c r="AX184" i="16"/>
  <c r="F184" i="16" s="1"/>
  <c r="AX186" i="16"/>
  <c r="F186" i="16" s="1"/>
  <c r="AX188" i="16"/>
  <c r="F188" i="16" s="1"/>
  <c r="AX190" i="16"/>
  <c r="F190" i="16" s="1"/>
  <c r="AX192" i="16"/>
  <c r="F192" i="16" s="1"/>
  <c r="AX194" i="16"/>
  <c r="F194" i="16" s="1"/>
  <c r="AX196" i="16"/>
  <c r="F196" i="16" s="1"/>
  <c r="AX198" i="16"/>
  <c r="F198" i="16" s="1"/>
  <c r="AX200" i="16"/>
  <c r="F200" i="16" s="1"/>
  <c r="AX202" i="16"/>
  <c r="F202" i="16" s="1"/>
  <c r="AX204" i="16"/>
  <c r="F204" i="16" s="1"/>
  <c r="AX206" i="16"/>
  <c r="F206" i="16" s="1"/>
  <c r="AX208" i="16"/>
  <c r="F208" i="16" s="1"/>
  <c r="AX210" i="16"/>
  <c r="F210" i="16" s="1"/>
  <c r="AX212" i="16"/>
  <c r="F212" i="16" s="1"/>
  <c r="AX214" i="16"/>
  <c r="F214" i="16" s="1"/>
  <c r="AX216" i="16"/>
  <c r="F216" i="16" s="1"/>
  <c r="AX218" i="16"/>
  <c r="F218" i="16" s="1"/>
  <c r="AX220" i="16"/>
  <c r="H220" i="16" s="1"/>
  <c r="AX222" i="16"/>
  <c r="F222" i="16" s="1"/>
  <c r="AX224" i="16"/>
  <c r="F224" i="16" s="1"/>
  <c r="AX226" i="16"/>
  <c r="F226" i="16" s="1"/>
  <c r="AX228" i="16"/>
  <c r="F228" i="16" s="1"/>
  <c r="AX230" i="16"/>
  <c r="F230" i="16" s="1"/>
  <c r="AX232" i="16"/>
  <c r="F232" i="16" s="1"/>
  <c r="AX234" i="16"/>
  <c r="F234" i="16" s="1"/>
  <c r="AX236" i="16"/>
  <c r="F236" i="16" s="1"/>
  <c r="AX238" i="16"/>
  <c r="F238" i="16" s="1"/>
  <c r="AX240" i="16"/>
  <c r="F240" i="16" s="1"/>
  <c r="AX242" i="16"/>
  <c r="F242" i="16" s="1"/>
  <c r="AX244" i="16"/>
  <c r="F244" i="16" s="1"/>
  <c r="AX246" i="16"/>
  <c r="F246" i="16" s="1"/>
  <c r="AX248" i="16"/>
  <c r="F248" i="16" s="1"/>
  <c r="AX250" i="16"/>
  <c r="F250" i="16" s="1"/>
  <c r="AX252" i="16"/>
  <c r="F252" i="16" s="1"/>
  <c r="AX254" i="16"/>
  <c r="F254" i="16" s="1"/>
  <c r="AX256" i="16"/>
  <c r="F256" i="16" s="1"/>
  <c r="AX258" i="16"/>
  <c r="F258" i="16" s="1"/>
  <c r="AX260" i="16"/>
  <c r="F260" i="16" s="1"/>
  <c r="AX262" i="16"/>
  <c r="F262" i="16" s="1"/>
  <c r="AX264" i="16"/>
  <c r="F264" i="16" s="1"/>
  <c r="AX266" i="16"/>
  <c r="F266" i="16" s="1"/>
  <c r="AX268" i="16"/>
  <c r="F268" i="16" s="1"/>
  <c r="AG20" i="16" s="1"/>
  <c r="AX270" i="16"/>
  <c r="F270" i="16" s="1"/>
  <c r="AX272" i="16"/>
  <c r="F272" i="16" s="1"/>
  <c r="AX274" i="16"/>
  <c r="F274" i="16" s="1"/>
  <c r="AX276" i="16"/>
  <c r="F276" i="16" s="1"/>
  <c r="AX278" i="16"/>
  <c r="F278" i="16" s="1"/>
  <c r="AX280" i="16"/>
  <c r="F280" i="16" s="1"/>
  <c r="AX282" i="16"/>
  <c r="F282" i="16" s="1"/>
  <c r="AX284" i="16"/>
  <c r="F284" i="16" s="1"/>
  <c r="AX286" i="16"/>
  <c r="F286" i="16" s="1"/>
  <c r="AX288" i="16"/>
  <c r="F288" i="16" s="1"/>
  <c r="AX290" i="16"/>
  <c r="F290" i="16" s="1"/>
  <c r="AX292" i="16"/>
  <c r="F292" i="16" s="1"/>
  <c r="AX294" i="16"/>
  <c r="F294" i="16" s="1"/>
  <c r="AX296" i="16"/>
  <c r="F296" i="16" s="1"/>
  <c r="AX298" i="16"/>
  <c r="F298" i="16" s="1"/>
  <c r="AX300" i="16"/>
  <c r="F300" i="16" s="1"/>
  <c r="AX302" i="16"/>
  <c r="F302" i="16" s="1"/>
  <c r="AX304" i="16"/>
  <c r="F304" i="16" s="1"/>
  <c r="AX306" i="16"/>
  <c r="F306" i="16" s="1"/>
  <c r="AX308" i="16"/>
  <c r="F308" i="16" s="1"/>
  <c r="AX310" i="16"/>
  <c r="F310" i="16" s="1"/>
  <c r="AX312" i="16"/>
  <c r="F312" i="16" s="1"/>
  <c r="AX314" i="16"/>
  <c r="F314" i="16" s="1"/>
  <c r="AX316" i="16"/>
  <c r="F316" i="16" s="1"/>
  <c r="AX318" i="16"/>
  <c r="F318" i="16" s="1"/>
  <c r="AX320" i="16"/>
  <c r="F320" i="16" s="1"/>
  <c r="AX322" i="16"/>
  <c r="F322" i="16" s="1"/>
  <c r="AX324" i="16"/>
  <c r="F324" i="16" s="1"/>
  <c r="AX326" i="16"/>
  <c r="F326" i="16" s="1"/>
  <c r="AX328" i="16"/>
  <c r="F328" i="16" s="1"/>
  <c r="AX330" i="16"/>
  <c r="F330" i="16" s="1"/>
  <c r="AX332" i="16"/>
  <c r="F332" i="16" s="1"/>
  <c r="AX334" i="16"/>
  <c r="F334" i="16" s="1"/>
  <c r="AX336" i="16"/>
  <c r="F336" i="16" s="1"/>
  <c r="AX338" i="16"/>
  <c r="F338" i="16" s="1"/>
  <c r="AX340" i="16"/>
  <c r="F340" i="16" s="1"/>
  <c r="AX342" i="16"/>
  <c r="F342" i="16" s="1"/>
  <c r="AX344" i="16"/>
  <c r="F344" i="16" s="1"/>
  <c r="AX346" i="16"/>
  <c r="F346" i="16" s="1"/>
  <c r="AX348" i="16"/>
  <c r="F348" i="16" s="1"/>
  <c r="AX350" i="16"/>
  <c r="H350" i="16" s="1"/>
  <c r="AX352" i="16"/>
  <c r="F352" i="16" s="1"/>
  <c r="AX183" i="16"/>
  <c r="F183" i="16" s="1"/>
  <c r="AX185" i="16"/>
  <c r="F185" i="16" s="1"/>
  <c r="AX187" i="16"/>
  <c r="F187" i="16" s="1"/>
  <c r="AX189" i="16"/>
  <c r="F189" i="16" s="1"/>
  <c r="AX191" i="16"/>
  <c r="F191" i="16" s="1"/>
  <c r="AX193" i="16"/>
  <c r="F193" i="16" s="1"/>
  <c r="AX195" i="16"/>
  <c r="F195" i="16" s="1"/>
  <c r="AX197" i="16"/>
  <c r="F197" i="16" s="1"/>
  <c r="AX199" i="16"/>
  <c r="F199" i="16" s="1"/>
  <c r="AX201" i="16"/>
  <c r="F201" i="16" s="1"/>
  <c r="AX203" i="16"/>
  <c r="F203" i="16" s="1"/>
  <c r="AX205" i="16"/>
  <c r="F205" i="16" s="1"/>
  <c r="AX207" i="16"/>
  <c r="F207" i="16" s="1"/>
  <c r="AX209" i="16"/>
  <c r="F209" i="16" s="1"/>
  <c r="AX211" i="16"/>
  <c r="F211" i="16" s="1"/>
  <c r="AX213" i="16"/>
  <c r="F213" i="16" s="1"/>
  <c r="AX215" i="16"/>
  <c r="F215" i="16" s="1"/>
  <c r="AX217" i="16"/>
  <c r="F217" i="16" s="1"/>
  <c r="AX219" i="16"/>
  <c r="F219" i="16" s="1"/>
  <c r="AX221" i="16"/>
  <c r="F221" i="16" s="1"/>
  <c r="AX223" i="16"/>
  <c r="F223" i="16" s="1"/>
  <c r="AX225" i="16"/>
  <c r="F225" i="16" s="1"/>
  <c r="AX227" i="16"/>
  <c r="F227" i="16" s="1"/>
  <c r="AX229" i="16"/>
  <c r="H229" i="16" s="1"/>
  <c r="AX231" i="16"/>
  <c r="F231" i="16" s="1"/>
  <c r="AX233" i="16"/>
  <c r="F233" i="16" s="1"/>
  <c r="AX235" i="16"/>
  <c r="F235" i="16" s="1"/>
  <c r="AX237" i="16"/>
  <c r="F237" i="16" s="1"/>
  <c r="AX239" i="16"/>
  <c r="F239" i="16" s="1"/>
  <c r="AX241" i="16"/>
  <c r="F241" i="16" s="1"/>
  <c r="AX243" i="16"/>
  <c r="F243" i="16" s="1"/>
  <c r="AX245" i="16"/>
  <c r="F245" i="16" s="1"/>
  <c r="AX247" i="16"/>
  <c r="F247" i="16" s="1"/>
  <c r="AX249" i="16"/>
  <c r="F249" i="16" s="1"/>
  <c r="AX251" i="16"/>
  <c r="F251" i="16" s="1"/>
  <c r="AX253" i="16"/>
  <c r="F253" i="16" s="1"/>
  <c r="AX255" i="16"/>
  <c r="F255" i="16" s="1"/>
  <c r="AX257" i="16"/>
  <c r="F257" i="16" s="1"/>
  <c r="AX259" i="16"/>
  <c r="F259" i="16" s="1"/>
  <c r="AX261" i="16"/>
  <c r="F261" i="16" s="1"/>
  <c r="AX263" i="16"/>
  <c r="F263" i="16" s="1"/>
  <c r="AX265" i="16"/>
  <c r="F265" i="16" s="1"/>
  <c r="AX267" i="16"/>
  <c r="F267" i="16" s="1"/>
  <c r="AX269" i="16"/>
  <c r="F269" i="16" s="1"/>
  <c r="AX271" i="16"/>
  <c r="F271" i="16" s="1"/>
  <c r="AX273" i="16"/>
  <c r="F273" i="16" s="1"/>
  <c r="AX275" i="16"/>
  <c r="F275" i="16" s="1"/>
  <c r="AX277" i="16"/>
  <c r="F277" i="16" s="1"/>
  <c r="AX279" i="16"/>
  <c r="F279" i="16" s="1"/>
  <c r="AX281" i="16"/>
  <c r="F281" i="16" s="1"/>
  <c r="AX283" i="16"/>
  <c r="F283" i="16" s="1"/>
  <c r="AX285" i="16"/>
  <c r="F285" i="16" s="1"/>
  <c r="AX287" i="16"/>
  <c r="F287" i="16" s="1"/>
  <c r="AX289" i="16"/>
  <c r="F289" i="16" s="1"/>
  <c r="AX291" i="16"/>
  <c r="F291" i="16" s="1"/>
  <c r="AX293" i="16"/>
  <c r="H293" i="16" s="1"/>
  <c r="AX295" i="16"/>
  <c r="F295" i="16" s="1"/>
  <c r="AX297" i="16"/>
  <c r="F297" i="16" s="1"/>
  <c r="AX299" i="16"/>
  <c r="F299" i="16" s="1"/>
  <c r="AX301" i="16"/>
  <c r="F301" i="16" s="1"/>
  <c r="AX303" i="16"/>
  <c r="F303" i="16" s="1"/>
  <c r="AX305" i="16"/>
  <c r="F305" i="16" s="1"/>
  <c r="AX307" i="16"/>
  <c r="F307" i="16" s="1"/>
  <c r="AX309" i="16"/>
  <c r="F309" i="16" s="1"/>
  <c r="AX311" i="16"/>
  <c r="F311" i="16" s="1"/>
  <c r="AX313" i="16"/>
  <c r="F313" i="16" s="1"/>
  <c r="AX315" i="16"/>
  <c r="F315" i="16" s="1"/>
  <c r="AX317" i="16"/>
  <c r="F317" i="16" s="1"/>
  <c r="AX319" i="16"/>
  <c r="F319" i="16" s="1"/>
  <c r="AX321" i="16"/>
  <c r="F321" i="16" s="1"/>
  <c r="AX323" i="16"/>
  <c r="F323" i="16" s="1"/>
  <c r="AX325" i="16"/>
  <c r="F325" i="16" s="1"/>
  <c r="AX327" i="16"/>
  <c r="F327" i="16" s="1"/>
  <c r="AX329" i="16"/>
  <c r="F329" i="16" s="1"/>
  <c r="AX331" i="16"/>
  <c r="F331" i="16" s="1"/>
  <c r="AX333" i="16"/>
  <c r="F333" i="16" s="1"/>
  <c r="AX335" i="16"/>
  <c r="F335" i="16" s="1"/>
  <c r="AX337" i="16"/>
  <c r="F337" i="16" s="1"/>
  <c r="AX339" i="16"/>
  <c r="F339" i="16" s="1"/>
  <c r="AX341" i="16"/>
  <c r="F341" i="16" s="1"/>
  <c r="AX343" i="16"/>
  <c r="F343" i="16" s="1"/>
  <c r="AX345" i="16"/>
  <c r="F345" i="16" s="1"/>
  <c r="AX347" i="16"/>
  <c r="F347" i="16" s="1"/>
  <c r="AX349" i="16"/>
  <c r="F349" i="16" s="1"/>
  <c r="AX351" i="16"/>
  <c r="F351" i="16" s="1"/>
  <c r="AX353" i="16"/>
  <c r="F353" i="16" s="1"/>
  <c r="AX355" i="16"/>
  <c r="F355" i="16" s="1"/>
  <c r="AX357" i="16"/>
  <c r="F357" i="16" s="1"/>
  <c r="AX359" i="16"/>
  <c r="F359" i="16" s="1"/>
  <c r="AX361" i="16"/>
  <c r="F361" i="16" s="1"/>
  <c r="AX363" i="16"/>
  <c r="F363" i="16" s="1"/>
  <c r="AX11" i="16"/>
  <c r="F11" i="16" s="1"/>
  <c r="AX354" i="16"/>
  <c r="F354" i="16" s="1"/>
  <c r="AX356" i="16"/>
  <c r="F356" i="16" s="1"/>
  <c r="AX358" i="16"/>
  <c r="F358" i="16" s="1"/>
  <c r="AX360" i="16"/>
  <c r="F360" i="16" s="1"/>
  <c r="AX362" i="16"/>
  <c r="H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49" i="8"/>
  <c r="G3" i="16"/>
  <c r="J9" i="8" s="1"/>
  <c r="L88" i="8" s="1"/>
  <c r="I3" i="16"/>
  <c r="P8" i="16"/>
  <c r="AF11" i="16"/>
  <c r="F3" i="16"/>
  <c r="H3" i="16"/>
  <c r="J11" i="8" s="1"/>
  <c r="H94" i="16" l="1"/>
  <c r="AG23" i="16"/>
  <c r="AG14" i="16"/>
  <c r="AG25" i="16"/>
  <c r="H301" i="16"/>
  <c r="H51" i="16"/>
  <c r="H177" i="16"/>
  <c r="H56" i="16"/>
  <c r="F119" i="16"/>
  <c r="AG26" i="16" s="1"/>
  <c r="H90" i="16"/>
  <c r="F129" i="16"/>
  <c r="AG22" i="16" s="1"/>
  <c r="H165" i="16"/>
  <c r="F220" i="16"/>
  <c r="AG17" i="16" s="1"/>
  <c r="H182" i="16"/>
  <c r="H335" i="16"/>
  <c r="F362" i="16"/>
  <c r="AG18" i="16" s="1"/>
  <c r="F139" i="16"/>
  <c r="H218" i="16"/>
  <c r="F229" i="16"/>
  <c r="H92" i="16"/>
  <c r="H110" i="16"/>
  <c r="H304" i="16"/>
  <c r="I304" i="16" s="1"/>
  <c r="F84" i="16"/>
  <c r="AG11" i="16" s="1"/>
  <c r="H205" i="16"/>
  <c r="H173" i="16"/>
  <c r="H224" i="16"/>
  <c r="H268" i="16"/>
  <c r="F293" i="16"/>
  <c r="AG15" i="16" s="1"/>
  <c r="H151" i="16"/>
  <c r="I151" i="16" s="1"/>
  <c r="F350" i="16"/>
  <c r="AX366" i="16"/>
  <c r="F366" i="16" s="1"/>
  <c r="AX364" i="16"/>
  <c r="F364" i="16" s="1"/>
  <c r="AX367" i="16"/>
  <c r="F367" i="16" s="1"/>
  <c r="AX368" i="16"/>
  <c r="F368" i="16" s="1"/>
  <c r="AX365" i="16"/>
  <c r="F365" i="16" s="1"/>
  <c r="H8" i="16"/>
  <c r="D22" i="8"/>
  <c r="D21" i="8"/>
  <c r="X9" i="16"/>
  <c r="AI9" i="16"/>
  <c r="AP9" i="16"/>
  <c r="J10" i="8"/>
  <c r="AG12" i="16" l="1"/>
  <c r="AG19" i="16"/>
  <c r="I90" i="16"/>
  <c r="AG24" i="16"/>
  <c r="AG13" i="16"/>
  <c r="AG21" i="16"/>
  <c r="AG16" i="16"/>
  <c r="I110" i="16"/>
  <c r="I92" i="16"/>
  <c r="I362" i="16"/>
  <c r="I218" i="16"/>
  <c r="K12" i="16"/>
  <c r="I51" i="16"/>
  <c r="I94" i="16"/>
  <c r="I350" i="16"/>
  <c r="I301" i="16"/>
  <c r="I335" i="16"/>
  <c r="I268" i="16"/>
  <c r="I224" i="16"/>
  <c r="I182" i="16"/>
  <c r="I220" i="16"/>
  <c r="I229" i="16"/>
  <c r="I173" i="16"/>
  <c r="I205" i="16"/>
  <c r="I165" i="16"/>
  <c r="I293" i="16"/>
  <c r="I139" i="16"/>
  <c r="I129" i="16"/>
  <c r="I56" i="16"/>
  <c r="I119" i="16"/>
  <c r="I177" i="16"/>
  <c r="I84" i="16"/>
  <c r="L35" i="8"/>
  <c r="AE21" i="16" l="1"/>
  <c r="AE16" i="16"/>
  <c r="AE13" i="16"/>
  <c r="AE14" i="16"/>
  <c r="AE17" i="16"/>
  <c r="AE20" i="16"/>
  <c r="AE26" i="16"/>
  <c r="AE19" i="16"/>
  <c r="AE25" i="16"/>
  <c r="AE24" i="16"/>
  <c r="AE22" i="16"/>
  <c r="AE15" i="16"/>
  <c r="AE23" i="16"/>
  <c r="AE11" i="16"/>
  <c r="AE12" i="16"/>
  <c r="AE18" i="16"/>
  <c r="L11" i="16"/>
  <c r="L12" i="16"/>
  <c r="K13" i="16"/>
  <c r="V37" i="8"/>
  <c r="B33" i="8" s="1"/>
  <c r="AG9" i="16"/>
  <c r="G117" i="8"/>
  <c r="E47" i="8"/>
  <c r="Q37" i="8"/>
  <c r="L13" i="16" l="1"/>
  <c r="K14" i="16"/>
  <c r="B85" i="8"/>
  <c r="U85" i="8" s="1"/>
  <c r="AA11" i="16"/>
  <c r="AH18" i="16"/>
  <c r="AH12" i="16"/>
  <c r="AH20" i="16"/>
  <c r="AH26" i="16"/>
  <c r="AH23" i="16"/>
  <c r="AH17" i="16"/>
  <c r="AH19" i="16"/>
  <c r="AH16" i="16"/>
  <c r="AH21" i="16"/>
  <c r="AH13" i="16"/>
  <c r="AH14" i="16"/>
  <c r="AH15" i="16"/>
  <c r="AH24" i="16"/>
  <c r="AH22" i="16"/>
  <c r="AH25" i="16"/>
  <c r="AH11" i="16"/>
  <c r="AI11" i="16"/>
  <c r="E65" i="8"/>
  <c r="Y65" i="8" s="1"/>
  <c r="AP11" i="16"/>
  <c r="M11" i="16"/>
  <c r="X11" i="16"/>
  <c r="T11" i="16"/>
  <c r="S11" i="16"/>
  <c r="AP12" i="16"/>
  <c r="X12" i="16"/>
  <c r="M12" i="16"/>
  <c r="N12" i="16" s="1"/>
  <c r="T12" i="16"/>
  <c r="AI12" i="16"/>
  <c r="S12" i="16"/>
  <c r="AA12" i="16"/>
  <c r="X13" i="16"/>
  <c r="K15" i="16" l="1"/>
  <c r="L14" i="16"/>
  <c r="AB12" i="16"/>
  <c r="AQ11" i="16"/>
  <c r="AB11" i="16"/>
  <c r="U11" i="16"/>
  <c r="V11" i="16" s="1"/>
  <c r="U12" i="16"/>
  <c r="AQ12" i="16"/>
  <c r="AJ12" i="16"/>
  <c r="AJ11" i="16"/>
  <c r="N11" i="16"/>
  <c r="U65" i="8"/>
  <c r="AP13" i="16"/>
  <c r="M13" i="16"/>
  <c r="N13" i="16" s="1"/>
  <c r="T13" i="16"/>
  <c r="AI13" i="16"/>
  <c r="S13" i="16"/>
  <c r="AA13" i="16"/>
  <c r="K16" i="16" l="1"/>
  <c r="L15" i="16"/>
  <c r="AK11" i="16"/>
  <c r="AR11" i="16"/>
  <c r="AB13" i="16"/>
  <c r="AJ13" i="16"/>
  <c r="AK13" i="16" s="1"/>
  <c r="AQ13" i="16"/>
  <c r="AR13" i="16" s="1"/>
  <c r="U13" i="16"/>
  <c r="V13" i="16" s="1"/>
  <c r="AI14" i="16"/>
  <c r="S14" i="16"/>
  <c r="AA14" i="16"/>
  <c r="AP14" i="16"/>
  <c r="X14" i="16"/>
  <c r="T14" i="16"/>
  <c r="M14" i="16"/>
  <c r="N14" i="16" s="1"/>
  <c r="L16" i="16" l="1"/>
  <c r="K17" i="16"/>
  <c r="AQ14" i="16"/>
  <c r="AR14" i="16" s="1"/>
  <c r="U14" i="16"/>
  <c r="V14" i="16" s="1"/>
  <c r="AB14" i="16"/>
  <c r="AJ14" i="16"/>
  <c r="AI15" i="16"/>
  <c r="S15" i="16"/>
  <c r="AA15" i="16"/>
  <c r="AP15" i="16"/>
  <c r="X15" i="16"/>
  <c r="M15" i="16"/>
  <c r="N15" i="16" s="1"/>
  <c r="T15" i="16"/>
  <c r="AK14" i="16" l="1"/>
  <c r="K18" i="16"/>
  <c r="L17" i="16"/>
  <c r="AQ15" i="16"/>
  <c r="AR15" i="16" s="1"/>
  <c r="AB15" i="16"/>
  <c r="U15" i="16"/>
  <c r="AJ15" i="16"/>
  <c r="AP16" i="16"/>
  <c r="X16" i="16"/>
  <c r="M16" i="16"/>
  <c r="N16" i="16" s="1"/>
  <c r="T16" i="16"/>
  <c r="AI16" i="16"/>
  <c r="S16" i="16"/>
  <c r="AA16" i="16"/>
  <c r="L18" i="16" l="1"/>
  <c r="K19" i="16"/>
  <c r="AK15" i="16"/>
  <c r="AQ16" i="16"/>
  <c r="AB16" i="16"/>
  <c r="U16" i="16"/>
  <c r="AJ16" i="16"/>
  <c r="AK16" i="16" s="1"/>
  <c r="AI17" i="16"/>
  <c r="S17" i="16"/>
  <c r="AA17" i="16"/>
  <c r="AP17" i="16"/>
  <c r="X17" i="16"/>
  <c r="M17" i="16"/>
  <c r="N17" i="16" s="1"/>
  <c r="T17" i="16"/>
  <c r="AR16" i="16" l="1"/>
  <c r="L19" i="16"/>
  <c r="K20" i="16"/>
  <c r="AQ17" i="16"/>
  <c r="U17" i="16"/>
  <c r="AB17" i="16"/>
  <c r="AJ17" i="16"/>
  <c r="AP18" i="16"/>
  <c r="X18" i="16"/>
  <c r="M18" i="16"/>
  <c r="N18" i="16" s="1"/>
  <c r="T18" i="16"/>
  <c r="AI18" i="16"/>
  <c r="S18" i="16"/>
  <c r="AA18" i="16"/>
  <c r="K21" i="16" l="1"/>
  <c r="L20" i="16"/>
  <c r="AK17" i="16"/>
  <c r="U18" i="16"/>
  <c r="AB18" i="16"/>
  <c r="AJ18" i="16"/>
  <c r="AK18" i="16" s="1"/>
  <c r="AQ18" i="16"/>
  <c r="AI19" i="16"/>
  <c r="AP19" i="16"/>
  <c r="X19" i="16"/>
  <c r="M19" i="16"/>
  <c r="N19" i="16" s="1"/>
  <c r="T19" i="16"/>
  <c r="S19" i="16"/>
  <c r="AA19" i="16"/>
  <c r="AR18" i="16" l="1"/>
  <c r="K22" i="16"/>
  <c r="L21" i="16"/>
  <c r="AQ19" i="16"/>
  <c r="AR19" i="16" s="1"/>
  <c r="AB19" i="16"/>
  <c r="U19" i="16"/>
  <c r="AJ19" i="16"/>
  <c r="AK19" i="16" s="1"/>
  <c r="AI20" i="16"/>
  <c r="S20" i="16"/>
  <c r="AA20" i="16"/>
  <c r="AP20" i="16"/>
  <c r="X20" i="16"/>
  <c r="M20" i="16"/>
  <c r="N20" i="16" s="1"/>
  <c r="T20" i="16"/>
  <c r="L22" i="16" l="1"/>
  <c r="K23" i="16"/>
  <c r="U20" i="16"/>
  <c r="AB20" i="16"/>
  <c r="AQ20" i="16"/>
  <c r="AJ20" i="16"/>
  <c r="AK20" i="16" s="1"/>
  <c r="AP21" i="16"/>
  <c r="X21" i="16"/>
  <c r="M21" i="16"/>
  <c r="N21" i="16" s="1"/>
  <c r="T21" i="16"/>
  <c r="AI21" i="16"/>
  <c r="S21" i="16"/>
  <c r="AA21" i="16"/>
  <c r="AR20" i="16" l="1"/>
  <c r="K24" i="16"/>
  <c r="L23" i="16"/>
  <c r="AB21" i="16"/>
  <c r="U21" i="16"/>
  <c r="AJ21" i="16"/>
  <c r="AQ21" i="16"/>
  <c r="AP22" i="16"/>
  <c r="X22" i="16"/>
  <c r="M22" i="16"/>
  <c r="N22" i="16" s="1"/>
  <c r="T22" i="16"/>
  <c r="AI22" i="16"/>
  <c r="S22" i="16"/>
  <c r="AA22" i="16"/>
  <c r="K25" i="16" l="1"/>
  <c r="L24" i="16"/>
  <c r="AB22" i="16"/>
  <c r="U22" i="16"/>
  <c r="AQ22" i="16"/>
  <c r="AR22" i="16" s="1"/>
  <c r="AJ22" i="16"/>
  <c r="AK22" i="16" s="1"/>
  <c r="AI23" i="16"/>
  <c r="S23" i="16"/>
  <c r="AA23" i="16"/>
  <c r="AP23" i="16"/>
  <c r="X23" i="16"/>
  <c r="M23" i="16"/>
  <c r="N23" i="16" s="1"/>
  <c r="T23" i="16"/>
  <c r="L25" i="16" l="1"/>
  <c r="K26" i="16"/>
  <c r="U23" i="16"/>
  <c r="AB23" i="16"/>
  <c r="AJ23" i="16"/>
  <c r="AQ23" i="16"/>
  <c r="AI24" i="16"/>
  <c r="S24" i="16"/>
  <c r="AA24" i="16"/>
  <c r="AP24" i="16"/>
  <c r="X24" i="16"/>
  <c r="M24" i="16"/>
  <c r="N24" i="16" s="1"/>
  <c r="T24" i="16"/>
  <c r="K27" i="16" l="1"/>
  <c r="L26" i="16"/>
  <c r="U24" i="16"/>
  <c r="AQ24" i="16"/>
  <c r="AB24" i="16"/>
  <c r="AJ24" i="16"/>
  <c r="AI25" i="16"/>
  <c r="S25" i="16"/>
  <c r="AA25" i="16"/>
  <c r="AP25" i="16"/>
  <c r="M25" i="16"/>
  <c r="N25" i="16" s="1"/>
  <c r="X25" i="16"/>
  <c r="T25" i="16"/>
  <c r="K28" i="16" l="1"/>
  <c r="L27" i="16"/>
  <c r="AB25" i="16"/>
  <c r="AQ25" i="16"/>
  <c r="U25" i="16"/>
  <c r="AJ25" i="16"/>
  <c r="AP26" i="16"/>
  <c r="X26" i="16"/>
  <c r="M26" i="16"/>
  <c r="N26" i="16" s="1"/>
  <c r="T26" i="16"/>
  <c r="AI26" i="16"/>
  <c r="S26" i="16"/>
  <c r="AA26" i="16"/>
  <c r="K29" i="16" l="1"/>
  <c r="L28" i="16"/>
  <c r="AQ26" i="16"/>
  <c r="AB26" i="16"/>
  <c r="AJ26" i="16"/>
  <c r="AK26" i="16" s="1"/>
  <c r="U26" i="16"/>
  <c r="AP27" i="16"/>
  <c r="X27" i="16"/>
  <c r="M27" i="16"/>
  <c r="N27" i="16" s="1"/>
  <c r="T27" i="16"/>
  <c r="AI27" i="16"/>
  <c r="S27" i="16"/>
  <c r="AA27" i="16"/>
  <c r="L29" i="16" l="1"/>
  <c r="K30" i="16"/>
  <c r="AQ27" i="16"/>
  <c r="AR27" i="16" s="1"/>
  <c r="AB27" i="16"/>
  <c r="AJ27" i="16"/>
  <c r="AK27" i="16" s="1"/>
  <c r="U27" i="16"/>
  <c r="AP28" i="16"/>
  <c r="X28" i="16"/>
  <c r="M28" i="16"/>
  <c r="N28" i="16" s="1"/>
  <c r="T28" i="16"/>
  <c r="AI28" i="16"/>
  <c r="S28" i="16"/>
  <c r="AA28" i="16"/>
  <c r="K31" i="16" l="1"/>
  <c r="L30" i="16"/>
  <c r="AQ28" i="16"/>
  <c r="AR28" i="16" s="1"/>
  <c r="U28" i="16"/>
  <c r="V28" i="16" s="1"/>
  <c r="AJ28" i="16"/>
  <c r="AK28" i="16" s="1"/>
  <c r="AB28" i="16"/>
  <c r="AP29" i="16"/>
  <c r="X29" i="16"/>
  <c r="M29" i="16"/>
  <c r="N29" i="16" s="1"/>
  <c r="T29" i="16"/>
  <c r="AI29" i="16"/>
  <c r="S29" i="16"/>
  <c r="AA29" i="16"/>
  <c r="K32" i="16" l="1"/>
  <c r="L31" i="16"/>
  <c r="AB29" i="16"/>
  <c r="AQ29" i="16"/>
  <c r="AR29" i="16" s="1"/>
  <c r="AJ29" i="16"/>
  <c r="AK29" i="16" s="1"/>
  <c r="U29" i="16"/>
  <c r="AP30" i="16"/>
  <c r="X30" i="16"/>
  <c r="M30" i="16"/>
  <c r="N30" i="16" s="1"/>
  <c r="T30" i="16"/>
  <c r="AI30" i="16"/>
  <c r="S30" i="16"/>
  <c r="AA30" i="16"/>
  <c r="K33" i="16" l="1"/>
  <c r="L32" i="16"/>
  <c r="AQ30" i="16"/>
  <c r="U30" i="16"/>
  <c r="AB30" i="16"/>
  <c r="AJ30" i="16"/>
  <c r="AP31" i="16"/>
  <c r="X31" i="16"/>
  <c r="M31" i="16"/>
  <c r="N31" i="16" s="1"/>
  <c r="T31" i="16"/>
  <c r="AI31" i="16"/>
  <c r="S31" i="16"/>
  <c r="AA31" i="16"/>
  <c r="K34" i="16" l="1"/>
  <c r="L33" i="16"/>
  <c r="AB31" i="16"/>
  <c r="U31" i="16"/>
  <c r="AJ31" i="16"/>
  <c r="AQ31" i="16"/>
  <c r="AI32" i="16"/>
  <c r="AA32" i="16"/>
  <c r="AP32" i="16"/>
  <c r="X32" i="16"/>
  <c r="M32" i="16"/>
  <c r="N32" i="16" s="1"/>
  <c r="T32" i="16"/>
  <c r="S32" i="16"/>
  <c r="K35" i="16" l="1"/>
  <c r="L34" i="16"/>
  <c r="U32" i="16"/>
  <c r="AB32" i="16"/>
  <c r="AQ32" i="16"/>
  <c r="AJ32" i="16"/>
  <c r="AI33" i="16"/>
  <c r="S33" i="16"/>
  <c r="AA33" i="16"/>
  <c r="AP33" i="16"/>
  <c r="X33" i="16"/>
  <c r="M33" i="16"/>
  <c r="N33" i="16" s="1"/>
  <c r="T33" i="16"/>
  <c r="K36" i="16" l="1"/>
  <c r="L35" i="16"/>
  <c r="AQ33" i="16"/>
  <c r="U33" i="16"/>
  <c r="AB33" i="16"/>
  <c r="AJ33" i="16"/>
  <c r="AK33" i="16" s="1"/>
  <c r="T34" i="16"/>
  <c r="M34" i="16"/>
  <c r="N34" i="16" s="1"/>
  <c r="X34" i="16"/>
  <c r="AA34" i="16"/>
  <c r="AI34" i="16"/>
  <c r="AP34" i="16"/>
  <c r="S34" i="16"/>
  <c r="K37" i="16" l="1"/>
  <c r="L36" i="16"/>
  <c r="AB34" i="16"/>
  <c r="AQ34" i="16"/>
  <c r="AJ34" i="16"/>
  <c r="AK34" i="16" s="1"/>
  <c r="U34" i="16"/>
  <c r="AI35" i="16"/>
  <c r="T35" i="16"/>
  <c r="S35" i="16"/>
  <c r="AP35" i="16"/>
  <c r="AA35" i="16"/>
  <c r="X35" i="16"/>
  <c r="M35" i="16"/>
  <c r="N35" i="16" s="1"/>
  <c r="K38" i="16" l="1"/>
  <c r="L37" i="16"/>
  <c r="AQ35" i="16"/>
  <c r="AB35" i="16"/>
  <c r="U35" i="16"/>
  <c r="AJ35" i="16"/>
  <c r="AK35" i="16" s="1"/>
  <c r="X36" i="16"/>
  <c r="M36" i="16"/>
  <c r="N36" i="16" s="1"/>
  <c r="AI36" i="16"/>
  <c r="T36" i="16"/>
  <c r="S36" i="16"/>
  <c r="AP36" i="16"/>
  <c r="AA36" i="16"/>
  <c r="K39" i="16" l="1"/>
  <c r="L38" i="16"/>
  <c r="AQ36" i="16"/>
  <c r="AR36" i="16" s="1"/>
  <c r="U36" i="16"/>
  <c r="AB36" i="16"/>
  <c r="AJ36" i="16"/>
  <c r="AK36" i="16" s="1"/>
  <c r="AI37" i="16"/>
  <c r="T37" i="16"/>
  <c r="S37" i="16"/>
  <c r="AA37" i="16"/>
  <c r="X37" i="16"/>
  <c r="M37" i="16"/>
  <c r="N37" i="16" s="1"/>
  <c r="AP37" i="16"/>
  <c r="K40" i="16" l="1"/>
  <c r="L39" i="16"/>
  <c r="AQ37" i="16"/>
  <c r="U37" i="16"/>
  <c r="AB37" i="16"/>
  <c r="AJ37" i="16"/>
  <c r="AK37" i="16" s="1"/>
  <c r="S38" i="16"/>
  <c r="AP38" i="16"/>
  <c r="AA38" i="16"/>
  <c r="X38" i="16"/>
  <c r="M38" i="16"/>
  <c r="N38" i="16" s="1"/>
  <c r="AI38" i="16"/>
  <c r="T38" i="16"/>
  <c r="K41" i="16" l="1"/>
  <c r="L40" i="16"/>
  <c r="U38" i="16"/>
  <c r="AB38" i="16"/>
  <c r="AC38" i="16" s="1"/>
  <c r="AQ38" i="16"/>
  <c r="AJ38" i="16"/>
  <c r="AK38" i="16" s="1"/>
  <c r="AP39" i="16"/>
  <c r="AA39" i="16"/>
  <c r="X39" i="16"/>
  <c r="M39" i="16"/>
  <c r="N39" i="16" s="1"/>
  <c r="AI39" i="16"/>
  <c r="T39" i="16"/>
  <c r="S39" i="16"/>
  <c r="AR38" i="16" l="1"/>
  <c r="K42" i="16"/>
  <c r="L41" i="16"/>
  <c r="V38" i="16"/>
  <c r="AB39" i="16"/>
  <c r="U39" i="16"/>
  <c r="V39" i="16" s="1"/>
  <c r="AJ39" i="16"/>
  <c r="AK39" i="16" s="1"/>
  <c r="AQ39" i="16"/>
  <c r="AR39" i="16" s="1"/>
  <c r="S40" i="16"/>
  <c r="AP40" i="16"/>
  <c r="AA40" i="16"/>
  <c r="X40" i="16"/>
  <c r="M40" i="16"/>
  <c r="N40" i="16" s="1"/>
  <c r="T40" i="16"/>
  <c r="AI40" i="16"/>
  <c r="AC39" i="16" l="1"/>
  <c r="L42" i="16"/>
  <c r="K43" i="16"/>
  <c r="U40" i="16"/>
  <c r="V40" i="16" s="1"/>
  <c r="AQ40" i="16"/>
  <c r="AR40" i="16" s="1"/>
  <c r="AJ40" i="16"/>
  <c r="AK40" i="16" s="1"/>
  <c r="AB40" i="16"/>
  <c r="AC40" i="16" s="1"/>
  <c r="AI41" i="16"/>
  <c r="T41" i="16"/>
  <c r="S41" i="16"/>
  <c r="AP41" i="16"/>
  <c r="AA41" i="16"/>
  <c r="X41" i="16"/>
  <c r="M41" i="16"/>
  <c r="N41" i="16" s="1"/>
  <c r="K44" i="16" l="1"/>
  <c r="L43" i="16"/>
  <c r="U41" i="16"/>
  <c r="V41" i="16" s="1"/>
  <c r="AQ41" i="16"/>
  <c r="AR41" i="16" s="1"/>
  <c r="AB41" i="16"/>
  <c r="AC41" i="16" s="1"/>
  <c r="AJ41" i="16"/>
  <c r="AK41" i="16" s="1"/>
  <c r="S42" i="16"/>
  <c r="X42" i="16"/>
  <c r="M42" i="16"/>
  <c r="N42" i="16" s="1"/>
  <c r="AI42" i="16"/>
  <c r="T42" i="16"/>
  <c r="AP42" i="16"/>
  <c r="AA42" i="16"/>
  <c r="L44" i="16" l="1"/>
  <c r="K45" i="16"/>
  <c r="U42" i="16"/>
  <c r="V42" i="16" s="1"/>
  <c r="AB42" i="16"/>
  <c r="AC42" i="16" s="1"/>
  <c r="AQ42" i="16"/>
  <c r="AR42" i="16" s="1"/>
  <c r="AJ42" i="16"/>
  <c r="AK42" i="16" s="1"/>
  <c r="AI43" i="16"/>
  <c r="T43" i="16"/>
  <c r="S43" i="16"/>
  <c r="AP43" i="16"/>
  <c r="AA43" i="16"/>
  <c r="X43" i="16"/>
  <c r="M43" i="16"/>
  <c r="N43" i="16" s="1"/>
  <c r="K46" i="16" l="1"/>
  <c r="L45" i="16"/>
  <c r="AQ43" i="16"/>
  <c r="AR43" i="16" s="1"/>
  <c r="AB43" i="16"/>
  <c r="AC43" i="16" s="1"/>
  <c r="U43" i="16"/>
  <c r="V43" i="16" s="1"/>
  <c r="AJ43" i="16"/>
  <c r="AK43" i="16" s="1"/>
  <c r="S44" i="16"/>
  <c r="AP44" i="16"/>
  <c r="AA44" i="16"/>
  <c r="X44" i="16"/>
  <c r="M44" i="16"/>
  <c r="N44" i="16" s="1"/>
  <c r="AI44" i="16"/>
  <c r="T44" i="16"/>
  <c r="K47" i="16" l="1"/>
  <c r="L46" i="16"/>
  <c r="U44" i="16"/>
  <c r="V44" i="16" s="1"/>
  <c r="AQ44" i="16"/>
  <c r="AR44" i="16" s="1"/>
  <c r="AJ44" i="16"/>
  <c r="AK44" i="16" s="1"/>
  <c r="AB44" i="16"/>
  <c r="AC44" i="16" s="1"/>
  <c r="AI45" i="16"/>
  <c r="T45" i="16"/>
  <c r="S45" i="16"/>
  <c r="AP45" i="16"/>
  <c r="X45" i="16"/>
  <c r="M45" i="16"/>
  <c r="N45" i="16" s="1"/>
  <c r="AA45" i="16"/>
  <c r="K48" i="16" l="1"/>
  <c r="L47" i="16"/>
  <c r="AQ45" i="16"/>
  <c r="AR45" i="16" s="1"/>
  <c r="U45" i="16"/>
  <c r="V45" i="16" s="1"/>
  <c r="AB45" i="16"/>
  <c r="AC45" i="16" s="1"/>
  <c r="AJ45" i="16"/>
  <c r="AK45" i="16" s="1"/>
  <c r="X46" i="16"/>
  <c r="M46" i="16"/>
  <c r="N46" i="16" s="1"/>
  <c r="AI46" i="16"/>
  <c r="T46" i="16"/>
  <c r="S46" i="16"/>
  <c r="AP46" i="16"/>
  <c r="AA46" i="16"/>
  <c r="L48" i="16" l="1"/>
  <c r="K49" i="16"/>
  <c r="U46" i="16"/>
  <c r="V46" i="16" s="1"/>
  <c r="AB46" i="16"/>
  <c r="AC46" i="16" s="1"/>
  <c r="AQ46" i="16"/>
  <c r="AR46" i="16" s="1"/>
  <c r="AJ46" i="16"/>
  <c r="AK46" i="16" s="1"/>
  <c r="AP47" i="16"/>
  <c r="AA47" i="16"/>
  <c r="X47" i="16"/>
  <c r="M47" i="16"/>
  <c r="N47" i="16" s="1"/>
  <c r="AI47" i="16"/>
  <c r="T47" i="16"/>
  <c r="S47" i="16"/>
  <c r="K50" i="16" l="1"/>
  <c r="L49" i="16"/>
  <c r="AQ47" i="16"/>
  <c r="AR47" i="16" s="1"/>
  <c r="U47" i="16"/>
  <c r="V47" i="16" s="1"/>
  <c r="AJ47" i="16"/>
  <c r="AK47" i="16" s="1"/>
  <c r="AB47" i="16"/>
  <c r="AC47" i="16" s="1"/>
  <c r="S48" i="16"/>
  <c r="AP48" i="16"/>
  <c r="AA48" i="16"/>
  <c r="X48" i="16"/>
  <c r="M48" i="16"/>
  <c r="N48" i="16" s="1"/>
  <c r="AI48" i="16"/>
  <c r="T48" i="16"/>
  <c r="L50" i="16" l="1"/>
  <c r="K51" i="16"/>
  <c r="U48" i="16"/>
  <c r="V48" i="16" s="1"/>
  <c r="AQ48" i="16"/>
  <c r="AR48" i="16" s="1"/>
  <c r="AB48" i="16"/>
  <c r="AC48" i="16" s="1"/>
  <c r="AJ48" i="16"/>
  <c r="AK48" i="16" s="1"/>
  <c r="AI49" i="16"/>
  <c r="T49" i="16"/>
  <c r="S49" i="16"/>
  <c r="AP49" i="16"/>
  <c r="AA49" i="16"/>
  <c r="X49" i="16"/>
  <c r="M49" i="16"/>
  <c r="N49" i="16" s="1"/>
  <c r="K52" i="16" l="1"/>
  <c r="L51" i="16"/>
  <c r="AQ49" i="16"/>
  <c r="AR49" i="16" s="1"/>
  <c r="AB49" i="16"/>
  <c r="AC49" i="16" s="1"/>
  <c r="AJ49" i="16"/>
  <c r="AK49" i="16" s="1"/>
  <c r="U49" i="16"/>
  <c r="V49" i="16" s="1"/>
  <c r="S50" i="16"/>
  <c r="AP50" i="16"/>
  <c r="AA50" i="16"/>
  <c r="X50" i="16"/>
  <c r="M50" i="16"/>
  <c r="N50" i="16" s="1"/>
  <c r="AI50" i="16"/>
  <c r="T50" i="16"/>
  <c r="K53" i="16" l="1"/>
  <c r="L52" i="16"/>
  <c r="U50" i="16"/>
  <c r="V50" i="16" s="1"/>
  <c r="AB50" i="16"/>
  <c r="AC50" i="16" s="1"/>
  <c r="AQ50" i="16"/>
  <c r="AR50" i="16" s="1"/>
  <c r="AJ50" i="16"/>
  <c r="AK50" i="16" s="1"/>
  <c r="AP51" i="16"/>
  <c r="AA51" i="16"/>
  <c r="X51" i="16"/>
  <c r="M51" i="16"/>
  <c r="N51" i="16" s="1"/>
  <c r="AI51" i="16"/>
  <c r="T51" i="16"/>
  <c r="S51" i="16"/>
  <c r="K54" i="16" l="1"/>
  <c r="L53" i="16"/>
  <c r="AQ51" i="16"/>
  <c r="AR51" i="16" s="1"/>
  <c r="AB51" i="16"/>
  <c r="AC51" i="16" s="1"/>
  <c r="U51" i="16"/>
  <c r="V51" i="16" s="1"/>
  <c r="AJ51" i="16"/>
  <c r="AK51" i="16" s="1"/>
  <c r="S52" i="16"/>
  <c r="AP52" i="16"/>
  <c r="AA52" i="16"/>
  <c r="X52" i="16"/>
  <c r="M52" i="16"/>
  <c r="N52" i="16" s="1"/>
  <c r="AI52" i="16"/>
  <c r="T52" i="16"/>
  <c r="K55" i="16" l="1"/>
  <c r="L54" i="16"/>
  <c r="U52" i="16"/>
  <c r="V52" i="16" s="1"/>
  <c r="AB52" i="16"/>
  <c r="AC52" i="16" s="1"/>
  <c r="AJ52" i="16"/>
  <c r="AK52" i="16" s="1"/>
  <c r="AQ52" i="16"/>
  <c r="AR52" i="16" s="1"/>
  <c r="AI53" i="16"/>
  <c r="T53" i="16"/>
  <c r="S53" i="16"/>
  <c r="AP53" i="16"/>
  <c r="AA53" i="16"/>
  <c r="X53" i="16"/>
  <c r="M53" i="16"/>
  <c r="N53" i="16" s="1"/>
  <c r="K56" i="16" l="1"/>
  <c r="L55" i="16"/>
  <c r="AQ53" i="16"/>
  <c r="AR53" i="16" s="1"/>
  <c r="AB53" i="16"/>
  <c r="AC53" i="16" s="1"/>
  <c r="U53" i="16"/>
  <c r="V53" i="16" s="1"/>
  <c r="AJ53" i="16"/>
  <c r="AK53" i="16" s="1"/>
  <c r="X54" i="16"/>
  <c r="M54" i="16"/>
  <c r="N54" i="16" s="1"/>
  <c r="AI54" i="16"/>
  <c r="T54" i="16"/>
  <c r="S54" i="16"/>
  <c r="AP54" i="16"/>
  <c r="AA54" i="16"/>
  <c r="L56" i="16" l="1"/>
  <c r="K57" i="16"/>
  <c r="AB54" i="16"/>
  <c r="AC54" i="16" s="1"/>
  <c r="U54" i="16"/>
  <c r="V54" i="16" s="1"/>
  <c r="AQ54" i="16"/>
  <c r="AR54" i="16" s="1"/>
  <c r="AJ54" i="16"/>
  <c r="AK54" i="16" s="1"/>
  <c r="AI55" i="16"/>
  <c r="T55" i="16"/>
  <c r="S55" i="16"/>
  <c r="AP55" i="16"/>
  <c r="AA55" i="16"/>
  <c r="X55" i="16"/>
  <c r="M55" i="16"/>
  <c r="N55" i="16" s="1"/>
  <c r="K58" i="16" l="1"/>
  <c r="L57" i="16"/>
  <c r="U55" i="16"/>
  <c r="V55" i="16" s="1"/>
  <c r="AB55" i="16"/>
  <c r="AC55" i="16" s="1"/>
  <c r="AQ55" i="16"/>
  <c r="AR55" i="16" s="1"/>
  <c r="AJ55" i="16"/>
  <c r="AK55" i="16" s="1"/>
  <c r="X56" i="16"/>
  <c r="M56" i="16"/>
  <c r="N56" i="16" s="1"/>
  <c r="AI56" i="16"/>
  <c r="T56" i="16"/>
  <c r="S56" i="16"/>
  <c r="AP56" i="16"/>
  <c r="AA56" i="16"/>
  <c r="K59" i="16" l="1"/>
  <c r="L58" i="16"/>
  <c r="AQ56" i="16"/>
  <c r="AR56" i="16" s="1"/>
  <c r="U56" i="16"/>
  <c r="V56" i="16" s="1"/>
  <c r="AB56" i="16"/>
  <c r="AC56" i="16" s="1"/>
  <c r="AJ56" i="16"/>
  <c r="AK56" i="16" s="1"/>
  <c r="AI57" i="16"/>
  <c r="T57" i="16"/>
  <c r="S57" i="16"/>
  <c r="AP57" i="16"/>
  <c r="AA57" i="16"/>
  <c r="X57" i="16"/>
  <c r="M57" i="16"/>
  <c r="N57" i="16" s="1"/>
  <c r="L59" i="16" l="1"/>
  <c r="K60" i="16"/>
  <c r="AB57" i="16"/>
  <c r="AC57" i="16" s="1"/>
  <c r="U57" i="16"/>
  <c r="V57" i="16" s="1"/>
  <c r="AQ57" i="16"/>
  <c r="AR57" i="16" s="1"/>
  <c r="AJ57" i="16"/>
  <c r="AK57" i="16" s="1"/>
  <c r="X58" i="16"/>
  <c r="M58" i="16"/>
  <c r="N58" i="16" s="1"/>
  <c r="AI58" i="16"/>
  <c r="T58" i="16"/>
  <c r="S58" i="16"/>
  <c r="AA58" i="16"/>
  <c r="AP58" i="16"/>
  <c r="L60" i="16" l="1"/>
  <c r="K61" i="16"/>
  <c r="AB58" i="16"/>
  <c r="AC58" i="16" s="1"/>
  <c r="AQ58" i="16"/>
  <c r="AR58" i="16" s="1"/>
  <c r="U58" i="16"/>
  <c r="V58" i="16" s="1"/>
  <c r="AJ58" i="16"/>
  <c r="AK58" i="16" s="1"/>
  <c r="AI59" i="16"/>
  <c r="T59" i="16"/>
  <c r="S59" i="16"/>
  <c r="AP59" i="16"/>
  <c r="AA59" i="16"/>
  <c r="M59" i="16"/>
  <c r="N59" i="16" s="1"/>
  <c r="X59" i="16"/>
  <c r="K62" i="16" l="1"/>
  <c r="L61" i="16"/>
  <c r="AB59" i="16"/>
  <c r="AC59" i="16" s="1"/>
  <c r="U59" i="16"/>
  <c r="V59" i="16" s="1"/>
  <c r="AQ59" i="16"/>
  <c r="AR59" i="16" s="1"/>
  <c r="AJ59" i="16"/>
  <c r="AK59" i="16" s="1"/>
  <c r="S60" i="16"/>
  <c r="AP60" i="16"/>
  <c r="AA60" i="16"/>
  <c r="X60" i="16"/>
  <c r="M60" i="16"/>
  <c r="N60" i="16" s="1"/>
  <c r="AI60" i="16"/>
  <c r="T60" i="16"/>
  <c r="K63" i="16" l="1"/>
  <c r="L62" i="16"/>
  <c r="U60" i="16"/>
  <c r="V60" i="16" s="1"/>
  <c r="AQ60" i="16"/>
  <c r="AR60" i="16" s="1"/>
  <c r="AJ60" i="16"/>
  <c r="AK60" i="16" s="1"/>
  <c r="AB60" i="16"/>
  <c r="AC60" i="16" s="1"/>
  <c r="AA61" i="16"/>
  <c r="AI61" i="16"/>
  <c r="T61" i="16"/>
  <c r="S61" i="16"/>
  <c r="AP61" i="16"/>
  <c r="X61" i="16"/>
  <c r="M61" i="16"/>
  <c r="N61" i="16" s="1"/>
  <c r="K64" i="16" l="1"/>
  <c r="L63" i="16"/>
  <c r="AQ61" i="16"/>
  <c r="AR61" i="16" s="1"/>
  <c r="AB61" i="16"/>
  <c r="AC61" i="16" s="1"/>
  <c r="U61" i="16"/>
  <c r="V61" i="16" s="1"/>
  <c r="AJ61" i="16"/>
  <c r="AK61" i="16" s="1"/>
  <c r="X62" i="16"/>
  <c r="M62" i="16"/>
  <c r="N62" i="16" s="1"/>
  <c r="AI62" i="16"/>
  <c r="T62" i="16"/>
  <c r="S62" i="16"/>
  <c r="AP62" i="16"/>
  <c r="AA62" i="16"/>
  <c r="K65" i="16" l="1"/>
  <c r="L64" i="16"/>
  <c r="U62" i="16"/>
  <c r="V62" i="16" s="1"/>
  <c r="AB62" i="16"/>
  <c r="AC62" i="16" s="1"/>
  <c r="AQ62" i="16"/>
  <c r="AR62" i="16" s="1"/>
  <c r="AJ62" i="16"/>
  <c r="AK62" i="16" s="1"/>
  <c r="AP63" i="16"/>
  <c r="AA63" i="16"/>
  <c r="X63" i="16"/>
  <c r="M63" i="16"/>
  <c r="N63" i="16" s="1"/>
  <c r="AI63" i="16"/>
  <c r="T63" i="16"/>
  <c r="S63" i="16"/>
  <c r="L65" i="16" l="1"/>
  <c r="K66" i="16"/>
  <c r="AB63" i="16"/>
  <c r="AC63" i="16" s="1"/>
  <c r="AQ63" i="16"/>
  <c r="AR63" i="16" s="1"/>
  <c r="U63" i="16"/>
  <c r="V63" i="16" s="1"/>
  <c r="AJ63" i="16"/>
  <c r="AK63" i="16" s="1"/>
  <c r="S64" i="16"/>
  <c r="AP64" i="16"/>
  <c r="AA64" i="16"/>
  <c r="X64" i="16"/>
  <c r="M64" i="16"/>
  <c r="N64" i="16" s="1"/>
  <c r="AI64" i="16"/>
  <c r="T64" i="16"/>
  <c r="K67" i="16" l="1"/>
  <c r="L66" i="16"/>
  <c r="U64" i="16"/>
  <c r="V64" i="16" s="1"/>
  <c r="AQ64" i="16"/>
  <c r="AR64" i="16" s="1"/>
  <c r="AJ64" i="16"/>
  <c r="AK64" i="16" s="1"/>
  <c r="AB64" i="16"/>
  <c r="AC64" i="16" s="1"/>
  <c r="AP65" i="16"/>
  <c r="AA65" i="16"/>
  <c r="X65" i="16"/>
  <c r="M65" i="16"/>
  <c r="N65" i="16" s="1"/>
  <c r="AI65" i="16"/>
  <c r="T65" i="16"/>
  <c r="S65" i="16"/>
  <c r="K68" i="16" l="1"/>
  <c r="L67" i="16"/>
  <c r="U65" i="16"/>
  <c r="V65" i="16" s="1"/>
  <c r="AB65" i="16"/>
  <c r="AC65" i="16" s="1"/>
  <c r="AQ65" i="16"/>
  <c r="AR65" i="16" s="1"/>
  <c r="AJ65" i="16"/>
  <c r="AK65" i="16" s="1"/>
  <c r="S66" i="16"/>
  <c r="AP66" i="16"/>
  <c r="AA66" i="16"/>
  <c r="X66" i="16"/>
  <c r="M66" i="16"/>
  <c r="N66" i="16" s="1"/>
  <c r="AI66" i="16"/>
  <c r="T66" i="16"/>
  <c r="L68" i="16" l="1"/>
  <c r="K69" i="16"/>
  <c r="AJ66" i="16"/>
  <c r="AK66" i="16" s="1"/>
  <c r="AB66" i="16"/>
  <c r="AC66" i="16" s="1"/>
  <c r="AQ66" i="16"/>
  <c r="AR66" i="16" s="1"/>
  <c r="U66" i="16"/>
  <c r="V66" i="16" s="1"/>
  <c r="AI67" i="16"/>
  <c r="T67" i="16"/>
  <c r="X67" i="16"/>
  <c r="M67" i="16"/>
  <c r="N67" i="16" s="1"/>
  <c r="AP67" i="16"/>
  <c r="AA67" i="16"/>
  <c r="S67" i="16"/>
  <c r="K70" i="16" l="1"/>
  <c r="L69" i="16"/>
  <c r="AJ67" i="16"/>
  <c r="AK67" i="16" s="1"/>
  <c r="AQ67" i="16"/>
  <c r="AR67" i="16" s="1"/>
  <c r="AB67" i="16"/>
  <c r="AC67" i="16" s="1"/>
  <c r="U67" i="16"/>
  <c r="V67" i="16" s="1"/>
  <c r="S68" i="16"/>
  <c r="AP68" i="16"/>
  <c r="AA68" i="16"/>
  <c r="X68" i="16"/>
  <c r="M68" i="16"/>
  <c r="N68" i="16" s="1"/>
  <c r="AI68" i="16"/>
  <c r="T68" i="16"/>
  <c r="K71" i="16" l="1"/>
  <c r="L70" i="16"/>
  <c r="U68" i="16"/>
  <c r="V68" i="16" s="1"/>
  <c r="AJ68" i="16"/>
  <c r="AK68" i="16" s="1"/>
  <c r="AQ68" i="16"/>
  <c r="AR68" i="16" s="1"/>
  <c r="AB68" i="16"/>
  <c r="AC68" i="16" s="1"/>
  <c r="AP69" i="16"/>
  <c r="AA69" i="16"/>
  <c r="S69" i="16"/>
  <c r="AI69" i="16"/>
  <c r="T69" i="16"/>
  <c r="X69" i="16"/>
  <c r="M69" i="16"/>
  <c r="N69" i="16" s="1"/>
  <c r="L71" i="16" l="1"/>
  <c r="K72" i="16"/>
  <c r="U69" i="16"/>
  <c r="V69" i="16" s="1"/>
  <c r="AJ69" i="16"/>
  <c r="AK69" i="16" s="1"/>
  <c r="AB69" i="16"/>
  <c r="AC69" i="16" s="1"/>
  <c r="AQ69" i="16"/>
  <c r="AR69" i="16" s="1"/>
  <c r="S70" i="16"/>
  <c r="AP70" i="16"/>
  <c r="AA70" i="16"/>
  <c r="X70" i="16"/>
  <c r="M70" i="16"/>
  <c r="N70" i="16" s="1"/>
  <c r="AI70" i="16"/>
  <c r="T70" i="16"/>
  <c r="L72" i="16" l="1"/>
  <c r="K73" i="16"/>
  <c r="AJ70" i="16"/>
  <c r="AK70" i="16" s="1"/>
  <c r="U70" i="16"/>
  <c r="V70" i="16" s="1"/>
  <c r="AB70" i="16"/>
  <c r="AC70" i="16" s="1"/>
  <c r="AQ70" i="16"/>
  <c r="AR70" i="16" s="1"/>
  <c r="AI71" i="16"/>
  <c r="T71" i="16"/>
  <c r="X71" i="16"/>
  <c r="M71" i="16"/>
  <c r="N71" i="16" s="1"/>
  <c r="AP71" i="16"/>
  <c r="AA71" i="16"/>
  <c r="S71" i="16"/>
  <c r="K74" i="16" l="1"/>
  <c r="L73" i="16"/>
  <c r="AJ71" i="16"/>
  <c r="AK71" i="16" s="1"/>
  <c r="U71" i="16"/>
  <c r="V71" i="16" s="1"/>
  <c r="AB71" i="16"/>
  <c r="AC71" i="16" s="1"/>
  <c r="AQ71" i="16"/>
  <c r="AR71" i="16" s="1"/>
  <c r="X72" i="16"/>
  <c r="M72" i="16"/>
  <c r="N72" i="16" s="1"/>
  <c r="AI72" i="16"/>
  <c r="T72" i="16"/>
  <c r="S72" i="16"/>
  <c r="AP72" i="16"/>
  <c r="AA72" i="16"/>
  <c r="L74" i="16" l="1"/>
  <c r="K75" i="16"/>
  <c r="AJ72" i="16"/>
  <c r="AK72" i="16" s="1"/>
  <c r="AB72" i="16"/>
  <c r="AC72" i="16" s="1"/>
  <c r="U72" i="16"/>
  <c r="V72" i="16" s="1"/>
  <c r="AQ72" i="16"/>
  <c r="AR72" i="16" s="1"/>
  <c r="AP73" i="16"/>
  <c r="AA73" i="16"/>
  <c r="S73" i="16"/>
  <c r="AI73" i="16"/>
  <c r="T73" i="16"/>
  <c r="X73" i="16"/>
  <c r="M73" i="16"/>
  <c r="N73" i="16" s="1"/>
  <c r="K76" i="16" l="1"/>
  <c r="L75" i="16"/>
  <c r="AJ73" i="16"/>
  <c r="AK73" i="16" s="1"/>
  <c r="AQ73" i="16"/>
  <c r="AR73" i="16" s="1"/>
  <c r="AB73" i="16"/>
  <c r="AC73" i="16" s="1"/>
  <c r="U73" i="16"/>
  <c r="V73" i="16" s="1"/>
  <c r="X74" i="16"/>
  <c r="M74" i="16"/>
  <c r="N74" i="16" s="1"/>
  <c r="AI74" i="16"/>
  <c r="T74" i="16"/>
  <c r="AP74" i="16"/>
  <c r="AA74" i="16"/>
  <c r="S74" i="16"/>
  <c r="K77" i="16" l="1"/>
  <c r="L76" i="16"/>
  <c r="AJ74" i="16"/>
  <c r="AK74" i="16" s="1"/>
  <c r="AB74" i="16"/>
  <c r="AC74" i="16" s="1"/>
  <c r="U74" i="16"/>
  <c r="V74" i="16" s="1"/>
  <c r="AQ74" i="16"/>
  <c r="AR74" i="16" s="1"/>
  <c r="AP75" i="16"/>
  <c r="AA75" i="16"/>
  <c r="S75" i="16"/>
  <c r="AI75" i="16"/>
  <c r="T75" i="16"/>
  <c r="X75" i="16"/>
  <c r="M75" i="16"/>
  <c r="N75" i="16" s="1"/>
  <c r="L77" i="16" l="1"/>
  <c r="K78" i="16"/>
  <c r="AJ75" i="16"/>
  <c r="AK75" i="16" s="1"/>
  <c r="AB75" i="16"/>
  <c r="AC75" i="16" s="1"/>
  <c r="U75" i="16"/>
  <c r="V75" i="16" s="1"/>
  <c r="AQ75" i="16"/>
  <c r="AR75" i="16" s="1"/>
  <c r="X76" i="16"/>
  <c r="M76" i="16"/>
  <c r="N76" i="16" s="1"/>
  <c r="AI76" i="16"/>
  <c r="T76" i="16"/>
  <c r="S76" i="16"/>
  <c r="AP76" i="16"/>
  <c r="AA76" i="16"/>
  <c r="L78" i="16" l="1"/>
  <c r="K79" i="16"/>
  <c r="AQ76" i="16"/>
  <c r="AR76" i="16" s="1"/>
  <c r="AJ76" i="16"/>
  <c r="AK76" i="16" s="1"/>
  <c r="U76" i="16"/>
  <c r="V76" i="16" s="1"/>
  <c r="AB76" i="16"/>
  <c r="AC76" i="16" s="1"/>
  <c r="AP77" i="16"/>
  <c r="AA77" i="16"/>
  <c r="S77" i="16"/>
  <c r="AI77" i="16"/>
  <c r="T77" i="16"/>
  <c r="M77" i="16"/>
  <c r="N77" i="16" s="1"/>
  <c r="X77" i="16"/>
  <c r="K80" i="16" l="1"/>
  <c r="L79" i="16"/>
  <c r="AJ77" i="16"/>
  <c r="AK77" i="16" s="1"/>
  <c r="AB77" i="16"/>
  <c r="AC77" i="16" s="1"/>
  <c r="U77" i="16"/>
  <c r="V77" i="16" s="1"/>
  <c r="AQ77" i="16"/>
  <c r="AR77" i="16" s="1"/>
  <c r="X78" i="16"/>
  <c r="M78" i="16"/>
  <c r="N78" i="16" s="1"/>
  <c r="AI78" i="16"/>
  <c r="T78" i="16"/>
  <c r="S78" i="16"/>
  <c r="AP78" i="16"/>
  <c r="AA78" i="16"/>
  <c r="L80" i="16" l="1"/>
  <c r="K81" i="16"/>
  <c r="AJ78" i="16"/>
  <c r="AK78" i="16" s="1"/>
  <c r="AQ78" i="16"/>
  <c r="AR78" i="16" s="1"/>
  <c r="AB78" i="16"/>
  <c r="AC78" i="16" s="1"/>
  <c r="U78" i="16"/>
  <c r="V78" i="16" s="1"/>
  <c r="AP79" i="16"/>
  <c r="AA79" i="16"/>
  <c r="S79" i="16"/>
  <c r="AI79" i="16"/>
  <c r="T79" i="16"/>
  <c r="M79" i="16"/>
  <c r="N79" i="16" s="1"/>
  <c r="X79" i="16"/>
  <c r="K82" i="16" l="1"/>
  <c r="L81" i="16"/>
  <c r="AQ79" i="16"/>
  <c r="AR79" i="16" s="1"/>
  <c r="AJ79" i="16"/>
  <c r="AK79" i="16" s="1"/>
  <c r="AB79" i="16"/>
  <c r="AC79" i="16" s="1"/>
  <c r="U79" i="16"/>
  <c r="V79" i="16" s="1"/>
  <c r="X80" i="16"/>
  <c r="M80" i="16"/>
  <c r="N80" i="16" s="1"/>
  <c r="AI80" i="16"/>
  <c r="T80" i="16"/>
  <c r="S80" i="16"/>
  <c r="AP80" i="16"/>
  <c r="AA80" i="16"/>
  <c r="K83" i="16" l="1"/>
  <c r="L82" i="16"/>
  <c r="U80" i="16"/>
  <c r="V80" i="16" s="1"/>
  <c r="AJ80" i="16"/>
  <c r="AK80" i="16" s="1"/>
  <c r="AQ80" i="16"/>
  <c r="AR80" i="16" s="1"/>
  <c r="AB80" i="16"/>
  <c r="AC80" i="16" s="1"/>
  <c r="AP81" i="16"/>
  <c r="AA81" i="16"/>
  <c r="S81" i="16"/>
  <c r="T81" i="16"/>
  <c r="X81" i="16"/>
  <c r="M81" i="16"/>
  <c r="N81" i="16" s="1"/>
  <c r="AI81" i="16"/>
  <c r="L83" i="16" l="1"/>
  <c r="K84" i="16"/>
  <c r="AJ81" i="16"/>
  <c r="AK81" i="16" s="1"/>
  <c r="AQ81" i="16"/>
  <c r="AR81" i="16" s="1"/>
  <c r="AB81" i="16"/>
  <c r="AC81" i="16" s="1"/>
  <c r="U81" i="16"/>
  <c r="V81" i="16" s="1"/>
  <c r="X82" i="16"/>
  <c r="M82" i="16"/>
  <c r="N82" i="16" s="1"/>
  <c r="AI82" i="16"/>
  <c r="T82" i="16"/>
  <c r="S82" i="16"/>
  <c r="AP82" i="16"/>
  <c r="AA82" i="16"/>
  <c r="L84" i="16" l="1"/>
  <c r="K85" i="16"/>
  <c r="AJ82" i="16"/>
  <c r="AK82" i="16" s="1"/>
  <c r="AQ82" i="16"/>
  <c r="AR82" i="16" s="1"/>
  <c r="AB82" i="16"/>
  <c r="AC82" i="16" s="1"/>
  <c r="U82" i="16"/>
  <c r="V82" i="16" s="1"/>
  <c r="AP83" i="16"/>
  <c r="AA83" i="16"/>
  <c r="S83" i="16"/>
  <c r="AI83" i="16"/>
  <c r="T83" i="16"/>
  <c r="X83" i="16"/>
  <c r="M83" i="16"/>
  <c r="N83" i="16" s="1"/>
  <c r="K86" i="16" l="1"/>
  <c r="L85" i="16"/>
  <c r="AJ83" i="16"/>
  <c r="AK83" i="16" s="1"/>
  <c r="AQ83" i="16"/>
  <c r="AR83" i="16" s="1"/>
  <c r="U83" i="16"/>
  <c r="V83" i="16" s="1"/>
  <c r="AB83" i="16"/>
  <c r="AC83" i="16" s="1"/>
  <c r="S84" i="16"/>
  <c r="AP84" i="16"/>
  <c r="AA84" i="16"/>
  <c r="X84" i="16"/>
  <c r="M84" i="16"/>
  <c r="N84" i="16" s="1"/>
  <c r="AI84" i="16"/>
  <c r="T84" i="16"/>
  <c r="L86" i="16" l="1"/>
  <c r="K87" i="16"/>
  <c r="U84" i="16"/>
  <c r="V84" i="16" s="1"/>
  <c r="AJ84" i="16"/>
  <c r="AK84" i="16" s="1"/>
  <c r="AB84" i="16"/>
  <c r="AC84" i="16" s="1"/>
  <c r="AQ84" i="16"/>
  <c r="AR84" i="16" s="1"/>
  <c r="AP85" i="16"/>
  <c r="AA85" i="16"/>
  <c r="S85" i="16"/>
  <c r="AI85" i="16"/>
  <c r="T85" i="16"/>
  <c r="X85" i="16"/>
  <c r="M85" i="16"/>
  <c r="N85" i="16" s="1"/>
  <c r="K88" i="16" l="1"/>
  <c r="L87" i="16"/>
  <c r="U85" i="16"/>
  <c r="V85" i="16" s="1"/>
  <c r="AJ85" i="16"/>
  <c r="AK85" i="16" s="1"/>
  <c r="AB85" i="16"/>
  <c r="AC85" i="16" s="1"/>
  <c r="AQ85" i="16"/>
  <c r="AR85" i="16" s="1"/>
  <c r="X86" i="16"/>
  <c r="M86" i="16"/>
  <c r="N86" i="16" s="1"/>
  <c r="AI86" i="16"/>
  <c r="T86" i="16"/>
  <c r="S86" i="16"/>
  <c r="AP86" i="16"/>
  <c r="AA86" i="16"/>
  <c r="K89" i="16" l="1"/>
  <c r="L88" i="16"/>
  <c r="AJ86" i="16"/>
  <c r="AK86" i="16" s="1"/>
  <c r="AQ86" i="16"/>
  <c r="AR86" i="16" s="1"/>
  <c r="U86" i="16"/>
  <c r="V86" i="16" s="1"/>
  <c r="AB86" i="16"/>
  <c r="AC86" i="16" s="1"/>
  <c r="AP87" i="16"/>
  <c r="AA87" i="16"/>
  <c r="S87" i="16"/>
  <c r="AI87" i="16"/>
  <c r="T87" i="16"/>
  <c r="X87" i="16"/>
  <c r="M87" i="16"/>
  <c r="N87" i="16" s="1"/>
  <c r="L89" i="16" l="1"/>
  <c r="K90" i="16"/>
  <c r="AJ87" i="16"/>
  <c r="AK87" i="16" s="1"/>
  <c r="AQ87" i="16"/>
  <c r="AR87" i="16" s="1"/>
  <c r="U87" i="16"/>
  <c r="V87" i="16" s="1"/>
  <c r="AB87" i="16"/>
  <c r="AC87" i="16" s="1"/>
  <c r="X88" i="16"/>
  <c r="M88" i="16"/>
  <c r="N88" i="16" s="1"/>
  <c r="AI88" i="16"/>
  <c r="T88" i="16"/>
  <c r="S88" i="16"/>
  <c r="AP88" i="16"/>
  <c r="AA88" i="16"/>
  <c r="L90" i="16" l="1"/>
  <c r="K91" i="16"/>
  <c r="AJ88" i="16"/>
  <c r="AK88" i="16" s="1"/>
  <c r="AQ88" i="16"/>
  <c r="AR88" i="16" s="1"/>
  <c r="U88" i="16"/>
  <c r="V88" i="16" s="1"/>
  <c r="AB88" i="16"/>
  <c r="AC88" i="16" s="1"/>
  <c r="AP89" i="16"/>
  <c r="AA89" i="16"/>
  <c r="S89" i="16"/>
  <c r="AI89" i="16"/>
  <c r="T89" i="16"/>
  <c r="M89" i="16"/>
  <c r="N89" i="16" s="1"/>
  <c r="X89" i="16"/>
  <c r="K92" i="16" l="1"/>
  <c r="L91" i="16"/>
  <c r="AJ89" i="16"/>
  <c r="AK89" i="16" s="1"/>
  <c r="AB89" i="16"/>
  <c r="AC89" i="16" s="1"/>
  <c r="AQ89" i="16"/>
  <c r="AR89" i="16" s="1"/>
  <c r="U89" i="16"/>
  <c r="V89" i="16" s="1"/>
  <c r="X90" i="16"/>
  <c r="M90" i="16"/>
  <c r="N90" i="16" s="1"/>
  <c r="AI90" i="16"/>
  <c r="T90" i="16"/>
  <c r="S90" i="16"/>
  <c r="AP90" i="16"/>
  <c r="AA90" i="16"/>
  <c r="L92" i="16" l="1"/>
  <c r="K93" i="16"/>
  <c r="U90" i="16"/>
  <c r="V90" i="16" s="1"/>
  <c r="AQ90" i="16"/>
  <c r="AR90" i="16" s="1"/>
  <c r="AB90" i="16"/>
  <c r="AC90" i="16" s="1"/>
  <c r="AJ90" i="16"/>
  <c r="AK90" i="16" s="1"/>
  <c r="AP91" i="16"/>
  <c r="AA91" i="16"/>
  <c r="S91" i="16"/>
  <c r="AI91" i="16"/>
  <c r="X91" i="16"/>
  <c r="M91" i="16"/>
  <c r="N91" i="16" s="1"/>
  <c r="T91" i="16"/>
  <c r="K94" i="16" l="1"/>
  <c r="L93" i="16"/>
  <c r="AJ91" i="16"/>
  <c r="AK91" i="16" s="1"/>
  <c r="AQ91" i="16"/>
  <c r="AR91" i="16" s="1"/>
  <c r="AB91" i="16"/>
  <c r="AC91" i="16" s="1"/>
  <c r="U91" i="16"/>
  <c r="V91" i="16" s="1"/>
  <c r="X92" i="16"/>
  <c r="M92" i="16"/>
  <c r="N92" i="16" s="1"/>
  <c r="AI92" i="16"/>
  <c r="T92" i="16"/>
  <c r="S92" i="16"/>
  <c r="AP92" i="16"/>
  <c r="AA92" i="16"/>
  <c r="L94" i="16" l="1"/>
  <c r="K95" i="16"/>
  <c r="AJ92" i="16"/>
  <c r="AK92" i="16" s="1"/>
  <c r="AQ92" i="16"/>
  <c r="AR92" i="16" s="1"/>
  <c r="U92" i="16"/>
  <c r="V92" i="16" s="1"/>
  <c r="AB92" i="16"/>
  <c r="AC92" i="16" s="1"/>
  <c r="AP93" i="16"/>
  <c r="AA93" i="16"/>
  <c r="S93" i="16"/>
  <c r="AI93" i="16"/>
  <c r="T93" i="16"/>
  <c r="X93" i="16"/>
  <c r="M93" i="16"/>
  <c r="N93" i="16" s="1"/>
  <c r="K96" i="16" l="1"/>
  <c r="L95" i="16"/>
  <c r="AJ93" i="16"/>
  <c r="AK93" i="16" s="1"/>
  <c r="AQ93" i="16"/>
  <c r="AR93" i="16" s="1"/>
  <c r="AB93" i="16"/>
  <c r="AC93" i="16" s="1"/>
  <c r="U93" i="16"/>
  <c r="V93" i="16" s="1"/>
  <c r="X94" i="16"/>
  <c r="M94" i="16"/>
  <c r="N94" i="16" s="1"/>
  <c r="AI94" i="16"/>
  <c r="T94" i="16"/>
  <c r="S94" i="16"/>
  <c r="AP94" i="16"/>
  <c r="AA94" i="16"/>
  <c r="L96" i="16" l="1"/>
  <c r="K97" i="16"/>
  <c r="AJ94" i="16"/>
  <c r="AK94" i="16" s="1"/>
  <c r="U94" i="16"/>
  <c r="V94" i="16" s="1"/>
  <c r="AB94" i="16"/>
  <c r="AC94" i="16" s="1"/>
  <c r="AQ94" i="16"/>
  <c r="AR94" i="16" s="1"/>
  <c r="AP95" i="16"/>
  <c r="AA95" i="16"/>
  <c r="S95" i="16"/>
  <c r="AI95" i="16"/>
  <c r="AJ95" i="16" s="1"/>
  <c r="AK95" i="16" s="1"/>
  <c r="T95" i="16"/>
  <c r="X95" i="16"/>
  <c r="M95" i="16"/>
  <c r="N95" i="16" s="1"/>
  <c r="K98" i="16" l="1"/>
  <c r="L97" i="16"/>
  <c r="AQ95" i="16"/>
  <c r="AR95" i="16" s="1"/>
  <c r="AB95" i="16"/>
  <c r="AC95" i="16" s="1"/>
  <c r="U95" i="16"/>
  <c r="V95" i="16" s="1"/>
  <c r="X96" i="16"/>
  <c r="M96" i="16"/>
  <c r="N96" i="16" s="1"/>
  <c r="AI96" i="16"/>
  <c r="T96" i="16"/>
  <c r="S96" i="16"/>
  <c r="AP96" i="16"/>
  <c r="AA96" i="16"/>
  <c r="L98" i="16" l="1"/>
  <c r="K99" i="16"/>
  <c r="AJ96" i="16"/>
  <c r="AK96" i="16" s="1"/>
  <c r="AQ96" i="16"/>
  <c r="AR96" i="16" s="1"/>
  <c r="AB96" i="16"/>
  <c r="AC96" i="16" s="1"/>
  <c r="U96" i="16"/>
  <c r="V96" i="16" s="1"/>
  <c r="AP97" i="16"/>
  <c r="AA97" i="16"/>
  <c r="S97" i="16"/>
  <c r="AI97" i="16"/>
  <c r="T97" i="16"/>
  <c r="X97" i="16"/>
  <c r="M97" i="16"/>
  <c r="N97" i="16" s="1"/>
  <c r="K100" i="16" l="1"/>
  <c r="L99" i="16"/>
  <c r="AJ97" i="16"/>
  <c r="AK97" i="16" s="1"/>
  <c r="AQ97" i="16"/>
  <c r="AR97" i="16" s="1"/>
  <c r="AB97" i="16"/>
  <c r="AC97" i="16" s="1"/>
  <c r="U97" i="16"/>
  <c r="V97" i="16" s="1"/>
  <c r="X98" i="16"/>
  <c r="M98" i="16"/>
  <c r="N98" i="16" s="1"/>
  <c r="AI98" i="16"/>
  <c r="AJ98" i="16" s="1"/>
  <c r="AK98" i="16" s="1"/>
  <c r="T98" i="16"/>
  <c r="S98" i="16"/>
  <c r="AP98" i="16"/>
  <c r="AA98" i="16"/>
  <c r="K101" i="16" l="1"/>
  <c r="L100" i="16"/>
  <c r="U98" i="16"/>
  <c r="V98" i="16" s="1"/>
  <c r="AB98" i="16"/>
  <c r="AC98" i="16" s="1"/>
  <c r="AQ98" i="16"/>
  <c r="AR98" i="16" s="1"/>
  <c r="AP99" i="16"/>
  <c r="AA99" i="16"/>
  <c r="S99" i="16"/>
  <c r="AI99" i="16"/>
  <c r="T99" i="16"/>
  <c r="X99" i="16"/>
  <c r="M99" i="16"/>
  <c r="N99" i="16" s="1"/>
  <c r="K102" i="16" l="1"/>
  <c r="L101" i="16"/>
  <c r="AJ99" i="16"/>
  <c r="AK99" i="16" s="1"/>
  <c r="AQ99" i="16"/>
  <c r="AR99" i="16" s="1"/>
  <c r="U99" i="16"/>
  <c r="V99" i="16" s="1"/>
  <c r="AB99" i="16"/>
  <c r="AC99" i="16" s="1"/>
  <c r="X100" i="16"/>
  <c r="M100" i="16"/>
  <c r="N100" i="16" s="1"/>
  <c r="AI100" i="16"/>
  <c r="T100" i="16"/>
  <c r="S100" i="16"/>
  <c r="AP100" i="16"/>
  <c r="AA100" i="16"/>
  <c r="K103" i="16" l="1"/>
  <c r="L102" i="16"/>
  <c r="AJ100" i="16"/>
  <c r="AK100" i="16" s="1"/>
  <c r="AB100" i="16"/>
  <c r="AC100" i="16" s="1"/>
  <c r="AQ100" i="16"/>
  <c r="AR100" i="16" s="1"/>
  <c r="U100" i="16"/>
  <c r="V100" i="16" s="1"/>
  <c r="AP101" i="16"/>
  <c r="AA101" i="16"/>
  <c r="S101" i="16"/>
  <c r="AI101" i="16"/>
  <c r="T101" i="16"/>
  <c r="X101" i="16"/>
  <c r="M101" i="16"/>
  <c r="N101" i="16" s="1"/>
  <c r="K104" i="16" l="1"/>
  <c r="L103" i="16"/>
  <c r="AJ101" i="16"/>
  <c r="AK101" i="16" s="1"/>
  <c r="U101" i="16"/>
  <c r="V101" i="16" s="1"/>
  <c r="AB101" i="16"/>
  <c r="AC101" i="16" s="1"/>
  <c r="AQ101" i="16"/>
  <c r="AR101" i="16" s="1"/>
  <c r="X102" i="16"/>
  <c r="M102" i="16"/>
  <c r="N102" i="16" s="1"/>
  <c r="AI102" i="16"/>
  <c r="T102" i="16"/>
  <c r="S102" i="16"/>
  <c r="AP102" i="16"/>
  <c r="AA102" i="16"/>
  <c r="L104" i="16" l="1"/>
  <c r="K105" i="16"/>
  <c r="AJ102" i="16"/>
  <c r="AK102" i="16" s="1"/>
  <c r="AQ102" i="16"/>
  <c r="AR102" i="16" s="1"/>
  <c r="AB102" i="16"/>
  <c r="AC102" i="16" s="1"/>
  <c r="U102" i="16"/>
  <c r="V102" i="16" s="1"/>
  <c r="AP103" i="16"/>
  <c r="AA103" i="16"/>
  <c r="S103" i="16"/>
  <c r="AI103" i="16"/>
  <c r="T103" i="16"/>
  <c r="X103" i="16"/>
  <c r="M103" i="16"/>
  <c r="N103" i="16" s="1"/>
  <c r="K106" i="16" l="1"/>
  <c r="L105" i="16"/>
  <c r="AQ103" i="16"/>
  <c r="AR103" i="16" s="1"/>
  <c r="AJ103" i="16"/>
  <c r="AK103" i="16" s="1"/>
  <c r="AB103" i="16"/>
  <c r="AC103" i="16" s="1"/>
  <c r="U103" i="16"/>
  <c r="V103" i="16" s="1"/>
  <c r="X104" i="16"/>
  <c r="M104" i="16"/>
  <c r="N104" i="16" s="1"/>
  <c r="AI104" i="16"/>
  <c r="T104" i="16"/>
  <c r="S104" i="16"/>
  <c r="AP104" i="16"/>
  <c r="AA104" i="16"/>
  <c r="K107" i="16" l="1"/>
  <c r="L106" i="16"/>
  <c r="AJ104" i="16"/>
  <c r="AK104" i="16" s="1"/>
  <c r="AQ104" i="16"/>
  <c r="AR104" i="16" s="1"/>
  <c r="U104" i="16"/>
  <c r="V104" i="16" s="1"/>
  <c r="AB104" i="16"/>
  <c r="AC104" i="16" s="1"/>
  <c r="AP105" i="16"/>
  <c r="AA105" i="16"/>
  <c r="S105" i="16"/>
  <c r="AI105" i="16"/>
  <c r="T105" i="16"/>
  <c r="X105" i="16"/>
  <c r="M105" i="16"/>
  <c r="N105" i="16" s="1"/>
  <c r="K108" i="16" l="1"/>
  <c r="L107" i="16"/>
  <c r="AJ105" i="16"/>
  <c r="AK105" i="16" s="1"/>
  <c r="AQ105" i="16"/>
  <c r="AR105" i="16" s="1"/>
  <c r="U105" i="16"/>
  <c r="V105" i="16" s="1"/>
  <c r="AB105" i="16"/>
  <c r="AC105" i="16" s="1"/>
  <c r="X106" i="16"/>
  <c r="M106" i="16"/>
  <c r="N106" i="16" s="1"/>
  <c r="AI106" i="16"/>
  <c r="T106" i="16"/>
  <c r="S106" i="16"/>
  <c r="AP106" i="16"/>
  <c r="AA106" i="16"/>
  <c r="K109" i="16" l="1"/>
  <c r="L108" i="16"/>
  <c r="AQ106" i="16"/>
  <c r="AR106" i="16" s="1"/>
  <c r="AJ106" i="16"/>
  <c r="AK106" i="16" s="1"/>
  <c r="U106" i="16"/>
  <c r="V106" i="16" s="1"/>
  <c r="AB106" i="16"/>
  <c r="AC106" i="16" s="1"/>
  <c r="AP107" i="16"/>
  <c r="AA107" i="16"/>
  <c r="S107" i="16"/>
  <c r="AI107" i="16"/>
  <c r="T107" i="16"/>
  <c r="X107" i="16"/>
  <c r="M107" i="16"/>
  <c r="N107" i="16" s="1"/>
  <c r="K110" i="16" l="1"/>
  <c r="L109" i="16"/>
  <c r="AJ107" i="16"/>
  <c r="AK107" i="16" s="1"/>
  <c r="AQ107" i="16"/>
  <c r="AR107" i="16" s="1"/>
  <c r="AB107" i="16"/>
  <c r="AC107" i="16" s="1"/>
  <c r="U107" i="16"/>
  <c r="V107" i="16" s="1"/>
  <c r="X108" i="16"/>
  <c r="M108" i="16"/>
  <c r="N108" i="16" s="1"/>
  <c r="AI108" i="16"/>
  <c r="T108" i="16"/>
  <c r="S108" i="16"/>
  <c r="AP108" i="16"/>
  <c r="AA108" i="16"/>
  <c r="L110" i="16" l="1"/>
  <c r="K111" i="16"/>
  <c r="AJ108" i="16"/>
  <c r="AK108" i="16" s="1"/>
  <c r="AQ108" i="16"/>
  <c r="AR108" i="16" s="1"/>
  <c r="AB108" i="16"/>
  <c r="AC108" i="16" s="1"/>
  <c r="U108" i="16"/>
  <c r="V108" i="16" s="1"/>
  <c r="AP109" i="16"/>
  <c r="AA109" i="16"/>
  <c r="S109" i="16"/>
  <c r="AI109" i="16"/>
  <c r="T109" i="16"/>
  <c r="X109" i="16"/>
  <c r="M109" i="16"/>
  <c r="N109" i="16" s="1"/>
  <c r="K112" i="16" l="1"/>
  <c r="L111" i="16"/>
  <c r="AJ109" i="16"/>
  <c r="AK109" i="16" s="1"/>
  <c r="AB109" i="16"/>
  <c r="AC109" i="16" s="1"/>
  <c r="AQ109" i="16"/>
  <c r="AR109" i="16" s="1"/>
  <c r="U109" i="16"/>
  <c r="V109" i="16" s="1"/>
  <c r="X110" i="16"/>
  <c r="M110" i="16"/>
  <c r="N110" i="16" s="1"/>
  <c r="AI110" i="16"/>
  <c r="T110" i="16"/>
  <c r="S110" i="16"/>
  <c r="AP110" i="16"/>
  <c r="AA110" i="16"/>
  <c r="K113" i="16" l="1"/>
  <c r="L112" i="16"/>
  <c r="AJ110" i="16"/>
  <c r="AK110" i="16" s="1"/>
  <c r="AQ110" i="16"/>
  <c r="AR110" i="16" s="1"/>
  <c r="AB110" i="16"/>
  <c r="AC110" i="16" s="1"/>
  <c r="U110" i="16"/>
  <c r="V110" i="16" s="1"/>
  <c r="AP111" i="16"/>
  <c r="AA111" i="16"/>
  <c r="S111" i="16"/>
  <c r="AI111" i="16"/>
  <c r="T111" i="16"/>
  <c r="X111" i="16"/>
  <c r="M111" i="16"/>
  <c r="N111" i="16" s="1"/>
  <c r="K114" i="16" l="1"/>
  <c r="L113" i="16"/>
  <c r="AJ111" i="16"/>
  <c r="AK111" i="16" s="1"/>
  <c r="U111" i="16"/>
  <c r="V111" i="16" s="1"/>
  <c r="AB111" i="16"/>
  <c r="AC111" i="16" s="1"/>
  <c r="AQ111" i="16"/>
  <c r="AR111" i="16" s="1"/>
  <c r="X112" i="16"/>
  <c r="M112" i="16"/>
  <c r="N112" i="16" s="1"/>
  <c r="AI112" i="16"/>
  <c r="T112" i="16"/>
  <c r="S112" i="16"/>
  <c r="AP112" i="16"/>
  <c r="AA112" i="16"/>
  <c r="K115" i="16" l="1"/>
  <c r="L114" i="16"/>
  <c r="AJ112" i="16"/>
  <c r="AK112" i="16" s="1"/>
  <c r="AQ112" i="16"/>
  <c r="AR112" i="16" s="1"/>
  <c r="U112" i="16"/>
  <c r="V112" i="16" s="1"/>
  <c r="AB112" i="16"/>
  <c r="AC112" i="16" s="1"/>
  <c r="AP113" i="16"/>
  <c r="AA113" i="16"/>
  <c r="S113" i="16"/>
  <c r="AI113" i="16"/>
  <c r="T113" i="16"/>
  <c r="X113" i="16"/>
  <c r="M113" i="16"/>
  <c r="N113" i="16" s="1"/>
  <c r="K116" i="16" l="1"/>
  <c r="L115" i="16"/>
  <c r="AJ113" i="16"/>
  <c r="AK113" i="16" s="1"/>
  <c r="AB113" i="16"/>
  <c r="AC113" i="16" s="1"/>
  <c r="AQ113" i="16"/>
  <c r="AR113" i="16" s="1"/>
  <c r="U113" i="16"/>
  <c r="V113" i="16" s="1"/>
  <c r="X114" i="16"/>
  <c r="M114" i="16"/>
  <c r="N114" i="16" s="1"/>
  <c r="AI114" i="16"/>
  <c r="T114" i="16"/>
  <c r="S114" i="16"/>
  <c r="AP114" i="16"/>
  <c r="AA114" i="16"/>
  <c r="L116" i="16" l="1"/>
  <c r="K117" i="16"/>
  <c r="AJ114" i="16"/>
  <c r="AK114" i="16" s="1"/>
  <c r="AQ114" i="16"/>
  <c r="AR114" i="16" s="1"/>
  <c r="AB114" i="16"/>
  <c r="AC114" i="16" s="1"/>
  <c r="U114" i="16"/>
  <c r="V114" i="16" s="1"/>
  <c r="AP115" i="16"/>
  <c r="AA115" i="16"/>
  <c r="S115" i="16"/>
  <c r="AI115" i="16"/>
  <c r="T115" i="16"/>
  <c r="X115" i="16"/>
  <c r="M115" i="16"/>
  <c r="N115" i="16" s="1"/>
  <c r="K118" i="16" l="1"/>
  <c r="L117" i="16"/>
  <c r="AJ115" i="16"/>
  <c r="AK115" i="16" s="1"/>
  <c r="AQ115" i="16"/>
  <c r="AR115" i="16" s="1"/>
  <c r="AB115" i="16"/>
  <c r="AC115" i="16" s="1"/>
  <c r="U115" i="16"/>
  <c r="V115" i="16" s="1"/>
  <c r="X116" i="16"/>
  <c r="M116" i="16"/>
  <c r="N116" i="16" s="1"/>
  <c r="AI116" i="16"/>
  <c r="T116" i="16"/>
  <c r="S116" i="16"/>
  <c r="AP116" i="16"/>
  <c r="AA116" i="16"/>
  <c r="K119" i="16" l="1"/>
  <c r="L118" i="16"/>
  <c r="AQ116" i="16"/>
  <c r="AR116" i="16" s="1"/>
  <c r="AJ116" i="16"/>
  <c r="AK116" i="16" s="1"/>
  <c r="U116" i="16"/>
  <c r="V116" i="16" s="1"/>
  <c r="AB116" i="16"/>
  <c r="AC116" i="16" s="1"/>
  <c r="AP117" i="16"/>
  <c r="AA117" i="16"/>
  <c r="S117" i="16"/>
  <c r="AI117" i="16"/>
  <c r="T117" i="16"/>
  <c r="X117" i="16"/>
  <c r="M117" i="16"/>
  <c r="N117" i="16" s="1"/>
  <c r="K120" i="16" l="1"/>
  <c r="L119" i="16"/>
  <c r="AQ117" i="16"/>
  <c r="AR117" i="16" s="1"/>
  <c r="AJ117" i="16"/>
  <c r="AK117" i="16" s="1"/>
  <c r="U117" i="16"/>
  <c r="V117" i="16" s="1"/>
  <c r="AB117" i="16"/>
  <c r="AC117" i="16" s="1"/>
  <c r="AP118" i="16"/>
  <c r="AA118" i="16"/>
  <c r="X118" i="16"/>
  <c r="M118" i="16"/>
  <c r="N118" i="16" s="1"/>
  <c r="AI118" i="16"/>
  <c r="T118" i="16"/>
  <c r="S118" i="16"/>
  <c r="K121" i="16" l="1"/>
  <c r="L120" i="16"/>
  <c r="AJ118" i="16"/>
  <c r="AK118" i="16" s="1"/>
  <c r="AQ118" i="16"/>
  <c r="AR118" i="16" s="1"/>
  <c r="U118" i="16"/>
  <c r="V118" i="16" s="1"/>
  <c r="AB118" i="16"/>
  <c r="AC118" i="16" s="1"/>
  <c r="X119" i="16"/>
  <c r="M119" i="16"/>
  <c r="N119" i="16" s="1"/>
  <c r="T119" i="16"/>
  <c r="AA119" i="16"/>
  <c r="S119" i="16"/>
  <c r="AP119" i="16"/>
  <c r="AI119" i="16"/>
  <c r="K122" i="16" l="1"/>
  <c r="L121" i="16"/>
  <c r="AJ119" i="16"/>
  <c r="AK119" i="16" s="1"/>
  <c r="AQ119" i="16"/>
  <c r="AR119" i="16" s="1"/>
  <c r="AB119" i="16"/>
  <c r="AC119" i="16" s="1"/>
  <c r="U119" i="16"/>
  <c r="V119" i="16" s="1"/>
  <c r="AP120" i="16"/>
  <c r="AA120" i="16"/>
  <c r="S120" i="16"/>
  <c r="AI120" i="16"/>
  <c r="T120" i="16"/>
  <c r="X120" i="16"/>
  <c r="M120" i="16"/>
  <c r="N120" i="16" s="1"/>
  <c r="L122" i="16" l="1"/>
  <c r="K123" i="16"/>
  <c r="AJ120" i="16"/>
  <c r="AK120" i="16" s="1"/>
  <c r="AQ120" i="16"/>
  <c r="AR120" i="16" s="1"/>
  <c r="U120" i="16"/>
  <c r="V120" i="16" s="1"/>
  <c r="AB120" i="16"/>
  <c r="AC120" i="16" s="1"/>
  <c r="X121" i="16"/>
  <c r="M121" i="16"/>
  <c r="N121" i="16" s="1"/>
  <c r="T121" i="16"/>
  <c r="AA121" i="16"/>
  <c r="S121" i="16"/>
  <c r="AP121" i="16"/>
  <c r="AI121" i="16"/>
  <c r="K124" i="16" l="1"/>
  <c r="L123" i="16"/>
  <c r="AJ121" i="16"/>
  <c r="AK121" i="16" s="1"/>
  <c r="AQ121" i="16"/>
  <c r="AR121" i="16" s="1"/>
  <c r="AB121" i="16"/>
  <c r="AC121" i="16" s="1"/>
  <c r="U121" i="16"/>
  <c r="V121" i="16" s="1"/>
  <c r="AI122" i="16"/>
  <c r="T122" i="16"/>
  <c r="X122" i="16"/>
  <c r="M122" i="16"/>
  <c r="N122" i="16" s="1"/>
  <c r="AP122" i="16"/>
  <c r="AA122" i="16"/>
  <c r="S122" i="16"/>
  <c r="K125" i="16" l="1"/>
  <c r="L124" i="16"/>
  <c r="AB122" i="16"/>
  <c r="AC122" i="16" s="1"/>
  <c r="AJ122" i="16"/>
  <c r="AK122" i="16" s="1"/>
  <c r="AQ122" i="16"/>
  <c r="AR122" i="16" s="1"/>
  <c r="U122" i="16"/>
  <c r="V122" i="16" s="1"/>
  <c r="X123" i="16"/>
  <c r="M123" i="16"/>
  <c r="N123" i="16" s="1"/>
  <c r="T123" i="16"/>
  <c r="AA123" i="16"/>
  <c r="S123" i="16"/>
  <c r="AP123" i="16"/>
  <c r="AI123" i="16"/>
  <c r="K126" i="16" l="1"/>
  <c r="L125" i="16"/>
  <c r="AJ123" i="16"/>
  <c r="AK123" i="16" s="1"/>
  <c r="AQ123" i="16"/>
  <c r="AR123" i="16" s="1"/>
  <c r="AB123" i="16"/>
  <c r="AC123" i="16" s="1"/>
  <c r="U123" i="16"/>
  <c r="V123" i="16" s="1"/>
  <c r="AI124" i="16"/>
  <c r="T124" i="16"/>
  <c r="X124" i="16"/>
  <c r="M124" i="16"/>
  <c r="N124" i="16" s="1"/>
  <c r="AP124" i="16"/>
  <c r="AA124" i="16"/>
  <c r="S124" i="16"/>
  <c r="K127" i="16" l="1"/>
  <c r="L126" i="16"/>
  <c r="AJ124" i="16"/>
  <c r="AK124" i="16" s="1"/>
  <c r="AQ124" i="16"/>
  <c r="AR124" i="16" s="1"/>
  <c r="AB124" i="16"/>
  <c r="AC124" i="16" s="1"/>
  <c r="U124" i="16"/>
  <c r="V124" i="16" s="1"/>
  <c r="X125" i="16"/>
  <c r="M125" i="16"/>
  <c r="N125" i="16" s="1"/>
  <c r="AI125" i="16"/>
  <c r="T125" i="16"/>
  <c r="S125" i="16"/>
  <c r="AP125" i="16"/>
  <c r="AA125" i="16"/>
  <c r="K128" i="16" l="1"/>
  <c r="L127" i="16"/>
  <c r="AQ125" i="16"/>
  <c r="AR125" i="16" s="1"/>
  <c r="U125" i="16"/>
  <c r="V125" i="16" s="1"/>
  <c r="AB125" i="16"/>
  <c r="AC125" i="16" s="1"/>
  <c r="AJ125" i="16"/>
  <c r="AK125" i="16" s="1"/>
  <c r="AI126" i="16"/>
  <c r="T126" i="16"/>
  <c r="X126" i="16"/>
  <c r="M126" i="16"/>
  <c r="N126" i="16" s="1"/>
  <c r="AP126" i="16"/>
  <c r="AA126" i="16"/>
  <c r="S126" i="16"/>
  <c r="L128" i="16" l="1"/>
  <c r="K129" i="16"/>
  <c r="AQ126" i="16"/>
  <c r="AR126" i="16" s="1"/>
  <c r="AJ126" i="16"/>
  <c r="AK126" i="16" s="1"/>
  <c r="AB126" i="16"/>
  <c r="AC126" i="16" s="1"/>
  <c r="U126" i="16"/>
  <c r="V126" i="16" s="1"/>
  <c r="X127" i="16"/>
  <c r="M127" i="16"/>
  <c r="N127" i="16" s="1"/>
  <c r="AI127" i="16"/>
  <c r="T127" i="16"/>
  <c r="S127" i="16"/>
  <c r="AP127" i="16"/>
  <c r="AA127" i="16"/>
  <c r="K130" i="16" l="1"/>
  <c r="L129" i="16"/>
  <c r="AQ127" i="16"/>
  <c r="AR127" i="16" s="1"/>
  <c r="AJ127" i="16"/>
  <c r="AK127" i="16" s="1"/>
  <c r="U127" i="16"/>
  <c r="V127" i="16" s="1"/>
  <c r="AB127" i="16"/>
  <c r="AC127" i="16" s="1"/>
  <c r="AP128" i="16"/>
  <c r="AA128" i="16"/>
  <c r="S128" i="16"/>
  <c r="AI128" i="16"/>
  <c r="T128" i="16"/>
  <c r="X128" i="16"/>
  <c r="M128" i="16"/>
  <c r="N128" i="16" s="1"/>
  <c r="K131" i="16" l="1"/>
  <c r="L130" i="16"/>
  <c r="AJ128" i="16"/>
  <c r="AK128" i="16" s="1"/>
  <c r="AQ128" i="16"/>
  <c r="AR128" i="16" s="1"/>
  <c r="AB128" i="16"/>
  <c r="AC128" i="16" s="1"/>
  <c r="U128" i="16"/>
  <c r="V128" i="16" s="1"/>
  <c r="X129" i="16"/>
  <c r="M129" i="16"/>
  <c r="N129" i="16" s="1"/>
  <c r="AI129" i="16"/>
  <c r="T129" i="16"/>
  <c r="S129" i="16"/>
  <c r="AP129" i="16"/>
  <c r="AA129" i="16"/>
  <c r="K132" i="16" l="1"/>
  <c r="L131" i="16"/>
  <c r="AJ129" i="16"/>
  <c r="AK129" i="16" s="1"/>
  <c r="AQ129" i="16"/>
  <c r="AR129" i="16" s="1"/>
  <c r="AB129" i="16"/>
  <c r="AC129" i="16" s="1"/>
  <c r="U129" i="16"/>
  <c r="V129" i="16" s="1"/>
  <c r="AP130" i="16"/>
  <c r="AA130" i="16"/>
  <c r="S130" i="16"/>
  <c r="AI130" i="16"/>
  <c r="T130" i="16"/>
  <c r="X130" i="16"/>
  <c r="M130" i="16"/>
  <c r="N130" i="16" s="1"/>
  <c r="K133" i="16" l="1"/>
  <c r="L132" i="16"/>
  <c r="AJ130" i="16"/>
  <c r="AK130" i="16" s="1"/>
  <c r="AQ130" i="16"/>
  <c r="AR130" i="16" s="1"/>
  <c r="U130" i="16"/>
  <c r="V130" i="16" s="1"/>
  <c r="AB130" i="16"/>
  <c r="AC130" i="16" s="1"/>
  <c r="X131" i="16"/>
  <c r="M131" i="16"/>
  <c r="N131" i="16" s="1"/>
  <c r="AI131" i="16"/>
  <c r="T131" i="16"/>
  <c r="S131" i="16"/>
  <c r="AP131" i="16"/>
  <c r="AA131" i="16"/>
  <c r="K134" i="16" l="1"/>
  <c r="L133" i="16"/>
  <c r="AJ131" i="16"/>
  <c r="AK131" i="16" s="1"/>
  <c r="AQ131" i="16"/>
  <c r="AR131" i="16" s="1"/>
  <c r="U131" i="16"/>
  <c r="V131" i="16" s="1"/>
  <c r="AB131" i="16"/>
  <c r="AC131" i="16" s="1"/>
  <c r="AP132" i="16"/>
  <c r="AA132" i="16"/>
  <c r="S132" i="16"/>
  <c r="AI132" i="16"/>
  <c r="T132" i="16"/>
  <c r="X132" i="16"/>
  <c r="M132" i="16"/>
  <c r="N132" i="16" s="1"/>
  <c r="L134" i="16" l="1"/>
  <c r="K135" i="16"/>
  <c r="AJ132" i="16"/>
  <c r="AK132" i="16" s="1"/>
  <c r="U132" i="16"/>
  <c r="V132" i="16" s="1"/>
  <c r="AQ132" i="16"/>
  <c r="AR132" i="16" s="1"/>
  <c r="AB132" i="16"/>
  <c r="AC132" i="16" s="1"/>
  <c r="X133" i="16"/>
  <c r="M133" i="16"/>
  <c r="N133" i="16" s="1"/>
  <c r="AI133" i="16"/>
  <c r="T133" i="16"/>
  <c r="S133" i="16"/>
  <c r="AP133" i="16"/>
  <c r="AA133" i="16"/>
  <c r="K136" i="16" l="1"/>
  <c r="L135" i="16"/>
  <c r="AJ133" i="16"/>
  <c r="AK133" i="16" s="1"/>
  <c r="U133" i="16"/>
  <c r="V133" i="16" s="1"/>
  <c r="AB133" i="16"/>
  <c r="AC133" i="16" s="1"/>
  <c r="AQ133" i="16"/>
  <c r="AR133" i="16" s="1"/>
  <c r="AP134" i="16"/>
  <c r="AA134" i="16"/>
  <c r="S134" i="16"/>
  <c r="AI134" i="16"/>
  <c r="T134" i="16"/>
  <c r="X134" i="16"/>
  <c r="M134" i="16"/>
  <c r="N134" i="16" s="1"/>
  <c r="K137" i="16" l="1"/>
  <c r="L136" i="16"/>
  <c r="AJ134" i="16"/>
  <c r="AK134" i="16" s="1"/>
  <c r="AQ134" i="16"/>
  <c r="AR134" i="16" s="1"/>
  <c r="AB134" i="16"/>
  <c r="AC134" i="16" s="1"/>
  <c r="U134" i="16"/>
  <c r="V134" i="16" s="1"/>
  <c r="X135" i="16"/>
  <c r="M135" i="16"/>
  <c r="N135" i="16" s="1"/>
  <c r="AI135" i="16"/>
  <c r="T135" i="16"/>
  <c r="S135" i="16"/>
  <c r="AP135" i="16"/>
  <c r="AA135" i="16"/>
  <c r="K138" i="16" l="1"/>
  <c r="L137" i="16"/>
  <c r="AQ135" i="16"/>
  <c r="AR135" i="16" s="1"/>
  <c r="AJ135" i="16"/>
  <c r="AK135" i="16" s="1"/>
  <c r="AB135" i="16"/>
  <c r="AC135" i="16" s="1"/>
  <c r="U135" i="16"/>
  <c r="V135" i="16" s="1"/>
  <c r="AP136" i="16"/>
  <c r="AA136" i="16"/>
  <c r="S136" i="16"/>
  <c r="AI136" i="16"/>
  <c r="T136" i="16"/>
  <c r="X136" i="16"/>
  <c r="M136" i="16"/>
  <c r="N136" i="16" s="1"/>
  <c r="L138" i="16" l="1"/>
  <c r="K139" i="16"/>
  <c r="AJ136" i="16"/>
  <c r="AK136" i="16" s="1"/>
  <c r="AQ136" i="16"/>
  <c r="AR136" i="16" s="1"/>
  <c r="U136" i="16"/>
  <c r="V136" i="16" s="1"/>
  <c r="AB136" i="16"/>
  <c r="AC136" i="16" s="1"/>
  <c r="X137" i="16"/>
  <c r="M137" i="16"/>
  <c r="N137" i="16" s="1"/>
  <c r="AI137" i="16"/>
  <c r="T137" i="16"/>
  <c r="S137" i="16"/>
  <c r="AP137" i="16"/>
  <c r="AA137" i="16"/>
  <c r="K140" i="16" l="1"/>
  <c r="L139" i="16"/>
  <c r="AJ137" i="16"/>
  <c r="AK137" i="16" s="1"/>
  <c r="AQ137" i="16"/>
  <c r="AR137" i="16" s="1"/>
  <c r="AB137" i="16"/>
  <c r="AC137" i="16" s="1"/>
  <c r="U137" i="16"/>
  <c r="V137" i="16" s="1"/>
  <c r="AP138" i="16"/>
  <c r="AA138" i="16"/>
  <c r="S138" i="16"/>
  <c r="AI138" i="16"/>
  <c r="T138" i="16"/>
  <c r="X138" i="16"/>
  <c r="M138" i="16"/>
  <c r="N138" i="16" s="1"/>
  <c r="L140" i="16" l="1"/>
  <c r="K141" i="16"/>
  <c r="AJ138" i="16"/>
  <c r="AK138" i="16" s="1"/>
  <c r="AQ138" i="16"/>
  <c r="AR138" i="16" s="1"/>
  <c r="U138" i="16"/>
  <c r="V138" i="16" s="1"/>
  <c r="AB138" i="16"/>
  <c r="AC138" i="16" s="1"/>
  <c r="X139" i="16"/>
  <c r="M139" i="16"/>
  <c r="N139" i="16" s="1"/>
  <c r="AI139" i="16"/>
  <c r="T139" i="16"/>
  <c r="S139" i="16"/>
  <c r="AP139" i="16"/>
  <c r="AA139" i="16"/>
  <c r="K142" i="16" l="1"/>
  <c r="L141" i="16"/>
  <c r="AJ139" i="16"/>
  <c r="AK139" i="16" s="1"/>
  <c r="AQ139" i="16"/>
  <c r="AR139" i="16" s="1"/>
  <c r="U139" i="16"/>
  <c r="V139" i="16" s="1"/>
  <c r="AB139" i="16"/>
  <c r="AC139" i="16" s="1"/>
  <c r="AP140" i="16"/>
  <c r="AA140" i="16"/>
  <c r="S140" i="16"/>
  <c r="AI140" i="16"/>
  <c r="T140" i="16"/>
  <c r="X140" i="16"/>
  <c r="M140" i="16"/>
  <c r="N140" i="16" s="1"/>
  <c r="K143" i="16" l="1"/>
  <c r="L142" i="16"/>
  <c r="AJ140" i="16"/>
  <c r="AK140" i="16" s="1"/>
  <c r="AQ140" i="16"/>
  <c r="AR140" i="16" s="1"/>
  <c r="AB140" i="16"/>
  <c r="AC140" i="16" s="1"/>
  <c r="U140" i="16"/>
  <c r="V140" i="16" s="1"/>
  <c r="X141" i="16"/>
  <c r="M141" i="16"/>
  <c r="N141" i="16" s="1"/>
  <c r="AI141" i="16"/>
  <c r="T141" i="16"/>
  <c r="S141" i="16"/>
  <c r="AP141" i="16"/>
  <c r="AA141" i="16"/>
  <c r="K144" i="16" l="1"/>
  <c r="L143" i="16"/>
  <c r="AJ141" i="16"/>
  <c r="AK141" i="16" s="1"/>
  <c r="U141" i="16"/>
  <c r="V141" i="16" s="1"/>
  <c r="AB141" i="16"/>
  <c r="AC141" i="16" s="1"/>
  <c r="AQ141" i="16"/>
  <c r="AR141" i="16" s="1"/>
  <c r="AP142" i="16"/>
  <c r="AA142" i="16"/>
  <c r="S142" i="16"/>
  <c r="AI142" i="16"/>
  <c r="T142" i="16"/>
  <c r="X142" i="16"/>
  <c r="M142" i="16"/>
  <c r="N142" i="16" s="1"/>
  <c r="K145" i="16" l="1"/>
  <c r="L144" i="16"/>
  <c r="AJ142" i="16"/>
  <c r="AK142" i="16" s="1"/>
  <c r="AQ142" i="16"/>
  <c r="AR142" i="16" s="1"/>
  <c r="AB142" i="16"/>
  <c r="AC142" i="16" s="1"/>
  <c r="U142" i="16"/>
  <c r="V142" i="16" s="1"/>
  <c r="X143" i="16"/>
  <c r="M143" i="16"/>
  <c r="N143" i="16" s="1"/>
  <c r="AI143" i="16"/>
  <c r="T143" i="16"/>
  <c r="S143" i="16"/>
  <c r="AP143" i="16"/>
  <c r="AA143" i="16"/>
  <c r="L145" i="16" l="1"/>
  <c r="K146" i="16"/>
  <c r="AQ143" i="16"/>
  <c r="AR143" i="16" s="1"/>
  <c r="U143" i="16"/>
  <c r="V143" i="16" s="1"/>
  <c r="AJ143" i="16"/>
  <c r="AK143" i="16" s="1"/>
  <c r="AB143" i="16"/>
  <c r="AC143" i="16" s="1"/>
  <c r="AP144" i="16"/>
  <c r="AA144" i="16"/>
  <c r="S144" i="16"/>
  <c r="AI144" i="16"/>
  <c r="T144" i="16"/>
  <c r="X144" i="16"/>
  <c r="M144" i="16"/>
  <c r="N144" i="16" s="1"/>
  <c r="L146" i="16" l="1"/>
  <c r="K147" i="16"/>
  <c r="AJ144" i="16"/>
  <c r="AK144" i="16" s="1"/>
  <c r="U144" i="16"/>
  <c r="V144" i="16" s="1"/>
  <c r="AB144" i="16"/>
  <c r="AC144" i="16" s="1"/>
  <c r="AQ144" i="16"/>
  <c r="AR144" i="16" s="1"/>
  <c r="X145" i="16"/>
  <c r="M145" i="16"/>
  <c r="N145" i="16" s="1"/>
  <c r="AI145" i="16"/>
  <c r="T145" i="16"/>
  <c r="S145" i="16"/>
  <c r="AP145" i="16"/>
  <c r="AA145" i="16"/>
  <c r="K148" i="16" l="1"/>
  <c r="L147" i="16"/>
  <c r="U145" i="16"/>
  <c r="V145" i="16" s="1"/>
  <c r="AJ145" i="16"/>
  <c r="AK145" i="16" s="1"/>
  <c r="AQ145" i="16"/>
  <c r="AR145" i="16" s="1"/>
  <c r="AB145" i="16"/>
  <c r="AC145" i="16" s="1"/>
  <c r="AP146" i="16"/>
  <c r="AA146" i="16"/>
  <c r="S146" i="16"/>
  <c r="AI146" i="16"/>
  <c r="T146" i="16"/>
  <c r="X146" i="16"/>
  <c r="M146" i="16"/>
  <c r="N146" i="16" s="1"/>
  <c r="K149" i="16" l="1"/>
  <c r="L148" i="16"/>
  <c r="AJ146" i="16"/>
  <c r="AK146" i="16" s="1"/>
  <c r="AB146" i="16"/>
  <c r="AC146" i="16" s="1"/>
  <c r="AQ146" i="16"/>
  <c r="AR146" i="16" s="1"/>
  <c r="U146" i="16"/>
  <c r="V146" i="16" s="1"/>
  <c r="X147" i="16"/>
  <c r="M147" i="16"/>
  <c r="N147" i="16" s="1"/>
  <c r="AI147" i="16"/>
  <c r="T147" i="16"/>
  <c r="S147" i="16"/>
  <c r="AP147" i="16"/>
  <c r="AA147" i="16"/>
  <c r="L149" i="16" l="1"/>
  <c r="K150" i="16"/>
  <c r="AJ147" i="16"/>
  <c r="AK147" i="16" s="1"/>
  <c r="AQ147" i="16"/>
  <c r="AR147" i="16" s="1"/>
  <c r="U147" i="16"/>
  <c r="V147" i="16" s="1"/>
  <c r="AB147" i="16"/>
  <c r="AC147" i="16" s="1"/>
  <c r="AP148" i="16"/>
  <c r="AA148" i="16"/>
  <c r="S148" i="16"/>
  <c r="AI148" i="16"/>
  <c r="T148" i="16"/>
  <c r="X148" i="16"/>
  <c r="M148" i="16"/>
  <c r="N148" i="16" s="1"/>
  <c r="K151" i="16" l="1"/>
  <c r="L150" i="16"/>
  <c r="AJ148" i="16"/>
  <c r="AK148" i="16" s="1"/>
  <c r="AB148" i="16"/>
  <c r="AC148" i="16" s="1"/>
  <c r="U148" i="16"/>
  <c r="V148" i="16" s="1"/>
  <c r="AQ148" i="16"/>
  <c r="AR148" i="16" s="1"/>
  <c r="X149" i="16"/>
  <c r="M149" i="16"/>
  <c r="N149" i="16" s="1"/>
  <c r="AI149" i="16"/>
  <c r="T149" i="16"/>
  <c r="S149" i="16"/>
  <c r="AP149" i="16"/>
  <c r="AA149" i="16"/>
  <c r="L151" i="16" l="1"/>
  <c r="K152" i="16"/>
  <c r="U149" i="16"/>
  <c r="V149" i="16" s="1"/>
  <c r="AJ149" i="16"/>
  <c r="AK149" i="16" s="1"/>
  <c r="AQ149" i="16"/>
  <c r="AR149" i="16" s="1"/>
  <c r="AB149" i="16"/>
  <c r="AC149" i="16" s="1"/>
  <c r="AP150" i="16"/>
  <c r="AA150" i="16"/>
  <c r="S150" i="16"/>
  <c r="AI150" i="16"/>
  <c r="T150" i="16"/>
  <c r="X150" i="16"/>
  <c r="M150" i="16"/>
  <c r="N150" i="16" s="1"/>
  <c r="L152" i="16" l="1"/>
  <c r="K153" i="16"/>
  <c r="AJ150" i="16"/>
  <c r="AK150" i="16" s="1"/>
  <c r="AQ150" i="16"/>
  <c r="AR150" i="16" s="1"/>
  <c r="AB150" i="16"/>
  <c r="AC150" i="16" s="1"/>
  <c r="U150" i="16"/>
  <c r="V150" i="16" s="1"/>
  <c r="X151" i="16"/>
  <c r="M151" i="16"/>
  <c r="N151" i="16" s="1"/>
  <c r="AI151" i="16"/>
  <c r="T151" i="16"/>
  <c r="S151" i="16"/>
  <c r="AP151" i="16"/>
  <c r="AA151" i="16"/>
  <c r="K154" i="16" l="1"/>
  <c r="L153" i="16"/>
  <c r="AJ151" i="16"/>
  <c r="AK151" i="16" s="1"/>
  <c r="AQ151" i="16"/>
  <c r="AR151" i="16" s="1"/>
  <c r="U151" i="16"/>
  <c r="V151" i="16" s="1"/>
  <c r="AB151" i="16"/>
  <c r="AC151" i="16" s="1"/>
  <c r="AP152" i="16"/>
  <c r="AA152" i="16"/>
  <c r="S152" i="16"/>
  <c r="AI152" i="16"/>
  <c r="AJ152" i="16" s="1"/>
  <c r="AK152" i="16" s="1"/>
  <c r="T152" i="16"/>
  <c r="X152" i="16"/>
  <c r="M152" i="16"/>
  <c r="N152" i="16" s="1"/>
  <c r="L154" i="16" l="1"/>
  <c r="K155" i="16"/>
  <c r="U152" i="16"/>
  <c r="V152" i="16" s="1"/>
  <c r="AB152" i="16"/>
  <c r="AC152" i="16" s="1"/>
  <c r="AQ152" i="16"/>
  <c r="AR152" i="16" s="1"/>
  <c r="X153" i="16"/>
  <c r="M153" i="16"/>
  <c r="N153" i="16" s="1"/>
  <c r="AI153" i="16"/>
  <c r="T153" i="16"/>
  <c r="S153" i="16"/>
  <c r="AP153" i="16"/>
  <c r="AA153" i="16"/>
  <c r="L155" i="16" l="1"/>
  <c r="K156" i="16"/>
  <c r="U153" i="16"/>
  <c r="V153" i="16" s="1"/>
  <c r="AJ153" i="16"/>
  <c r="AK153" i="16" s="1"/>
  <c r="AQ153" i="16"/>
  <c r="AR153" i="16" s="1"/>
  <c r="AB153" i="16"/>
  <c r="AC153" i="16" s="1"/>
  <c r="AP154" i="16"/>
  <c r="AA154" i="16"/>
  <c r="S154" i="16"/>
  <c r="AI154" i="16"/>
  <c r="T154" i="16"/>
  <c r="X154" i="16"/>
  <c r="M154" i="16"/>
  <c r="N154" i="16" s="1"/>
  <c r="K157" i="16" l="1"/>
  <c r="L156" i="16"/>
  <c r="AJ154" i="16"/>
  <c r="AK154" i="16" s="1"/>
  <c r="AB154" i="16"/>
  <c r="AC154" i="16" s="1"/>
  <c r="AQ154" i="16"/>
  <c r="AR154" i="16" s="1"/>
  <c r="U154" i="16"/>
  <c r="V154" i="16" s="1"/>
  <c r="X155" i="16"/>
  <c r="M155" i="16"/>
  <c r="N155" i="16" s="1"/>
  <c r="AI155" i="16"/>
  <c r="T155" i="16"/>
  <c r="S155" i="16"/>
  <c r="AP155" i="16"/>
  <c r="AA155" i="16"/>
  <c r="L157" i="16" l="1"/>
  <c r="K158" i="16"/>
  <c r="AQ155" i="16"/>
  <c r="AR155" i="16" s="1"/>
  <c r="AB155" i="16"/>
  <c r="AC155" i="16" s="1"/>
  <c r="AJ155" i="16"/>
  <c r="AK155" i="16" s="1"/>
  <c r="U155" i="16"/>
  <c r="V155" i="16" s="1"/>
  <c r="AP156" i="16"/>
  <c r="AA156" i="16"/>
  <c r="S156" i="16"/>
  <c r="AI156" i="16"/>
  <c r="T156" i="16"/>
  <c r="X156" i="16"/>
  <c r="M156" i="16"/>
  <c r="N156" i="16" s="1"/>
  <c r="L158" i="16" l="1"/>
  <c r="K159" i="16"/>
  <c r="AJ156" i="16"/>
  <c r="AK156" i="16" s="1"/>
  <c r="AQ156" i="16"/>
  <c r="AR156" i="16" s="1"/>
  <c r="U156" i="16"/>
  <c r="V156" i="16" s="1"/>
  <c r="AB156" i="16"/>
  <c r="AC156" i="16" s="1"/>
  <c r="X157" i="16"/>
  <c r="M157" i="16"/>
  <c r="N157" i="16" s="1"/>
  <c r="AI157" i="16"/>
  <c r="T157" i="16"/>
  <c r="S157" i="16"/>
  <c r="AP157" i="16"/>
  <c r="AA157" i="16"/>
  <c r="K160" i="16" l="1"/>
  <c r="L159" i="16"/>
  <c r="AJ157" i="16"/>
  <c r="AK157" i="16" s="1"/>
  <c r="AQ157" i="16"/>
  <c r="AR157" i="16" s="1"/>
  <c r="U157" i="16"/>
  <c r="V157" i="16" s="1"/>
  <c r="AB157" i="16"/>
  <c r="AC157" i="16" s="1"/>
  <c r="AP158" i="16"/>
  <c r="AA158" i="16"/>
  <c r="S158" i="16"/>
  <c r="AI158" i="16"/>
  <c r="T158" i="16"/>
  <c r="X158" i="16"/>
  <c r="M158" i="16"/>
  <c r="N158" i="16" s="1"/>
  <c r="L160" i="16" l="1"/>
  <c r="K161" i="16"/>
  <c r="AJ158" i="16"/>
  <c r="AK158" i="16" s="1"/>
  <c r="AQ158" i="16"/>
  <c r="AR158" i="16" s="1"/>
  <c r="AB158" i="16"/>
  <c r="AC158" i="16" s="1"/>
  <c r="U158" i="16"/>
  <c r="V158" i="16" s="1"/>
  <c r="X159" i="16"/>
  <c r="M159" i="16"/>
  <c r="N159" i="16" s="1"/>
  <c r="AI159" i="16"/>
  <c r="T159" i="16"/>
  <c r="S159" i="16"/>
  <c r="AP159" i="16"/>
  <c r="AA159" i="16"/>
  <c r="L161" i="16" l="1"/>
  <c r="K162" i="16"/>
  <c r="AJ159" i="16"/>
  <c r="AK159" i="16" s="1"/>
  <c r="AQ159" i="16"/>
  <c r="AR159" i="16" s="1"/>
  <c r="U159" i="16"/>
  <c r="V159" i="16" s="1"/>
  <c r="AB159" i="16"/>
  <c r="AC159" i="16" s="1"/>
  <c r="AP160" i="16"/>
  <c r="AA160" i="16"/>
  <c r="S160" i="16"/>
  <c r="AI160" i="16"/>
  <c r="T160" i="16"/>
  <c r="X160" i="16"/>
  <c r="M160" i="16"/>
  <c r="N160" i="16" s="1"/>
  <c r="K163" i="16" l="1"/>
  <c r="L162" i="16"/>
  <c r="AJ160" i="16"/>
  <c r="AK160" i="16" s="1"/>
  <c r="U160" i="16"/>
  <c r="V160" i="16" s="1"/>
  <c r="AB160" i="16"/>
  <c r="AC160" i="16" s="1"/>
  <c r="AQ160" i="16"/>
  <c r="AR160" i="16" s="1"/>
  <c r="X161" i="16"/>
  <c r="M161" i="16"/>
  <c r="N161" i="16" s="1"/>
  <c r="AI161" i="16"/>
  <c r="T161" i="16"/>
  <c r="S161" i="16"/>
  <c r="AP161" i="16"/>
  <c r="AA161" i="16"/>
  <c r="L163" i="16" l="1"/>
  <c r="K164" i="16"/>
  <c r="AJ161" i="16"/>
  <c r="AK161" i="16" s="1"/>
  <c r="AQ161" i="16"/>
  <c r="AR161" i="16" s="1"/>
  <c r="U161" i="16"/>
  <c r="V161" i="16" s="1"/>
  <c r="AB161" i="16"/>
  <c r="AC161" i="16" s="1"/>
  <c r="AP162" i="16"/>
  <c r="AA162" i="16"/>
  <c r="S162" i="16"/>
  <c r="AI162" i="16"/>
  <c r="T162" i="16"/>
  <c r="X162" i="16"/>
  <c r="M162" i="16"/>
  <c r="N162" i="16" s="1"/>
  <c r="L164" i="16" l="1"/>
  <c r="K165" i="16"/>
  <c r="AJ162" i="16"/>
  <c r="AK162" i="16" s="1"/>
  <c r="AQ162" i="16"/>
  <c r="AR162" i="16" s="1"/>
  <c r="U162" i="16"/>
  <c r="V162" i="16" s="1"/>
  <c r="AB162" i="16"/>
  <c r="AC162" i="16" s="1"/>
  <c r="X163" i="16"/>
  <c r="M163" i="16"/>
  <c r="N163" i="16" s="1"/>
  <c r="AI163" i="16"/>
  <c r="T163" i="16"/>
  <c r="S163" i="16"/>
  <c r="AP163" i="16"/>
  <c r="AA163" i="16"/>
  <c r="K166" i="16" l="1"/>
  <c r="L165" i="16"/>
  <c r="AJ163" i="16"/>
  <c r="AK163" i="16" s="1"/>
  <c r="AQ163" i="16"/>
  <c r="AR163" i="16" s="1"/>
  <c r="AB163" i="16"/>
  <c r="AC163" i="16" s="1"/>
  <c r="U163" i="16"/>
  <c r="V163" i="16" s="1"/>
  <c r="AP164" i="16"/>
  <c r="AA164" i="16"/>
  <c r="S164" i="16"/>
  <c r="AI164" i="16"/>
  <c r="T164" i="16"/>
  <c r="X164" i="16"/>
  <c r="M164" i="16"/>
  <c r="N164" i="16" s="1"/>
  <c r="K167" i="16" l="1"/>
  <c r="L166" i="16"/>
  <c r="AJ164" i="16"/>
  <c r="AK164" i="16" s="1"/>
  <c r="U164" i="16"/>
  <c r="V164" i="16" s="1"/>
  <c r="AB164" i="16"/>
  <c r="AC164" i="16" s="1"/>
  <c r="AQ164" i="16"/>
  <c r="AR164" i="16" s="1"/>
  <c r="X165" i="16"/>
  <c r="M165" i="16"/>
  <c r="N165" i="16" s="1"/>
  <c r="AI165" i="16"/>
  <c r="AJ165" i="16" s="1"/>
  <c r="AK165" i="16" s="1"/>
  <c r="T165" i="16"/>
  <c r="S165" i="16"/>
  <c r="AP165" i="16"/>
  <c r="AA165" i="16"/>
  <c r="L167" i="16" l="1"/>
  <c r="K168" i="16"/>
  <c r="U165" i="16"/>
  <c r="V165" i="16" s="1"/>
  <c r="AQ165" i="16"/>
  <c r="AR165" i="16" s="1"/>
  <c r="AB165" i="16"/>
  <c r="AC165" i="16" s="1"/>
  <c r="AP166" i="16"/>
  <c r="AA166" i="16"/>
  <c r="S166" i="16"/>
  <c r="AI166" i="16"/>
  <c r="T166" i="16"/>
  <c r="X166" i="16"/>
  <c r="M166" i="16"/>
  <c r="N166" i="16" s="1"/>
  <c r="L168" i="16" l="1"/>
  <c r="K169" i="16"/>
  <c r="AJ166" i="16"/>
  <c r="AK166" i="16" s="1"/>
  <c r="U166" i="16"/>
  <c r="V166" i="16" s="1"/>
  <c r="AB166" i="16"/>
  <c r="AC166" i="16" s="1"/>
  <c r="AQ166" i="16"/>
  <c r="AR166" i="16" s="1"/>
  <c r="X167" i="16"/>
  <c r="M167" i="16"/>
  <c r="N167" i="16" s="1"/>
  <c r="AI167" i="16"/>
  <c r="T167" i="16"/>
  <c r="S167" i="16"/>
  <c r="AP167" i="16"/>
  <c r="AA167" i="16"/>
  <c r="L169" i="16" l="1"/>
  <c r="K170" i="16"/>
  <c r="U167" i="16"/>
  <c r="V167" i="16" s="1"/>
  <c r="AJ167" i="16"/>
  <c r="AK167" i="16" s="1"/>
  <c r="AB167" i="16"/>
  <c r="AC167" i="16" s="1"/>
  <c r="AQ167" i="16"/>
  <c r="AR167" i="16" s="1"/>
  <c r="AI168" i="16"/>
  <c r="T168" i="16"/>
  <c r="X168" i="16"/>
  <c r="M168" i="16"/>
  <c r="N168" i="16" s="1"/>
  <c r="AP168" i="16"/>
  <c r="AA168" i="16"/>
  <c r="S168" i="16"/>
  <c r="L170" i="16" l="1"/>
  <c r="K171" i="16"/>
  <c r="AJ168" i="16"/>
  <c r="AK168" i="16" s="1"/>
  <c r="U168" i="16"/>
  <c r="V168" i="16" s="1"/>
  <c r="AB168" i="16"/>
  <c r="AC168" i="16" s="1"/>
  <c r="AQ168" i="16"/>
  <c r="AR168" i="16" s="1"/>
  <c r="S169" i="16"/>
  <c r="AP169" i="16"/>
  <c r="AA169" i="16"/>
  <c r="X169" i="16"/>
  <c r="M169" i="16"/>
  <c r="N169" i="16" s="1"/>
  <c r="AI169" i="16"/>
  <c r="T169" i="16"/>
  <c r="K172" i="16" l="1"/>
  <c r="L171" i="16"/>
  <c r="AJ169" i="16"/>
  <c r="AK169" i="16" s="1"/>
  <c r="U169" i="16"/>
  <c r="V169" i="16" s="1"/>
  <c r="AQ169" i="16"/>
  <c r="AR169" i="16" s="1"/>
  <c r="AB169" i="16"/>
  <c r="AC169" i="16" s="1"/>
  <c r="AP170" i="16"/>
  <c r="AA170" i="16"/>
  <c r="S170" i="16"/>
  <c r="AI170" i="16"/>
  <c r="T170" i="16"/>
  <c r="X170" i="16"/>
  <c r="M170" i="16"/>
  <c r="N170" i="16" s="1"/>
  <c r="K173" i="16" l="1"/>
  <c r="L172" i="16"/>
  <c r="AJ170" i="16"/>
  <c r="AK170" i="16" s="1"/>
  <c r="AQ170" i="16"/>
  <c r="AR170" i="16" s="1"/>
  <c r="U170" i="16"/>
  <c r="V170" i="16" s="1"/>
  <c r="AB170" i="16"/>
  <c r="AC170" i="16" s="1"/>
  <c r="X171" i="16"/>
  <c r="M171" i="16"/>
  <c r="N171" i="16" s="1"/>
  <c r="AI171" i="16"/>
  <c r="T171" i="16"/>
  <c r="S171" i="16"/>
  <c r="AP171" i="16"/>
  <c r="AA171" i="16"/>
  <c r="L173" i="16" l="1"/>
  <c r="K174" i="16"/>
  <c r="AQ171" i="16"/>
  <c r="AR171" i="16" s="1"/>
  <c r="U171" i="16"/>
  <c r="V171" i="16" s="1"/>
  <c r="AB171" i="16"/>
  <c r="AC171" i="16" s="1"/>
  <c r="AJ171" i="16"/>
  <c r="AK171" i="16" s="1"/>
  <c r="AP172" i="16"/>
  <c r="AA172" i="16"/>
  <c r="S172" i="16"/>
  <c r="AI172" i="16"/>
  <c r="T172" i="16"/>
  <c r="X172" i="16"/>
  <c r="M172" i="16"/>
  <c r="N172" i="16" s="1"/>
  <c r="K175" i="16" l="1"/>
  <c r="L174" i="16"/>
  <c r="AJ172" i="16"/>
  <c r="AK172" i="16" s="1"/>
  <c r="AQ172" i="16"/>
  <c r="AR172" i="16" s="1"/>
  <c r="U172" i="16"/>
  <c r="V172" i="16" s="1"/>
  <c r="AB172" i="16"/>
  <c r="AC172" i="16" s="1"/>
  <c r="X173" i="16"/>
  <c r="M173" i="16"/>
  <c r="N173" i="16" s="1"/>
  <c r="AI173" i="16"/>
  <c r="T173" i="16"/>
  <c r="S173" i="16"/>
  <c r="AP173" i="16"/>
  <c r="AA173" i="16"/>
  <c r="L175" i="16" l="1"/>
  <c r="K176" i="16"/>
  <c r="AJ173" i="16"/>
  <c r="AK173" i="16" s="1"/>
  <c r="AQ173" i="16"/>
  <c r="AR173" i="16" s="1"/>
  <c r="U173" i="16"/>
  <c r="V173" i="16" s="1"/>
  <c r="AB173" i="16"/>
  <c r="AC173" i="16" s="1"/>
  <c r="AP174" i="16"/>
  <c r="AA174" i="16"/>
  <c r="S174" i="16"/>
  <c r="AI174" i="16"/>
  <c r="T174" i="16"/>
  <c r="X174" i="16"/>
  <c r="M174" i="16"/>
  <c r="N174" i="16" s="1"/>
  <c r="L176" i="16" l="1"/>
  <c r="K177" i="16"/>
  <c r="AJ174" i="16"/>
  <c r="AK174" i="16" s="1"/>
  <c r="AB174" i="16"/>
  <c r="AC174" i="16" s="1"/>
  <c r="AQ174" i="16"/>
  <c r="AR174" i="16" s="1"/>
  <c r="U174" i="16"/>
  <c r="V174" i="16" s="1"/>
  <c r="X175" i="16"/>
  <c r="M175" i="16"/>
  <c r="N175" i="16" s="1"/>
  <c r="AI175" i="16"/>
  <c r="T175" i="16"/>
  <c r="S175" i="16"/>
  <c r="AP175" i="16"/>
  <c r="AA175" i="16"/>
  <c r="K178" i="16" l="1"/>
  <c r="L177" i="16"/>
  <c r="AJ175" i="16"/>
  <c r="AK175" i="16" s="1"/>
  <c r="AQ175" i="16"/>
  <c r="AR175" i="16" s="1"/>
  <c r="AB175" i="16"/>
  <c r="AC175" i="16" s="1"/>
  <c r="U175" i="16"/>
  <c r="V175" i="16" s="1"/>
  <c r="AP176" i="16"/>
  <c r="AA176" i="16"/>
  <c r="S176" i="16"/>
  <c r="AI176" i="16"/>
  <c r="T176" i="16"/>
  <c r="X176" i="16"/>
  <c r="M176" i="16"/>
  <c r="N176" i="16" s="1"/>
  <c r="K179" i="16" l="1"/>
  <c r="L178" i="16"/>
  <c r="AJ176" i="16"/>
  <c r="AK176" i="16" s="1"/>
  <c r="AQ176" i="16"/>
  <c r="AR176" i="16" s="1"/>
  <c r="AB176" i="16"/>
  <c r="AC176" i="16" s="1"/>
  <c r="U176" i="16"/>
  <c r="V176" i="16" s="1"/>
  <c r="X177" i="16"/>
  <c r="M177" i="16"/>
  <c r="N177" i="16" s="1"/>
  <c r="AI177" i="16"/>
  <c r="T177" i="16"/>
  <c r="S177" i="16"/>
  <c r="AP177" i="16"/>
  <c r="AA177" i="16"/>
  <c r="L179" i="16" l="1"/>
  <c r="K180" i="16"/>
  <c r="AJ177" i="16"/>
  <c r="AK177" i="16" s="1"/>
  <c r="AQ177" i="16"/>
  <c r="AR177" i="16" s="1"/>
  <c r="U177" i="16"/>
  <c r="V177" i="16" s="1"/>
  <c r="AB177" i="16"/>
  <c r="AC177" i="16" s="1"/>
  <c r="AP178" i="16"/>
  <c r="AA178" i="16"/>
  <c r="S178" i="16"/>
  <c r="AI178" i="16"/>
  <c r="T178" i="16"/>
  <c r="X178" i="16"/>
  <c r="M178" i="16"/>
  <c r="N178" i="16" s="1"/>
  <c r="L180" i="16" l="1"/>
  <c r="K181" i="16"/>
  <c r="AJ178" i="16"/>
  <c r="AK178" i="16" s="1"/>
  <c r="AQ178" i="16"/>
  <c r="AR178" i="16" s="1"/>
  <c r="U178" i="16"/>
  <c r="V178" i="16" s="1"/>
  <c r="AB178" i="16"/>
  <c r="AC178" i="16" s="1"/>
  <c r="X179" i="16"/>
  <c r="M179" i="16"/>
  <c r="N179" i="16" s="1"/>
  <c r="AI179" i="16"/>
  <c r="T179" i="16"/>
  <c r="S179" i="16"/>
  <c r="AP179" i="16"/>
  <c r="AA179" i="16"/>
  <c r="K182" i="16" l="1"/>
  <c r="L181" i="16"/>
  <c r="AJ179" i="16"/>
  <c r="AK179" i="16" s="1"/>
  <c r="AQ179" i="16"/>
  <c r="AR179" i="16" s="1"/>
  <c r="U179" i="16"/>
  <c r="V179" i="16" s="1"/>
  <c r="AB179" i="16"/>
  <c r="AC179" i="16" s="1"/>
  <c r="AP180" i="16"/>
  <c r="AA180" i="16"/>
  <c r="S180" i="16"/>
  <c r="AI180" i="16"/>
  <c r="T180" i="16"/>
  <c r="X180" i="16"/>
  <c r="M180" i="16"/>
  <c r="N180" i="16" s="1"/>
  <c r="K183" i="16" l="1"/>
  <c r="L182" i="16"/>
  <c r="AJ180" i="16"/>
  <c r="AK180" i="16" s="1"/>
  <c r="AQ180" i="16"/>
  <c r="AR180" i="16" s="1"/>
  <c r="AB180" i="16"/>
  <c r="AC180" i="16" s="1"/>
  <c r="U180" i="16"/>
  <c r="V180" i="16" s="1"/>
  <c r="X181" i="16"/>
  <c r="M181" i="16"/>
  <c r="N181" i="16" s="1"/>
  <c r="AI181" i="16"/>
  <c r="T181" i="16"/>
  <c r="S181" i="16"/>
  <c r="AP181" i="16"/>
  <c r="AA181" i="16"/>
  <c r="L183" i="16" l="1"/>
  <c r="K184" i="16"/>
  <c r="U181" i="16"/>
  <c r="V181" i="16" s="1"/>
  <c r="AJ181" i="16"/>
  <c r="AK181" i="16" s="1"/>
  <c r="AB181" i="16"/>
  <c r="AC181" i="16" s="1"/>
  <c r="AQ181" i="16"/>
  <c r="AR181" i="16" s="1"/>
  <c r="AP182" i="16"/>
  <c r="AA182" i="16"/>
  <c r="S182" i="16"/>
  <c r="AI182" i="16"/>
  <c r="T182" i="16"/>
  <c r="X182" i="16"/>
  <c r="M182" i="16"/>
  <c r="N182" i="16" s="1"/>
  <c r="K185" i="16" l="1"/>
  <c r="L184" i="16"/>
  <c r="AJ182" i="16"/>
  <c r="AK182" i="16" s="1"/>
  <c r="U182" i="16"/>
  <c r="V182" i="16" s="1"/>
  <c r="AQ182" i="16"/>
  <c r="AR182" i="16" s="1"/>
  <c r="AB182" i="16"/>
  <c r="AC182" i="16" s="1"/>
  <c r="X183" i="16"/>
  <c r="M183" i="16"/>
  <c r="N183" i="16" s="1"/>
  <c r="AI183" i="16"/>
  <c r="T183" i="16"/>
  <c r="S183" i="16"/>
  <c r="AP183" i="16"/>
  <c r="AA183" i="16"/>
  <c r="L185" i="16" l="1"/>
  <c r="K186" i="16"/>
  <c r="AJ183" i="16"/>
  <c r="AK183" i="16" s="1"/>
  <c r="AQ183" i="16"/>
  <c r="AR183" i="16" s="1"/>
  <c r="U183" i="16"/>
  <c r="V183" i="16" s="1"/>
  <c r="AB183" i="16"/>
  <c r="AC183" i="16" s="1"/>
  <c r="AP184" i="16"/>
  <c r="AA184" i="16"/>
  <c r="S184" i="16"/>
  <c r="AI184" i="16"/>
  <c r="T184" i="16"/>
  <c r="X184" i="16"/>
  <c r="M184" i="16"/>
  <c r="N184" i="16" s="1"/>
  <c r="K187" i="16" l="1"/>
  <c r="L186" i="16"/>
  <c r="AJ184" i="16"/>
  <c r="AK184" i="16" s="1"/>
  <c r="AB184" i="16"/>
  <c r="AC184" i="16" s="1"/>
  <c r="AQ184" i="16"/>
  <c r="AR184" i="16" s="1"/>
  <c r="U184" i="16"/>
  <c r="V184" i="16" s="1"/>
  <c r="X185" i="16"/>
  <c r="M185" i="16"/>
  <c r="N185" i="16" s="1"/>
  <c r="AI185" i="16"/>
  <c r="T185" i="16"/>
  <c r="S185" i="16"/>
  <c r="AP185" i="16"/>
  <c r="AA185" i="16"/>
  <c r="L187" i="16" l="1"/>
  <c r="K188" i="16"/>
  <c r="AJ185" i="16"/>
  <c r="AK185" i="16" s="1"/>
  <c r="U185" i="16"/>
  <c r="V185" i="16" s="1"/>
  <c r="AQ185" i="16"/>
  <c r="AR185" i="16" s="1"/>
  <c r="AB185" i="16"/>
  <c r="AC185" i="16" s="1"/>
  <c r="AP186" i="16"/>
  <c r="AA186" i="16"/>
  <c r="S186" i="16"/>
  <c r="AI186" i="16"/>
  <c r="T186" i="16"/>
  <c r="X186" i="16"/>
  <c r="M186" i="16"/>
  <c r="N186" i="16" s="1"/>
  <c r="L188" i="16" l="1"/>
  <c r="K189" i="16"/>
  <c r="AQ186" i="16"/>
  <c r="AR186" i="16" s="1"/>
  <c r="AJ186" i="16"/>
  <c r="AK186" i="16" s="1"/>
  <c r="AB186" i="16"/>
  <c r="AC186" i="16" s="1"/>
  <c r="U186" i="16"/>
  <c r="V186" i="16" s="1"/>
  <c r="X187" i="16"/>
  <c r="M187" i="16"/>
  <c r="N187" i="16" s="1"/>
  <c r="AI187" i="16"/>
  <c r="T187" i="16"/>
  <c r="S187" i="16"/>
  <c r="AP187" i="16"/>
  <c r="AA187" i="16"/>
  <c r="K190" i="16" l="1"/>
  <c r="L189" i="16"/>
  <c r="U187" i="16"/>
  <c r="V187" i="16" s="1"/>
  <c r="AQ187" i="16"/>
  <c r="AR187" i="16" s="1"/>
  <c r="AJ187" i="16"/>
  <c r="AK187" i="16" s="1"/>
  <c r="AB187" i="16"/>
  <c r="AC187" i="16" s="1"/>
  <c r="AP188" i="16"/>
  <c r="AA188" i="16"/>
  <c r="S188" i="16"/>
  <c r="AI188" i="16"/>
  <c r="T188" i="16"/>
  <c r="X188" i="16"/>
  <c r="M188" i="16"/>
  <c r="N188" i="16" s="1"/>
  <c r="K191" i="16" l="1"/>
  <c r="L190" i="16"/>
  <c r="AJ188" i="16"/>
  <c r="AK188" i="16" s="1"/>
  <c r="AQ188" i="16"/>
  <c r="AR188" i="16" s="1"/>
  <c r="U188" i="16"/>
  <c r="V188" i="16" s="1"/>
  <c r="AB188" i="16"/>
  <c r="AC188" i="16" s="1"/>
  <c r="X189" i="16"/>
  <c r="M189" i="16"/>
  <c r="N189" i="16" s="1"/>
  <c r="AI189" i="16"/>
  <c r="AJ189" i="16" s="1"/>
  <c r="AK189" i="16" s="1"/>
  <c r="T189" i="16"/>
  <c r="S189" i="16"/>
  <c r="AP189" i="16"/>
  <c r="AA189" i="16"/>
  <c r="K192" i="16" l="1"/>
  <c r="L191" i="16"/>
  <c r="AB189" i="16"/>
  <c r="AC189" i="16" s="1"/>
  <c r="AQ189" i="16"/>
  <c r="AR189" i="16" s="1"/>
  <c r="U189" i="16"/>
  <c r="V189" i="16" s="1"/>
  <c r="AP190" i="16"/>
  <c r="AA190" i="16"/>
  <c r="S190" i="16"/>
  <c r="AI190" i="16"/>
  <c r="T190" i="16"/>
  <c r="X190" i="16"/>
  <c r="M190" i="16"/>
  <c r="N190" i="16" s="1"/>
  <c r="L192" i="16" l="1"/>
  <c r="K193" i="16"/>
  <c r="AJ190" i="16"/>
  <c r="AK190" i="16" s="1"/>
  <c r="U190" i="16"/>
  <c r="V190" i="16" s="1"/>
  <c r="AB190" i="16"/>
  <c r="AC190" i="16" s="1"/>
  <c r="AQ190" i="16"/>
  <c r="AR190" i="16" s="1"/>
  <c r="X191" i="16"/>
  <c r="M191" i="16"/>
  <c r="N191" i="16" s="1"/>
  <c r="AI191" i="16"/>
  <c r="T191" i="16"/>
  <c r="S191" i="16"/>
  <c r="AP191" i="16"/>
  <c r="AA191" i="16"/>
  <c r="K194" i="16" l="1"/>
  <c r="L193" i="16"/>
  <c r="AJ191" i="16"/>
  <c r="AK191" i="16" s="1"/>
  <c r="AB191" i="16"/>
  <c r="AC191" i="16" s="1"/>
  <c r="U191" i="16"/>
  <c r="V191" i="16" s="1"/>
  <c r="AQ191" i="16"/>
  <c r="AR191" i="16" s="1"/>
  <c r="AP192" i="16"/>
  <c r="AA192" i="16"/>
  <c r="S192" i="16"/>
  <c r="AI192" i="16"/>
  <c r="T192" i="16"/>
  <c r="X192" i="16"/>
  <c r="M192" i="16"/>
  <c r="N192" i="16" s="1"/>
  <c r="L194" i="16" l="1"/>
  <c r="K195" i="16"/>
  <c r="AJ192" i="16"/>
  <c r="AK192" i="16" s="1"/>
  <c r="AB192" i="16"/>
  <c r="AC192" i="16" s="1"/>
  <c r="AQ192" i="16"/>
  <c r="AR192" i="16" s="1"/>
  <c r="U192" i="16"/>
  <c r="V192" i="16" s="1"/>
  <c r="X193" i="16"/>
  <c r="M193" i="16"/>
  <c r="N193" i="16" s="1"/>
  <c r="AI193" i="16"/>
  <c r="T193" i="16"/>
  <c r="S193" i="16"/>
  <c r="AP193" i="16"/>
  <c r="AA193" i="16"/>
  <c r="K196" i="16" l="1"/>
  <c r="L195" i="16"/>
  <c r="AJ193" i="16"/>
  <c r="AK193" i="16" s="1"/>
  <c r="AQ193" i="16"/>
  <c r="AR193" i="16" s="1"/>
  <c r="U193" i="16"/>
  <c r="V193" i="16" s="1"/>
  <c r="AB193" i="16"/>
  <c r="AC193" i="16" s="1"/>
  <c r="AP194" i="16"/>
  <c r="AA194" i="16"/>
  <c r="S194" i="16"/>
  <c r="AI194" i="16"/>
  <c r="T194" i="16"/>
  <c r="X194" i="16"/>
  <c r="M194" i="16"/>
  <c r="N194" i="16" s="1"/>
  <c r="K197" i="16" l="1"/>
  <c r="L196" i="16"/>
  <c r="AJ194" i="16"/>
  <c r="AK194" i="16" s="1"/>
  <c r="AQ194" i="16"/>
  <c r="AR194" i="16" s="1"/>
  <c r="U194" i="16"/>
  <c r="V194" i="16" s="1"/>
  <c r="AB194" i="16"/>
  <c r="AC194" i="16" s="1"/>
  <c r="X195" i="16"/>
  <c r="M195" i="16"/>
  <c r="N195" i="16" s="1"/>
  <c r="AI195" i="16"/>
  <c r="T195" i="16"/>
  <c r="S195" i="16"/>
  <c r="AP195" i="16"/>
  <c r="AA195" i="16"/>
  <c r="K198" i="16" l="1"/>
  <c r="L197" i="16"/>
  <c r="AJ195" i="16"/>
  <c r="AK195" i="16" s="1"/>
  <c r="AB195" i="16"/>
  <c r="AC195" i="16" s="1"/>
  <c r="U195" i="16"/>
  <c r="V195" i="16" s="1"/>
  <c r="AQ195" i="16"/>
  <c r="AR195" i="16" s="1"/>
  <c r="AP196" i="16"/>
  <c r="AA196" i="16"/>
  <c r="S196" i="16"/>
  <c r="AI196" i="16"/>
  <c r="T196" i="16"/>
  <c r="X196" i="16"/>
  <c r="M196" i="16"/>
  <c r="N196" i="16" s="1"/>
  <c r="L198" i="16" l="1"/>
  <c r="K199" i="16"/>
  <c r="AJ196" i="16"/>
  <c r="AK196" i="16" s="1"/>
  <c r="AQ196" i="16"/>
  <c r="AR196" i="16" s="1"/>
  <c r="AB196" i="16"/>
  <c r="AC196" i="16" s="1"/>
  <c r="U196" i="16"/>
  <c r="V196" i="16" s="1"/>
  <c r="X197" i="16"/>
  <c r="M197" i="16"/>
  <c r="N197" i="16" s="1"/>
  <c r="AI197" i="16"/>
  <c r="T197" i="16"/>
  <c r="S197" i="16"/>
  <c r="AP197" i="16"/>
  <c r="AA197" i="16"/>
  <c r="K200" i="16" l="1"/>
  <c r="L199" i="16"/>
  <c r="AJ197" i="16"/>
  <c r="AK197" i="16" s="1"/>
  <c r="AQ197" i="16"/>
  <c r="AR197" i="16" s="1"/>
  <c r="U197" i="16"/>
  <c r="V197" i="16" s="1"/>
  <c r="AB197" i="16"/>
  <c r="AC197" i="16" s="1"/>
  <c r="AP198" i="16"/>
  <c r="AA198" i="16"/>
  <c r="S198" i="16"/>
  <c r="AI198" i="16"/>
  <c r="T198" i="16"/>
  <c r="X198" i="16"/>
  <c r="M198" i="16"/>
  <c r="N198" i="16" s="1"/>
  <c r="L200" i="16" l="1"/>
  <c r="K201" i="16"/>
  <c r="AJ198" i="16"/>
  <c r="AK198" i="16" s="1"/>
  <c r="U198" i="16"/>
  <c r="V198" i="16" s="1"/>
  <c r="AB198" i="16"/>
  <c r="AC198" i="16" s="1"/>
  <c r="AQ198" i="16"/>
  <c r="AR198" i="16" s="1"/>
  <c r="X199" i="16"/>
  <c r="M199" i="16"/>
  <c r="N199" i="16" s="1"/>
  <c r="AI199" i="16"/>
  <c r="T199" i="16"/>
  <c r="S199" i="16"/>
  <c r="AP199" i="16"/>
  <c r="AA199" i="16"/>
  <c r="K202" i="16" l="1"/>
  <c r="L201" i="16"/>
  <c r="U199" i="16"/>
  <c r="V199" i="16" s="1"/>
  <c r="AB199" i="16"/>
  <c r="AC199" i="16" s="1"/>
  <c r="AJ199" i="16"/>
  <c r="AK199" i="16" s="1"/>
  <c r="AQ199" i="16"/>
  <c r="AR199" i="16" s="1"/>
  <c r="AP200" i="16"/>
  <c r="AA200" i="16"/>
  <c r="S200" i="16"/>
  <c r="AI200" i="16"/>
  <c r="T200" i="16"/>
  <c r="X200" i="16"/>
  <c r="M200" i="16"/>
  <c r="N200" i="16" s="1"/>
  <c r="K203" i="16" l="1"/>
  <c r="L202" i="16"/>
  <c r="AJ200" i="16"/>
  <c r="AK200" i="16" s="1"/>
  <c r="AB200" i="16"/>
  <c r="AC200" i="16" s="1"/>
  <c r="U200" i="16"/>
  <c r="V200" i="16" s="1"/>
  <c r="AQ200" i="16"/>
  <c r="AR200" i="16" s="1"/>
  <c r="X201" i="16"/>
  <c r="M201" i="16"/>
  <c r="N201" i="16" s="1"/>
  <c r="AI201" i="16"/>
  <c r="T201" i="16"/>
  <c r="S201" i="16"/>
  <c r="AP201" i="16"/>
  <c r="AA201" i="16"/>
  <c r="K204" i="16" l="1"/>
  <c r="L203" i="16"/>
  <c r="U201" i="16"/>
  <c r="V201" i="16" s="1"/>
  <c r="AQ201" i="16"/>
  <c r="AR201" i="16" s="1"/>
  <c r="AJ201" i="16"/>
  <c r="AK201" i="16" s="1"/>
  <c r="AB201" i="16"/>
  <c r="AC201" i="16" s="1"/>
  <c r="AP202" i="16"/>
  <c r="AA202" i="16"/>
  <c r="S202" i="16"/>
  <c r="AI202" i="16"/>
  <c r="AJ202" i="16" s="1"/>
  <c r="AK202" i="16" s="1"/>
  <c r="T202" i="16"/>
  <c r="X202" i="16"/>
  <c r="M202" i="16"/>
  <c r="N202" i="16" s="1"/>
  <c r="K205" i="16" l="1"/>
  <c r="L204" i="16"/>
  <c r="AQ202" i="16"/>
  <c r="AR202" i="16" s="1"/>
  <c r="AB202" i="16"/>
  <c r="AC202" i="16" s="1"/>
  <c r="U202" i="16"/>
  <c r="V202" i="16" s="1"/>
  <c r="X203" i="16"/>
  <c r="AP203" i="16"/>
  <c r="M203" i="16"/>
  <c r="N203" i="16" s="1"/>
  <c r="AA203" i="16"/>
  <c r="S203" i="16"/>
  <c r="T203" i="16"/>
  <c r="AI203" i="16"/>
  <c r="AJ203" i="16" s="1"/>
  <c r="AK203" i="16" s="1"/>
  <c r="K206" i="16" l="1"/>
  <c r="L205" i="16"/>
  <c r="AB203" i="16"/>
  <c r="AC203" i="16" s="1"/>
  <c r="U203" i="16"/>
  <c r="V203" i="16" s="1"/>
  <c r="AQ203" i="16"/>
  <c r="AR203" i="16" s="1"/>
  <c r="AP204" i="16"/>
  <c r="AA204" i="16"/>
  <c r="S204" i="16"/>
  <c r="AI204" i="16"/>
  <c r="AJ204" i="16" s="1"/>
  <c r="AK204" i="16" s="1"/>
  <c r="T204" i="16"/>
  <c r="X204" i="16"/>
  <c r="M204" i="16"/>
  <c r="N204" i="16" s="1"/>
  <c r="L206" i="16" l="1"/>
  <c r="K207" i="16"/>
  <c r="U204" i="16"/>
  <c r="V204" i="16" s="1"/>
  <c r="AB204" i="16"/>
  <c r="AC204" i="16" s="1"/>
  <c r="AQ204" i="16"/>
  <c r="AR204" i="16" s="1"/>
  <c r="X205" i="16"/>
  <c r="M205" i="16"/>
  <c r="N205" i="16" s="1"/>
  <c r="AI205" i="16"/>
  <c r="AJ205" i="16" s="1"/>
  <c r="AK205" i="16" s="1"/>
  <c r="T205" i="16"/>
  <c r="U205" i="16" s="1"/>
  <c r="V205" i="16" s="1"/>
  <c r="S205" i="16"/>
  <c r="AP205" i="16"/>
  <c r="AA205" i="16"/>
  <c r="K208" i="16" l="1"/>
  <c r="L207" i="16"/>
  <c r="AQ205" i="16"/>
  <c r="AR205" i="16" s="1"/>
  <c r="AB205" i="16"/>
  <c r="AC205" i="16" s="1"/>
  <c r="AP206" i="16"/>
  <c r="AA206" i="16"/>
  <c r="S206" i="16"/>
  <c r="AI206" i="16"/>
  <c r="T206" i="16"/>
  <c r="U206" i="16" s="1"/>
  <c r="V206" i="16" s="1"/>
  <c r="X206" i="16"/>
  <c r="M206" i="16"/>
  <c r="N206" i="16" s="1"/>
  <c r="L208" i="16" l="1"/>
  <c r="K209" i="16"/>
  <c r="AJ206" i="16"/>
  <c r="AK206" i="16" s="1"/>
  <c r="AQ206" i="16"/>
  <c r="AR206" i="16" s="1"/>
  <c r="AB206" i="16"/>
  <c r="AC206" i="16" s="1"/>
  <c r="X207" i="16"/>
  <c r="M207" i="16"/>
  <c r="N207" i="16" s="1"/>
  <c r="AI207" i="16"/>
  <c r="T207" i="16"/>
  <c r="U207" i="16" s="1"/>
  <c r="V207" i="16" s="1"/>
  <c r="S207" i="16"/>
  <c r="AP207" i="16"/>
  <c r="AA207" i="16"/>
  <c r="K210" i="16" l="1"/>
  <c r="L209" i="16"/>
  <c r="AQ207" i="16"/>
  <c r="AR207" i="16" s="1"/>
  <c r="AJ207" i="16"/>
  <c r="AK207" i="16" s="1"/>
  <c r="AB207" i="16"/>
  <c r="AC207" i="16" s="1"/>
  <c r="AP208" i="16"/>
  <c r="AA208" i="16"/>
  <c r="S208" i="16"/>
  <c r="AI208" i="16"/>
  <c r="AJ208" i="16" s="1"/>
  <c r="AK208" i="16" s="1"/>
  <c r="T208" i="16"/>
  <c r="X208" i="16"/>
  <c r="M208" i="16"/>
  <c r="N208" i="16" s="1"/>
  <c r="K211" i="16" l="1"/>
  <c r="L210" i="16"/>
  <c r="U208" i="16"/>
  <c r="V208" i="16" s="1"/>
  <c r="AQ208" i="16"/>
  <c r="AR208" i="16" s="1"/>
  <c r="AB208" i="16"/>
  <c r="AC208" i="16" s="1"/>
  <c r="X209" i="16"/>
  <c r="M209" i="16"/>
  <c r="N209" i="16" s="1"/>
  <c r="AI209" i="16"/>
  <c r="AJ209" i="16" s="1"/>
  <c r="AK209" i="16" s="1"/>
  <c r="T209" i="16"/>
  <c r="U209" i="16" s="1"/>
  <c r="V209" i="16" s="1"/>
  <c r="S209" i="16"/>
  <c r="AP209" i="16"/>
  <c r="AQ209" i="16" s="1"/>
  <c r="AR209" i="16" s="1"/>
  <c r="AA209" i="16"/>
  <c r="K212" i="16" l="1"/>
  <c r="L211" i="16"/>
  <c r="AB209" i="16"/>
  <c r="AC209" i="16" s="1"/>
  <c r="AP210" i="16"/>
  <c r="AA210" i="16"/>
  <c r="S210" i="16"/>
  <c r="AI210" i="16"/>
  <c r="T210" i="16"/>
  <c r="X210" i="16"/>
  <c r="M210" i="16"/>
  <c r="N210" i="16" s="1"/>
  <c r="E85" i="8"/>
  <c r="Y85" i="8" s="1"/>
  <c r="L212" i="16" l="1"/>
  <c r="K213" i="16"/>
  <c r="AJ210" i="16"/>
  <c r="AK210" i="16" s="1"/>
  <c r="AQ210" i="16"/>
  <c r="AR210" i="16" s="1"/>
  <c r="U210" i="16"/>
  <c r="V210" i="16" s="1"/>
  <c r="AB210" i="16"/>
  <c r="AC210" i="16" s="1"/>
  <c r="X211" i="16"/>
  <c r="M211" i="16"/>
  <c r="N211" i="16" s="1"/>
  <c r="AI211" i="16"/>
  <c r="T211" i="16"/>
  <c r="S211" i="16"/>
  <c r="AP211" i="16"/>
  <c r="AA211" i="16"/>
  <c r="K214" i="16" l="1"/>
  <c r="L213" i="16"/>
  <c r="AQ211" i="16"/>
  <c r="AR211" i="16" s="1"/>
  <c r="AJ211" i="16"/>
  <c r="AK211" i="16" s="1"/>
  <c r="AB211" i="16"/>
  <c r="AC211" i="16" s="1"/>
  <c r="U211" i="16"/>
  <c r="V211" i="16" s="1"/>
  <c r="AP212" i="16"/>
  <c r="AQ212" i="16" s="1"/>
  <c r="AR212" i="16" s="1"/>
  <c r="AA212" i="16"/>
  <c r="S212" i="16"/>
  <c r="AI212" i="16"/>
  <c r="AJ212" i="16" s="1"/>
  <c r="AK212" i="16" s="1"/>
  <c r="T212" i="16"/>
  <c r="U212" i="16" s="1"/>
  <c r="V212" i="16" s="1"/>
  <c r="X212" i="16"/>
  <c r="M212" i="16"/>
  <c r="N212" i="16" s="1"/>
  <c r="L214" i="16" l="1"/>
  <c r="K215" i="16"/>
  <c r="AB212" i="16"/>
  <c r="AC212" i="16" s="1"/>
  <c r="X213" i="16"/>
  <c r="M213" i="16"/>
  <c r="AI213" i="16"/>
  <c r="AJ213" i="16" s="1"/>
  <c r="AK213" i="16" s="1"/>
  <c r="T213" i="16"/>
  <c r="U213" i="16" s="1"/>
  <c r="V213" i="16" s="1"/>
  <c r="S213" i="16"/>
  <c r="AP213" i="16"/>
  <c r="AQ213" i="16" s="1"/>
  <c r="AR213" i="16" s="1"/>
  <c r="AA213" i="16"/>
  <c r="AB213" i="16" s="1"/>
  <c r="AC213" i="16" s="1"/>
  <c r="N213" i="16"/>
  <c r="K216" i="16" l="1"/>
  <c r="L215" i="16"/>
  <c r="AP214" i="16"/>
  <c r="AA214" i="16"/>
  <c r="S214" i="16"/>
  <c r="AI214" i="16"/>
  <c r="T214" i="16"/>
  <c r="U214" i="16" s="1"/>
  <c r="V214" i="16" s="1"/>
  <c r="X214" i="16"/>
  <c r="M214" i="16"/>
  <c r="N214" i="16" s="1"/>
  <c r="L216" i="16" l="1"/>
  <c r="K217" i="16"/>
  <c r="AJ214" i="16"/>
  <c r="AK214" i="16" s="1"/>
  <c r="AQ214" i="16"/>
  <c r="AR214" i="16" s="1"/>
  <c r="AB214" i="16"/>
  <c r="AC214" i="16" s="1"/>
  <c r="X215" i="16"/>
  <c r="M215" i="16"/>
  <c r="AI215" i="16"/>
  <c r="AJ215" i="16" s="1"/>
  <c r="AK215" i="16" s="1"/>
  <c r="T215" i="16"/>
  <c r="U215" i="16" s="1"/>
  <c r="V215" i="16" s="1"/>
  <c r="S215" i="16"/>
  <c r="AP215" i="16"/>
  <c r="AQ215" i="16" s="1"/>
  <c r="AR215" i="16" s="1"/>
  <c r="AA215" i="16"/>
  <c r="AB215" i="16" s="1"/>
  <c r="AC215" i="16" s="1"/>
  <c r="N215" i="16"/>
  <c r="K218" i="16" l="1"/>
  <c r="L217" i="16"/>
  <c r="AP216" i="16"/>
  <c r="AQ216" i="16" s="1"/>
  <c r="AR216" i="16" s="1"/>
  <c r="AA216" i="16"/>
  <c r="S216" i="16"/>
  <c r="AI216" i="16"/>
  <c r="AJ216" i="16" s="1"/>
  <c r="AK216" i="16" s="1"/>
  <c r="T216" i="16"/>
  <c r="U216" i="16" s="1"/>
  <c r="V216" i="16" s="1"/>
  <c r="X216" i="16"/>
  <c r="M216" i="16"/>
  <c r="N216" i="16" s="1"/>
  <c r="L218" i="16" l="1"/>
  <c r="K219" i="16"/>
  <c r="AB216" i="16"/>
  <c r="AC216" i="16" s="1"/>
  <c r="X217" i="16"/>
  <c r="M217" i="16"/>
  <c r="AI217" i="16"/>
  <c r="AJ217" i="16" s="1"/>
  <c r="AK217" i="16" s="1"/>
  <c r="T217" i="16"/>
  <c r="U217" i="16" s="1"/>
  <c r="V217" i="16" s="1"/>
  <c r="S217" i="16"/>
  <c r="AP217" i="16"/>
  <c r="AQ217" i="16" s="1"/>
  <c r="AR217" i="16" s="1"/>
  <c r="AA217" i="16"/>
  <c r="AB217" i="16" s="1"/>
  <c r="AC217" i="16" s="1"/>
  <c r="N217" i="16"/>
  <c r="K220" i="16" l="1"/>
  <c r="L219" i="16"/>
  <c r="AP218" i="16"/>
  <c r="AQ218" i="16" s="1"/>
  <c r="AR218" i="16" s="1"/>
  <c r="AA218" i="16"/>
  <c r="S218" i="16"/>
  <c r="AI218" i="16"/>
  <c r="AJ218" i="16" s="1"/>
  <c r="AK218" i="16" s="1"/>
  <c r="T218" i="16"/>
  <c r="U218" i="16" s="1"/>
  <c r="V218" i="16" s="1"/>
  <c r="X218" i="16"/>
  <c r="M218" i="16"/>
  <c r="N218" i="16" s="1"/>
  <c r="K221" i="16" l="1"/>
  <c r="L220" i="16"/>
  <c r="AB218" i="16"/>
  <c r="AC218" i="16" s="1"/>
  <c r="X219" i="16"/>
  <c r="M219" i="16"/>
  <c r="AI219" i="16"/>
  <c r="AJ219" i="16" s="1"/>
  <c r="AK219" i="16" s="1"/>
  <c r="T219" i="16"/>
  <c r="U219" i="16" s="1"/>
  <c r="V219" i="16" s="1"/>
  <c r="S219" i="16"/>
  <c r="AP219" i="16"/>
  <c r="AQ219" i="16" s="1"/>
  <c r="AR219" i="16" s="1"/>
  <c r="AA219" i="16"/>
  <c r="AB219" i="16" s="1"/>
  <c r="AC219" i="16" s="1"/>
  <c r="N219" i="16"/>
  <c r="K222" i="16" l="1"/>
  <c r="L221" i="16"/>
  <c r="AP220" i="16"/>
  <c r="AQ220" i="16" s="1"/>
  <c r="AR220" i="16" s="1"/>
  <c r="AA220" i="16"/>
  <c r="S220" i="16"/>
  <c r="AI220" i="16"/>
  <c r="AJ220" i="16" s="1"/>
  <c r="AK220" i="16" s="1"/>
  <c r="T220" i="16"/>
  <c r="U220" i="16" s="1"/>
  <c r="V220" i="16" s="1"/>
  <c r="X220" i="16"/>
  <c r="M220" i="16"/>
  <c r="N220" i="16" s="1"/>
  <c r="L222" i="16" l="1"/>
  <c r="K223" i="16"/>
  <c r="AB220" i="16"/>
  <c r="AC220" i="16" s="1"/>
  <c r="X221" i="16"/>
  <c r="M221" i="16"/>
  <c r="AI221" i="16"/>
  <c r="AJ221" i="16" s="1"/>
  <c r="AK221" i="16" s="1"/>
  <c r="T221" i="16"/>
  <c r="U221" i="16" s="1"/>
  <c r="V221" i="16" s="1"/>
  <c r="S221" i="16"/>
  <c r="AP221" i="16"/>
  <c r="AQ221" i="16" s="1"/>
  <c r="AR221" i="16" s="1"/>
  <c r="AA221" i="16"/>
  <c r="AB221" i="16" s="1"/>
  <c r="AC221" i="16" s="1"/>
  <c r="N221" i="16"/>
  <c r="K224" i="16" l="1"/>
  <c r="L223" i="16"/>
  <c r="AP222" i="16"/>
  <c r="AQ222" i="16" s="1"/>
  <c r="AR222" i="16" s="1"/>
  <c r="AA222" i="16"/>
  <c r="AB222" i="16" s="1"/>
  <c r="AC222" i="16" s="1"/>
  <c r="S222" i="16"/>
  <c r="AI222" i="16"/>
  <c r="AJ222" i="16" s="1"/>
  <c r="AK222" i="16" s="1"/>
  <c r="T222" i="16"/>
  <c r="X222" i="16"/>
  <c r="M222" i="16"/>
  <c r="N222" i="16" s="1"/>
  <c r="L224" i="16" l="1"/>
  <c r="K225" i="16"/>
  <c r="U222" i="16"/>
  <c r="V222" i="16" s="1"/>
  <c r="X223" i="16"/>
  <c r="M223" i="16"/>
  <c r="AI223" i="16"/>
  <c r="AJ223" i="16" s="1"/>
  <c r="AK223" i="16" s="1"/>
  <c r="T223" i="16"/>
  <c r="U223" i="16" s="1"/>
  <c r="V223" i="16" s="1"/>
  <c r="S223" i="16"/>
  <c r="AP223" i="16"/>
  <c r="AQ223" i="16" s="1"/>
  <c r="AR223" i="16" s="1"/>
  <c r="AA223" i="16"/>
  <c r="AB223" i="16" s="1"/>
  <c r="AC223" i="16" s="1"/>
  <c r="N223" i="16"/>
  <c r="L225" i="16" l="1"/>
  <c r="K226" i="16"/>
  <c r="AP224" i="16"/>
  <c r="AQ224" i="16" s="1"/>
  <c r="AR224" i="16" s="1"/>
  <c r="AA224" i="16"/>
  <c r="S224" i="16"/>
  <c r="AI224" i="16"/>
  <c r="AJ224" i="16" s="1"/>
  <c r="AK224" i="16" s="1"/>
  <c r="T224" i="16"/>
  <c r="U224" i="16" s="1"/>
  <c r="V224" i="16" s="1"/>
  <c r="X224" i="16"/>
  <c r="M224" i="16"/>
  <c r="N224" i="16" s="1"/>
  <c r="L226" i="16" l="1"/>
  <c r="K227" i="16"/>
  <c r="AB224" i="16"/>
  <c r="AC224" i="16" s="1"/>
  <c r="X225" i="16"/>
  <c r="M225" i="16"/>
  <c r="AI225" i="16"/>
  <c r="AJ225" i="16" s="1"/>
  <c r="AK225" i="16" s="1"/>
  <c r="T225" i="16"/>
  <c r="U225" i="16" s="1"/>
  <c r="V225" i="16" s="1"/>
  <c r="S225" i="16"/>
  <c r="AP225" i="16"/>
  <c r="AQ225" i="16" s="1"/>
  <c r="AR225" i="16" s="1"/>
  <c r="AA225" i="16"/>
  <c r="AB225" i="16" s="1"/>
  <c r="AC225" i="16" s="1"/>
  <c r="N225" i="16"/>
  <c r="K228" i="16" l="1"/>
  <c r="L227" i="16"/>
  <c r="AP226" i="16"/>
  <c r="AQ226" i="16" s="1"/>
  <c r="AR226" i="16" s="1"/>
  <c r="AA226" i="16"/>
  <c r="S226" i="16"/>
  <c r="AI226" i="16"/>
  <c r="AJ226" i="16" s="1"/>
  <c r="AK226" i="16" s="1"/>
  <c r="T226" i="16"/>
  <c r="U226" i="16" s="1"/>
  <c r="V226" i="16" s="1"/>
  <c r="X226" i="16"/>
  <c r="M226" i="16"/>
  <c r="N226" i="16" s="1"/>
  <c r="K229" i="16" l="1"/>
  <c r="L228" i="16"/>
  <c r="AB226" i="16"/>
  <c r="AC226" i="16" s="1"/>
  <c r="X227" i="16"/>
  <c r="M227" i="16"/>
  <c r="AI227" i="16"/>
  <c r="AJ227" i="16" s="1"/>
  <c r="AK227" i="16" s="1"/>
  <c r="T227" i="16"/>
  <c r="U227" i="16" s="1"/>
  <c r="V227" i="16" s="1"/>
  <c r="S227" i="16"/>
  <c r="AP227" i="16"/>
  <c r="AQ227" i="16" s="1"/>
  <c r="AR227" i="16" s="1"/>
  <c r="AA227" i="16"/>
  <c r="AB227" i="16" s="1"/>
  <c r="AC227" i="16" s="1"/>
  <c r="N227" i="16"/>
  <c r="K230" i="16" l="1"/>
  <c r="L229" i="16"/>
  <c r="AP228" i="16"/>
  <c r="AA228" i="16"/>
  <c r="S228" i="16"/>
  <c r="AI228" i="16"/>
  <c r="AJ228" i="16" s="1"/>
  <c r="AK228" i="16" s="1"/>
  <c r="T228" i="16"/>
  <c r="U228" i="16" s="1"/>
  <c r="V228" i="16" s="1"/>
  <c r="X228" i="16"/>
  <c r="M228" i="16"/>
  <c r="N228" i="16" s="1"/>
  <c r="L230" i="16" l="1"/>
  <c r="K231" i="16"/>
  <c r="AB228" i="16"/>
  <c r="AC228" i="16" s="1"/>
  <c r="AQ228" i="16"/>
  <c r="AR228" i="16" s="1"/>
  <c r="X229" i="16"/>
  <c r="M229" i="16"/>
  <c r="AI229" i="16"/>
  <c r="AJ229" i="16" s="1"/>
  <c r="AK229" i="16" s="1"/>
  <c r="T229" i="16"/>
  <c r="U229" i="16" s="1"/>
  <c r="V229" i="16" s="1"/>
  <c r="S229" i="16"/>
  <c r="AP229" i="16"/>
  <c r="AQ229" i="16" s="1"/>
  <c r="AR229" i="16" s="1"/>
  <c r="AA229" i="16"/>
  <c r="AB229" i="16" s="1"/>
  <c r="AC229" i="16" s="1"/>
  <c r="N229" i="16"/>
  <c r="L231" i="16" l="1"/>
  <c r="K232" i="16"/>
  <c r="AP230" i="16"/>
  <c r="AA230" i="16"/>
  <c r="S230" i="16"/>
  <c r="AI230" i="16"/>
  <c r="T230" i="16"/>
  <c r="U230" i="16" s="1"/>
  <c r="V230" i="16" s="1"/>
  <c r="X230" i="16"/>
  <c r="M230" i="16"/>
  <c r="N230" i="16" s="1"/>
  <c r="K233" i="16" l="1"/>
  <c r="L232" i="16"/>
  <c r="AB230" i="16"/>
  <c r="AC230" i="16" s="1"/>
  <c r="AJ230" i="16"/>
  <c r="AK230" i="16" s="1"/>
  <c r="AQ230" i="16"/>
  <c r="AR230" i="16" s="1"/>
  <c r="X231" i="16"/>
  <c r="M231" i="16"/>
  <c r="AI231" i="16"/>
  <c r="AJ231" i="16" s="1"/>
  <c r="AK231" i="16" s="1"/>
  <c r="T231" i="16"/>
  <c r="U231" i="16" s="1"/>
  <c r="V231" i="16" s="1"/>
  <c r="S231" i="16"/>
  <c r="AP231" i="16"/>
  <c r="AQ231" i="16" s="1"/>
  <c r="AR231" i="16" s="1"/>
  <c r="AA231" i="16"/>
  <c r="AB231" i="16" s="1"/>
  <c r="AC231" i="16" s="1"/>
  <c r="N231" i="16"/>
  <c r="K234" i="16" l="1"/>
  <c r="L233" i="16"/>
  <c r="AP232" i="16"/>
  <c r="AQ232" i="16" s="1"/>
  <c r="AR232" i="16" s="1"/>
  <c r="AA232" i="16"/>
  <c r="AB232" i="16" s="1"/>
  <c r="AC232" i="16" s="1"/>
  <c r="S232" i="16"/>
  <c r="AI232" i="16"/>
  <c r="AJ232" i="16" s="1"/>
  <c r="AK232" i="16" s="1"/>
  <c r="T232" i="16"/>
  <c r="X232" i="16"/>
  <c r="M232" i="16"/>
  <c r="N232" i="16" s="1"/>
  <c r="L234" i="16" l="1"/>
  <c r="K235" i="16"/>
  <c r="U232" i="16"/>
  <c r="V232" i="16" s="1"/>
  <c r="X233" i="16"/>
  <c r="M233" i="16"/>
  <c r="AI233" i="16"/>
  <c r="AJ233" i="16" s="1"/>
  <c r="AK233" i="16" s="1"/>
  <c r="T233" i="16"/>
  <c r="U233" i="16" s="1"/>
  <c r="V233" i="16" s="1"/>
  <c r="S233" i="16"/>
  <c r="AP233" i="16"/>
  <c r="AQ233" i="16" s="1"/>
  <c r="AR233" i="16" s="1"/>
  <c r="AA233" i="16"/>
  <c r="AB233" i="16" s="1"/>
  <c r="AC233" i="16" s="1"/>
  <c r="N233" i="16"/>
  <c r="K236" i="16" l="1"/>
  <c r="L235" i="16"/>
  <c r="AP234" i="16"/>
  <c r="AQ234" i="16" s="1"/>
  <c r="AR234" i="16" s="1"/>
  <c r="AA234" i="16"/>
  <c r="S234" i="16"/>
  <c r="AI234" i="16"/>
  <c r="AJ234" i="16" s="1"/>
  <c r="AK234" i="16" s="1"/>
  <c r="T234" i="16"/>
  <c r="U234" i="16" s="1"/>
  <c r="V234" i="16" s="1"/>
  <c r="X234" i="16"/>
  <c r="M234" i="16"/>
  <c r="N234" i="16" s="1"/>
  <c r="L236" i="16" l="1"/>
  <c r="K237" i="16"/>
  <c r="AB234" i="16"/>
  <c r="AC234" i="16" s="1"/>
  <c r="X235" i="16"/>
  <c r="M235" i="16"/>
  <c r="AI235" i="16"/>
  <c r="AJ235" i="16" s="1"/>
  <c r="AK235" i="16" s="1"/>
  <c r="T235" i="16"/>
  <c r="U235" i="16" s="1"/>
  <c r="V235" i="16" s="1"/>
  <c r="S235" i="16"/>
  <c r="AP235" i="16"/>
  <c r="AQ235" i="16" s="1"/>
  <c r="AR235" i="16" s="1"/>
  <c r="AA235" i="16"/>
  <c r="AB235" i="16" s="1"/>
  <c r="AC235" i="16" s="1"/>
  <c r="N235" i="16"/>
  <c r="K238" i="16" l="1"/>
  <c r="L237" i="16"/>
  <c r="AP236" i="16"/>
  <c r="AQ236" i="16" s="1"/>
  <c r="AR236" i="16" s="1"/>
  <c r="AA236" i="16"/>
  <c r="S236" i="16"/>
  <c r="AI236" i="16"/>
  <c r="AJ236" i="16" s="1"/>
  <c r="AK236" i="16" s="1"/>
  <c r="T236" i="16"/>
  <c r="U236" i="16" s="1"/>
  <c r="V236" i="16" s="1"/>
  <c r="X236" i="16"/>
  <c r="M236" i="16"/>
  <c r="N236" i="16" s="1"/>
  <c r="K239" i="16" l="1"/>
  <c r="L238" i="16"/>
  <c r="AB236" i="16"/>
  <c r="AC236" i="16" s="1"/>
  <c r="X237" i="16"/>
  <c r="M237" i="16"/>
  <c r="AI237" i="16"/>
  <c r="AJ237" i="16" s="1"/>
  <c r="AK237" i="16" s="1"/>
  <c r="T237" i="16"/>
  <c r="U237" i="16" s="1"/>
  <c r="V237" i="16" s="1"/>
  <c r="S237" i="16"/>
  <c r="AP237" i="16"/>
  <c r="AQ237" i="16" s="1"/>
  <c r="AR237" i="16" s="1"/>
  <c r="AA237" i="16"/>
  <c r="AB237" i="16" s="1"/>
  <c r="AC237" i="16" s="1"/>
  <c r="N237" i="16"/>
  <c r="K240" i="16" l="1"/>
  <c r="L239" i="16"/>
  <c r="AP238" i="16"/>
  <c r="AQ238" i="16" s="1"/>
  <c r="AR238" i="16" s="1"/>
  <c r="AA238" i="16"/>
  <c r="AB238" i="16" s="1"/>
  <c r="AC238" i="16" s="1"/>
  <c r="S238" i="16"/>
  <c r="AI238" i="16"/>
  <c r="AJ238" i="16" s="1"/>
  <c r="AK238" i="16" s="1"/>
  <c r="T238" i="16"/>
  <c r="X238" i="16"/>
  <c r="M238" i="16"/>
  <c r="N238" i="16" s="1"/>
  <c r="K241" i="16" l="1"/>
  <c r="L240" i="16"/>
  <c r="U238" i="16"/>
  <c r="V238" i="16" s="1"/>
  <c r="X239" i="16"/>
  <c r="M239" i="16"/>
  <c r="AI239" i="16"/>
  <c r="AJ239" i="16" s="1"/>
  <c r="AK239" i="16" s="1"/>
  <c r="T239" i="16"/>
  <c r="U239" i="16" s="1"/>
  <c r="V239" i="16" s="1"/>
  <c r="S239" i="16"/>
  <c r="AP239" i="16"/>
  <c r="AQ239" i="16" s="1"/>
  <c r="AR239" i="16" s="1"/>
  <c r="AA239" i="16"/>
  <c r="AB239" i="16" s="1"/>
  <c r="AC239" i="16" s="1"/>
  <c r="N239" i="16"/>
  <c r="K242" i="16" l="1"/>
  <c r="L241" i="16"/>
  <c r="AP240" i="16"/>
  <c r="AQ240" i="16" s="1"/>
  <c r="AR240" i="16" s="1"/>
  <c r="AA240" i="16"/>
  <c r="AB240" i="16" s="1"/>
  <c r="AC240" i="16" s="1"/>
  <c r="S240" i="16"/>
  <c r="AI240" i="16"/>
  <c r="AJ240" i="16" s="1"/>
  <c r="AK240" i="16" s="1"/>
  <c r="T240" i="16"/>
  <c r="X240" i="16"/>
  <c r="M240" i="16"/>
  <c r="N240" i="16" s="1"/>
  <c r="L242" i="16" l="1"/>
  <c r="K243" i="16"/>
  <c r="U240" i="16"/>
  <c r="V240" i="16" s="1"/>
  <c r="X241" i="16"/>
  <c r="M241" i="16"/>
  <c r="AI241" i="16"/>
  <c r="AJ241" i="16" s="1"/>
  <c r="AK241" i="16" s="1"/>
  <c r="T241" i="16"/>
  <c r="U241" i="16" s="1"/>
  <c r="V241" i="16" s="1"/>
  <c r="S241" i="16"/>
  <c r="AP241" i="16"/>
  <c r="AQ241" i="16" s="1"/>
  <c r="AR241" i="16" s="1"/>
  <c r="AA241" i="16"/>
  <c r="AB241" i="16" s="1"/>
  <c r="AC241" i="16" s="1"/>
  <c r="N241" i="16"/>
  <c r="K244" i="16" l="1"/>
  <c r="L243" i="16"/>
  <c r="AP242" i="16"/>
  <c r="AQ242" i="16" s="1"/>
  <c r="AR242" i="16" s="1"/>
  <c r="AA242" i="16"/>
  <c r="AB242" i="16" s="1"/>
  <c r="AC242" i="16" s="1"/>
  <c r="S242" i="16"/>
  <c r="AI242" i="16"/>
  <c r="AJ242" i="16" s="1"/>
  <c r="AK242" i="16" s="1"/>
  <c r="T242" i="16"/>
  <c r="U242" i="16" s="1"/>
  <c r="V242" i="16" s="1"/>
  <c r="X242" i="16"/>
  <c r="M242" i="16"/>
  <c r="N242" i="16" s="1"/>
  <c r="K245" i="16" l="1"/>
  <c r="L244" i="16"/>
  <c r="X243" i="16"/>
  <c r="M243" i="16"/>
  <c r="AI243" i="16"/>
  <c r="AJ243" i="16" s="1"/>
  <c r="AK243" i="16" s="1"/>
  <c r="T243" i="16"/>
  <c r="U243" i="16" s="1"/>
  <c r="V243" i="16" s="1"/>
  <c r="S243" i="16"/>
  <c r="AP243" i="16"/>
  <c r="AQ243" i="16" s="1"/>
  <c r="AR243" i="16" s="1"/>
  <c r="AA243" i="16"/>
  <c r="AB243" i="16" s="1"/>
  <c r="AC243" i="16" s="1"/>
  <c r="N243" i="16"/>
  <c r="K246" i="16" l="1"/>
  <c r="L245" i="16"/>
  <c r="AP244" i="16"/>
  <c r="AQ244" i="16" s="1"/>
  <c r="AR244" i="16" s="1"/>
  <c r="AA244" i="16"/>
  <c r="S244" i="16"/>
  <c r="AI244" i="16"/>
  <c r="AJ244" i="16" s="1"/>
  <c r="AK244" i="16" s="1"/>
  <c r="T244" i="16"/>
  <c r="U244" i="16" s="1"/>
  <c r="V244" i="16" s="1"/>
  <c r="X244" i="16"/>
  <c r="M244" i="16"/>
  <c r="N244" i="16" s="1"/>
  <c r="K247" i="16" l="1"/>
  <c r="L246" i="16"/>
  <c r="AB244" i="16"/>
  <c r="AC244" i="16" s="1"/>
  <c r="X245" i="16"/>
  <c r="M245" i="16"/>
  <c r="AI245" i="16"/>
  <c r="AJ245" i="16" s="1"/>
  <c r="AK245" i="16" s="1"/>
  <c r="T245" i="16"/>
  <c r="U245" i="16" s="1"/>
  <c r="V245" i="16" s="1"/>
  <c r="S245" i="16"/>
  <c r="AP245" i="16"/>
  <c r="AQ245" i="16" s="1"/>
  <c r="AR245" i="16" s="1"/>
  <c r="AA245" i="16"/>
  <c r="AB245" i="16" s="1"/>
  <c r="AC245" i="16" s="1"/>
  <c r="N245" i="16"/>
  <c r="K248" i="16" l="1"/>
  <c r="L247" i="16"/>
  <c r="AP246" i="16"/>
  <c r="AQ246" i="16" s="1"/>
  <c r="AR246" i="16" s="1"/>
  <c r="AA246" i="16"/>
  <c r="AB246" i="16" s="1"/>
  <c r="AC246" i="16" s="1"/>
  <c r="N246" i="16"/>
  <c r="S246" i="16"/>
  <c r="AI246" i="16"/>
  <c r="AJ246" i="16" s="1"/>
  <c r="AK246" i="16" s="1"/>
  <c r="T246" i="16"/>
  <c r="U246" i="16" s="1"/>
  <c r="V246" i="16" s="1"/>
  <c r="X246" i="16"/>
  <c r="M246" i="16"/>
  <c r="L248" i="16" l="1"/>
  <c r="K249" i="16"/>
  <c r="X247" i="16"/>
  <c r="M247" i="16"/>
  <c r="AI247" i="16"/>
  <c r="AJ247" i="16" s="1"/>
  <c r="AK247" i="16" s="1"/>
  <c r="T247" i="16"/>
  <c r="U247" i="16" s="1"/>
  <c r="V247" i="16" s="1"/>
  <c r="S247" i="16"/>
  <c r="AP247" i="16"/>
  <c r="AQ247" i="16" s="1"/>
  <c r="AR247" i="16" s="1"/>
  <c r="AA247" i="16"/>
  <c r="AB247" i="16" s="1"/>
  <c r="AC247" i="16" s="1"/>
  <c r="N247" i="16"/>
  <c r="K250" i="16" l="1"/>
  <c r="L249" i="16"/>
  <c r="X248" i="16"/>
  <c r="M248" i="16"/>
  <c r="AA248" i="16"/>
  <c r="AB248" i="16" s="1"/>
  <c r="AC248" i="16" s="1"/>
  <c r="AP248" i="16"/>
  <c r="AQ248" i="16" s="1"/>
  <c r="AR248" i="16" s="1"/>
  <c r="S248" i="16"/>
  <c r="AI248" i="16"/>
  <c r="AJ248" i="16" s="1"/>
  <c r="AK248" i="16" s="1"/>
  <c r="N248" i="16"/>
  <c r="T248" i="16"/>
  <c r="U248" i="16" s="1"/>
  <c r="V248" i="16" s="1"/>
  <c r="L250" i="16" l="1"/>
  <c r="K251" i="16"/>
  <c r="AP249" i="16"/>
  <c r="AQ249" i="16" s="1"/>
  <c r="AR249" i="16" s="1"/>
  <c r="AA249" i="16"/>
  <c r="AB249" i="16" s="1"/>
  <c r="AC249" i="16" s="1"/>
  <c r="N249" i="16"/>
  <c r="S249" i="16"/>
  <c r="AI249" i="16"/>
  <c r="AJ249" i="16" s="1"/>
  <c r="AK249" i="16" s="1"/>
  <c r="T249" i="16"/>
  <c r="U249" i="16" s="1"/>
  <c r="V249" i="16" s="1"/>
  <c r="X249" i="16"/>
  <c r="M249" i="16"/>
  <c r="K252" i="16" l="1"/>
  <c r="L251" i="16"/>
  <c r="X250" i="16"/>
  <c r="M250" i="16"/>
  <c r="AI250" i="16"/>
  <c r="AJ250" i="16" s="1"/>
  <c r="AK250" i="16" s="1"/>
  <c r="T250" i="16"/>
  <c r="U250" i="16" s="1"/>
  <c r="V250" i="16" s="1"/>
  <c r="S250" i="16"/>
  <c r="AP250" i="16"/>
  <c r="AQ250" i="16" s="1"/>
  <c r="AR250" i="16" s="1"/>
  <c r="AA250" i="16"/>
  <c r="AB250" i="16" s="1"/>
  <c r="AC250" i="16" s="1"/>
  <c r="N250" i="16"/>
  <c r="K253" i="16" l="1"/>
  <c r="L252" i="16"/>
  <c r="AP251" i="16"/>
  <c r="AQ251" i="16" s="1"/>
  <c r="AR251" i="16" s="1"/>
  <c r="AA251" i="16"/>
  <c r="AB251" i="16" s="1"/>
  <c r="AC251" i="16" s="1"/>
  <c r="N251" i="16"/>
  <c r="S251" i="16"/>
  <c r="AI251" i="16"/>
  <c r="AJ251" i="16" s="1"/>
  <c r="AK251" i="16" s="1"/>
  <c r="T251" i="16"/>
  <c r="U251" i="16" s="1"/>
  <c r="V251" i="16" s="1"/>
  <c r="X251" i="16"/>
  <c r="M251" i="16"/>
  <c r="K254" i="16" l="1"/>
  <c r="L253" i="16"/>
  <c r="X252" i="16"/>
  <c r="M252" i="16"/>
  <c r="AI252" i="16"/>
  <c r="AJ252" i="16" s="1"/>
  <c r="AK252" i="16" s="1"/>
  <c r="T252" i="16"/>
  <c r="U252" i="16" s="1"/>
  <c r="V252" i="16" s="1"/>
  <c r="S252" i="16"/>
  <c r="AP252" i="16"/>
  <c r="AQ252" i="16" s="1"/>
  <c r="AR252" i="16" s="1"/>
  <c r="AA252" i="16"/>
  <c r="AB252" i="16" s="1"/>
  <c r="AC252" i="16" s="1"/>
  <c r="N252" i="16"/>
  <c r="L254" i="16" l="1"/>
  <c r="K255" i="16"/>
  <c r="AP253" i="16"/>
  <c r="AQ253" i="16" s="1"/>
  <c r="AR253" i="16" s="1"/>
  <c r="AA253" i="16"/>
  <c r="AB253" i="16" s="1"/>
  <c r="AC253" i="16" s="1"/>
  <c r="N253" i="16"/>
  <c r="S253" i="16"/>
  <c r="AI253" i="16"/>
  <c r="AJ253" i="16" s="1"/>
  <c r="AK253" i="16" s="1"/>
  <c r="T253" i="16"/>
  <c r="U253" i="16" s="1"/>
  <c r="V253" i="16" s="1"/>
  <c r="X253" i="16"/>
  <c r="M253" i="16"/>
  <c r="K256" i="16" l="1"/>
  <c r="L255" i="16"/>
  <c r="X254" i="16"/>
  <c r="M254" i="16"/>
  <c r="AI254" i="16"/>
  <c r="AJ254" i="16" s="1"/>
  <c r="AK254" i="16" s="1"/>
  <c r="T254" i="16"/>
  <c r="U254" i="16" s="1"/>
  <c r="V254" i="16" s="1"/>
  <c r="S254" i="16"/>
  <c r="AP254" i="16"/>
  <c r="AQ254" i="16" s="1"/>
  <c r="AR254" i="16" s="1"/>
  <c r="AA254" i="16"/>
  <c r="AB254" i="16" s="1"/>
  <c r="AC254" i="16" s="1"/>
  <c r="N254" i="16"/>
  <c r="L256" i="16" l="1"/>
  <c r="K257" i="16"/>
  <c r="AP255" i="16"/>
  <c r="AQ255" i="16" s="1"/>
  <c r="AR255" i="16" s="1"/>
  <c r="AA255" i="16"/>
  <c r="AB255" i="16" s="1"/>
  <c r="AC255" i="16" s="1"/>
  <c r="N255" i="16"/>
  <c r="S255" i="16"/>
  <c r="AI255" i="16"/>
  <c r="AJ255" i="16" s="1"/>
  <c r="AK255" i="16" s="1"/>
  <c r="T255" i="16"/>
  <c r="U255" i="16" s="1"/>
  <c r="V255" i="16" s="1"/>
  <c r="X255" i="16"/>
  <c r="M255" i="16"/>
  <c r="K258" i="16" l="1"/>
  <c r="L257" i="16"/>
  <c r="X256" i="16"/>
  <c r="M256" i="16"/>
  <c r="AI256" i="16"/>
  <c r="AJ256" i="16" s="1"/>
  <c r="AK256" i="16" s="1"/>
  <c r="T256" i="16"/>
  <c r="U256" i="16" s="1"/>
  <c r="V256" i="16" s="1"/>
  <c r="S256" i="16"/>
  <c r="AP256" i="16"/>
  <c r="AQ256" i="16" s="1"/>
  <c r="AR256" i="16" s="1"/>
  <c r="AA256" i="16"/>
  <c r="AB256" i="16" s="1"/>
  <c r="AC256" i="16" s="1"/>
  <c r="N256" i="16"/>
  <c r="L258" i="16" l="1"/>
  <c r="K259" i="16"/>
  <c r="AP257" i="16"/>
  <c r="AQ257" i="16" s="1"/>
  <c r="AR257" i="16" s="1"/>
  <c r="AA257" i="16"/>
  <c r="AB257" i="16" s="1"/>
  <c r="AC257" i="16" s="1"/>
  <c r="N257" i="16"/>
  <c r="S257" i="16"/>
  <c r="AI257" i="16"/>
  <c r="AJ257" i="16" s="1"/>
  <c r="AK257" i="16" s="1"/>
  <c r="T257" i="16"/>
  <c r="U257" i="16" s="1"/>
  <c r="V257" i="16" s="1"/>
  <c r="X257" i="16"/>
  <c r="M257" i="16"/>
  <c r="K260" i="16" l="1"/>
  <c r="L259" i="16"/>
  <c r="X258" i="16"/>
  <c r="M258" i="16"/>
  <c r="AI258" i="16"/>
  <c r="AJ258" i="16" s="1"/>
  <c r="AK258" i="16" s="1"/>
  <c r="T258" i="16"/>
  <c r="U258" i="16" s="1"/>
  <c r="V258" i="16" s="1"/>
  <c r="S258" i="16"/>
  <c r="AP258" i="16"/>
  <c r="AQ258" i="16" s="1"/>
  <c r="AR258" i="16" s="1"/>
  <c r="AA258" i="16"/>
  <c r="AB258" i="16" s="1"/>
  <c r="AC258" i="16" s="1"/>
  <c r="N258" i="16"/>
  <c r="L260" i="16" l="1"/>
  <c r="K261" i="16"/>
  <c r="AP259" i="16"/>
  <c r="AQ259" i="16" s="1"/>
  <c r="AR259" i="16" s="1"/>
  <c r="AA259" i="16"/>
  <c r="AB259" i="16" s="1"/>
  <c r="AC259" i="16" s="1"/>
  <c r="N259" i="16"/>
  <c r="S259" i="16"/>
  <c r="AI259" i="16"/>
  <c r="AJ259" i="16" s="1"/>
  <c r="AK259" i="16" s="1"/>
  <c r="T259" i="16"/>
  <c r="U259" i="16" s="1"/>
  <c r="V259" i="16" s="1"/>
  <c r="X259" i="16"/>
  <c r="M259" i="16"/>
  <c r="K262" i="16" l="1"/>
  <c r="L261" i="16"/>
  <c r="X260" i="16"/>
  <c r="M260" i="16"/>
  <c r="AI260" i="16"/>
  <c r="AJ260" i="16" s="1"/>
  <c r="AK260" i="16" s="1"/>
  <c r="T260" i="16"/>
  <c r="U260" i="16" s="1"/>
  <c r="V260" i="16" s="1"/>
  <c r="S260" i="16"/>
  <c r="AP260" i="16"/>
  <c r="AQ260" i="16" s="1"/>
  <c r="AR260" i="16" s="1"/>
  <c r="AA260" i="16"/>
  <c r="AB260" i="16" s="1"/>
  <c r="AC260" i="16" s="1"/>
  <c r="N260" i="16"/>
  <c r="K263" i="16" l="1"/>
  <c r="L262" i="16"/>
  <c r="AP261" i="16"/>
  <c r="AQ261" i="16" s="1"/>
  <c r="AR261" i="16" s="1"/>
  <c r="AA261" i="16"/>
  <c r="AB261" i="16" s="1"/>
  <c r="AC261" i="16" s="1"/>
  <c r="N261" i="16"/>
  <c r="S261" i="16"/>
  <c r="AI261" i="16"/>
  <c r="AJ261" i="16" s="1"/>
  <c r="AK261" i="16" s="1"/>
  <c r="T261" i="16"/>
  <c r="U261" i="16" s="1"/>
  <c r="V261" i="16" s="1"/>
  <c r="X261" i="16"/>
  <c r="M261" i="16"/>
  <c r="K264" i="16" l="1"/>
  <c r="L263" i="16"/>
  <c r="X262" i="16"/>
  <c r="M262" i="16"/>
  <c r="AI262" i="16"/>
  <c r="AJ262" i="16" s="1"/>
  <c r="AK262" i="16" s="1"/>
  <c r="T262" i="16"/>
  <c r="U262" i="16" s="1"/>
  <c r="V262" i="16" s="1"/>
  <c r="S262" i="16"/>
  <c r="AP262" i="16"/>
  <c r="AQ262" i="16" s="1"/>
  <c r="AR262" i="16" s="1"/>
  <c r="AA262" i="16"/>
  <c r="AB262" i="16" s="1"/>
  <c r="AC262" i="16" s="1"/>
  <c r="N262" i="16"/>
  <c r="L264" i="16" l="1"/>
  <c r="K265" i="16"/>
  <c r="AP263" i="16"/>
  <c r="AQ263" i="16" s="1"/>
  <c r="AR263" i="16" s="1"/>
  <c r="AA263" i="16"/>
  <c r="AB263" i="16" s="1"/>
  <c r="AC263" i="16" s="1"/>
  <c r="N263" i="16"/>
  <c r="S263" i="16"/>
  <c r="AI263" i="16"/>
  <c r="AJ263" i="16" s="1"/>
  <c r="AK263" i="16" s="1"/>
  <c r="T263" i="16"/>
  <c r="U263" i="16" s="1"/>
  <c r="V263" i="16" s="1"/>
  <c r="X263" i="16"/>
  <c r="M263" i="16"/>
  <c r="K266" i="16" l="1"/>
  <c r="L265" i="16"/>
  <c r="X264" i="16"/>
  <c r="M264" i="16"/>
  <c r="AI264" i="16"/>
  <c r="AJ264" i="16" s="1"/>
  <c r="AK264" i="16" s="1"/>
  <c r="T264" i="16"/>
  <c r="U264" i="16" s="1"/>
  <c r="V264" i="16" s="1"/>
  <c r="S264" i="16"/>
  <c r="AP264" i="16"/>
  <c r="AQ264" i="16" s="1"/>
  <c r="AR264" i="16" s="1"/>
  <c r="AA264" i="16"/>
  <c r="AB264" i="16" s="1"/>
  <c r="AC264" i="16" s="1"/>
  <c r="N264" i="16"/>
  <c r="L266" i="16" l="1"/>
  <c r="K267" i="16"/>
  <c r="AP265" i="16"/>
  <c r="AQ265" i="16" s="1"/>
  <c r="AR265" i="16" s="1"/>
  <c r="AA265" i="16"/>
  <c r="AB265" i="16" s="1"/>
  <c r="AC265" i="16" s="1"/>
  <c r="N265" i="16"/>
  <c r="S265" i="16"/>
  <c r="AI265" i="16"/>
  <c r="AJ265" i="16" s="1"/>
  <c r="AK265" i="16" s="1"/>
  <c r="T265" i="16"/>
  <c r="U265" i="16" s="1"/>
  <c r="V265" i="16" s="1"/>
  <c r="X265" i="16"/>
  <c r="M265" i="16"/>
  <c r="K268" i="16" l="1"/>
  <c r="L267" i="16"/>
  <c r="X266" i="16"/>
  <c r="M266" i="16"/>
  <c r="AI266" i="16"/>
  <c r="AJ266" i="16" s="1"/>
  <c r="AK266" i="16" s="1"/>
  <c r="T266" i="16"/>
  <c r="U266" i="16" s="1"/>
  <c r="V266" i="16" s="1"/>
  <c r="S266" i="16"/>
  <c r="AP266" i="16"/>
  <c r="AQ266" i="16" s="1"/>
  <c r="AR266" i="16" s="1"/>
  <c r="AA266" i="16"/>
  <c r="AB266" i="16" s="1"/>
  <c r="AC266" i="16" s="1"/>
  <c r="N266" i="16"/>
  <c r="K269" i="16" l="1"/>
  <c r="L268" i="16"/>
  <c r="AP267" i="16"/>
  <c r="AQ267" i="16" s="1"/>
  <c r="AR267" i="16" s="1"/>
  <c r="AA267" i="16"/>
  <c r="AB267" i="16" s="1"/>
  <c r="AC267" i="16" s="1"/>
  <c r="N267" i="16"/>
  <c r="S267" i="16"/>
  <c r="AI267" i="16"/>
  <c r="AJ267" i="16" s="1"/>
  <c r="AK267" i="16" s="1"/>
  <c r="T267" i="16"/>
  <c r="U267" i="16" s="1"/>
  <c r="V267" i="16" s="1"/>
  <c r="X267" i="16"/>
  <c r="M267" i="16"/>
  <c r="K270" i="16" l="1"/>
  <c r="L269" i="16"/>
  <c r="X268" i="16"/>
  <c r="M268" i="16"/>
  <c r="AI268" i="16"/>
  <c r="AJ268" i="16" s="1"/>
  <c r="AK268" i="16" s="1"/>
  <c r="T268" i="16"/>
  <c r="U268" i="16" s="1"/>
  <c r="V268" i="16" s="1"/>
  <c r="S268" i="16"/>
  <c r="AP268" i="16"/>
  <c r="AQ268" i="16" s="1"/>
  <c r="AR268" i="16" s="1"/>
  <c r="AA268" i="16"/>
  <c r="AB268" i="16" s="1"/>
  <c r="AC268" i="16" s="1"/>
  <c r="N268" i="16"/>
  <c r="K271" i="16" l="1"/>
  <c r="L270" i="16"/>
  <c r="AP269" i="16"/>
  <c r="AQ269" i="16" s="1"/>
  <c r="AR269" i="16" s="1"/>
  <c r="AA269" i="16"/>
  <c r="AB269" i="16" s="1"/>
  <c r="AC269" i="16" s="1"/>
  <c r="N269" i="16"/>
  <c r="S269" i="16"/>
  <c r="AI269" i="16"/>
  <c r="AJ269" i="16" s="1"/>
  <c r="AK269" i="16" s="1"/>
  <c r="T269" i="16"/>
  <c r="U269" i="16" s="1"/>
  <c r="V269" i="16" s="1"/>
  <c r="X269" i="16"/>
  <c r="M269" i="16"/>
  <c r="K272" i="16" l="1"/>
  <c r="L271" i="16"/>
  <c r="X270" i="16"/>
  <c r="M270" i="16"/>
  <c r="AI270" i="16"/>
  <c r="AJ270" i="16" s="1"/>
  <c r="AK270" i="16" s="1"/>
  <c r="T270" i="16"/>
  <c r="U270" i="16" s="1"/>
  <c r="V270" i="16" s="1"/>
  <c r="S270" i="16"/>
  <c r="AP270" i="16"/>
  <c r="AQ270" i="16" s="1"/>
  <c r="AR270" i="16" s="1"/>
  <c r="AA270" i="16"/>
  <c r="AB270" i="16" s="1"/>
  <c r="AC270" i="16" s="1"/>
  <c r="N270" i="16"/>
  <c r="L272" i="16" l="1"/>
  <c r="K273" i="16"/>
  <c r="AP271" i="16"/>
  <c r="AQ271" i="16" s="1"/>
  <c r="AR271" i="16" s="1"/>
  <c r="AA271" i="16"/>
  <c r="AB271" i="16" s="1"/>
  <c r="AC271" i="16" s="1"/>
  <c r="N271" i="16"/>
  <c r="S271" i="16"/>
  <c r="AI271" i="16"/>
  <c r="AJ271" i="16" s="1"/>
  <c r="AK271" i="16" s="1"/>
  <c r="T271" i="16"/>
  <c r="U271" i="16" s="1"/>
  <c r="V271" i="16" s="1"/>
  <c r="X271" i="16"/>
  <c r="M271" i="16"/>
  <c r="K274" i="16" l="1"/>
  <c r="L273" i="16"/>
  <c r="X272" i="16"/>
  <c r="M272" i="16"/>
  <c r="AI272" i="16"/>
  <c r="AJ272" i="16" s="1"/>
  <c r="AK272" i="16" s="1"/>
  <c r="T272" i="16"/>
  <c r="U272" i="16" s="1"/>
  <c r="V272" i="16" s="1"/>
  <c r="S272" i="16"/>
  <c r="AP272" i="16"/>
  <c r="AQ272" i="16" s="1"/>
  <c r="AR272" i="16" s="1"/>
  <c r="AA272" i="16"/>
  <c r="AB272" i="16" s="1"/>
  <c r="AC272" i="16" s="1"/>
  <c r="N272" i="16"/>
  <c r="L274" i="16" l="1"/>
  <c r="K275" i="16"/>
  <c r="AP273" i="16"/>
  <c r="AQ273" i="16" s="1"/>
  <c r="AR273" i="16" s="1"/>
  <c r="AA273" i="16"/>
  <c r="AB273" i="16" s="1"/>
  <c r="AC273" i="16" s="1"/>
  <c r="N273" i="16"/>
  <c r="S273" i="16"/>
  <c r="AI273" i="16"/>
  <c r="AJ273" i="16" s="1"/>
  <c r="AK273" i="16" s="1"/>
  <c r="T273" i="16"/>
  <c r="U273" i="16" s="1"/>
  <c r="V273" i="16" s="1"/>
  <c r="X273" i="16"/>
  <c r="M273" i="16"/>
  <c r="K276" i="16" l="1"/>
  <c r="L275" i="16"/>
  <c r="X274" i="16"/>
  <c r="M274" i="16"/>
  <c r="AI274" i="16"/>
  <c r="AJ274" i="16" s="1"/>
  <c r="AK274" i="16" s="1"/>
  <c r="T274" i="16"/>
  <c r="U274" i="16" s="1"/>
  <c r="V274" i="16" s="1"/>
  <c r="S274" i="16"/>
  <c r="AP274" i="16"/>
  <c r="AQ274" i="16" s="1"/>
  <c r="AR274" i="16" s="1"/>
  <c r="AA274" i="16"/>
  <c r="AB274" i="16" s="1"/>
  <c r="AC274" i="16" s="1"/>
  <c r="N274" i="16"/>
  <c r="K277" i="16" l="1"/>
  <c r="L276" i="16"/>
  <c r="AP275" i="16"/>
  <c r="AQ275" i="16" s="1"/>
  <c r="AR275" i="16" s="1"/>
  <c r="AA275" i="16"/>
  <c r="AB275" i="16" s="1"/>
  <c r="AC275" i="16" s="1"/>
  <c r="N275" i="16"/>
  <c r="S275" i="16"/>
  <c r="AI275" i="16"/>
  <c r="AJ275" i="16" s="1"/>
  <c r="AK275" i="16" s="1"/>
  <c r="T275" i="16"/>
  <c r="U275" i="16" s="1"/>
  <c r="V275" i="16" s="1"/>
  <c r="X275" i="16"/>
  <c r="M275" i="16"/>
  <c r="K278" i="16" l="1"/>
  <c r="L277" i="16"/>
  <c r="X276" i="16"/>
  <c r="M276" i="16"/>
  <c r="AI276" i="16"/>
  <c r="AJ276" i="16" s="1"/>
  <c r="AK276" i="16" s="1"/>
  <c r="T276" i="16"/>
  <c r="U276" i="16" s="1"/>
  <c r="V276" i="16" s="1"/>
  <c r="S276" i="16"/>
  <c r="AP276" i="16"/>
  <c r="AQ276" i="16" s="1"/>
  <c r="AR276" i="16" s="1"/>
  <c r="AA276" i="16"/>
  <c r="AB276" i="16" s="1"/>
  <c r="AC276" i="16" s="1"/>
  <c r="N276" i="16"/>
  <c r="L278" i="16" l="1"/>
  <c r="K279" i="16"/>
  <c r="AP277" i="16"/>
  <c r="AQ277" i="16" s="1"/>
  <c r="AR277" i="16" s="1"/>
  <c r="AA277" i="16"/>
  <c r="AB277" i="16" s="1"/>
  <c r="AC277" i="16" s="1"/>
  <c r="N277" i="16"/>
  <c r="S277" i="16"/>
  <c r="AI277" i="16"/>
  <c r="AJ277" i="16" s="1"/>
  <c r="AK277" i="16" s="1"/>
  <c r="T277" i="16"/>
  <c r="U277" i="16" s="1"/>
  <c r="V277" i="16" s="1"/>
  <c r="X277" i="16"/>
  <c r="M277" i="16"/>
  <c r="K280" i="16" l="1"/>
  <c r="L279" i="16"/>
  <c r="X278" i="16"/>
  <c r="M278" i="16"/>
  <c r="AI278" i="16"/>
  <c r="AJ278" i="16" s="1"/>
  <c r="AK278" i="16" s="1"/>
  <c r="T278" i="16"/>
  <c r="U278" i="16" s="1"/>
  <c r="V278" i="16" s="1"/>
  <c r="S278" i="16"/>
  <c r="AP278" i="16"/>
  <c r="AQ278" i="16" s="1"/>
  <c r="AR278" i="16" s="1"/>
  <c r="AA278" i="16"/>
  <c r="AB278" i="16" s="1"/>
  <c r="AC278" i="16" s="1"/>
  <c r="N278" i="16"/>
  <c r="L280" i="16" l="1"/>
  <c r="K281" i="16"/>
  <c r="AP279" i="16"/>
  <c r="AQ279" i="16" s="1"/>
  <c r="AR279" i="16" s="1"/>
  <c r="AA279" i="16"/>
  <c r="AB279" i="16" s="1"/>
  <c r="AC279" i="16" s="1"/>
  <c r="N279" i="16"/>
  <c r="S279" i="16"/>
  <c r="AI279" i="16"/>
  <c r="AJ279" i="16" s="1"/>
  <c r="AK279" i="16" s="1"/>
  <c r="T279" i="16"/>
  <c r="U279" i="16" s="1"/>
  <c r="V279" i="16" s="1"/>
  <c r="X279" i="16"/>
  <c r="M279" i="16"/>
  <c r="K282" i="16" l="1"/>
  <c r="L281" i="16"/>
  <c r="X280" i="16"/>
  <c r="M280" i="16"/>
  <c r="AI280" i="16"/>
  <c r="AJ280" i="16" s="1"/>
  <c r="AK280" i="16" s="1"/>
  <c r="T280" i="16"/>
  <c r="U280" i="16" s="1"/>
  <c r="V280" i="16" s="1"/>
  <c r="S280" i="16"/>
  <c r="AP280" i="16"/>
  <c r="AQ280" i="16" s="1"/>
  <c r="AR280" i="16" s="1"/>
  <c r="AA280" i="16"/>
  <c r="AB280" i="16" s="1"/>
  <c r="AC280" i="16" s="1"/>
  <c r="N280" i="16"/>
  <c r="K283" i="16" l="1"/>
  <c r="L282" i="16"/>
  <c r="AP281" i="16"/>
  <c r="AQ281" i="16" s="1"/>
  <c r="AR281" i="16" s="1"/>
  <c r="AA281" i="16"/>
  <c r="AB281" i="16" s="1"/>
  <c r="AC281" i="16" s="1"/>
  <c r="N281" i="16"/>
  <c r="S281" i="16"/>
  <c r="AI281" i="16"/>
  <c r="AJ281" i="16" s="1"/>
  <c r="AK281" i="16" s="1"/>
  <c r="T281" i="16"/>
  <c r="U281" i="16" s="1"/>
  <c r="V281" i="16" s="1"/>
  <c r="X281" i="16"/>
  <c r="M281" i="16"/>
  <c r="K284" i="16" l="1"/>
  <c r="L283" i="16"/>
  <c r="X282" i="16"/>
  <c r="M282" i="16"/>
  <c r="AI282" i="16"/>
  <c r="AJ282" i="16" s="1"/>
  <c r="AK282" i="16" s="1"/>
  <c r="T282" i="16"/>
  <c r="U282" i="16" s="1"/>
  <c r="V282" i="16" s="1"/>
  <c r="S282" i="16"/>
  <c r="AP282" i="16"/>
  <c r="AQ282" i="16" s="1"/>
  <c r="AR282" i="16" s="1"/>
  <c r="AA282" i="16"/>
  <c r="AB282" i="16" s="1"/>
  <c r="AC282" i="16" s="1"/>
  <c r="N282" i="16"/>
  <c r="L284" i="16" l="1"/>
  <c r="K285" i="16"/>
  <c r="AP283" i="16"/>
  <c r="AQ283" i="16" s="1"/>
  <c r="AR283" i="16" s="1"/>
  <c r="AA283" i="16"/>
  <c r="AB283" i="16" s="1"/>
  <c r="AC283" i="16" s="1"/>
  <c r="N283" i="16"/>
  <c r="S283" i="16"/>
  <c r="AI283" i="16"/>
  <c r="AJ283" i="16" s="1"/>
  <c r="AK283" i="16" s="1"/>
  <c r="T283" i="16"/>
  <c r="U283" i="16" s="1"/>
  <c r="V283" i="16" s="1"/>
  <c r="X283" i="16"/>
  <c r="M283" i="16"/>
  <c r="K286" i="16" l="1"/>
  <c r="L285" i="16"/>
  <c r="X284" i="16"/>
  <c r="M284" i="16"/>
  <c r="AI284" i="16"/>
  <c r="AJ284" i="16" s="1"/>
  <c r="AK284" i="16" s="1"/>
  <c r="T284" i="16"/>
  <c r="U284" i="16" s="1"/>
  <c r="V284" i="16" s="1"/>
  <c r="S284" i="16"/>
  <c r="AP284" i="16"/>
  <c r="AQ284" i="16" s="1"/>
  <c r="AR284" i="16" s="1"/>
  <c r="AA284" i="16"/>
  <c r="AB284" i="16" s="1"/>
  <c r="AC284" i="16" s="1"/>
  <c r="N284" i="16"/>
  <c r="K287" i="16" l="1"/>
  <c r="L286" i="16"/>
  <c r="AP285" i="16"/>
  <c r="AQ285" i="16" s="1"/>
  <c r="AR285" i="16" s="1"/>
  <c r="AA285" i="16"/>
  <c r="AB285" i="16" s="1"/>
  <c r="AC285" i="16" s="1"/>
  <c r="N285" i="16"/>
  <c r="S285" i="16"/>
  <c r="AI285" i="16"/>
  <c r="AJ285" i="16" s="1"/>
  <c r="AK285" i="16" s="1"/>
  <c r="T285" i="16"/>
  <c r="U285" i="16" s="1"/>
  <c r="V285" i="16" s="1"/>
  <c r="X285" i="16"/>
  <c r="M285" i="16"/>
  <c r="L287" i="16" l="1"/>
  <c r="K288" i="16"/>
  <c r="X286" i="16"/>
  <c r="M286" i="16"/>
  <c r="AI286" i="16"/>
  <c r="AJ286" i="16" s="1"/>
  <c r="AK286" i="16" s="1"/>
  <c r="T286" i="16"/>
  <c r="U286" i="16" s="1"/>
  <c r="V286" i="16" s="1"/>
  <c r="S286" i="16"/>
  <c r="AP286" i="16"/>
  <c r="AQ286" i="16" s="1"/>
  <c r="AR286" i="16" s="1"/>
  <c r="AA286" i="16"/>
  <c r="AB286" i="16" s="1"/>
  <c r="AC286" i="16" s="1"/>
  <c r="N286" i="16"/>
  <c r="L288" i="16" l="1"/>
  <c r="K289" i="16"/>
  <c r="AP287" i="16"/>
  <c r="AQ287" i="16" s="1"/>
  <c r="AR287" i="16" s="1"/>
  <c r="AA287" i="16"/>
  <c r="AB287" i="16" s="1"/>
  <c r="AC287" i="16" s="1"/>
  <c r="N287" i="16"/>
  <c r="S287" i="16"/>
  <c r="AI287" i="16"/>
  <c r="AJ287" i="16" s="1"/>
  <c r="AK287" i="16" s="1"/>
  <c r="T287" i="16"/>
  <c r="U287" i="16" s="1"/>
  <c r="V287" i="16" s="1"/>
  <c r="X287" i="16"/>
  <c r="M287" i="16"/>
  <c r="K290" i="16" l="1"/>
  <c r="L289" i="16"/>
  <c r="X288" i="16"/>
  <c r="M288" i="16"/>
  <c r="AI288" i="16"/>
  <c r="AJ288" i="16" s="1"/>
  <c r="AK288" i="16" s="1"/>
  <c r="T288" i="16"/>
  <c r="U288" i="16" s="1"/>
  <c r="V288" i="16" s="1"/>
  <c r="S288" i="16"/>
  <c r="AP288" i="16"/>
  <c r="AQ288" i="16" s="1"/>
  <c r="AR288" i="16" s="1"/>
  <c r="AA288" i="16"/>
  <c r="AB288" i="16" s="1"/>
  <c r="AC288" i="16" s="1"/>
  <c r="N288" i="16"/>
  <c r="L290" i="16" l="1"/>
  <c r="K291" i="16"/>
  <c r="AP289" i="16"/>
  <c r="AQ289" i="16" s="1"/>
  <c r="AR289" i="16" s="1"/>
  <c r="AA289" i="16"/>
  <c r="AB289" i="16" s="1"/>
  <c r="AC289" i="16" s="1"/>
  <c r="N289" i="16"/>
  <c r="S289" i="16"/>
  <c r="AI289" i="16"/>
  <c r="AJ289" i="16" s="1"/>
  <c r="AK289" i="16" s="1"/>
  <c r="T289" i="16"/>
  <c r="U289" i="16" s="1"/>
  <c r="V289" i="16" s="1"/>
  <c r="X289" i="16"/>
  <c r="M289" i="16"/>
  <c r="L291" i="16" l="1"/>
  <c r="K292" i="16"/>
  <c r="AP290" i="16"/>
  <c r="AQ290" i="16" s="1"/>
  <c r="AR290" i="16" s="1"/>
  <c r="S290" i="16"/>
  <c r="AI290" i="16"/>
  <c r="AJ290" i="16" s="1"/>
  <c r="AK290" i="16" s="1"/>
  <c r="T290" i="16"/>
  <c r="U290" i="16" s="1"/>
  <c r="V290" i="16" s="1"/>
  <c r="X290" i="16"/>
  <c r="M290" i="16"/>
  <c r="AA290" i="16"/>
  <c r="AB290" i="16" s="1"/>
  <c r="AC290" i="16" s="1"/>
  <c r="N290" i="16"/>
  <c r="K293" i="16" l="1"/>
  <c r="L292" i="16"/>
  <c r="AP291" i="16"/>
  <c r="AQ291" i="16" s="1"/>
  <c r="AR291" i="16" s="1"/>
  <c r="AA291" i="16"/>
  <c r="AB291" i="16" s="1"/>
  <c r="AC291" i="16" s="1"/>
  <c r="N291" i="16"/>
  <c r="S291" i="16"/>
  <c r="AI291" i="16"/>
  <c r="AJ291" i="16" s="1"/>
  <c r="AK291" i="16" s="1"/>
  <c r="T291" i="16"/>
  <c r="U291" i="16" s="1"/>
  <c r="V291" i="16" s="1"/>
  <c r="X291" i="16"/>
  <c r="M291" i="16"/>
  <c r="L293" i="16" l="1"/>
  <c r="K294" i="16"/>
  <c r="X292" i="16"/>
  <c r="M292" i="16"/>
  <c r="AI292" i="16"/>
  <c r="AJ292" i="16" s="1"/>
  <c r="AK292" i="16" s="1"/>
  <c r="T292" i="16"/>
  <c r="U292" i="16" s="1"/>
  <c r="V292" i="16" s="1"/>
  <c r="S292" i="16"/>
  <c r="AP292" i="16"/>
  <c r="AQ292" i="16" s="1"/>
  <c r="AR292" i="16" s="1"/>
  <c r="AA292" i="16"/>
  <c r="AB292" i="16" s="1"/>
  <c r="AC292" i="16" s="1"/>
  <c r="N292" i="16"/>
  <c r="K295" i="16" l="1"/>
  <c r="L294" i="16"/>
  <c r="AP293" i="16"/>
  <c r="AQ293" i="16" s="1"/>
  <c r="AR293" i="16" s="1"/>
  <c r="AA293" i="16"/>
  <c r="AB293" i="16" s="1"/>
  <c r="AC293" i="16" s="1"/>
  <c r="N293" i="16"/>
  <c r="S293" i="16"/>
  <c r="AI293" i="16"/>
  <c r="AJ293" i="16" s="1"/>
  <c r="AK293" i="16" s="1"/>
  <c r="T293" i="16"/>
  <c r="U293" i="16" s="1"/>
  <c r="V293" i="16" s="1"/>
  <c r="X293" i="16"/>
  <c r="M293" i="16"/>
  <c r="K296" i="16" l="1"/>
  <c r="L295" i="16"/>
  <c r="X294" i="16"/>
  <c r="M294" i="16"/>
  <c r="AI294" i="16"/>
  <c r="AJ294" i="16" s="1"/>
  <c r="AK294" i="16" s="1"/>
  <c r="T294" i="16"/>
  <c r="U294" i="16" s="1"/>
  <c r="V294" i="16" s="1"/>
  <c r="S294" i="16"/>
  <c r="AP294" i="16"/>
  <c r="AQ294" i="16" s="1"/>
  <c r="AR294" i="16" s="1"/>
  <c r="AA294" i="16"/>
  <c r="AB294" i="16" s="1"/>
  <c r="AC294" i="16" s="1"/>
  <c r="N294" i="16"/>
  <c r="L296" i="16" l="1"/>
  <c r="K297" i="16"/>
  <c r="AP295" i="16"/>
  <c r="AQ295" i="16" s="1"/>
  <c r="AR295" i="16" s="1"/>
  <c r="AA295" i="16"/>
  <c r="AB295" i="16" s="1"/>
  <c r="AC295" i="16" s="1"/>
  <c r="N295" i="16"/>
  <c r="S295" i="16"/>
  <c r="AI295" i="16"/>
  <c r="AJ295" i="16" s="1"/>
  <c r="AK295" i="16" s="1"/>
  <c r="T295" i="16"/>
  <c r="U295" i="16" s="1"/>
  <c r="V295" i="16" s="1"/>
  <c r="X295" i="16"/>
  <c r="M295" i="16"/>
  <c r="K298" i="16" l="1"/>
  <c r="L297" i="16"/>
  <c r="X296" i="16"/>
  <c r="M296" i="16"/>
  <c r="AI296" i="16"/>
  <c r="AJ296" i="16" s="1"/>
  <c r="AK296" i="16" s="1"/>
  <c r="T296" i="16"/>
  <c r="U296" i="16" s="1"/>
  <c r="V296" i="16" s="1"/>
  <c r="S296" i="16"/>
  <c r="AP296" i="16"/>
  <c r="AQ296" i="16" s="1"/>
  <c r="AR296" i="16" s="1"/>
  <c r="AA296" i="16"/>
  <c r="AB296" i="16" s="1"/>
  <c r="AC296" i="16" s="1"/>
  <c r="N296" i="16"/>
  <c r="K299" i="16" l="1"/>
  <c r="L298" i="16"/>
  <c r="AP297" i="16"/>
  <c r="AQ297" i="16" s="1"/>
  <c r="AR297" i="16" s="1"/>
  <c r="AA297" i="16"/>
  <c r="AB297" i="16" s="1"/>
  <c r="AC297" i="16" s="1"/>
  <c r="N297" i="16"/>
  <c r="S297" i="16"/>
  <c r="AI297" i="16"/>
  <c r="AJ297" i="16" s="1"/>
  <c r="AK297" i="16" s="1"/>
  <c r="T297" i="16"/>
  <c r="U297" i="16" s="1"/>
  <c r="V297" i="16" s="1"/>
  <c r="X297" i="16"/>
  <c r="M297" i="16"/>
  <c r="L299" i="16" l="1"/>
  <c r="K300" i="16"/>
  <c r="X298" i="16"/>
  <c r="M298" i="16"/>
  <c r="AI298" i="16"/>
  <c r="AJ298" i="16" s="1"/>
  <c r="AK298" i="16" s="1"/>
  <c r="T298" i="16"/>
  <c r="U298" i="16" s="1"/>
  <c r="V298" i="16" s="1"/>
  <c r="S298" i="16"/>
  <c r="AP298" i="16"/>
  <c r="AQ298" i="16" s="1"/>
  <c r="AR298" i="16" s="1"/>
  <c r="AA298" i="16"/>
  <c r="AB298" i="16" s="1"/>
  <c r="AC298" i="16" s="1"/>
  <c r="N298" i="16"/>
  <c r="L300" i="16" l="1"/>
  <c r="K301" i="16"/>
  <c r="AP299" i="16"/>
  <c r="AQ299" i="16" s="1"/>
  <c r="AR299" i="16" s="1"/>
  <c r="AA299" i="16"/>
  <c r="AB299" i="16" s="1"/>
  <c r="AC299" i="16" s="1"/>
  <c r="N299" i="16"/>
  <c r="S299" i="16"/>
  <c r="AI299" i="16"/>
  <c r="AJ299" i="16" s="1"/>
  <c r="AK299" i="16" s="1"/>
  <c r="T299" i="16"/>
  <c r="U299" i="16" s="1"/>
  <c r="V299" i="16" s="1"/>
  <c r="X299" i="16"/>
  <c r="M299" i="16"/>
  <c r="K302" i="16" l="1"/>
  <c r="L301" i="16"/>
  <c r="X300" i="16"/>
  <c r="M300" i="16"/>
  <c r="AI300" i="16"/>
  <c r="AJ300" i="16" s="1"/>
  <c r="AK300" i="16" s="1"/>
  <c r="T300" i="16"/>
  <c r="U300" i="16" s="1"/>
  <c r="V300" i="16" s="1"/>
  <c r="S300" i="16"/>
  <c r="AP300" i="16"/>
  <c r="AQ300" i="16" s="1"/>
  <c r="AR300" i="16" s="1"/>
  <c r="AA300" i="16"/>
  <c r="AB300" i="16" s="1"/>
  <c r="AC300" i="16" s="1"/>
  <c r="N300" i="16"/>
  <c r="L302" i="16" l="1"/>
  <c r="K303" i="16"/>
  <c r="AP301" i="16"/>
  <c r="AQ301" i="16" s="1"/>
  <c r="AR301" i="16" s="1"/>
  <c r="AA301" i="16"/>
  <c r="AB301" i="16" s="1"/>
  <c r="AC301" i="16" s="1"/>
  <c r="N301" i="16"/>
  <c r="S301" i="16"/>
  <c r="AI301" i="16"/>
  <c r="AJ301" i="16" s="1"/>
  <c r="AK301" i="16" s="1"/>
  <c r="T301" i="16"/>
  <c r="U301" i="16" s="1"/>
  <c r="V301" i="16" s="1"/>
  <c r="X301" i="16"/>
  <c r="M301" i="16"/>
  <c r="L303" i="16" l="1"/>
  <c r="K304" i="16"/>
  <c r="X302" i="16"/>
  <c r="M302" i="16"/>
  <c r="AI302" i="16"/>
  <c r="AJ302" i="16" s="1"/>
  <c r="AK302" i="16" s="1"/>
  <c r="T302" i="16"/>
  <c r="U302" i="16" s="1"/>
  <c r="V302" i="16" s="1"/>
  <c r="S302" i="16"/>
  <c r="AP302" i="16"/>
  <c r="AQ302" i="16" s="1"/>
  <c r="AR302" i="16" s="1"/>
  <c r="AA302" i="16"/>
  <c r="AB302" i="16" s="1"/>
  <c r="AC302" i="16" s="1"/>
  <c r="N302" i="16"/>
  <c r="K305" i="16" l="1"/>
  <c r="L304" i="16"/>
  <c r="AP303" i="16"/>
  <c r="AQ303" i="16" s="1"/>
  <c r="AR303" i="16" s="1"/>
  <c r="AA303" i="16"/>
  <c r="AB303" i="16" s="1"/>
  <c r="AC303" i="16" s="1"/>
  <c r="N303" i="16"/>
  <c r="S303" i="16"/>
  <c r="AI303" i="16"/>
  <c r="AJ303" i="16" s="1"/>
  <c r="AK303" i="16" s="1"/>
  <c r="T303" i="16"/>
  <c r="U303" i="16" s="1"/>
  <c r="V303" i="16" s="1"/>
  <c r="X303" i="16"/>
  <c r="M303" i="16"/>
  <c r="L305" i="16" l="1"/>
  <c r="K306" i="16"/>
  <c r="X304" i="16"/>
  <c r="M304" i="16"/>
  <c r="AI304" i="16"/>
  <c r="AJ304" i="16" s="1"/>
  <c r="AK304" i="16" s="1"/>
  <c r="T304" i="16"/>
  <c r="U304" i="16" s="1"/>
  <c r="V304" i="16" s="1"/>
  <c r="S304" i="16"/>
  <c r="AP304" i="16"/>
  <c r="AQ304" i="16" s="1"/>
  <c r="AR304" i="16" s="1"/>
  <c r="AA304" i="16"/>
  <c r="AB304" i="16" s="1"/>
  <c r="AC304" i="16" s="1"/>
  <c r="N304" i="16"/>
  <c r="K307" i="16" l="1"/>
  <c r="L306" i="16"/>
  <c r="AP305" i="16"/>
  <c r="AQ305" i="16" s="1"/>
  <c r="AR305" i="16" s="1"/>
  <c r="AA305" i="16"/>
  <c r="AB305" i="16" s="1"/>
  <c r="AC305" i="16" s="1"/>
  <c r="N305" i="16"/>
  <c r="S305" i="16"/>
  <c r="AI305" i="16"/>
  <c r="AJ305" i="16" s="1"/>
  <c r="AK305" i="16" s="1"/>
  <c r="T305" i="16"/>
  <c r="U305" i="16" s="1"/>
  <c r="V305" i="16" s="1"/>
  <c r="X305" i="16"/>
  <c r="M305" i="16"/>
  <c r="K308" i="16" l="1"/>
  <c r="L307" i="16"/>
  <c r="X306" i="16"/>
  <c r="M306" i="16"/>
  <c r="AI306" i="16"/>
  <c r="AJ306" i="16" s="1"/>
  <c r="AK306" i="16" s="1"/>
  <c r="T306" i="16"/>
  <c r="U306" i="16" s="1"/>
  <c r="V306" i="16" s="1"/>
  <c r="S306" i="16"/>
  <c r="AP306" i="16"/>
  <c r="AQ306" i="16" s="1"/>
  <c r="AR306" i="16" s="1"/>
  <c r="AA306" i="16"/>
  <c r="AB306" i="16" s="1"/>
  <c r="AC306" i="16" s="1"/>
  <c r="N306" i="16"/>
  <c r="L308" i="16" l="1"/>
  <c r="K309" i="16"/>
  <c r="AP307" i="16"/>
  <c r="AQ307" i="16" s="1"/>
  <c r="AR307" i="16" s="1"/>
  <c r="AA307" i="16"/>
  <c r="AB307" i="16" s="1"/>
  <c r="AC307" i="16" s="1"/>
  <c r="N307" i="16"/>
  <c r="S307" i="16"/>
  <c r="AI307" i="16"/>
  <c r="AJ307" i="16" s="1"/>
  <c r="AK307" i="16" s="1"/>
  <c r="T307" i="16"/>
  <c r="U307" i="16" s="1"/>
  <c r="V307" i="16" s="1"/>
  <c r="X307" i="16"/>
  <c r="M307" i="16"/>
  <c r="L309" i="16" l="1"/>
  <c r="K310" i="16"/>
  <c r="X308" i="16"/>
  <c r="M308" i="16"/>
  <c r="AI308" i="16"/>
  <c r="AJ308" i="16" s="1"/>
  <c r="AK308" i="16" s="1"/>
  <c r="T308" i="16"/>
  <c r="U308" i="16" s="1"/>
  <c r="V308" i="16" s="1"/>
  <c r="S308" i="16"/>
  <c r="AP308" i="16"/>
  <c r="AQ308" i="16" s="1"/>
  <c r="AR308" i="16" s="1"/>
  <c r="AA308" i="16"/>
  <c r="AB308" i="16" s="1"/>
  <c r="AC308" i="16" s="1"/>
  <c r="N308" i="16"/>
  <c r="K311" i="16" l="1"/>
  <c r="L310" i="16"/>
  <c r="AP309" i="16"/>
  <c r="AQ309" i="16" s="1"/>
  <c r="AR309" i="16" s="1"/>
  <c r="AA309" i="16"/>
  <c r="AB309" i="16" s="1"/>
  <c r="AC309" i="16" s="1"/>
  <c r="N309" i="16"/>
  <c r="S309" i="16"/>
  <c r="AI309" i="16"/>
  <c r="AJ309" i="16" s="1"/>
  <c r="AK309" i="16" s="1"/>
  <c r="T309" i="16"/>
  <c r="U309" i="16" s="1"/>
  <c r="V309" i="16" s="1"/>
  <c r="X309" i="16"/>
  <c r="M309" i="16"/>
  <c r="L311" i="16" l="1"/>
  <c r="K312" i="16"/>
  <c r="X310" i="16"/>
  <c r="M310" i="16"/>
  <c r="AI310" i="16"/>
  <c r="AJ310" i="16" s="1"/>
  <c r="AK310" i="16" s="1"/>
  <c r="T310" i="16"/>
  <c r="U310" i="16" s="1"/>
  <c r="V310" i="16" s="1"/>
  <c r="S310" i="16"/>
  <c r="AP310" i="16"/>
  <c r="AQ310" i="16" s="1"/>
  <c r="AR310" i="16" s="1"/>
  <c r="AA310" i="16"/>
  <c r="AB310" i="16" s="1"/>
  <c r="AC310" i="16" s="1"/>
  <c r="N310" i="16"/>
  <c r="L312" i="16" l="1"/>
  <c r="K313" i="16"/>
  <c r="AP311" i="16"/>
  <c r="AQ311" i="16" s="1"/>
  <c r="AR311" i="16" s="1"/>
  <c r="AA311" i="16"/>
  <c r="AB311" i="16" s="1"/>
  <c r="AC311" i="16" s="1"/>
  <c r="N311" i="16"/>
  <c r="S311" i="16"/>
  <c r="AI311" i="16"/>
  <c r="AJ311" i="16" s="1"/>
  <c r="AK311" i="16" s="1"/>
  <c r="T311" i="16"/>
  <c r="U311" i="16" s="1"/>
  <c r="V311" i="16" s="1"/>
  <c r="X311" i="16"/>
  <c r="M311" i="16"/>
  <c r="K314" i="16" l="1"/>
  <c r="L313" i="16"/>
  <c r="AP312" i="16"/>
  <c r="AQ312" i="16" s="1"/>
  <c r="AR312" i="16" s="1"/>
  <c r="AA312" i="16"/>
  <c r="AB312" i="16" s="1"/>
  <c r="AC312" i="16" s="1"/>
  <c r="S312" i="16"/>
  <c r="N312" i="16"/>
  <c r="AI312" i="16"/>
  <c r="AJ312" i="16" s="1"/>
  <c r="AK312" i="16" s="1"/>
  <c r="X312" i="16"/>
  <c r="M312" i="16"/>
  <c r="T312" i="16"/>
  <c r="U312" i="16" s="1"/>
  <c r="V312" i="16" s="1"/>
  <c r="L314" i="16" l="1"/>
  <c r="K315" i="16"/>
  <c r="X313" i="16"/>
  <c r="M313" i="16"/>
  <c r="AI313" i="16"/>
  <c r="AJ313" i="16" s="1"/>
  <c r="AK313" i="16" s="1"/>
  <c r="T313" i="16"/>
  <c r="U313" i="16" s="1"/>
  <c r="V313" i="16" s="1"/>
  <c r="S313" i="16"/>
  <c r="AP313" i="16"/>
  <c r="AQ313" i="16" s="1"/>
  <c r="AR313" i="16" s="1"/>
  <c r="AA313" i="16"/>
  <c r="AB313" i="16" s="1"/>
  <c r="AC313" i="16" s="1"/>
  <c r="N313" i="16"/>
  <c r="L315" i="16" l="1"/>
  <c r="K316" i="16"/>
  <c r="AP314" i="16"/>
  <c r="AQ314" i="16" s="1"/>
  <c r="AR314" i="16" s="1"/>
  <c r="AA314" i="16"/>
  <c r="AB314" i="16" s="1"/>
  <c r="AC314" i="16" s="1"/>
  <c r="N314" i="16"/>
  <c r="S314" i="16"/>
  <c r="AI314" i="16"/>
  <c r="AJ314" i="16" s="1"/>
  <c r="AK314" i="16" s="1"/>
  <c r="T314" i="16"/>
  <c r="U314" i="16" s="1"/>
  <c r="V314" i="16" s="1"/>
  <c r="X314" i="16"/>
  <c r="M314" i="16"/>
  <c r="K317" i="16" l="1"/>
  <c r="L316" i="16"/>
  <c r="X315" i="16"/>
  <c r="M315" i="16"/>
  <c r="AI315" i="16"/>
  <c r="AJ315" i="16" s="1"/>
  <c r="AK315" i="16" s="1"/>
  <c r="T315" i="16"/>
  <c r="U315" i="16" s="1"/>
  <c r="V315" i="16" s="1"/>
  <c r="S315" i="16"/>
  <c r="AP315" i="16"/>
  <c r="AQ315" i="16" s="1"/>
  <c r="AR315" i="16" s="1"/>
  <c r="AA315" i="16"/>
  <c r="AB315" i="16" s="1"/>
  <c r="AC315" i="16" s="1"/>
  <c r="N315" i="16"/>
  <c r="K318" i="16" l="1"/>
  <c r="L317" i="16"/>
  <c r="AP316" i="16"/>
  <c r="AQ316" i="16" s="1"/>
  <c r="AR316" i="16" s="1"/>
  <c r="AA316" i="16"/>
  <c r="AB316" i="16" s="1"/>
  <c r="AC316" i="16" s="1"/>
  <c r="N316" i="16"/>
  <c r="S316" i="16"/>
  <c r="AI316" i="16"/>
  <c r="AJ316" i="16" s="1"/>
  <c r="AK316" i="16" s="1"/>
  <c r="T316" i="16"/>
  <c r="U316" i="16" s="1"/>
  <c r="V316" i="16" s="1"/>
  <c r="X316" i="16"/>
  <c r="M316" i="16"/>
  <c r="L318" i="16" l="1"/>
  <c r="K319" i="16"/>
  <c r="X317" i="16"/>
  <c r="M317" i="16"/>
  <c r="AI317" i="16"/>
  <c r="AJ317" i="16" s="1"/>
  <c r="AK317" i="16" s="1"/>
  <c r="T317" i="16"/>
  <c r="U317" i="16" s="1"/>
  <c r="V317" i="16" s="1"/>
  <c r="S317" i="16"/>
  <c r="AP317" i="16"/>
  <c r="AQ317" i="16" s="1"/>
  <c r="AR317" i="16" s="1"/>
  <c r="AA317" i="16"/>
  <c r="AB317" i="16" s="1"/>
  <c r="AC317" i="16" s="1"/>
  <c r="N317" i="16"/>
  <c r="K320" i="16" l="1"/>
  <c r="L319" i="16"/>
  <c r="AP318" i="16"/>
  <c r="AQ318" i="16" s="1"/>
  <c r="AR318" i="16" s="1"/>
  <c r="AA318" i="16"/>
  <c r="AB318" i="16" s="1"/>
  <c r="AC318" i="16" s="1"/>
  <c r="N318" i="16"/>
  <c r="S318" i="16"/>
  <c r="AI318" i="16"/>
  <c r="AJ318" i="16" s="1"/>
  <c r="AK318" i="16" s="1"/>
  <c r="T318" i="16"/>
  <c r="U318" i="16" s="1"/>
  <c r="V318" i="16" s="1"/>
  <c r="X318" i="16"/>
  <c r="M318" i="16"/>
  <c r="K321" i="16" l="1"/>
  <c r="L320" i="16"/>
  <c r="X319" i="16"/>
  <c r="M319" i="16"/>
  <c r="AI319" i="16"/>
  <c r="AJ319" i="16" s="1"/>
  <c r="AK319" i="16" s="1"/>
  <c r="T319" i="16"/>
  <c r="U319" i="16" s="1"/>
  <c r="V319" i="16" s="1"/>
  <c r="S319" i="16"/>
  <c r="AP319" i="16"/>
  <c r="AQ319" i="16" s="1"/>
  <c r="AR319" i="16" s="1"/>
  <c r="AA319" i="16"/>
  <c r="AB319" i="16" s="1"/>
  <c r="AC319" i="16" s="1"/>
  <c r="N319" i="16"/>
  <c r="L321" i="16" l="1"/>
  <c r="K322" i="16"/>
  <c r="AP320" i="16"/>
  <c r="AQ320" i="16" s="1"/>
  <c r="AR320" i="16" s="1"/>
  <c r="AA320" i="16"/>
  <c r="AB320" i="16" s="1"/>
  <c r="AC320" i="16" s="1"/>
  <c r="N320" i="16"/>
  <c r="S320" i="16"/>
  <c r="AI320" i="16"/>
  <c r="AJ320" i="16" s="1"/>
  <c r="AK320" i="16" s="1"/>
  <c r="T320" i="16"/>
  <c r="U320" i="16" s="1"/>
  <c r="V320" i="16" s="1"/>
  <c r="X320" i="16"/>
  <c r="M320" i="16"/>
  <c r="K323" i="16" l="1"/>
  <c r="L322" i="16"/>
  <c r="X321" i="16"/>
  <c r="M321" i="16"/>
  <c r="AI321" i="16"/>
  <c r="AJ321" i="16" s="1"/>
  <c r="AK321" i="16" s="1"/>
  <c r="T321" i="16"/>
  <c r="U321" i="16" s="1"/>
  <c r="V321" i="16" s="1"/>
  <c r="S321" i="16"/>
  <c r="AP321" i="16"/>
  <c r="AQ321" i="16" s="1"/>
  <c r="AR321" i="16" s="1"/>
  <c r="AA321" i="16"/>
  <c r="AB321" i="16" s="1"/>
  <c r="AC321" i="16" s="1"/>
  <c r="N321" i="16"/>
  <c r="K324" i="16" l="1"/>
  <c r="L323" i="16"/>
  <c r="AP322" i="16"/>
  <c r="AQ322" i="16" s="1"/>
  <c r="AR322" i="16" s="1"/>
  <c r="AA322" i="16"/>
  <c r="AB322" i="16" s="1"/>
  <c r="AC322" i="16" s="1"/>
  <c r="N322" i="16"/>
  <c r="S322" i="16"/>
  <c r="AI322" i="16"/>
  <c r="AJ322" i="16" s="1"/>
  <c r="AK322" i="16" s="1"/>
  <c r="T322" i="16"/>
  <c r="U322" i="16" s="1"/>
  <c r="V322" i="16" s="1"/>
  <c r="X322" i="16"/>
  <c r="M322" i="16"/>
  <c r="K325" i="16" l="1"/>
  <c r="L324" i="16"/>
  <c r="X323" i="16"/>
  <c r="M323" i="16"/>
  <c r="AI323" i="16"/>
  <c r="AJ323" i="16" s="1"/>
  <c r="AK323" i="16" s="1"/>
  <c r="T323" i="16"/>
  <c r="U323" i="16" s="1"/>
  <c r="V323" i="16" s="1"/>
  <c r="S323" i="16"/>
  <c r="AP323" i="16"/>
  <c r="AQ323" i="16" s="1"/>
  <c r="AR323" i="16" s="1"/>
  <c r="AA323" i="16"/>
  <c r="AB323" i="16" s="1"/>
  <c r="AC323" i="16" s="1"/>
  <c r="N323" i="16"/>
  <c r="K326" i="16" l="1"/>
  <c r="L325" i="16"/>
  <c r="AP324" i="16"/>
  <c r="AQ324" i="16" s="1"/>
  <c r="AR324" i="16" s="1"/>
  <c r="AA324" i="16"/>
  <c r="AB324" i="16" s="1"/>
  <c r="AC324" i="16" s="1"/>
  <c r="N324" i="16"/>
  <c r="S324" i="16"/>
  <c r="AI324" i="16"/>
  <c r="AJ324" i="16" s="1"/>
  <c r="AK324" i="16" s="1"/>
  <c r="T324" i="16"/>
  <c r="U324" i="16" s="1"/>
  <c r="V324" i="16" s="1"/>
  <c r="X324" i="16"/>
  <c r="M324" i="16"/>
  <c r="K327" i="16" l="1"/>
  <c r="L326" i="16"/>
  <c r="X325" i="16"/>
  <c r="M325" i="16"/>
  <c r="AI325" i="16"/>
  <c r="AJ325" i="16" s="1"/>
  <c r="AK325" i="16" s="1"/>
  <c r="T325" i="16"/>
  <c r="U325" i="16" s="1"/>
  <c r="V325" i="16" s="1"/>
  <c r="S325" i="16"/>
  <c r="AP325" i="16"/>
  <c r="AQ325" i="16" s="1"/>
  <c r="AR325" i="16" s="1"/>
  <c r="AA325" i="16"/>
  <c r="AB325" i="16" s="1"/>
  <c r="AC325" i="16" s="1"/>
  <c r="N325" i="16"/>
  <c r="K328" i="16" l="1"/>
  <c r="L327" i="16"/>
  <c r="AP326" i="16"/>
  <c r="AQ326" i="16" s="1"/>
  <c r="AR326" i="16" s="1"/>
  <c r="AA326" i="16"/>
  <c r="AB326" i="16" s="1"/>
  <c r="AC326" i="16" s="1"/>
  <c r="N326" i="16"/>
  <c r="S326" i="16"/>
  <c r="AI326" i="16"/>
  <c r="AJ326" i="16" s="1"/>
  <c r="AK326" i="16" s="1"/>
  <c r="T326" i="16"/>
  <c r="U326" i="16" s="1"/>
  <c r="V326" i="16" s="1"/>
  <c r="X326" i="16"/>
  <c r="M326" i="16"/>
  <c r="K329" i="16" l="1"/>
  <c r="L328" i="16"/>
  <c r="X327" i="16"/>
  <c r="M327" i="16"/>
  <c r="AI327" i="16"/>
  <c r="AJ327" i="16" s="1"/>
  <c r="AK327" i="16" s="1"/>
  <c r="T327" i="16"/>
  <c r="U327" i="16" s="1"/>
  <c r="V327" i="16" s="1"/>
  <c r="S327" i="16"/>
  <c r="AP327" i="16"/>
  <c r="AQ327" i="16" s="1"/>
  <c r="AR327" i="16" s="1"/>
  <c r="AA327" i="16"/>
  <c r="AB327" i="16" s="1"/>
  <c r="AC327" i="16" s="1"/>
  <c r="N327" i="16"/>
  <c r="K330" i="16" l="1"/>
  <c r="L329" i="16"/>
  <c r="AP328" i="16"/>
  <c r="AQ328" i="16" s="1"/>
  <c r="AR328" i="16" s="1"/>
  <c r="AA328" i="16"/>
  <c r="AB328" i="16" s="1"/>
  <c r="AC328" i="16" s="1"/>
  <c r="N328" i="16"/>
  <c r="S328" i="16"/>
  <c r="AI328" i="16"/>
  <c r="AJ328" i="16" s="1"/>
  <c r="AK328" i="16" s="1"/>
  <c r="T328" i="16"/>
  <c r="U328" i="16" s="1"/>
  <c r="V328" i="16" s="1"/>
  <c r="X328" i="16"/>
  <c r="M328" i="16"/>
  <c r="K331" i="16" l="1"/>
  <c r="L330" i="16"/>
  <c r="X329" i="16"/>
  <c r="M329" i="16"/>
  <c r="AI329" i="16"/>
  <c r="AJ329" i="16" s="1"/>
  <c r="AK329" i="16" s="1"/>
  <c r="T329" i="16"/>
  <c r="U329" i="16" s="1"/>
  <c r="V329" i="16" s="1"/>
  <c r="S329" i="16"/>
  <c r="AP329" i="16"/>
  <c r="AQ329" i="16" s="1"/>
  <c r="AR329" i="16" s="1"/>
  <c r="AA329" i="16"/>
  <c r="AB329" i="16" s="1"/>
  <c r="AC329" i="16" s="1"/>
  <c r="N329" i="16"/>
  <c r="K332" i="16" l="1"/>
  <c r="L331" i="16"/>
  <c r="AP330" i="16"/>
  <c r="AQ330" i="16" s="1"/>
  <c r="AR330" i="16" s="1"/>
  <c r="AA330" i="16"/>
  <c r="AB330" i="16" s="1"/>
  <c r="AC330" i="16" s="1"/>
  <c r="N330" i="16"/>
  <c r="S330" i="16"/>
  <c r="AI330" i="16"/>
  <c r="AJ330" i="16" s="1"/>
  <c r="AK330" i="16" s="1"/>
  <c r="T330" i="16"/>
  <c r="U330" i="16" s="1"/>
  <c r="V330" i="16" s="1"/>
  <c r="X330" i="16"/>
  <c r="M330" i="16"/>
  <c r="K333" i="16" l="1"/>
  <c r="L332" i="16"/>
  <c r="X331" i="16"/>
  <c r="M331" i="16"/>
  <c r="AI331" i="16"/>
  <c r="AJ331" i="16" s="1"/>
  <c r="AK331" i="16" s="1"/>
  <c r="T331" i="16"/>
  <c r="U331" i="16" s="1"/>
  <c r="V331" i="16" s="1"/>
  <c r="S331" i="16"/>
  <c r="AP331" i="16"/>
  <c r="AQ331" i="16" s="1"/>
  <c r="AR331" i="16" s="1"/>
  <c r="AA331" i="16"/>
  <c r="AB331" i="16" s="1"/>
  <c r="AC331" i="16" s="1"/>
  <c r="N331" i="16"/>
  <c r="K334" i="16" l="1"/>
  <c r="L333" i="16"/>
  <c r="AP332" i="16"/>
  <c r="AQ332" i="16" s="1"/>
  <c r="AR332" i="16" s="1"/>
  <c r="AA332" i="16"/>
  <c r="AB332" i="16" s="1"/>
  <c r="AC332" i="16" s="1"/>
  <c r="N332" i="16"/>
  <c r="S332" i="16"/>
  <c r="AI332" i="16"/>
  <c r="AJ332" i="16" s="1"/>
  <c r="AK332" i="16" s="1"/>
  <c r="T332" i="16"/>
  <c r="U332" i="16" s="1"/>
  <c r="V332" i="16" s="1"/>
  <c r="X332" i="16"/>
  <c r="M332" i="16"/>
  <c r="K335" i="16" l="1"/>
  <c r="L334" i="16"/>
  <c r="AP333" i="16"/>
  <c r="AQ333" i="16" s="1"/>
  <c r="AR333" i="16" s="1"/>
  <c r="AA333" i="16"/>
  <c r="AB333" i="16" s="1"/>
  <c r="AC333" i="16" s="1"/>
  <c r="M333" i="16"/>
  <c r="S333" i="16"/>
  <c r="AI333" i="16"/>
  <c r="AJ333" i="16" s="1"/>
  <c r="AK333" i="16" s="1"/>
  <c r="T333" i="16"/>
  <c r="U333" i="16" s="1"/>
  <c r="V333" i="16" s="1"/>
  <c r="X333" i="16"/>
  <c r="N333" i="16"/>
  <c r="K336" i="16" l="1"/>
  <c r="L335" i="16"/>
  <c r="X334" i="16"/>
  <c r="M334" i="16"/>
  <c r="AI334" i="16"/>
  <c r="AJ334" i="16" s="1"/>
  <c r="AK334" i="16" s="1"/>
  <c r="T334" i="16"/>
  <c r="U334" i="16" s="1"/>
  <c r="V334" i="16" s="1"/>
  <c r="S334" i="16"/>
  <c r="AP334" i="16"/>
  <c r="AQ334" i="16" s="1"/>
  <c r="AR334" i="16" s="1"/>
  <c r="AA334" i="16"/>
  <c r="AB334" i="16" s="1"/>
  <c r="AC334" i="16" s="1"/>
  <c r="N334" i="16"/>
  <c r="K337" i="16" l="1"/>
  <c r="L336" i="16"/>
  <c r="AP335" i="16"/>
  <c r="AQ335" i="16" s="1"/>
  <c r="AR335" i="16" s="1"/>
  <c r="AA335" i="16"/>
  <c r="AB335" i="16" s="1"/>
  <c r="AC335" i="16" s="1"/>
  <c r="N335" i="16"/>
  <c r="S335" i="16"/>
  <c r="AI335" i="16"/>
  <c r="AJ335" i="16" s="1"/>
  <c r="AK335" i="16" s="1"/>
  <c r="T335" i="16"/>
  <c r="U335" i="16" s="1"/>
  <c r="V335" i="16" s="1"/>
  <c r="X335" i="16"/>
  <c r="M335" i="16"/>
  <c r="K338" i="16" l="1"/>
  <c r="L337" i="16"/>
  <c r="X336" i="16"/>
  <c r="M336" i="16"/>
  <c r="AI336" i="16"/>
  <c r="AJ336" i="16" s="1"/>
  <c r="AK336" i="16" s="1"/>
  <c r="T336" i="16"/>
  <c r="U336" i="16" s="1"/>
  <c r="V336" i="16" s="1"/>
  <c r="S336" i="16"/>
  <c r="AP336" i="16"/>
  <c r="AQ336" i="16" s="1"/>
  <c r="AR336" i="16" s="1"/>
  <c r="AA336" i="16"/>
  <c r="AB336" i="16" s="1"/>
  <c r="AC336" i="16" s="1"/>
  <c r="N336" i="16"/>
  <c r="K339" i="16" l="1"/>
  <c r="L338" i="16"/>
  <c r="AP337" i="16"/>
  <c r="AQ337" i="16" s="1"/>
  <c r="AR337" i="16" s="1"/>
  <c r="AA337" i="16"/>
  <c r="AB337" i="16" s="1"/>
  <c r="AC337" i="16" s="1"/>
  <c r="N337" i="16"/>
  <c r="S337" i="16"/>
  <c r="AI337" i="16"/>
  <c r="AJ337" i="16" s="1"/>
  <c r="AK337" i="16" s="1"/>
  <c r="T337" i="16"/>
  <c r="U337" i="16" s="1"/>
  <c r="V337" i="16" s="1"/>
  <c r="X337" i="16"/>
  <c r="M337" i="16"/>
  <c r="K340" i="16" l="1"/>
  <c r="L339" i="16"/>
  <c r="X338" i="16"/>
  <c r="M338" i="16"/>
  <c r="AI338" i="16"/>
  <c r="AJ338" i="16" s="1"/>
  <c r="AK338" i="16" s="1"/>
  <c r="T338" i="16"/>
  <c r="U338" i="16" s="1"/>
  <c r="V338" i="16" s="1"/>
  <c r="S338" i="16"/>
  <c r="AP338" i="16"/>
  <c r="AQ338" i="16" s="1"/>
  <c r="AR338" i="16" s="1"/>
  <c r="AA338" i="16"/>
  <c r="AB338" i="16" s="1"/>
  <c r="AC338" i="16" s="1"/>
  <c r="N338" i="16"/>
  <c r="K341" i="16" l="1"/>
  <c r="L340" i="16"/>
  <c r="AP339" i="16"/>
  <c r="AQ339" i="16" s="1"/>
  <c r="AR339" i="16" s="1"/>
  <c r="AA339" i="16"/>
  <c r="AB339" i="16" s="1"/>
  <c r="AC339" i="16" s="1"/>
  <c r="N339" i="16"/>
  <c r="S339" i="16"/>
  <c r="AI339" i="16"/>
  <c r="AJ339" i="16" s="1"/>
  <c r="AK339" i="16" s="1"/>
  <c r="T339" i="16"/>
  <c r="U339" i="16" s="1"/>
  <c r="V339" i="16" s="1"/>
  <c r="X339" i="16"/>
  <c r="M339" i="16"/>
  <c r="K342" i="16" l="1"/>
  <c r="L341" i="16"/>
  <c r="X340" i="16"/>
  <c r="M340" i="16"/>
  <c r="AI340" i="16"/>
  <c r="AJ340" i="16" s="1"/>
  <c r="AK340" i="16" s="1"/>
  <c r="T340" i="16"/>
  <c r="U340" i="16" s="1"/>
  <c r="V340" i="16" s="1"/>
  <c r="S340" i="16"/>
  <c r="AP340" i="16"/>
  <c r="AQ340" i="16" s="1"/>
  <c r="AR340" i="16" s="1"/>
  <c r="AA340" i="16"/>
  <c r="AB340" i="16" s="1"/>
  <c r="AC340" i="16" s="1"/>
  <c r="N340" i="16"/>
  <c r="K343" i="16" l="1"/>
  <c r="L342" i="16"/>
  <c r="AP341" i="16"/>
  <c r="AQ341" i="16" s="1"/>
  <c r="AR341" i="16" s="1"/>
  <c r="AA341" i="16"/>
  <c r="AB341" i="16" s="1"/>
  <c r="AC341" i="16" s="1"/>
  <c r="N341" i="16"/>
  <c r="S341" i="16"/>
  <c r="AI341" i="16"/>
  <c r="AJ341" i="16" s="1"/>
  <c r="AK341" i="16" s="1"/>
  <c r="T341" i="16"/>
  <c r="U341" i="16" s="1"/>
  <c r="V341" i="16" s="1"/>
  <c r="X341" i="16"/>
  <c r="M341" i="16"/>
  <c r="K344" i="16" l="1"/>
  <c r="L343" i="16"/>
  <c r="X342" i="16"/>
  <c r="M342" i="16"/>
  <c r="AI342" i="16"/>
  <c r="AJ342" i="16" s="1"/>
  <c r="AK342" i="16" s="1"/>
  <c r="T342" i="16"/>
  <c r="U342" i="16" s="1"/>
  <c r="V342" i="16" s="1"/>
  <c r="S342" i="16"/>
  <c r="AP342" i="16"/>
  <c r="AQ342" i="16" s="1"/>
  <c r="AR342" i="16" s="1"/>
  <c r="AA342" i="16"/>
  <c r="AB342" i="16" s="1"/>
  <c r="AC342" i="16" s="1"/>
  <c r="N342" i="16"/>
  <c r="K345" i="16" l="1"/>
  <c r="L344" i="16"/>
  <c r="AP343" i="16"/>
  <c r="AQ343" i="16" s="1"/>
  <c r="AR343" i="16" s="1"/>
  <c r="AA343" i="16"/>
  <c r="AB343" i="16" s="1"/>
  <c r="AC343" i="16" s="1"/>
  <c r="N343" i="16"/>
  <c r="S343" i="16"/>
  <c r="AI343" i="16"/>
  <c r="AJ343" i="16" s="1"/>
  <c r="AK343" i="16" s="1"/>
  <c r="T343" i="16"/>
  <c r="U343" i="16" s="1"/>
  <c r="V343" i="16" s="1"/>
  <c r="X343" i="16"/>
  <c r="M343" i="16"/>
  <c r="K346" i="16" l="1"/>
  <c r="L345" i="16"/>
  <c r="X344" i="16"/>
  <c r="M344" i="16"/>
  <c r="AI344" i="16"/>
  <c r="AJ344" i="16" s="1"/>
  <c r="AK344" i="16" s="1"/>
  <c r="T344" i="16"/>
  <c r="U344" i="16" s="1"/>
  <c r="V344" i="16" s="1"/>
  <c r="S344" i="16"/>
  <c r="AP344" i="16"/>
  <c r="AQ344" i="16" s="1"/>
  <c r="AR344" i="16" s="1"/>
  <c r="AA344" i="16"/>
  <c r="AB344" i="16" s="1"/>
  <c r="AC344" i="16" s="1"/>
  <c r="N344" i="16"/>
  <c r="K347" i="16" l="1"/>
  <c r="L346" i="16"/>
  <c r="AP345" i="16"/>
  <c r="AQ345" i="16" s="1"/>
  <c r="AR345" i="16" s="1"/>
  <c r="AA345" i="16"/>
  <c r="AB345" i="16" s="1"/>
  <c r="AC345" i="16" s="1"/>
  <c r="N345" i="16"/>
  <c r="S345" i="16"/>
  <c r="AI345" i="16"/>
  <c r="AJ345" i="16" s="1"/>
  <c r="AK345" i="16" s="1"/>
  <c r="T345" i="16"/>
  <c r="U345" i="16" s="1"/>
  <c r="V345" i="16" s="1"/>
  <c r="X345" i="16"/>
  <c r="M345" i="16"/>
  <c r="K348" i="16" l="1"/>
  <c r="L347" i="16"/>
  <c r="X346" i="16"/>
  <c r="M346" i="16"/>
  <c r="AI346" i="16"/>
  <c r="AJ346" i="16" s="1"/>
  <c r="AK346" i="16" s="1"/>
  <c r="T346" i="16"/>
  <c r="U346" i="16" s="1"/>
  <c r="V346" i="16" s="1"/>
  <c r="S346" i="16"/>
  <c r="AP346" i="16"/>
  <c r="AQ346" i="16" s="1"/>
  <c r="AR346" i="16" s="1"/>
  <c r="AA346" i="16"/>
  <c r="AB346" i="16" s="1"/>
  <c r="AC346" i="16" s="1"/>
  <c r="N346" i="16"/>
  <c r="K349" i="16" l="1"/>
  <c r="L348" i="16"/>
  <c r="AI347" i="16"/>
  <c r="AJ347" i="16" s="1"/>
  <c r="AK347" i="16" s="1"/>
  <c r="T347" i="16"/>
  <c r="U347" i="16" s="1"/>
  <c r="V347" i="16" s="1"/>
  <c r="X347" i="16"/>
  <c r="M347" i="16"/>
  <c r="AP347" i="16"/>
  <c r="AQ347" i="16" s="1"/>
  <c r="AR347" i="16" s="1"/>
  <c r="AA347" i="16"/>
  <c r="AB347" i="16" s="1"/>
  <c r="AC347" i="16" s="1"/>
  <c r="N347" i="16"/>
  <c r="S347" i="16"/>
  <c r="K350" i="16" l="1"/>
  <c r="L349" i="16"/>
  <c r="X348" i="16"/>
  <c r="M348" i="16"/>
  <c r="AI348" i="16"/>
  <c r="AJ348" i="16" s="1"/>
  <c r="AK348" i="16" s="1"/>
  <c r="T348" i="16"/>
  <c r="U348" i="16" s="1"/>
  <c r="V348" i="16" s="1"/>
  <c r="S348" i="16"/>
  <c r="AP348" i="16"/>
  <c r="AQ348" i="16" s="1"/>
  <c r="AR348" i="16" s="1"/>
  <c r="AA348" i="16"/>
  <c r="AB348" i="16" s="1"/>
  <c r="AC348" i="16" s="1"/>
  <c r="N348" i="16"/>
  <c r="K351" i="16" l="1"/>
  <c r="L350" i="16"/>
  <c r="AP349" i="16"/>
  <c r="AQ349" i="16" s="1"/>
  <c r="AR349" i="16" s="1"/>
  <c r="AA349" i="16"/>
  <c r="AB349" i="16" s="1"/>
  <c r="AC349" i="16" s="1"/>
  <c r="N349" i="16"/>
  <c r="S349" i="16"/>
  <c r="AI349" i="16"/>
  <c r="AJ349" i="16" s="1"/>
  <c r="AK349" i="16" s="1"/>
  <c r="T349" i="16"/>
  <c r="U349" i="16" s="1"/>
  <c r="V349" i="16" s="1"/>
  <c r="X349" i="16"/>
  <c r="M349" i="16"/>
  <c r="K352" i="16" l="1"/>
  <c r="L351" i="16"/>
  <c r="X350" i="16"/>
  <c r="M350" i="16"/>
  <c r="AI350" i="16"/>
  <c r="AJ350" i="16" s="1"/>
  <c r="AK350" i="16" s="1"/>
  <c r="T350" i="16"/>
  <c r="U350" i="16" s="1"/>
  <c r="V350" i="16" s="1"/>
  <c r="S350" i="16"/>
  <c r="AP350" i="16"/>
  <c r="AQ350" i="16" s="1"/>
  <c r="AR350" i="16" s="1"/>
  <c r="AA350" i="16"/>
  <c r="AB350" i="16" s="1"/>
  <c r="AC350" i="16" s="1"/>
  <c r="N350" i="16"/>
  <c r="K353" i="16" l="1"/>
  <c r="L352" i="16"/>
  <c r="AP351" i="16"/>
  <c r="AQ351" i="16" s="1"/>
  <c r="AR351" i="16" s="1"/>
  <c r="AA351" i="16"/>
  <c r="AB351" i="16" s="1"/>
  <c r="AC351" i="16" s="1"/>
  <c r="N351" i="16"/>
  <c r="S351" i="16"/>
  <c r="AI351" i="16"/>
  <c r="AJ351" i="16" s="1"/>
  <c r="AK351" i="16" s="1"/>
  <c r="T351" i="16"/>
  <c r="U351" i="16" s="1"/>
  <c r="V351" i="16" s="1"/>
  <c r="X351" i="16"/>
  <c r="M351" i="16"/>
  <c r="K354" i="16" l="1"/>
  <c r="L353" i="16"/>
  <c r="X352" i="16"/>
  <c r="M352" i="16"/>
  <c r="AI352" i="16"/>
  <c r="AJ352" i="16" s="1"/>
  <c r="AK352" i="16" s="1"/>
  <c r="T352" i="16"/>
  <c r="U352" i="16" s="1"/>
  <c r="V352" i="16" s="1"/>
  <c r="S352" i="16"/>
  <c r="AP352" i="16"/>
  <c r="AQ352" i="16" s="1"/>
  <c r="AR352" i="16" s="1"/>
  <c r="AA352" i="16"/>
  <c r="AB352" i="16" s="1"/>
  <c r="AC352" i="16" s="1"/>
  <c r="N352" i="16"/>
  <c r="K355" i="16" l="1"/>
  <c r="L354" i="16"/>
  <c r="AP353" i="16"/>
  <c r="AQ353" i="16" s="1"/>
  <c r="AR353" i="16" s="1"/>
  <c r="AA353" i="16"/>
  <c r="AB353" i="16" s="1"/>
  <c r="AC353" i="16" s="1"/>
  <c r="N353" i="16"/>
  <c r="S353" i="16"/>
  <c r="AI353" i="16"/>
  <c r="AJ353" i="16" s="1"/>
  <c r="AK353" i="16" s="1"/>
  <c r="T353" i="16"/>
  <c r="U353" i="16" s="1"/>
  <c r="V353" i="16" s="1"/>
  <c r="X353" i="16"/>
  <c r="M353" i="16"/>
  <c r="K356" i="16" l="1"/>
  <c r="L355" i="16"/>
  <c r="X354" i="16"/>
  <c r="AI354" i="16"/>
  <c r="AJ354" i="16" s="1"/>
  <c r="AK354" i="16" s="1"/>
  <c r="M354" i="16"/>
  <c r="T354" i="16"/>
  <c r="U354" i="16" s="1"/>
  <c r="V354" i="16" s="1"/>
  <c r="S354" i="16"/>
  <c r="AA354" i="16"/>
  <c r="AB354" i="16" s="1"/>
  <c r="AC354" i="16" s="1"/>
  <c r="AP354" i="16"/>
  <c r="AQ354" i="16" s="1"/>
  <c r="AR354" i="16" s="1"/>
  <c r="N354" i="16"/>
  <c r="K357" i="16" l="1"/>
  <c r="L356" i="16"/>
  <c r="X355" i="16"/>
  <c r="M355" i="16"/>
  <c r="AI355" i="16"/>
  <c r="AJ355" i="16" s="1"/>
  <c r="AK355" i="16" s="1"/>
  <c r="T355" i="16"/>
  <c r="U355" i="16" s="1"/>
  <c r="V355" i="16" s="1"/>
  <c r="S355" i="16"/>
  <c r="AP355" i="16"/>
  <c r="AQ355" i="16" s="1"/>
  <c r="AR355" i="16" s="1"/>
  <c r="AA355" i="16"/>
  <c r="AB355" i="16" s="1"/>
  <c r="AC355" i="16" s="1"/>
  <c r="N355" i="16"/>
  <c r="K358" i="16" l="1"/>
  <c r="L357" i="16"/>
  <c r="AP356" i="16"/>
  <c r="AQ356" i="16" s="1"/>
  <c r="AR356" i="16" s="1"/>
  <c r="AA356" i="16"/>
  <c r="AB356" i="16" s="1"/>
  <c r="AC356" i="16" s="1"/>
  <c r="N356" i="16"/>
  <c r="S356" i="16"/>
  <c r="AI356" i="16"/>
  <c r="AJ356" i="16" s="1"/>
  <c r="AK356" i="16" s="1"/>
  <c r="T356" i="16"/>
  <c r="U356" i="16" s="1"/>
  <c r="V356" i="16" s="1"/>
  <c r="X356" i="16"/>
  <c r="M356" i="16"/>
  <c r="K359" i="16" l="1"/>
  <c r="L358" i="16"/>
  <c r="X357" i="16"/>
  <c r="M357" i="16"/>
  <c r="AI357" i="16"/>
  <c r="AJ357" i="16" s="1"/>
  <c r="AK357" i="16" s="1"/>
  <c r="T357" i="16"/>
  <c r="U357" i="16" s="1"/>
  <c r="V357" i="16" s="1"/>
  <c r="S357" i="16"/>
  <c r="AP357" i="16"/>
  <c r="AQ357" i="16" s="1"/>
  <c r="AR357" i="16" s="1"/>
  <c r="AA357" i="16"/>
  <c r="AB357" i="16" s="1"/>
  <c r="AC357" i="16" s="1"/>
  <c r="N357" i="16"/>
  <c r="K360" i="16" l="1"/>
  <c r="L359" i="16"/>
  <c r="AP358" i="16"/>
  <c r="AQ358" i="16" s="1"/>
  <c r="AR358" i="16" s="1"/>
  <c r="AA358" i="16"/>
  <c r="AB358" i="16" s="1"/>
  <c r="AC358" i="16" s="1"/>
  <c r="N358" i="16"/>
  <c r="S358" i="16"/>
  <c r="AI358" i="16"/>
  <c r="AJ358" i="16" s="1"/>
  <c r="AK358" i="16" s="1"/>
  <c r="T358" i="16"/>
  <c r="U358" i="16" s="1"/>
  <c r="V358" i="16" s="1"/>
  <c r="X358" i="16"/>
  <c r="M358" i="16"/>
  <c r="K361" i="16" l="1"/>
  <c r="L360" i="16"/>
  <c r="X359" i="16"/>
  <c r="M359" i="16"/>
  <c r="AA359" i="16"/>
  <c r="AB359" i="16" s="1"/>
  <c r="AC359" i="16" s="1"/>
  <c r="AP359" i="16"/>
  <c r="AQ359" i="16" s="1"/>
  <c r="AR359" i="16" s="1"/>
  <c r="S359" i="16"/>
  <c r="AI359" i="16"/>
  <c r="AJ359" i="16" s="1"/>
  <c r="AK359" i="16" s="1"/>
  <c r="N359" i="16"/>
  <c r="T359" i="16"/>
  <c r="U359" i="16" s="1"/>
  <c r="V359" i="16" s="1"/>
  <c r="K362" i="16" l="1"/>
  <c r="L361" i="16"/>
  <c r="AP360" i="16"/>
  <c r="AQ360" i="16" s="1"/>
  <c r="AR360" i="16" s="1"/>
  <c r="AA360" i="16"/>
  <c r="AB360" i="16" s="1"/>
  <c r="AC360" i="16" s="1"/>
  <c r="N360" i="16"/>
  <c r="M360" i="16"/>
  <c r="AI360" i="16"/>
  <c r="AJ360" i="16" s="1"/>
  <c r="AK360" i="16" s="1"/>
  <c r="T360" i="16"/>
  <c r="U360" i="16" s="1"/>
  <c r="V360" i="16" s="1"/>
  <c r="X360" i="16"/>
  <c r="S360" i="16"/>
  <c r="K363" i="16" l="1"/>
  <c r="L362" i="16"/>
  <c r="X361" i="16"/>
  <c r="M361" i="16"/>
  <c r="AI361" i="16"/>
  <c r="AJ361" i="16" s="1"/>
  <c r="AK361" i="16" s="1"/>
  <c r="T361" i="16"/>
  <c r="U361" i="16" s="1"/>
  <c r="V361" i="16" s="1"/>
  <c r="S361" i="16"/>
  <c r="AP361" i="16"/>
  <c r="AQ361" i="16" s="1"/>
  <c r="AR361" i="16" s="1"/>
  <c r="AA361" i="16"/>
  <c r="N361" i="16"/>
  <c r="E81" i="8"/>
  <c r="Y81" i="8" s="1"/>
  <c r="E76" i="8"/>
  <c r="Y76" i="8" s="1"/>
  <c r="K364" i="16" l="1"/>
  <c r="L363" i="16"/>
  <c r="E78" i="8"/>
  <c r="Y78" i="8" s="1"/>
  <c r="E84" i="8"/>
  <c r="Y84" i="8" s="1"/>
  <c r="E79" i="8"/>
  <c r="Y79" i="8" s="1"/>
  <c r="E75" i="8"/>
  <c r="Y75" i="8" s="1"/>
  <c r="E82" i="8"/>
  <c r="Y82" i="8" s="1"/>
  <c r="E80" i="8"/>
  <c r="Y80" i="8" s="1"/>
  <c r="E77" i="8"/>
  <c r="Y77" i="8" s="1"/>
  <c r="E83" i="8"/>
  <c r="Y83" i="8" s="1"/>
  <c r="X363" i="16"/>
  <c r="U73" i="8"/>
  <c r="U80" i="8"/>
  <c r="U74" i="8"/>
  <c r="U78" i="8"/>
  <c r="U77" i="8"/>
  <c r="U76" i="8"/>
  <c r="U84" i="8"/>
  <c r="U83" i="8"/>
  <c r="U81" i="8"/>
  <c r="U75" i="8"/>
  <c r="U82" i="8"/>
  <c r="U79" i="8"/>
  <c r="AI362" i="16"/>
  <c r="AJ362" i="16" s="1"/>
  <c r="T362" i="16"/>
  <c r="U362" i="16" s="1"/>
  <c r="V362" i="16" s="1"/>
  <c r="X362" i="16"/>
  <c r="M362" i="16"/>
  <c r="AP362" i="16"/>
  <c r="AQ362" i="16" s="1"/>
  <c r="AA362" i="16"/>
  <c r="AB362" i="16" s="1"/>
  <c r="AC362" i="16" s="1"/>
  <c r="N362" i="16"/>
  <c r="S362" i="16"/>
  <c r="E66" i="8"/>
  <c r="Y66" i="8" s="1"/>
  <c r="E67" i="8"/>
  <c r="Y67" i="8" s="1"/>
  <c r="E69" i="8"/>
  <c r="Y69" i="8" s="1"/>
  <c r="E68" i="8"/>
  <c r="Y68" i="8" s="1"/>
  <c r="E72" i="8"/>
  <c r="Y72" i="8" s="1"/>
  <c r="E71" i="8"/>
  <c r="Y71" i="8" s="1"/>
  <c r="E70" i="8"/>
  <c r="Y70" i="8" s="1"/>
  <c r="E73" i="8"/>
  <c r="Y73" i="8" s="1"/>
  <c r="E74" i="8"/>
  <c r="Y74" i="8" s="1"/>
  <c r="AB361" i="16"/>
  <c r="K365" i="16" l="1"/>
  <c r="L364" i="16"/>
  <c r="AC361" i="16"/>
  <c r="AR362" i="16"/>
  <c r="AK362" i="16"/>
  <c r="AP363" i="16"/>
  <c r="AQ363" i="16" s="1"/>
  <c r="AR363" i="16" s="1"/>
  <c r="N363" i="16"/>
  <c r="T363" i="16"/>
  <c r="U363" i="16" s="1"/>
  <c r="V363" i="16" s="1"/>
  <c r="AA363" i="16"/>
  <c r="S363" i="16"/>
  <c r="M363" i="16"/>
  <c r="M9" i="16" s="1"/>
  <c r="L37" i="8" s="1"/>
  <c r="K37" i="8" s="1"/>
  <c r="AI363" i="16"/>
  <c r="AJ363" i="16" s="1"/>
  <c r="AK363" i="16" s="1"/>
  <c r="Y9" i="16"/>
  <c r="U68" i="8"/>
  <c r="U66" i="8"/>
  <c r="U69" i="8"/>
  <c r="U67" i="8"/>
  <c r="U70" i="8"/>
  <c r="U72" i="8"/>
  <c r="U71" i="8"/>
  <c r="S364" i="16" l="1"/>
  <c r="M364" i="16"/>
  <c r="T364" i="16"/>
  <c r="U364" i="16" s="1"/>
  <c r="AI364" i="16"/>
  <c r="AJ364" i="16" s="1"/>
  <c r="AK364" i="16" s="1"/>
  <c r="AP364" i="16"/>
  <c r="AQ364" i="16" s="1"/>
  <c r="X364" i="16"/>
  <c r="N364" i="16"/>
  <c r="AA364" i="16"/>
  <c r="AB364" i="16" s="1"/>
  <c r="AC364" i="16" s="1"/>
  <c r="K366" i="16"/>
  <c r="L365" i="16"/>
  <c r="V38" i="8"/>
  <c r="Q8" i="16"/>
  <c r="AB363" i="16"/>
  <c r="E48" i="8"/>
  <c r="AQ9" i="16"/>
  <c r="L38" i="8" s="1"/>
  <c r="AJ9" i="16"/>
  <c r="U9" i="16"/>
  <c r="Q7" i="16"/>
  <c r="AR364" i="16" l="1"/>
  <c r="K367" i="16"/>
  <c r="L366" i="16"/>
  <c r="V364" i="16"/>
  <c r="S365" i="16"/>
  <c r="AA365" i="16"/>
  <c r="T365" i="16"/>
  <c r="U365" i="16" s="1"/>
  <c r="X365" i="16"/>
  <c r="M365" i="16"/>
  <c r="AI365" i="16"/>
  <c r="AJ365" i="16" s="1"/>
  <c r="AP365" i="16"/>
  <c r="AQ365" i="16" s="1"/>
  <c r="N365" i="16"/>
  <c r="AC363" i="16"/>
  <c r="U107" i="8"/>
  <c r="E49" i="8"/>
  <c r="AB9" i="16"/>
  <c r="V365" i="16" l="1"/>
  <c r="AB365" i="16"/>
  <c r="AP366" i="16"/>
  <c r="AQ366" i="16" s="1"/>
  <c r="S366" i="16"/>
  <c r="T366" i="16"/>
  <c r="U366" i="16" s="1"/>
  <c r="AI366" i="16"/>
  <c r="AJ366" i="16" s="1"/>
  <c r="AK366" i="16" s="1"/>
  <c r="X366" i="16"/>
  <c r="N366" i="16"/>
  <c r="AA366" i="16"/>
  <c r="AB366" i="16" s="1"/>
  <c r="AC366" i="16" s="1"/>
  <c r="M366" i="16"/>
  <c r="AR365" i="16"/>
  <c r="K368" i="16"/>
  <c r="L368" i="16" s="1"/>
  <c r="L367" i="16"/>
  <c r="AK365" i="16"/>
  <c r="AR366" i="16" l="1"/>
  <c r="V366" i="16"/>
  <c r="AP367" i="16"/>
  <c r="AQ367" i="16" s="1"/>
  <c r="AI367" i="16"/>
  <c r="AJ367" i="16" s="1"/>
  <c r="X367" i="16"/>
  <c r="S367" i="16"/>
  <c r="M367" i="16"/>
  <c r="N367" i="16"/>
  <c r="T367" i="16"/>
  <c r="U367" i="16" s="1"/>
  <c r="V367" i="16" s="1"/>
  <c r="AA367" i="16"/>
  <c r="V34" i="16"/>
  <c r="V24" i="16"/>
  <c r="V31" i="16"/>
  <c r="V32" i="16"/>
  <c r="V36" i="16"/>
  <c r="V26" i="16"/>
  <c r="V25" i="16"/>
  <c r="M368" i="16"/>
  <c r="T368" i="16"/>
  <c r="U368" i="16" s="1"/>
  <c r="N368" i="16"/>
  <c r="AA368" i="16"/>
  <c r="AB368" i="16" s="1"/>
  <c r="X368" i="16"/>
  <c r="AP368" i="16"/>
  <c r="AQ368" i="16" s="1"/>
  <c r="AR25" i="16" s="1"/>
  <c r="AI368" i="16"/>
  <c r="AJ368" i="16" s="1"/>
  <c r="S368" i="16"/>
  <c r="V22" i="16"/>
  <c r="AC365" i="16"/>
  <c r="AK32" i="16" l="1"/>
  <c r="AK31" i="16"/>
  <c r="AK25" i="16"/>
  <c r="AK21" i="16"/>
  <c r="V30" i="16"/>
  <c r="V15" i="16"/>
  <c r="V17" i="16"/>
  <c r="V21" i="16"/>
  <c r="V20" i="16"/>
  <c r="V37" i="16"/>
  <c r="AK24" i="16"/>
  <c r="AR34" i="16"/>
  <c r="AR24" i="16"/>
  <c r="V35" i="16"/>
  <c r="V12" i="16"/>
  <c r="V18" i="16"/>
  <c r="V29" i="16"/>
  <c r="V33" i="16"/>
  <c r="V16" i="16"/>
  <c r="AK12" i="16"/>
  <c r="AK30" i="16"/>
  <c r="AR26" i="16"/>
  <c r="AR31" i="16"/>
  <c r="AR30" i="16"/>
  <c r="AR33" i="16"/>
  <c r="AR35" i="16"/>
  <c r="AR12" i="16"/>
  <c r="AR17" i="16"/>
  <c r="AR21" i="16"/>
  <c r="AR37" i="16"/>
  <c r="V19" i="16"/>
  <c r="V23" i="16"/>
  <c r="V368" i="16"/>
  <c r="P7" i="16"/>
  <c r="O368" i="16" s="1"/>
  <c r="O10" i="16"/>
  <c r="Q10" i="16"/>
  <c r="P10" i="16"/>
  <c r="AK23" i="16"/>
  <c r="AM11" i="16" s="1"/>
  <c r="AN11" i="16" s="1"/>
  <c r="AK368" i="16"/>
  <c r="AK367" i="16"/>
  <c r="AL12" i="16"/>
  <c r="AR367" i="16"/>
  <c r="AS12" i="16"/>
  <c r="AC37" i="16"/>
  <c r="AC368" i="16"/>
  <c r="AB367" i="16"/>
  <c r="G118" i="8"/>
  <c r="G120" i="8"/>
  <c r="G119" i="8"/>
  <c r="V27" i="16"/>
  <c r="AR23" i="16"/>
  <c r="AR32" i="16"/>
  <c r="AR368" i="16"/>
  <c r="AC16" i="16" l="1"/>
  <c r="AC13" i="16"/>
  <c r="AC36" i="16"/>
  <c r="AC14" i="16"/>
  <c r="AC33" i="16"/>
  <c r="AC34" i="16"/>
  <c r="AC25" i="16"/>
  <c r="AC26" i="16"/>
  <c r="AC17" i="16"/>
  <c r="AC15" i="16"/>
  <c r="AC24" i="16"/>
  <c r="AC19" i="16"/>
  <c r="AC22" i="16"/>
  <c r="AC28" i="16"/>
  <c r="AC32" i="16"/>
  <c r="AC30" i="16"/>
  <c r="AC31" i="16"/>
  <c r="Q32" i="16"/>
  <c r="Q88" i="16"/>
  <c r="Q59" i="16"/>
  <c r="Q60" i="16"/>
  <c r="Q61" i="16"/>
  <c r="Q62" i="16"/>
  <c r="Q328" i="16"/>
  <c r="Q244" i="16"/>
  <c r="Q280" i="16"/>
  <c r="Q115" i="16"/>
  <c r="Q311" i="16"/>
  <c r="Q316" i="16"/>
  <c r="Q179" i="16"/>
  <c r="Q120" i="16"/>
  <c r="Q168" i="16"/>
  <c r="Q137" i="16"/>
  <c r="Q185" i="16"/>
  <c r="Q221" i="16"/>
  <c r="Q269" i="16"/>
  <c r="Q317" i="16"/>
  <c r="Q196" i="16"/>
  <c r="Q346" i="16"/>
  <c r="Q298" i="16"/>
  <c r="Q250" i="16"/>
  <c r="Q331" i="16"/>
  <c r="Q235" i="16"/>
  <c r="Q151" i="16"/>
  <c r="Q96" i="16"/>
  <c r="Q56" i="16"/>
  <c r="Q97" i="16"/>
  <c r="Q51" i="16"/>
  <c r="Q52" i="16"/>
  <c r="Q53" i="16"/>
  <c r="Q54" i="16"/>
  <c r="Q231" i="16"/>
  <c r="Q295" i="16"/>
  <c r="Q248" i="16"/>
  <c r="Q114" i="16"/>
  <c r="Q263" i="16"/>
  <c r="Q300" i="16"/>
  <c r="Q131" i="16"/>
  <c r="Q203" i="16"/>
  <c r="Q124" i="16"/>
  <c r="Q172" i="16"/>
  <c r="Q141" i="16"/>
  <c r="Q189" i="16"/>
  <c r="Q225" i="16"/>
  <c r="Q273" i="16"/>
  <c r="Q321" i="16"/>
  <c r="Q204" i="16"/>
  <c r="Q342" i="16"/>
  <c r="Q294" i="16"/>
  <c r="Q246" i="16"/>
  <c r="Q323" i="16"/>
  <c r="Q227" i="16"/>
  <c r="Q143" i="16"/>
  <c r="Q126" i="16"/>
  <c r="Q364" i="16"/>
  <c r="Q71" i="16"/>
  <c r="Q24" i="16"/>
  <c r="Q81" i="16"/>
  <c r="Q43" i="16"/>
  <c r="Q44" i="16"/>
  <c r="Q89" i="16"/>
  <c r="Q45" i="16"/>
  <c r="Q46" i="16"/>
  <c r="Q292" i="16"/>
  <c r="Q344" i="16"/>
  <c r="Q212" i="16"/>
  <c r="Q190" i="16"/>
  <c r="Q223" i="16"/>
  <c r="Q284" i="16"/>
  <c r="Q178" i="16"/>
  <c r="Q171" i="16"/>
  <c r="Q128" i="16"/>
  <c r="Q176" i="16"/>
  <c r="Q145" i="16"/>
  <c r="Q193" i="16"/>
  <c r="Q229" i="16"/>
  <c r="Q277" i="16"/>
  <c r="Q325" i="16"/>
  <c r="Q210" i="16"/>
  <c r="Q338" i="16"/>
  <c r="Q290" i="16"/>
  <c r="Q242" i="16"/>
  <c r="Q315" i="16"/>
  <c r="Q219" i="16"/>
  <c r="Q135" i="16"/>
  <c r="Q118" i="16"/>
  <c r="Q64" i="16"/>
  <c r="Q79" i="16"/>
  <c r="Q65" i="16"/>
  <c r="Q35" i="16"/>
  <c r="Q36" i="16"/>
  <c r="Q73" i="16"/>
  <c r="Q37" i="16"/>
  <c r="Q38" i="16"/>
  <c r="Q264" i="16"/>
  <c r="Q312" i="16"/>
  <c r="Q319" i="16"/>
  <c r="Q130" i="16"/>
  <c r="Q187" i="16"/>
  <c r="Q268" i="16"/>
  <c r="Q138" i="16"/>
  <c r="Q139" i="16"/>
  <c r="Q132" i="16"/>
  <c r="Q180" i="16"/>
  <c r="Q149" i="16"/>
  <c r="Q197" i="16"/>
  <c r="Q233" i="16"/>
  <c r="Q281" i="16"/>
  <c r="Q329" i="16"/>
  <c r="Q214" i="16"/>
  <c r="Q334" i="16"/>
  <c r="Q286" i="16"/>
  <c r="Q238" i="16"/>
  <c r="Q307" i="16"/>
  <c r="Q211" i="16"/>
  <c r="Q127" i="16"/>
  <c r="Q110" i="16"/>
  <c r="Q47" i="16"/>
  <c r="Q105" i="16"/>
  <c r="Q41" i="16"/>
  <c r="Q27" i="16"/>
  <c r="Q28" i="16"/>
  <c r="Q49" i="16"/>
  <c r="Q29" i="16"/>
  <c r="Q30" i="16"/>
  <c r="Q240" i="16"/>
  <c r="Q288" i="16"/>
  <c r="Q255" i="16"/>
  <c r="Q360" i="16"/>
  <c r="Q123" i="16"/>
  <c r="Q252" i="16"/>
  <c r="Q154" i="16"/>
  <c r="Q136" i="16"/>
  <c r="Q184" i="16"/>
  <c r="Q153" i="16"/>
  <c r="Q201" i="16"/>
  <c r="Q237" i="16"/>
  <c r="Q285" i="16"/>
  <c r="Q333" i="16"/>
  <c r="Q218" i="16"/>
  <c r="Q330" i="16"/>
  <c r="Q282" i="16"/>
  <c r="Q232" i="16"/>
  <c r="Q299" i="16"/>
  <c r="Q198" i="16"/>
  <c r="Q119" i="16"/>
  <c r="Q39" i="16"/>
  <c r="Q15" i="16"/>
  <c r="Q57" i="16"/>
  <c r="Q25" i="16"/>
  <c r="Q18" i="16"/>
  <c r="Q20" i="16"/>
  <c r="Q33" i="16"/>
  <c r="Q21" i="16"/>
  <c r="Q22" i="16"/>
  <c r="Q324" i="16"/>
  <c r="Q260" i="16"/>
  <c r="Q195" i="16"/>
  <c r="Q340" i="16"/>
  <c r="Q162" i="16"/>
  <c r="Q236" i="16"/>
  <c r="Q122" i="16"/>
  <c r="Q140" i="16"/>
  <c r="Q109" i="16"/>
  <c r="Q157" i="16"/>
  <c r="Q205" i="16"/>
  <c r="Q241" i="16"/>
  <c r="Q289" i="16"/>
  <c r="Q337" i="16"/>
  <c r="Q222" i="16"/>
  <c r="Q326" i="16"/>
  <c r="Q278" i="16"/>
  <c r="Q224" i="16"/>
  <c r="Q291" i="16"/>
  <c r="Q207" i="16"/>
  <c r="Q103" i="16"/>
  <c r="Q95" i="16"/>
  <c r="Q80" i="16"/>
  <c r="Q90" i="16"/>
  <c r="Q106" i="16"/>
  <c r="Q107" i="16"/>
  <c r="Q11" i="16"/>
  <c r="Q12" i="16"/>
  <c r="Q17" i="16"/>
  <c r="Q287" i="16"/>
  <c r="Q13" i="16"/>
  <c r="Q14" i="16"/>
  <c r="Q359" i="16"/>
  <c r="Q220" i="16"/>
  <c r="Q147" i="16"/>
  <c r="Q320" i="16"/>
  <c r="Q200" i="16"/>
  <c r="Q144" i="16"/>
  <c r="Q113" i="16"/>
  <c r="Q161" i="16"/>
  <c r="Q186" i="16"/>
  <c r="Q245" i="16"/>
  <c r="Q293" i="16"/>
  <c r="Q341" i="16"/>
  <c r="Q226" i="16"/>
  <c r="Q322" i="16"/>
  <c r="Q274" i="16"/>
  <c r="Q216" i="16"/>
  <c r="Q283" i="16"/>
  <c r="Q199" i="16"/>
  <c r="Q182" i="16"/>
  <c r="Q104" i="16"/>
  <c r="Q48" i="16"/>
  <c r="T32" i="8"/>
  <c r="Q82" i="16"/>
  <c r="Q99" i="16"/>
  <c r="Q100" i="16"/>
  <c r="Q98" i="16"/>
  <c r="Q101" i="16"/>
  <c r="Q102" i="16"/>
  <c r="Q352" i="16"/>
  <c r="Q327" i="16"/>
  <c r="Q155" i="16"/>
  <c r="Q296" i="16"/>
  <c r="Q335" i="16"/>
  <c r="Q148" i="16"/>
  <c r="Q117" i="16"/>
  <c r="Q165" i="16"/>
  <c r="Q194" i="16"/>
  <c r="Q249" i="16"/>
  <c r="Q297" i="16"/>
  <c r="Q345" i="16"/>
  <c r="Q230" i="16"/>
  <c r="Q318" i="16"/>
  <c r="Q270" i="16"/>
  <c r="Q208" i="16"/>
  <c r="Q275" i="16"/>
  <c r="Q191" i="16"/>
  <c r="Q174" i="16"/>
  <c r="Q63" i="16"/>
  <c r="Q40" i="16"/>
  <c r="Q16" i="16"/>
  <c r="Q66" i="16"/>
  <c r="Q91" i="16"/>
  <c r="Q92" i="16"/>
  <c r="Q74" i="16"/>
  <c r="Q93" i="16"/>
  <c r="Q94" i="16"/>
  <c r="Q272" i="16"/>
  <c r="Q279" i="16"/>
  <c r="Q170" i="16"/>
  <c r="Q276" i="16"/>
  <c r="Q303" i="16"/>
  <c r="Q146" i="16"/>
  <c r="Q152" i="16"/>
  <c r="Q121" i="16"/>
  <c r="Q169" i="16"/>
  <c r="Q202" i="16"/>
  <c r="Q253" i="16"/>
  <c r="Q301" i="16"/>
  <c r="Q349" i="16"/>
  <c r="Q234" i="16"/>
  <c r="Q361" i="16"/>
  <c r="Q314" i="16"/>
  <c r="Q266" i="16"/>
  <c r="Q192" i="16"/>
  <c r="Q267" i="16"/>
  <c r="Q183" i="16"/>
  <c r="Q166" i="16"/>
  <c r="Q72" i="16"/>
  <c r="Q87" i="16"/>
  <c r="Q58" i="16"/>
  <c r="Q83" i="16"/>
  <c r="Q84" i="16"/>
  <c r="Q50" i="16"/>
  <c r="Q85" i="16"/>
  <c r="Q86" i="16"/>
  <c r="Q343" i="16"/>
  <c r="Q215" i="16"/>
  <c r="Q256" i="16"/>
  <c r="Q271" i="16"/>
  <c r="Q108" i="16"/>
  <c r="Q156" i="16"/>
  <c r="Q125" i="16"/>
  <c r="Q173" i="16"/>
  <c r="Q209" i="16"/>
  <c r="Q257" i="16"/>
  <c r="Q305" i="16"/>
  <c r="Q353" i="16"/>
  <c r="Q358" i="16"/>
  <c r="Q310" i="16"/>
  <c r="Q262" i="16"/>
  <c r="Q355" i="16"/>
  <c r="Q259" i="16"/>
  <c r="Q175" i="16"/>
  <c r="Q158" i="16"/>
  <c r="Q55" i="16"/>
  <c r="Q42" i="16"/>
  <c r="Q75" i="16"/>
  <c r="Q76" i="16"/>
  <c r="Q34" i="16"/>
  <c r="Q77" i="16"/>
  <c r="Q78" i="16"/>
  <c r="Q356" i="16"/>
  <c r="Q336" i="16"/>
  <c r="Q163" i="16"/>
  <c r="Q228" i="16"/>
  <c r="Q348" i="16"/>
  <c r="Q239" i="16"/>
  <c r="Q112" i="16"/>
  <c r="Q160" i="16"/>
  <c r="Q129" i="16"/>
  <c r="Q177" i="16"/>
  <c r="Q213" i="16"/>
  <c r="Q261" i="16"/>
  <c r="Q309" i="16"/>
  <c r="Q357" i="16"/>
  <c r="Q354" i="16"/>
  <c r="Q306" i="16"/>
  <c r="Q258" i="16"/>
  <c r="Q347" i="16"/>
  <c r="Q251" i="16"/>
  <c r="Q167" i="16"/>
  <c r="Q150" i="16"/>
  <c r="Q31" i="16"/>
  <c r="Q23" i="16"/>
  <c r="Q26" i="16"/>
  <c r="Q67" i="16"/>
  <c r="Q68" i="16"/>
  <c r="Q19" i="16"/>
  <c r="Q69" i="16"/>
  <c r="Q70" i="16"/>
  <c r="Q247" i="16"/>
  <c r="Q304" i="16"/>
  <c r="Q308" i="16"/>
  <c r="Q351" i="16"/>
  <c r="Q332" i="16"/>
  <c r="Q206" i="16"/>
  <c r="Q116" i="16"/>
  <c r="Q164" i="16"/>
  <c r="Q133" i="16"/>
  <c r="Q181" i="16"/>
  <c r="Q217" i="16"/>
  <c r="Q265" i="16"/>
  <c r="Q313" i="16"/>
  <c r="Q188" i="16"/>
  <c r="Q350" i="16"/>
  <c r="Q302" i="16"/>
  <c r="Q254" i="16"/>
  <c r="Q339" i="16"/>
  <c r="Q243" i="16"/>
  <c r="Q159" i="16"/>
  <c r="Q142" i="16"/>
  <c r="Q363" i="16"/>
  <c r="Q362" i="16"/>
  <c r="Q111" i="16"/>
  <c r="Q134" i="16"/>
  <c r="Q365" i="16"/>
  <c r="Q366" i="16"/>
  <c r="R119" i="16"/>
  <c r="R314" i="16"/>
  <c r="R325" i="16"/>
  <c r="R111" i="16"/>
  <c r="R226" i="16"/>
  <c r="R167" i="16"/>
  <c r="R243" i="16"/>
  <c r="R291" i="16"/>
  <c r="R339" i="16"/>
  <c r="R39" i="16"/>
  <c r="R113" i="16"/>
  <c r="R273" i="16"/>
  <c r="R221" i="16"/>
  <c r="R280" i="16"/>
  <c r="R328" i="16"/>
  <c r="R282" i="16"/>
  <c r="R261" i="16"/>
  <c r="R127" i="16"/>
  <c r="R234" i="16"/>
  <c r="R175" i="16"/>
  <c r="R247" i="16"/>
  <c r="R295" i="16"/>
  <c r="R343" i="16"/>
  <c r="R71" i="16"/>
  <c r="R145" i="16"/>
  <c r="R281" i="16"/>
  <c r="R236" i="16"/>
  <c r="R284" i="16"/>
  <c r="R332" i="16"/>
  <c r="R286" i="16"/>
  <c r="R285" i="16"/>
  <c r="R87" i="16"/>
  <c r="R169" i="16"/>
  <c r="R93" i="16"/>
  <c r="R228" i="16"/>
  <c r="R180" i="16"/>
  <c r="R115" i="16"/>
  <c r="R148" i="16"/>
  <c r="R38" i="16"/>
  <c r="R90" i="16"/>
  <c r="R28" i="16"/>
  <c r="R76" i="16"/>
  <c r="R250" i="16"/>
  <c r="R171" i="16"/>
  <c r="R143" i="16"/>
  <c r="R25" i="16"/>
  <c r="R183" i="16"/>
  <c r="R251" i="16"/>
  <c r="R299" i="16"/>
  <c r="R347" i="16"/>
  <c r="R103" i="16"/>
  <c r="R163" i="16"/>
  <c r="R289" i="16"/>
  <c r="R240" i="16"/>
  <c r="R288" i="16"/>
  <c r="R336" i="16"/>
  <c r="R278" i="16"/>
  <c r="R269" i="16"/>
  <c r="R15" i="16"/>
  <c r="R165" i="16"/>
  <c r="R85" i="16"/>
  <c r="R224" i="16"/>
  <c r="R176" i="16"/>
  <c r="R107" i="16"/>
  <c r="R134" i="16"/>
  <c r="R22" i="16"/>
  <c r="R82" i="16"/>
  <c r="R32" i="16"/>
  <c r="R80" i="16"/>
  <c r="R128" i="16"/>
  <c r="R341" i="16"/>
  <c r="R198" i="16"/>
  <c r="R154" i="16"/>
  <c r="R41" i="16"/>
  <c r="R191" i="16"/>
  <c r="R255" i="16"/>
  <c r="R303" i="16"/>
  <c r="R351" i="16"/>
  <c r="R135" i="16"/>
  <c r="R179" i="16"/>
  <c r="R297" i="16"/>
  <c r="R244" i="16"/>
  <c r="R292" i="16"/>
  <c r="R340" i="16"/>
  <c r="R270" i="16"/>
  <c r="R253" i="16"/>
  <c r="R161" i="16"/>
  <c r="R77" i="16"/>
  <c r="R220" i="16"/>
  <c r="R172" i="16"/>
  <c r="R99" i="16"/>
  <c r="R118" i="16"/>
  <c r="R27" i="16"/>
  <c r="R74" i="16"/>
  <c r="R36" i="16"/>
  <c r="R84" i="16"/>
  <c r="R132" i="16"/>
  <c r="R354" i="16"/>
  <c r="R277" i="16"/>
  <c r="R46" i="16"/>
  <c r="R162" i="16"/>
  <c r="R57" i="16"/>
  <c r="R195" i="16"/>
  <c r="R259" i="16"/>
  <c r="R307" i="16"/>
  <c r="R355" i="16"/>
  <c r="R158" i="16"/>
  <c r="R193" i="16"/>
  <c r="R305" i="16"/>
  <c r="R248" i="16"/>
  <c r="R296" i="16"/>
  <c r="R344" i="16"/>
  <c r="R358" i="16"/>
  <c r="R262" i="16"/>
  <c r="R237" i="16"/>
  <c r="R157" i="16"/>
  <c r="R69" i="16"/>
  <c r="R258" i="16"/>
  <c r="R197" i="16"/>
  <c r="R110" i="16"/>
  <c r="R170" i="16"/>
  <c r="R73" i="16"/>
  <c r="R199" i="16"/>
  <c r="R263" i="16"/>
  <c r="R311" i="16"/>
  <c r="R359" i="16"/>
  <c r="R174" i="16"/>
  <c r="R201" i="16"/>
  <c r="R313" i="16"/>
  <c r="R252" i="16"/>
  <c r="R300" i="16"/>
  <c r="R348" i="16"/>
  <c r="R166" i="16"/>
  <c r="R298" i="16"/>
  <c r="R245" i="16"/>
  <c r="R330" i="16"/>
  <c r="R230" i="16"/>
  <c r="R142" i="16"/>
  <c r="R178" i="16"/>
  <c r="R89" i="16"/>
  <c r="R203" i="16"/>
  <c r="R267" i="16"/>
  <c r="R315" i="16"/>
  <c r="R209" i="16"/>
  <c r="R190" i="16"/>
  <c r="R215" i="16"/>
  <c r="R321" i="16"/>
  <c r="R256" i="16"/>
  <c r="R304" i="16"/>
  <c r="R352" i="16"/>
  <c r="R342" i="16"/>
  <c r="R246" i="16"/>
  <c r="R187" i="16"/>
  <c r="AC32" i="8"/>
  <c r="R149" i="16"/>
  <c r="R53" i="16"/>
  <c r="R208" i="16"/>
  <c r="R160" i="16"/>
  <c r="R75" i="16"/>
  <c r="R30" i="16"/>
  <c r="R146" i="16"/>
  <c r="R50" i="16"/>
  <c r="R48" i="16"/>
  <c r="R365" i="16"/>
  <c r="R65" i="16"/>
  <c r="R55" i="16"/>
  <c r="R266" i="16"/>
  <c r="R78" i="16"/>
  <c r="R31" i="16"/>
  <c r="R186" i="16"/>
  <c r="R105" i="16"/>
  <c r="R211" i="16"/>
  <c r="R271" i="16"/>
  <c r="R319" i="16"/>
  <c r="R217" i="16"/>
  <c r="R206" i="16"/>
  <c r="R231" i="16"/>
  <c r="R329" i="16"/>
  <c r="R260" i="16"/>
  <c r="R308" i="16"/>
  <c r="R356" i="16"/>
  <c r="R334" i="16"/>
  <c r="R238" i="16"/>
  <c r="R155" i="16"/>
  <c r="R141" i="16"/>
  <c r="R45" i="16"/>
  <c r="R204" i="16"/>
  <c r="R156" i="16"/>
  <c r="R67" i="16"/>
  <c r="R138" i="16"/>
  <c r="R42" i="16"/>
  <c r="R52" i="16"/>
  <c r="R100" i="16"/>
  <c r="R364" i="16"/>
  <c r="R322" i="16"/>
  <c r="R309" i="16"/>
  <c r="R338" i="16"/>
  <c r="R47" i="16"/>
  <c r="R194" i="16"/>
  <c r="R121" i="16"/>
  <c r="R219" i="16"/>
  <c r="R275" i="16"/>
  <c r="R323" i="16"/>
  <c r="R225" i="16"/>
  <c r="R222" i="16"/>
  <c r="R241" i="16"/>
  <c r="R337" i="16"/>
  <c r="R264" i="16"/>
  <c r="R312" i="16"/>
  <c r="R360" i="16"/>
  <c r="R326" i="16"/>
  <c r="R213" i="16"/>
  <c r="R97" i="16"/>
  <c r="R189" i="16"/>
  <c r="R133" i="16"/>
  <c r="R37" i="16"/>
  <c r="R357" i="16"/>
  <c r="R223" i="16"/>
  <c r="R361" i="16"/>
  <c r="R129" i="16"/>
  <c r="R306" i="16"/>
  <c r="R63" i="16"/>
  <c r="R202" i="16"/>
  <c r="R137" i="16"/>
  <c r="R227" i="16"/>
  <c r="R279" i="16"/>
  <c r="R327" i="16"/>
  <c r="R233" i="16"/>
  <c r="R17" i="16"/>
  <c r="R249" i="16"/>
  <c r="R345" i="16"/>
  <c r="R268" i="16"/>
  <c r="R316" i="16"/>
  <c r="R318" i="16"/>
  <c r="R349" i="16"/>
  <c r="R33" i="16"/>
  <c r="R185" i="16"/>
  <c r="R125" i="16"/>
  <c r="R29" i="16"/>
  <c r="R196" i="16"/>
  <c r="R147" i="16"/>
  <c r="R51" i="16"/>
  <c r="R102" i="16"/>
  <c r="R122" i="16"/>
  <c r="R26" i="16"/>
  <c r="R12" i="16"/>
  <c r="R60" i="16"/>
  <c r="R108" i="16"/>
  <c r="R290" i="16"/>
  <c r="R274" i="16"/>
  <c r="R79" i="16"/>
  <c r="R210" i="16"/>
  <c r="R151" i="16"/>
  <c r="R235" i="16"/>
  <c r="R283" i="16"/>
  <c r="R331" i="16"/>
  <c r="R14" i="16"/>
  <c r="R49" i="16"/>
  <c r="R257" i="16"/>
  <c r="R353" i="16"/>
  <c r="R272" i="16"/>
  <c r="R320" i="16"/>
  <c r="R310" i="16"/>
  <c r="R333" i="16"/>
  <c r="R214" i="16"/>
  <c r="R181" i="16"/>
  <c r="R117" i="16"/>
  <c r="R21" i="16"/>
  <c r="R229" i="16"/>
  <c r="R293" i="16"/>
  <c r="R346" i="16"/>
  <c r="R242" i="16"/>
  <c r="R95" i="16"/>
  <c r="R218" i="16"/>
  <c r="R159" i="16"/>
  <c r="R239" i="16"/>
  <c r="R287" i="16"/>
  <c r="R335" i="16"/>
  <c r="R126" i="16"/>
  <c r="R81" i="16"/>
  <c r="R265" i="16"/>
  <c r="R205" i="16"/>
  <c r="R276" i="16"/>
  <c r="R324" i="16"/>
  <c r="R302" i="16"/>
  <c r="R317" i="16"/>
  <c r="R182" i="16"/>
  <c r="R177" i="16"/>
  <c r="R109" i="16"/>
  <c r="R13" i="16"/>
  <c r="R188" i="16"/>
  <c r="R131" i="16"/>
  <c r="R35" i="16"/>
  <c r="R70" i="16"/>
  <c r="R106" i="16"/>
  <c r="R20" i="16"/>
  <c r="R68" i="16"/>
  <c r="R254" i="16"/>
  <c r="R200" i="16"/>
  <c r="R23" i="16"/>
  <c r="R19" i="16"/>
  <c r="R88" i="16"/>
  <c r="R301" i="16"/>
  <c r="R192" i="16"/>
  <c r="R94" i="16"/>
  <c r="R92" i="16"/>
  <c r="R207" i="16"/>
  <c r="R184" i="16"/>
  <c r="R62" i="16"/>
  <c r="R96" i="16"/>
  <c r="R362" i="16"/>
  <c r="R150" i="16"/>
  <c r="R168" i="16"/>
  <c r="R104" i="16"/>
  <c r="R164" i="16"/>
  <c r="R18" i="16"/>
  <c r="R112" i="16"/>
  <c r="R173" i="16"/>
  <c r="R152" i="16"/>
  <c r="R11" i="16"/>
  <c r="R16" i="16"/>
  <c r="R116" i="16"/>
  <c r="R153" i="16"/>
  <c r="R139" i="16"/>
  <c r="R130" i="16"/>
  <c r="R24" i="16"/>
  <c r="R120" i="16"/>
  <c r="R363" i="16"/>
  <c r="R101" i="16"/>
  <c r="R123" i="16"/>
  <c r="R114" i="16"/>
  <c r="R40" i="16"/>
  <c r="R124" i="16"/>
  <c r="R61" i="16"/>
  <c r="R91" i="16"/>
  <c r="R98" i="16"/>
  <c r="R44" i="16"/>
  <c r="R136" i="16"/>
  <c r="R232" i="16"/>
  <c r="R83" i="16"/>
  <c r="R86" i="16"/>
  <c r="R66" i="16"/>
  <c r="R56" i="16"/>
  <c r="R140" i="16"/>
  <c r="R350" i="16"/>
  <c r="R216" i="16"/>
  <c r="R59" i="16"/>
  <c r="R54" i="16"/>
  <c r="R58" i="16"/>
  <c r="R64" i="16"/>
  <c r="R144" i="16"/>
  <c r="R294" i="16"/>
  <c r="R212" i="16"/>
  <c r="R43" i="16"/>
  <c r="R34" i="16"/>
  <c r="R72" i="16"/>
  <c r="R366" i="16"/>
  <c r="P363" i="16"/>
  <c r="P326" i="16"/>
  <c r="P224" i="16"/>
  <c r="P360" i="16"/>
  <c r="P310" i="16"/>
  <c r="P184" i="16"/>
  <c r="P304" i="16"/>
  <c r="P256" i="16"/>
  <c r="P355" i="16"/>
  <c r="P195" i="16"/>
  <c r="P218" i="16"/>
  <c r="P353" i="16"/>
  <c r="P301" i="16"/>
  <c r="P187" i="16"/>
  <c r="P299" i="16"/>
  <c r="P251" i="16"/>
  <c r="P182" i="16"/>
  <c r="P14" i="16"/>
  <c r="P209" i="16"/>
  <c r="P156" i="16"/>
  <c r="P106" i="16"/>
  <c r="P135" i="16"/>
  <c r="P100" i="16"/>
  <c r="P177" i="16"/>
  <c r="P129" i="16"/>
  <c r="P81" i="16"/>
  <c r="P41" i="16"/>
  <c r="P173" i="16"/>
  <c r="P206" i="16"/>
  <c r="P154" i="16"/>
  <c r="P350" i="16"/>
  <c r="P266" i="16"/>
  <c r="P249" i="16"/>
  <c r="P356" i="16"/>
  <c r="P302" i="16"/>
  <c r="P300" i="16"/>
  <c r="P347" i="16"/>
  <c r="P170" i="16"/>
  <c r="P162" i="16"/>
  <c r="P73" i="16"/>
  <c r="P348" i="16"/>
  <c r="P197" i="16"/>
  <c r="P338" i="16"/>
  <c r="P314" i="16"/>
  <c r="P359" i="16"/>
  <c r="P352" i="16"/>
  <c r="P294" i="16"/>
  <c r="P335" i="16"/>
  <c r="P296" i="16"/>
  <c r="P248" i="16"/>
  <c r="P339" i="16"/>
  <c r="P285" i="16"/>
  <c r="P119" i="16"/>
  <c r="P78" i="16"/>
  <c r="P277" i="16"/>
  <c r="P165" i="16"/>
  <c r="P286" i="16"/>
  <c r="P144" i="16"/>
  <c r="P11" i="16"/>
  <c r="P358" i="16"/>
  <c r="P290" i="16"/>
  <c r="P258" i="16"/>
  <c r="P344" i="16"/>
  <c r="P278" i="16"/>
  <c r="P297" i="16"/>
  <c r="P288" i="16"/>
  <c r="P236" i="16"/>
  <c r="P323" i="16"/>
  <c r="P147" i="16"/>
  <c r="P202" i="16"/>
  <c r="P337" i="16"/>
  <c r="P269" i="16"/>
  <c r="P118" i="16"/>
  <c r="P283" i="16"/>
  <c r="P235" i="16"/>
  <c r="P146" i="16"/>
  <c r="P123" i="16"/>
  <c r="P193" i="16"/>
  <c r="P140" i="16"/>
  <c r="P74" i="16"/>
  <c r="P103" i="16"/>
  <c r="P84" i="16"/>
  <c r="P161" i="16"/>
  <c r="P113" i="16"/>
  <c r="P15" i="16"/>
  <c r="P183" i="16"/>
  <c r="P105" i="16"/>
  <c r="P79" i="16"/>
  <c r="P101" i="16"/>
  <c r="P124" i="16"/>
  <c r="P167" i="16"/>
  <c r="P97" i="16"/>
  <c r="P164" i="16"/>
  <c r="P12" i="16"/>
  <c r="P158" i="16"/>
  <c r="P205" i="16"/>
  <c r="P345" i="16"/>
  <c r="P148" i="16"/>
  <c r="P331" i="16"/>
  <c r="P239" i="16"/>
  <c r="P318" i="16"/>
  <c r="P192" i="16"/>
  <c r="P208" i="16"/>
  <c r="P340" i="16"/>
  <c r="P270" i="16"/>
  <c r="P265" i="16"/>
  <c r="P284" i="16"/>
  <c r="P228" i="16"/>
  <c r="P315" i="16"/>
  <c r="P83" i="16"/>
  <c r="P198" i="16"/>
  <c r="P333" i="16"/>
  <c r="P261" i="16"/>
  <c r="P94" i="16"/>
  <c r="P279" i="16"/>
  <c r="P231" i="16"/>
  <c r="P138" i="16"/>
  <c r="P107" i="16"/>
  <c r="P189" i="16"/>
  <c r="P136" i="16"/>
  <c r="P66" i="16"/>
  <c r="P95" i="16"/>
  <c r="P80" i="16"/>
  <c r="P157" i="16"/>
  <c r="P109" i="16"/>
  <c r="P56" i="16"/>
  <c r="P227" i="16"/>
  <c r="P132" i="16"/>
  <c r="P76" i="16"/>
  <c r="P40" i="16"/>
  <c r="P149" i="16"/>
  <c r="P114" i="16"/>
  <c r="P68" i="16"/>
  <c r="P199" i="16"/>
  <c r="P137" i="16"/>
  <c r="P293" i="16"/>
  <c r="P77" i="16"/>
  <c r="P155" i="16"/>
  <c r="P211" i="16"/>
  <c r="P139" i="16"/>
  <c r="P364" i="16"/>
  <c r="P346" i="16"/>
  <c r="P343" i="16"/>
  <c r="P327" i="16"/>
  <c r="P336" i="16"/>
  <c r="P262" i="16"/>
  <c r="P233" i="16"/>
  <c r="P280" i="16"/>
  <c r="P220" i="16"/>
  <c r="P305" i="16"/>
  <c r="P242" i="16"/>
  <c r="P194" i="16"/>
  <c r="P329" i="16"/>
  <c r="P253" i="16"/>
  <c r="P163" i="16"/>
  <c r="P275" i="16"/>
  <c r="P130" i="16"/>
  <c r="P91" i="16"/>
  <c r="P185" i="16"/>
  <c r="P87" i="16"/>
  <c r="P153" i="16"/>
  <c r="P72" i="16"/>
  <c r="P17" i="16"/>
  <c r="P71" i="16"/>
  <c r="P86" i="16"/>
  <c r="P108" i="16"/>
  <c r="P295" i="16"/>
  <c r="P96" i="16"/>
  <c r="P291" i="16"/>
  <c r="P169" i="16"/>
  <c r="P292" i="16"/>
  <c r="P111" i="16"/>
  <c r="P306" i="16"/>
  <c r="P322" i="16"/>
  <c r="P142" i="16"/>
  <c r="P332" i="16"/>
  <c r="P254" i="16"/>
  <c r="P174" i="16"/>
  <c r="P276" i="16"/>
  <c r="P212" i="16"/>
  <c r="P289" i="16"/>
  <c r="P238" i="16"/>
  <c r="P190" i="16"/>
  <c r="P325" i="16"/>
  <c r="P245" i="16"/>
  <c r="P131" i="16"/>
  <c r="P271" i="16"/>
  <c r="P223" i="16"/>
  <c r="P122" i="16"/>
  <c r="P75" i="16"/>
  <c r="P178" i="16"/>
  <c r="P128" i="16"/>
  <c r="P175" i="16"/>
  <c r="P63" i="16"/>
  <c r="P47" i="16"/>
  <c r="P217" i="16"/>
  <c r="P89" i="16"/>
  <c r="P166" i="16"/>
  <c r="P125" i="16"/>
  <c r="P243" i="16"/>
  <c r="P330" i="16"/>
  <c r="P69" i="16"/>
  <c r="P354" i="16"/>
  <c r="P298" i="16"/>
  <c r="P281" i="16"/>
  <c r="P328" i="16"/>
  <c r="P246" i="16"/>
  <c r="P110" i="16"/>
  <c r="P272" i="16"/>
  <c r="P204" i="16"/>
  <c r="P273" i="16"/>
  <c r="P234" i="16"/>
  <c r="P186" i="16"/>
  <c r="P321" i="16"/>
  <c r="P237" i="16"/>
  <c r="P99" i="16"/>
  <c r="P267" i="16"/>
  <c r="P215" i="16"/>
  <c r="P172" i="16"/>
  <c r="P145" i="16"/>
  <c r="P252" i="16"/>
  <c r="P98" i="16"/>
  <c r="P201" i="16"/>
  <c r="P240" i="16"/>
  <c r="P88" i="16"/>
  <c r="P334" i="16"/>
  <c r="P250" i="16"/>
  <c r="P179" i="16"/>
  <c r="P324" i="16"/>
  <c r="P232" i="16"/>
  <c r="P115" i="16"/>
  <c r="P268" i="16"/>
  <c r="P196" i="16"/>
  <c r="P257" i="16"/>
  <c r="P230" i="16"/>
  <c r="P180" i="16"/>
  <c r="P317" i="16"/>
  <c r="P229" i="16"/>
  <c r="P67" i="16"/>
  <c r="P263" i="16"/>
  <c r="P207" i="16"/>
  <c r="P102" i="16"/>
  <c r="P221" i="16"/>
  <c r="P168" i="16"/>
  <c r="P120" i="16"/>
  <c r="P159" i="16"/>
  <c r="P13" i="16"/>
  <c r="P16" i="16"/>
  <c r="P141" i="16"/>
  <c r="P93" i="16"/>
  <c r="P62" i="16"/>
  <c r="P188" i="16"/>
  <c r="P307" i="16"/>
  <c r="P116" i="16"/>
  <c r="P46" i="16"/>
  <c r="P247" i="16"/>
  <c r="P127" i="16"/>
  <c r="P126" i="16"/>
  <c r="P121" i="16"/>
  <c r="P341" i="16"/>
  <c r="P82" i="16"/>
  <c r="P282" i="16"/>
  <c r="P311" i="16"/>
  <c r="K32" i="8"/>
  <c r="P320" i="16"/>
  <c r="P216" i="16"/>
  <c r="P312" i="16"/>
  <c r="P264" i="16"/>
  <c r="P241" i="16"/>
  <c r="P226" i="16"/>
  <c r="P361" i="16"/>
  <c r="P313" i="16"/>
  <c r="P219" i="16"/>
  <c r="P259" i="16"/>
  <c r="P151" i="16"/>
  <c r="P214" i="16"/>
  <c r="P171" i="16"/>
  <c r="P210" i="16"/>
  <c r="P90" i="16"/>
  <c r="P244" i="16"/>
  <c r="P287" i="16"/>
  <c r="P342" i="16"/>
  <c r="P274" i="16"/>
  <c r="P362" i="16"/>
  <c r="P316" i="16"/>
  <c r="P200" i="16"/>
  <c r="P308" i="16"/>
  <c r="P260" i="16"/>
  <c r="P176" i="16"/>
  <c r="P225" i="16"/>
  <c r="P222" i="16"/>
  <c r="P357" i="16"/>
  <c r="P309" i="16"/>
  <c r="P203" i="16"/>
  <c r="P303" i="16"/>
  <c r="P255" i="16"/>
  <c r="P191" i="16"/>
  <c r="P70" i="16"/>
  <c r="P213" i="16"/>
  <c r="P160" i="16"/>
  <c r="P112" i="16"/>
  <c r="P143" i="16"/>
  <c r="P104" i="16"/>
  <c r="P181" i="16"/>
  <c r="P133" i="16"/>
  <c r="P85" i="16"/>
  <c r="P57" i="16"/>
  <c r="P351" i="16"/>
  <c r="P349" i="16"/>
  <c r="P152" i="16"/>
  <c r="P150" i="16"/>
  <c r="P92" i="16"/>
  <c r="P319" i="16"/>
  <c r="P134" i="16"/>
  <c r="P117" i="16"/>
  <c r="P60" i="16"/>
  <c r="P25" i="16"/>
  <c r="P42" i="16"/>
  <c r="P43" i="16"/>
  <c r="P53" i="16"/>
  <c r="P59" i="16"/>
  <c r="P33" i="16"/>
  <c r="P58" i="16"/>
  <c r="P29" i="16"/>
  <c r="P49" i="16"/>
  <c r="P45" i="16"/>
  <c r="P31" i="16"/>
  <c r="P26" i="16"/>
  <c r="P65" i="16"/>
  <c r="P61" i="16"/>
  <c r="P22" i="16"/>
  <c r="P24" i="16"/>
  <c r="P38" i="16"/>
  <c r="P34" i="16"/>
  <c r="P30" i="16"/>
  <c r="P54" i="16"/>
  <c r="P50" i="16"/>
  <c r="P19" i="16"/>
  <c r="P39" i="16"/>
  <c r="P35" i="16"/>
  <c r="R8" i="16"/>
  <c r="B36" i="8" s="1"/>
  <c r="P36" i="16"/>
  <c r="P55" i="16"/>
  <c r="P51" i="16"/>
  <c r="P23" i="16"/>
  <c r="P52" i="16"/>
  <c r="P32" i="16"/>
  <c r="P28" i="16"/>
  <c r="P21" i="16"/>
  <c r="P20" i="16"/>
  <c r="P27" i="16"/>
  <c r="P48" i="16"/>
  <c r="P44" i="16"/>
  <c r="P18" i="16"/>
  <c r="P37" i="16"/>
  <c r="P64" i="16"/>
  <c r="P365" i="16"/>
  <c r="P366" i="16"/>
  <c r="AC367" i="16"/>
  <c r="AC18" i="16"/>
  <c r="AC11" i="16"/>
  <c r="AC27" i="16"/>
  <c r="AC35" i="16"/>
  <c r="AC12" i="16"/>
  <c r="R368" i="16"/>
  <c r="AC23" i="16"/>
  <c r="O177" i="16"/>
  <c r="O273" i="16"/>
  <c r="O289" i="16"/>
  <c r="O106" i="16"/>
  <c r="O282" i="16"/>
  <c r="O337" i="16"/>
  <c r="O257" i="16"/>
  <c r="O42" i="16"/>
  <c r="O250" i="16"/>
  <c r="O114" i="16"/>
  <c r="O306" i="16"/>
  <c r="O169" i="16"/>
  <c r="O351" i="16"/>
  <c r="O333" i="16"/>
  <c r="O237" i="16"/>
  <c r="O141" i="16"/>
  <c r="O45" i="16"/>
  <c r="O278" i="16"/>
  <c r="O361" i="16"/>
  <c r="O332" i="16"/>
  <c r="O209" i="16"/>
  <c r="O225" i="16"/>
  <c r="O218" i="16"/>
  <c r="O130" i="16"/>
  <c r="O326" i="16"/>
  <c r="O185" i="16"/>
  <c r="O355" i="16"/>
  <c r="O325" i="16"/>
  <c r="O229" i="16"/>
  <c r="O133" i="16"/>
  <c r="O37" i="16"/>
  <c r="O270" i="16"/>
  <c r="O174" i="16"/>
  <c r="O78" i="16"/>
  <c r="O20" i="16"/>
  <c r="O68" i="16"/>
  <c r="O116" i="16"/>
  <c r="O164" i="16"/>
  <c r="O212" i="16"/>
  <c r="O346" i="16"/>
  <c r="O113" i="16"/>
  <c r="O266" i="16"/>
  <c r="O11" i="16"/>
  <c r="O241" i="16"/>
  <c r="O344" i="16"/>
  <c r="O129" i="16"/>
  <c r="O122" i="16"/>
  <c r="O364" i="16"/>
  <c r="O353" i="16"/>
  <c r="O354" i="16"/>
  <c r="O202" i="16"/>
  <c r="O97" i="16"/>
  <c r="O90" i="16"/>
  <c r="O365" i="16"/>
  <c r="O26" i="16"/>
  <c r="O324" i="16"/>
  <c r="O33" i="16"/>
  <c r="O34" i="16"/>
  <c r="O226" i="16"/>
  <c r="O89" i="16"/>
  <c r="O281" i="16"/>
  <c r="O350" i="16"/>
  <c r="O277" i="16"/>
  <c r="O181" i="16"/>
  <c r="O85" i="16"/>
  <c r="O318" i="16"/>
  <c r="O222" i="16"/>
  <c r="O126" i="16"/>
  <c r="O30" i="16"/>
  <c r="O44" i="16"/>
  <c r="O92" i="16"/>
  <c r="O140" i="16"/>
  <c r="O188" i="16"/>
  <c r="O236" i="16"/>
  <c r="O305" i="16"/>
  <c r="O138" i="16"/>
  <c r="O49" i="16"/>
  <c r="O349" i="16"/>
  <c r="O234" i="16"/>
  <c r="O17" i="16"/>
  <c r="O161" i="16"/>
  <c r="O18" i="16"/>
  <c r="O274" i="16"/>
  <c r="O217" i="16"/>
  <c r="O342" i="16"/>
  <c r="O253" i="16"/>
  <c r="O117" i="16"/>
  <c r="O334" i="16"/>
  <c r="O198" i="16"/>
  <c r="O86" i="16"/>
  <c r="O28" i="16"/>
  <c r="O84" i="16"/>
  <c r="O144" i="16"/>
  <c r="O200" i="16"/>
  <c r="O256" i="16"/>
  <c r="O304" i="16"/>
  <c r="O27" i="16"/>
  <c r="O75" i="16"/>
  <c r="O123" i="16"/>
  <c r="O171" i="16"/>
  <c r="O219" i="16"/>
  <c r="O267" i="16"/>
  <c r="O315" i="16"/>
  <c r="O208" i="16"/>
  <c r="O312" i="16"/>
  <c r="O83" i="16"/>
  <c r="O131" i="16"/>
  <c r="O227" i="16"/>
  <c r="O323" i="16"/>
  <c r="O231" i="16"/>
  <c r="O331" i="16"/>
  <c r="O65" i="16"/>
  <c r="O314" i="16"/>
  <c r="O50" i="16"/>
  <c r="O290" i="16"/>
  <c r="O233" i="16"/>
  <c r="O358" i="16"/>
  <c r="O245" i="16"/>
  <c r="O109" i="16"/>
  <c r="O310" i="16"/>
  <c r="O190" i="16"/>
  <c r="O70" i="16"/>
  <c r="O32" i="16"/>
  <c r="O88" i="16"/>
  <c r="O148" i="16"/>
  <c r="O204" i="16"/>
  <c r="O260" i="16"/>
  <c r="O308" i="16"/>
  <c r="O31" i="16"/>
  <c r="O79" i="16"/>
  <c r="O127" i="16"/>
  <c r="O175" i="16"/>
  <c r="O223" i="16"/>
  <c r="O271" i="16"/>
  <c r="O319" i="16"/>
  <c r="O183" i="16"/>
  <c r="O298" i="16"/>
  <c r="O186" i="16"/>
  <c r="O66" i="16"/>
  <c r="O360" i="16"/>
  <c r="O249" i="16"/>
  <c r="O221" i="16"/>
  <c r="O101" i="16"/>
  <c r="O302" i="16"/>
  <c r="O182" i="16"/>
  <c r="O62" i="16"/>
  <c r="O36" i="16"/>
  <c r="O96" i="16"/>
  <c r="O152" i="16"/>
  <c r="O264" i="16"/>
  <c r="O35" i="16"/>
  <c r="O179" i="16"/>
  <c r="O338" i="16"/>
  <c r="O170" i="16"/>
  <c r="O154" i="16"/>
  <c r="O82" i="16"/>
  <c r="O25" i="16"/>
  <c r="O265" i="16"/>
  <c r="O213" i="16"/>
  <c r="O93" i="16"/>
  <c r="O294" i="16"/>
  <c r="O166" i="16"/>
  <c r="O54" i="16"/>
  <c r="O40" i="16"/>
  <c r="O100" i="16"/>
  <c r="O156" i="16"/>
  <c r="O216" i="16"/>
  <c r="O268" i="16"/>
  <c r="O316" i="16"/>
  <c r="O39" i="16"/>
  <c r="O87" i="16"/>
  <c r="O135" i="16"/>
  <c r="O327" i="16"/>
  <c r="O357" i="16"/>
  <c r="O58" i="16"/>
  <c r="O98" i="16"/>
  <c r="O41" i="16"/>
  <c r="O297" i="16"/>
  <c r="O341" i="16"/>
  <c r="O205" i="16"/>
  <c r="O77" i="16"/>
  <c r="O286" i="16"/>
  <c r="O158" i="16"/>
  <c r="O46" i="16"/>
  <c r="O48" i="16"/>
  <c r="O104" i="16"/>
  <c r="O160" i="16"/>
  <c r="O220" i="16"/>
  <c r="O272" i="16"/>
  <c r="O322" i="16"/>
  <c r="O43" i="16"/>
  <c r="O91" i="16"/>
  <c r="O139" i="16"/>
  <c r="O187" i="16"/>
  <c r="O235" i="16"/>
  <c r="O321" i="16"/>
  <c r="O146" i="16"/>
  <c r="O57" i="16"/>
  <c r="O313" i="16"/>
  <c r="O317" i="16"/>
  <c r="O197" i="16"/>
  <c r="O69" i="16"/>
  <c r="O262" i="16"/>
  <c r="O150" i="16"/>
  <c r="O38" i="16"/>
  <c r="O52" i="16"/>
  <c r="O108" i="16"/>
  <c r="O168" i="16"/>
  <c r="O224" i="16"/>
  <c r="O276" i="16"/>
  <c r="O330" i="16"/>
  <c r="O47" i="16"/>
  <c r="O95" i="16"/>
  <c r="O143" i="16"/>
  <c r="O191" i="16"/>
  <c r="O239" i="16"/>
  <c r="O287" i="16"/>
  <c r="O335" i="16"/>
  <c r="O251" i="16"/>
  <c r="O111" i="16"/>
  <c r="O303" i="16"/>
  <c r="O259" i="16"/>
  <c r="O145" i="16"/>
  <c r="O162" i="16"/>
  <c r="O73" i="16"/>
  <c r="O329" i="16"/>
  <c r="O309" i="16"/>
  <c r="O189" i="16"/>
  <c r="O61" i="16"/>
  <c r="O254" i="16"/>
  <c r="O142" i="16"/>
  <c r="O22" i="16"/>
  <c r="O56" i="16"/>
  <c r="O112" i="16"/>
  <c r="O172" i="16"/>
  <c r="O228" i="16"/>
  <c r="O280" i="16"/>
  <c r="O340" i="16"/>
  <c r="O51" i="16"/>
  <c r="O99" i="16"/>
  <c r="O147" i="16"/>
  <c r="O195" i="16"/>
  <c r="O243" i="16"/>
  <c r="O291" i="16"/>
  <c r="O339" i="16"/>
  <c r="O240" i="16"/>
  <c r="O356" i="16"/>
  <c r="O107" i="16"/>
  <c r="O203" i="16"/>
  <c r="O347" i="16"/>
  <c r="O207" i="16"/>
  <c r="O307" i="16"/>
  <c r="O283" i="16"/>
  <c r="O81" i="16"/>
  <c r="O178" i="16"/>
  <c r="O105" i="16"/>
  <c r="O345" i="16"/>
  <c r="O301" i="16"/>
  <c r="O173" i="16"/>
  <c r="O53" i="16"/>
  <c r="O246" i="16"/>
  <c r="O134" i="16"/>
  <c r="O14" i="16"/>
  <c r="O60" i="16"/>
  <c r="O120" i="16"/>
  <c r="O176" i="16"/>
  <c r="O232" i="16"/>
  <c r="O284" i="16"/>
  <c r="O348" i="16"/>
  <c r="O55" i="16"/>
  <c r="O103" i="16"/>
  <c r="O151" i="16"/>
  <c r="O199" i="16"/>
  <c r="O247" i="16"/>
  <c r="O295" i="16"/>
  <c r="O343" i="16"/>
  <c r="O124" i="16"/>
  <c r="O59" i="16"/>
  <c r="O299" i="16"/>
  <c r="O255" i="16"/>
  <c r="O211" i="16"/>
  <c r="O74" i="16"/>
  <c r="O194" i="16"/>
  <c r="O121" i="16"/>
  <c r="O359" i="16"/>
  <c r="O293" i="16"/>
  <c r="O165" i="16"/>
  <c r="O29" i="16"/>
  <c r="O238" i="16"/>
  <c r="O118" i="16"/>
  <c r="O363" i="16"/>
  <c r="O64" i="16"/>
  <c r="O180" i="16"/>
  <c r="O288" i="16"/>
  <c r="O155" i="16"/>
  <c r="O210" i="16"/>
  <c r="O137" i="16"/>
  <c r="O320" i="16"/>
  <c r="O285" i="16"/>
  <c r="O157" i="16"/>
  <c r="O21" i="16"/>
  <c r="O230" i="16"/>
  <c r="O110" i="16"/>
  <c r="O12" i="16"/>
  <c r="O72" i="16"/>
  <c r="O128" i="16"/>
  <c r="O184" i="16"/>
  <c r="O244" i="16"/>
  <c r="O292" i="16"/>
  <c r="O15" i="16"/>
  <c r="O63" i="16"/>
  <c r="O159" i="16"/>
  <c r="O242" i="16"/>
  <c r="O153" i="16"/>
  <c r="O328" i="16"/>
  <c r="O269" i="16"/>
  <c r="O149" i="16"/>
  <c r="O13" i="16"/>
  <c r="O214" i="16"/>
  <c r="O102" i="16"/>
  <c r="O16" i="16"/>
  <c r="O76" i="16"/>
  <c r="O132" i="16"/>
  <c r="O192" i="16"/>
  <c r="O248" i="16"/>
  <c r="O296" i="16"/>
  <c r="O19" i="16"/>
  <c r="O67" i="16"/>
  <c r="O115" i="16"/>
  <c r="O163" i="16"/>
  <c r="O193" i="16"/>
  <c r="O362" i="16"/>
  <c r="O258" i="16"/>
  <c r="O201" i="16"/>
  <c r="O336" i="16"/>
  <c r="O261" i="16"/>
  <c r="O125" i="16"/>
  <c r="O352" i="16"/>
  <c r="O206" i="16"/>
  <c r="O94" i="16"/>
  <c r="O24" i="16"/>
  <c r="O80" i="16"/>
  <c r="O136" i="16"/>
  <c r="O196" i="16"/>
  <c r="O252" i="16"/>
  <c r="O300" i="16"/>
  <c r="O23" i="16"/>
  <c r="O71" i="16"/>
  <c r="O119" i="16"/>
  <c r="O167" i="16"/>
  <c r="O215" i="16"/>
  <c r="O263" i="16"/>
  <c r="O311" i="16"/>
  <c r="O275" i="16"/>
  <c r="O279" i="16"/>
  <c r="O366" i="16"/>
  <c r="AC29" i="16"/>
  <c r="P368" i="16"/>
  <c r="AC20" i="16"/>
  <c r="O367" i="16"/>
  <c r="AC21" i="16"/>
  <c r="R367" i="16"/>
  <c r="AT11" i="16"/>
  <c r="Q38" i="8"/>
  <c r="K38" i="8" s="1"/>
  <c r="B92" i="8"/>
  <c r="AT12" i="16"/>
  <c r="AU12" i="16" s="1"/>
  <c r="U92" i="8" s="1"/>
  <c r="AS13" i="16"/>
  <c r="Q367" i="16"/>
  <c r="Q368" i="16"/>
  <c r="P367" i="16"/>
  <c r="AL13" i="16"/>
  <c r="AM12" i="16"/>
  <c r="AN12" i="16" s="1"/>
  <c r="AL14" i="16" l="1"/>
  <c r="AM13" i="16"/>
  <c r="AN13" i="16" s="1"/>
  <c r="M48" i="8"/>
  <c r="M49" i="8"/>
  <c r="M47" i="8"/>
  <c r="B93" i="8"/>
  <c r="AT13" i="16"/>
  <c r="AU13" i="16" s="1"/>
  <c r="AS14" i="16"/>
  <c r="O47" i="8"/>
  <c r="O48" i="8"/>
  <c r="O49" i="8"/>
  <c r="K49" i="8"/>
  <c r="K47" i="8"/>
  <c r="K48" i="8"/>
  <c r="E92" i="8"/>
  <c r="Y92" i="8" s="1"/>
  <c r="E91" i="8"/>
  <c r="Y91" i="8" s="1"/>
  <c r="AU11" i="16"/>
  <c r="U91" i="8" s="1"/>
  <c r="Q120" i="8" l="1"/>
  <c r="Q118" i="8"/>
  <c r="Q119" i="8"/>
  <c r="Q117" i="8"/>
  <c r="B94" i="8"/>
  <c r="AS15" i="16"/>
  <c r="AT14" i="16"/>
  <c r="AU14" i="16" s="1"/>
  <c r="U94" i="8" s="1"/>
  <c r="U93" i="8"/>
  <c r="E93" i="8"/>
  <c r="Y93" i="8" s="1"/>
  <c r="O119" i="8"/>
  <c r="O120" i="8"/>
  <c r="O117" i="8"/>
  <c r="O118" i="8"/>
  <c r="M119" i="8"/>
  <c r="M120" i="8"/>
  <c r="M117" i="8"/>
  <c r="M118" i="8"/>
  <c r="AM14" i="16"/>
  <c r="AN14" i="16" s="1"/>
  <c r="AL15" i="16"/>
  <c r="E94" i="8" l="1"/>
  <c r="Y94" i="8" s="1"/>
  <c r="B95" i="8"/>
  <c r="AS16" i="16"/>
  <c r="AT15" i="16"/>
  <c r="AU15" i="16" s="1"/>
  <c r="U95" i="8" s="1"/>
  <c r="AM15" i="16"/>
  <c r="AN15" i="16" s="1"/>
  <c r="AL16" i="16"/>
  <c r="E95" i="8" l="1"/>
  <c r="Y95" i="8" s="1"/>
  <c r="AL17" i="16"/>
  <c r="AM16" i="16"/>
  <c r="AN16" i="16" s="1"/>
  <c r="B96" i="8"/>
  <c r="E96" i="8" s="1"/>
  <c r="Y96" i="8" s="1"/>
  <c r="AT16" i="16"/>
  <c r="AU16" i="16" s="1"/>
  <c r="AS17" i="16"/>
  <c r="U96" i="8" l="1"/>
  <c r="B97" i="8"/>
  <c r="AT17" i="16"/>
  <c r="AU17" i="16" s="1"/>
  <c r="AS18" i="16"/>
  <c r="AM17" i="16"/>
  <c r="AN17" i="16" s="1"/>
  <c r="AL18" i="16"/>
  <c r="AL19" i="16" l="1"/>
  <c r="AM18" i="16"/>
  <c r="AN18" i="16" s="1"/>
  <c r="B98" i="8"/>
  <c r="AT18" i="16"/>
  <c r="AU18" i="16" s="1"/>
  <c r="AS19" i="16"/>
  <c r="E97" i="8"/>
  <c r="Y97" i="8" s="1"/>
  <c r="U97" i="8"/>
  <c r="B99" i="8" l="1"/>
  <c r="AS20" i="16"/>
  <c r="AT19" i="16"/>
  <c r="AU19" i="16" s="1"/>
  <c r="E98" i="8"/>
  <c r="Y98" i="8" s="1"/>
  <c r="U98" i="8"/>
  <c r="AM19" i="16"/>
  <c r="AN19" i="16" s="1"/>
  <c r="AL20" i="16"/>
  <c r="AL21" i="16" l="1"/>
  <c r="AM20" i="16"/>
  <c r="AN20" i="16" s="1"/>
  <c r="B100" i="8"/>
  <c r="AS21" i="16"/>
  <c r="AT20" i="16"/>
  <c r="AU20" i="16" s="1"/>
  <c r="E99" i="8"/>
  <c r="Y99" i="8" s="1"/>
  <c r="U99" i="8"/>
  <c r="B101" i="8" l="1"/>
  <c r="AS22" i="16"/>
  <c r="AT21" i="16"/>
  <c r="AU21" i="16" s="1"/>
  <c r="U100" i="8"/>
  <c r="E100" i="8"/>
  <c r="Y100" i="8" s="1"/>
  <c r="AM21" i="16"/>
  <c r="AN21" i="16" s="1"/>
  <c r="AL22" i="16"/>
  <c r="AM22" i="16" l="1"/>
  <c r="AN22" i="16" s="1"/>
  <c r="AL23" i="16"/>
  <c r="B102" i="8"/>
  <c r="AS23" i="16"/>
  <c r="AT22" i="16"/>
  <c r="AU22" i="16" s="1"/>
  <c r="E101" i="8"/>
  <c r="Y101" i="8" s="1"/>
  <c r="U101" i="8"/>
  <c r="W108" i="8"/>
  <c r="B103" i="8" l="1"/>
  <c r="AT23" i="16"/>
  <c r="AU23" i="16" s="1"/>
  <c r="AS24" i="16"/>
  <c r="E102" i="8"/>
  <c r="Y102" i="8" s="1"/>
  <c r="U102" i="8"/>
  <c r="AL24" i="16"/>
  <c r="AM23" i="16"/>
  <c r="AN23" i="16" s="1"/>
  <c r="AL25" i="16" l="1"/>
  <c r="AM24" i="16"/>
  <c r="AN24" i="16" s="1"/>
  <c r="B104" i="8"/>
  <c r="AT24" i="16"/>
  <c r="AU24" i="16" s="1"/>
  <c r="AS25" i="16"/>
  <c r="E103" i="8"/>
  <c r="Y103" i="8" s="1"/>
  <c r="U103" i="8"/>
  <c r="B105" i="8" l="1"/>
  <c r="AT25" i="16"/>
  <c r="AU25" i="16" s="1"/>
  <c r="AS26" i="16"/>
  <c r="E104" i="8"/>
  <c r="Y104" i="8" s="1"/>
  <c r="U104" i="8"/>
  <c r="AM25" i="16"/>
  <c r="AN25" i="16" s="1"/>
  <c r="AL26" i="16"/>
  <c r="B106" i="8" l="1"/>
  <c r="AS27" i="16"/>
  <c r="AT26" i="16"/>
  <c r="AU26" i="16" s="1"/>
  <c r="AL27" i="16"/>
  <c r="AM26" i="16"/>
  <c r="AN26" i="16" s="1"/>
  <c r="E105" i="8"/>
  <c r="Y105" i="8" s="1"/>
  <c r="U105" i="8"/>
  <c r="AL28" i="16" l="1"/>
  <c r="AM27" i="16"/>
  <c r="AN27" i="16" s="1"/>
  <c r="AS28" i="16"/>
  <c r="AT27" i="16"/>
  <c r="AU27" i="16" s="1"/>
  <c r="E106" i="8"/>
  <c r="Y106" i="8" s="1"/>
  <c r="U106" i="8"/>
  <c r="AS29" i="16" l="1"/>
  <c r="AT28" i="16"/>
  <c r="AU28" i="16" s="1"/>
  <c r="AL29" i="16"/>
  <c r="AM28" i="16"/>
  <c r="AN28" i="16" s="1"/>
  <c r="AL30" i="16" l="1"/>
  <c r="AM29" i="16"/>
  <c r="AN29" i="16" s="1"/>
  <c r="AT29" i="16"/>
  <c r="AU29" i="16" s="1"/>
  <c r="AS30" i="16"/>
  <c r="AS31" i="16" l="1"/>
  <c r="AT30" i="16"/>
  <c r="AU30" i="16" s="1"/>
  <c r="AL31" i="16"/>
  <c r="AM30" i="16"/>
  <c r="AN30" i="16" s="1"/>
  <c r="AL32" i="16" l="1"/>
  <c r="AM31" i="16"/>
  <c r="AN31" i="16" s="1"/>
  <c r="AT31" i="16"/>
  <c r="AU31" i="16" s="1"/>
  <c r="AS32" i="16"/>
  <c r="AT32" i="16" l="1"/>
  <c r="AU32" i="16" s="1"/>
  <c r="AS33" i="16"/>
  <c r="AL33" i="16"/>
  <c r="AM32" i="16"/>
  <c r="AN32" i="16" s="1"/>
  <c r="AL34" i="16" l="1"/>
  <c r="AM33" i="16"/>
  <c r="AN33" i="16" s="1"/>
  <c r="AT33" i="16"/>
  <c r="AU33" i="16" s="1"/>
  <c r="AS34" i="16"/>
  <c r="AT34" i="16" l="1"/>
  <c r="AU34" i="16" s="1"/>
  <c r="AS35" i="16"/>
  <c r="AL35" i="16"/>
  <c r="AM34" i="16"/>
  <c r="AN34" i="16" s="1"/>
  <c r="AL36" i="16" l="1"/>
  <c r="AM35" i="16"/>
  <c r="AN35" i="16" s="1"/>
  <c r="AT35" i="16"/>
  <c r="AU35" i="16" s="1"/>
  <c r="AS36" i="16"/>
  <c r="AT36" i="16" l="1"/>
  <c r="AU36" i="16" s="1"/>
  <c r="AS37" i="16"/>
  <c r="AM36" i="16"/>
  <c r="AN36" i="16" s="1"/>
  <c r="AL37" i="16"/>
  <c r="AL38" i="16" l="1"/>
  <c r="AM37" i="16"/>
  <c r="AN37" i="16" s="1"/>
  <c r="AT37" i="16"/>
  <c r="AU37" i="16" s="1"/>
  <c r="AS38" i="16"/>
  <c r="AT38" i="16" l="1"/>
  <c r="AU38" i="16" s="1"/>
  <c r="AS39" i="16"/>
  <c r="AL39" i="16"/>
  <c r="AM38" i="16"/>
  <c r="AN38" i="16" s="1"/>
  <c r="AM39" i="16" l="1"/>
  <c r="AN39" i="16" s="1"/>
  <c r="AL40" i="16"/>
  <c r="AT39" i="16"/>
  <c r="AU39" i="16" s="1"/>
  <c r="AS40" i="16"/>
  <c r="AS41" i="16" l="1"/>
  <c r="AT40" i="16"/>
  <c r="AU40" i="16" s="1"/>
  <c r="AL41" i="16"/>
  <c r="AM40" i="16"/>
  <c r="AN40" i="16" s="1"/>
  <c r="AL42" i="16" l="1"/>
  <c r="AM41" i="16"/>
  <c r="AN41" i="16" s="1"/>
  <c r="AS42" i="16"/>
  <c r="AT41" i="16"/>
  <c r="AU41" i="16" s="1"/>
  <c r="AT42" i="16" l="1"/>
  <c r="AU42" i="16" s="1"/>
  <c r="AS43" i="16"/>
  <c r="AM42" i="16"/>
  <c r="AN42" i="16" s="1"/>
  <c r="AL43" i="16"/>
  <c r="AM43" i="16" l="1"/>
  <c r="AN43" i="16" s="1"/>
  <c r="AL44" i="16"/>
  <c r="AT43" i="16"/>
  <c r="AU43" i="16" s="1"/>
  <c r="AS44" i="16"/>
  <c r="AS45" i="16" l="1"/>
  <c r="AT44" i="16"/>
  <c r="AU44" i="16" s="1"/>
  <c r="AL45" i="16"/>
  <c r="AM44" i="16"/>
  <c r="AN44" i="16" s="1"/>
  <c r="AL46" i="16" l="1"/>
  <c r="AM45" i="16"/>
  <c r="AN45" i="16" s="1"/>
  <c r="AT45" i="16"/>
  <c r="AU45" i="16" s="1"/>
  <c r="AS46" i="16"/>
  <c r="AS47" i="16" l="1"/>
  <c r="AT46" i="16"/>
  <c r="AU46" i="16" s="1"/>
  <c r="AL47" i="16"/>
  <c r="AM46" i="16"/>
  <c r="AN46" i="16" s="1"/>
  <c r="AM47" i="16" l="1"/>
  <c r="AN47" i="16" s="1"/>
  <c r="AL48" i="16"/>
  <c r="AT47" i="16"/>
  <c r="AU47" i="16" s="1"/>
  <c r="AS48" i="16"/>
  <c r="AT48" i="16" l="1"/>
  <c r="AU48" i="16" s="1"/>
  <c r="AS49" i="16"/>
  <c r="AL49" i="16"/>
  <c r="AM48" i="16"/>
  <c r="AN48" i="16" s="1"/>
  <c r="AM49" i="16" l="1"/>
  <c r="AN49" i="16" s="1"/>
  <c r="AL50" i="16"/>
  <c r="AS50" i="16"/>
  <c r="AT49" i="16"/>
  <c r="AU49" i="16" s="1"/>
  <c r="AS51" i="16" l="1"/>
  <c r="AT50" i="16"/>
  <c r="AU50" i="16" s="1"/>
  <c r="AM50" i="16"/>
  <c r="AN50" i="16" s="1"/>
  <c r="AL51" i="16"/>
  <c r="AL52" i="16" l="1"/>
  <c r="AM51" i="16"/>
  <c r="AN51" i="16" s="1"/>
  <c r="AT51" i="16"/>
  <c r="AU51" i="16" s="1"/>
  <c r="AS52" i="16"/>
  <c r="AS53" i="16" l="1"/>
  <c r="AT52" i="16"/>
  <c r="AU52" i="16" s="1"/>
  <c r="AM52" i="16"/>
  <c r="AN52" i="16" s="1"/>
  <c r="AL53" i="16"/>
  <c r="AM53" i="16" l="1"/>
  <c r="AN53" i="16" s="1"/>
  <c r="AL54" i="16"/>
  <c r="AS54" i="16"/>
  <c r="AT53" i="16"/>
  <c r="AU53" i="16" s="1"/>
  <c r="AS55" i="16" l="1"/>
  <c r="AT54" i="16"/>
  <c r="AU54" i="16" s="1"/>
  <c r="AL55" i="16"/>
  <c r="AM54" i="16"/>
  <c r="AN54" i="16" s="1"/>
  <c r="AL56" i="16" l="1"/>
  <c r="AM55" i="16"/>
  <c r="AN55" i="16" s="1"/>
  <c r="AT55" i="16"/>
  <c r="AU55" i="16" s="1"/>
  <c r="AS56" i="16"/>
  <c r="AS57" i="16" l="1"/>
  <c r="AT56" i="16"/>
  <c r="AU56" i="16" s="1"/>
  <c r="AL57" i="16"/>
  <c r="AM56" i="16"/>
  <c r="AN56" i="16" s="1"/>
  <c r="AL58" i="16" l="1"/>
  <c r="AM57" i="16"/>
  <c r="AN57" i="16" s="1"/>
  <c r="AT57" i="16"/>
  <c r="AU57" i="16" s="1"/>
  <c r="AS58" i="16"/>
  <c r="AT58" i="16" l="1"/>
  <c r="AU58" i="16" s="1"/>
  <c r="AS59" i="16"/>
  <c r="AL59" i="16"/>
  <c r="AM58" i="16"/>
  <c r="AN58" i="16" s="1"/>
  <c r="AM59" i="16" l="1"/>
  <c r="AN59" i="16" s="1"/>
  <c r="AL60" i="16"/>
  <c r="AS60" i="16"/>
  <c r="AT59" i="16"/>
  <c r="AU59" i="16" s="1"/>
  <c r="AS61" i="16" l="1"/>
  <c r="AT60" i="16"/>
  <c r="AU60" i="16" s="1"/>
  <c r="AL61" i="16"/>
  <c r="AM60" i="16"/>
  <c r="AN60" i="16" s="1"/>
  <c r="AL62" i="16" l="1"/>
  <c r="AM61" i="16"/>
  <c r="AN61" i="16" s="1"/>
  <c r="AT61" i="16"/>
  <c r="AU61" i="16" s="1"/>
  <c r="AS62" i="16"/>
  <c r="AS63" i="16" l="1"/>
  <c r="AT62" i="16"/>
  <c r="AU62" i="16" s="1"/>
  <c r="AM62" i="16"/>
  <c r="AN62" i="16" s="1"/>
  <c r="AL63" i="16"/>
  <c r="AM63" i="16" l="1"/>
  <c r="AN63" i="16" s="1"/>
  <c r="AL64" i="16"/>
  <c r="AS64" i="16"/>
  <c r="AT63" i="16"/>
  <c r="AU63" i="16" s="1"/>
  <c r="AS65" i="16" l="1"/>
  <c r="AT64" i="16"/>
  <c r="AU64" i="16" s="1"/>
  <c r="AL65" i="16"/>
  <c r="AM64" i="16"/>
  <c r="AN64" i="16" s="1"/>
  <c r="AL66" i="16" l="1"/>
  <c r="AM65" i="16"/>
  <c r="AN65" i="16" s="1"/>
  <c r="AS66" i="16"/>
  <c r="AT65" i="16"/>
  <c r="AU65" i="16" s="1"/>
  <c r="AT66" i="16" l="1"/>
  <c r="AU66" i="16" s="1"/>
  <c r="AS67" i="16"/>
  <c r="AM66" i="16"/>
  <c r="AN66" i="16" s="1"/>
  <c r="AL67" i="16"/>
  <c r="AL68" i="16" l="1"/>
  <c r="AM67" i="16"/>
  <c r="AN67" i="16" s="1"/>
  <c r="AT67" i="16"/>
  <c r="AU67" i="16" s="1"/>
  <c r="AS68" i="16"/>
  <c r="AT68" i="16" l="1"/>
  <c r="AU68" i="16" s="1"/>
  <c r="AS69" i="16"/>
  <c r="AL69" i="16"/>
  <c r="AM68" i="16"/>
  <c r="AN68" i="16" s="1"/>
  <c r="AL70" i="16" l="1"/>
  <c r="AM69" i="16"/>
  <c r="AN69" i="16" s="1"/>
  <c r="AS70" i="16"/>
  <c r="AT69" i="16"/>
  <c r="AU69" i="16" s="1"/>
  <c r="AS71" i="16" l="1"/>
  <c r="AT70" i="16"/>
  <c r="AU70" i="16" s="1"/>
  <c r="AL71" i="16"/>
  <c r="AM70" i="16"/>
  <c r="AN70" i="16" s="1"/>
  <c r="AL72" i="16" l="1"/>
  <c r="AM71" i="16"/>
  <c r="AN71" i="16" s="1"/>
  <c r="AT71" i="16"/>
  <c r="AU71" i="16" s="1"/>
  <c r="AS72" i="16"/>
  <c r="AT72" i="16" l="1"/>
  <c r="AU72" i="16" s="1"/>
  <c r="AS73" i="16"/>
  <c r="AM72" i="16"/>
  <c r="AN72" i="16" s="1"/>
  <c r="AL73" i="16"/>
  <c r="AL74" i="16" l="1"/>
  <c r="AM73" i="16"/>
  <c r="AN73" i="16" s="1"/>
  <c r="AT73" i="16"/>
  <c r="AU73" i="16" s="1"/>
  <c r="AS74" i="16"/>
  <c r="AS75" i="16" l="1"/>
  <c r="AT74" i="16"/>
  <c r="AU74" i="16" s="1"/>
  <c r="AM74" i="16"/>
  <c r="AN74" i="16" s="1"/>
  <c r="AL75" i="16"/>
  <c r="AM75" i="16" l="1"/>
  <c r="AN75" i="16" s="1"/>
  <c r="AL76" i="16"/>
  <c r="AS76" i="16"/>
  <c r="AT75" i="16"/>
  <c r="AU75" i="16" s="1"/>
  <c r="AS77" i="16" l="1"/>
  <c r="AT76" i="16"/>
  <c r="AU76" i="16" s="1"/>
  <c r="AM76" i="16"/>
  <c r="AN76" i="16" s="1"/>
  <c r="AL77" i="16"/>
  <c r="AL78" i="16" l="1"/>
  <c r="AM77" i="16"/>
  <c r="AN77" i="16" s="1"/>
  <c r="AS78" i="16"/>
  <c r="AT77" i="16"/>
  <c r="AU77" i="16" s="1"/>
  <c r="AS79" i="16" l="1"/>
  <c r="AT78" i="16"/>
  <c r="AU78" i="16" s="1"/>
  <c r="AL79" i="16"/>
  <c r="AM78" i="16"/>
  <c r="AN78" i="16" s="1"/>
  <c r="AL80" i="16" l="1"/>
  <c r="AM79" i="16"/>
  <c r="AN79" i="16" s="1"/>
  <c r="AT79" i="16"/>
  <c r="AU79" i="16" s="1"/>
  <c r="AS80" i="16"/>
  <c r="AT80" i="16" l="1"/>
  <c r="AU80" i="16" s="1"/>
  <c r="AS81" i="16"/>
  <c r="AL81" i="16"/>
  <c r="AM80" i="16"/>
  <c r="AN80" i="16" s="1"/>
  <c r="AL82" i="16" l="1"/>
  <c r="AM81" i="16"/>
  <c r="AN81" i="16" s="1"/>
  <c r="AS82" i="16"/>
  <c r="AT81" i="16"/>
  <c r="AU81" i="16" s="1"/>
  <c r="AS83" i="16" l="1"/>
  <c r="AT82" i="16"/>
  <c r="AU82" i="16" s="1"/>
  <c r="AL83" i="16"/>
  <c r="AM82" i="16"/>
  <c r="AN82" i="16" s="1"/>
  <c r="AM83" i="16" l="1"/>
  <c r="AN83" i="16" s="1"/>
  <c r="AL84" i="16"/>
  <c r="AT83" i="16"/>
  <c r="AU83" i="16" s="1"/>
  <c r="AS84" i="16"/>
  <c r="AT84" i="16" l="1"/>
  <c r="AU84" i="16" s="1"/>
  <c r="AS85" i="16"/>
  <c r="AM84" i="16"/>
  <c r="AN84" i="16" s="1"/>
  <c r="AL85" i="16"/>
  <c r="AL86" i="16" l="1"/>
  <c r="AM85" i="16"/>
  <c r="AN85" i="16" s="1"/>
  <c r="AT85" i="16"/>
  <c r="AU85" i="16" s="1"/>
  <c r="AS86" i="16"/>
  <c r="AT86" i="16" l="1"/>
  <c r="AU86" i="16" s="1"/>
  <c r="AS87" i="16"/>
  <c r="AL87" i="16"/>
  <c r="AM86" i="16"/>
  <c r="AN86" i="16" s="1"/>
  <c r="AM87" i="16" l="1"/>
  <c r="AN87" i="16" s="1"/>
  <c r="AL88" i="16"/>
  <c r="AT87" i="16"/>
  <c r="AU87" i="16" s="1"/>
  <c r="AS88" i="16"/>
  <c r="AT88" i="16" l="1"/>
  <c r="AU88" i="16" s="1"/>
  <c r="AS89" i="16"/>
  <c r="AM88" i="16"/>
  <c r="AN88" i="16" s="1"/>
  <c r="AL89" i="16"/>
  <c r="AM89" i="16" l="1"/>
  <c r="AN89" i="16" s="1"/>
  <c r="AL90" i="16"/>
  <c r="AS90" i="16"/>
  <c r="AT89" i="16"/>
  <c r="AU89" i="16" s="1"/>
  <c r="AS91" i="16" l="1"/>
  <c r="AT90" i="16"/>
  <c r="AU90" i="16" s="1"/>
  <c r="AL91" i="16"/>
  <c r="AM90" i="16"/>
  <c r="AN90" i="16" s="1"/>
  <c r="AL92" i="16" l="1"/>
  <c r="AM91" i="16"/>
  <c r="AN91" i="16" s="1"/>
  <c r="AT91" i="16"/>
  <c r="AU91" i="16" s="1"/>
  <c r="AS92" i="16"/>
  <c r="AS93" i="16" l="1"/>
  <c r="AT92" i="16"/>
  <c r="AU92" i="16" s="1"/>
  <c r="AL93" i="16"/>
  <c r="AM92" i="16"/>
  <c r="AN92" i="16" s="1"/>
  <c r="AM93" i="16" l="1"/>
  <c r="AN93" i="16" s="1"/>
  <c r="AL94" i="16"/>
  <c r="AS94" i="16"/>
  <c r="AT93" i="16"/>
  <c r="AU93" i="16" s="1"/>
  <c r="AT94" i="16" l="1"/>
  <c r="AU94" i="16" s="1"/>
  <c r="AS95" i="16"/>
  <c r="AL95" i="16"/>
  <c r="AM94" i="16"/>
  <c r="AN94" i="16" s="1"/>
  <c r="AL96" i="16" l="1"/>
  <c r="AM95" i="16"/>
  <c r="AN95" i="16" s="1"/>
  <c r="AS96" i="16"/>
  <c r="AT95" i="16"/>
  <c r="AU95" i="16" s="1"/>
  <c r="AT96" i="16" l="1"/>
  <c r="AU96" i="16" s="1"/>
  <c r="AS97" i="16"/>
  <c r="AM96" i="16"/>
  <c r="AN96" i="16" s="1"/>
  <c r="AL97" i="16"/>
  <c r="AL98" i="16" l="1"/>
  <c r="AM97" i="16"/>
  <c r="AN97" i="16" s="1"/>
  <c r="AT97" i="16"/>
  <c r="AU97" i="16" s="1"/>
  <c r="AS98" i="16"/>
  <c r="AT98" i="16" l="1"/>
  <c r="AU98" i="16" s="1"/>
  <c r="AS99" i="16"/>
  <c r="AL99" i="16"/>
  <c r="AM98" i="16"/>
  <c r="AN98" i="16" s="1"/>
  <c r="AL100" i="16" l="1"/>
  <c r="AM99" i="16"/>
  <c r="AN99" i="16" s="1"/>
  <c r="AS100" i="16"/>
  <c r="AT99" i="16"/>
  <c r="AU99" i="16" s="1"/>
  <c r="AT100" i="16" l="1"/>
  <c r="AU100" i="16" s="1"/>
  <c r="AS101" i="16"/>
  <c r="AL101" i="16"/>
  <c r="AM100" i="16"/>
  <c r="AN100" i="16" s="1"/>
  <c r="AM101" i="16" l="1"/>
  <c r="AN101" i="16" s="1"/>
  <c r="AL102" i="16"/>
  <c r="AS102" i="16"/>
  <c r="AT101" i="16"/>
  <c r="AU101" i="16" s="1"/>
  <c r="AS103" i="16" l="1"/>
  <c r="AT102" i="16"/>
  <c r="AU102" i="16" s="1"/>
  <c r="AL103" i="16"/>
  <c r="AM102" i="16"/>
  <c r="AN102" i="16" s="1"/>
  <c r="AM103" i="16" l="1"/>
  <c r="AN103" i="16" s="1"/>
  <c r="AL104" i="16"/>
  <c r="AS104" i="16"/>
  <c r="AT103" i="16"/>
  <c r="AU103" i="16" s="1"/>
  <c r="AS105" i="16" l="1"/>
  <c r="AT104" i="16"/>
  <c r="AU104" i="16" s="1"/>
  <c r="AM104" i="16"/>
  <c r="AN104" i="16" s="1"/>
  <c r="AL105" i="16"/>
  <c r="AL106" i="16" l="1"/>
  <c r="AM105" i="16"/>
  <c r="AN105" i="16" s="1"/>
  <c r="AS106" i="16"/>
  <c r="AT105" i="16"/>
  <c r="AU105" i="16" s="1"/>
  <c r="AS107" i="16" l="1"/>
  <c r="AT106" i="16"/>
  <c r="AU106" i="16" s="1"/>
  <c r="AL107" i="16"/>
  <c r="AM106" i="16"/>
  <c r="AN106" i="16" s="1"/>
  <c r="AM107" i="16" l="1"/>
  <c r="AN107" i="16" s="1"/>
  <c r="AL108" i="16"/>
  <c r="AS108" i="16"/>
  <c r="AT107" i="16"/>
  <c r="AU107" i="16" s="1"/>
  <c r="AT108" i="16" l="1"/>
  <c r="AU108" i="16" s="1"/>
  <c r="AS109" i="16"/>
  <c r="AL109" i="16"/>
  <c r="AM108" i="16"/>
  <c r="AN108" i="16" s="1"/>
  <c r="AL110" i="16" l="1"/>
  <c r="AM109" i="16"/>
  <c r="AN109" i="16" s="1"/>
  <c r="AS110" i="16"/>
  <c r="AT109" i="16"/>
  <c r="AU109" i="16" s="1"/>
  <c r="AT110" i="16" l="1"/>
  <c r="AU110" i="16" s="1"/>
  <c r="AS111" i="16"/>
  <c r="AM110" i="16"/>
  <c r="AN110" i="16" s="1"/>
  <c r="AL111" i="16"/>
  <c r="AL112" i="16" l="1"/>
  <c r="AM111" i="16"/>
  <c r="AN111" i="16" s="1"/>
  <c r="AT111" i="16"/>
  <c r="AU111" i="16" s="1"/>
  <c r="AS112" i="16"/>
  <c r="AT112" i="16" l="1"/>
  <c r="AU112" i="16" s="1"/>
  <c r="AS113" i="16"/>
  <c r="AL113" i="16"/>
  <c r="AM112" i="16"/>
  <c r="AN112" i="16" s="1"/>
  <c r="AM113" i="16" l="1"/>
  <c r="AN113" i="16" s="1"/>
  <c r="AL114" i="16"/>
  <c r="AT113" i="16"/>
  <c r="AU113" i="16" s="1"/>
  <c r="AS114" i="16"/>
  <c r="AT114" i="16" l="1"/>
  <c r="AU114" i="16" s="1"/>
  <c r="AS115" i="16"/>
  <c r="AL115" i="16"/>
  <c r="AM114" i="16"/>
  <c r="AN114" i="16" s="1"/>
  <c r="AM115" i="16" l="1"/>
  <c r="AN115" i="16" s="1"/>
  <c r="AL116" i="16"/>
  <c r="AS116" i="16"/>
  <c r="AT115" i="16"/>
  <c r="AU115" i="16" s="1"/>
  <c r="AS117" i="16" l="1"/>
  <c r="AT116" i="16"/>
  <c r="AU116" i="16" s="1"/>
  <c r="AL117" i="16"/>
  <c r="AM116" i="16"/>
  <c r="AN116" i="16" s="1"/>
  <c r="AL118" i="16" l="1"/>
  <c r="AM117" i="16"/>
  <c r="AN117" i="16" s="1"/>
  <c r="AS118" i="16"/>
  <c r="AT117" i="16"/>
  <c r="AU117" i="16" s="1"/>
  <c r="AS119" i="16" l="1"/>
  <c r="AT118" i="16"/>
  <c r="AU118" i="16" s="1"/>
  <c r="AL119" i="16"/>
  <c r="AM118" i="16"/>
  <c r="AN118" i="16" s="1"/>
  <c r="AM119" i="16" l="1"/>
  <c r="AN119" i="16" s="1"/>
  <c r="AL120" i="16"/>
  <c r="AT119" i="16"/>
  <c r="AU119" i="16" s="1"/>
  <c r="AS120" i="16"/>
  <c r="AS121" i="16" l="1"/>
  <c r="AT120" i="16"/>
  <c r="AU120" i="16" s="1"/>
  <c r="AL121" i="16"/>
  <c r="AM120" i="16"/>
  <c r="AN120" i="16" s="1"/>
  <c r="AL122" i="16" l="1"/>
  <c r="AM121" i="16"/>
  <c r="AN121" i="16" s="1"/>
  <c r="AT121" i="16"/>
  <c r="AU121" i="16" s="1"/>
  <c r="AS122" i="16"/>
  <c r="AT122" i="16" l="1"/>
  <c r="AU122" i="16" s="1"/>
  <c r="AS123" i="16"/>
  <c r="AL123" i="16"/>
  <c r="AM122" i="16"/>
  <c r="AN122" i="16" s="1"/>
  <c r="AM123" i="16" l="1"/>
  <c r="AN123" i="16" s="1"/>
  <c r="AL124" i="16"/>
  <c r="AT123" i="16"/>
  <c r="AU123" i="16" s="1"/>
  <c r="AS124" i="16"/>
  <c r="AS125" i="16" l="1"/>
  <c r="AT124" i="16"/>
  <c r="AU124" i="16" s="1"/>
  <c r="AM124" i="16"/>
  <c r="AN124" i="16" s="1"/>
  <c r="AL125" i="16"/>
  <c r="AM125" i="16" l="1"/>
  <c r="AN125" i="16" s="1"/>
  <c r="AL126" i="16"/>
  <c r="AS126" i="16"/>
  <c r="AT125" i="16"/>
  <c r="AU125" i="16" s="1"/>
  <c r="AT126" i="16" l="1"/>
  <c r="AU126" i="16" s="1"/>
  <c r="AS127" i="16"/>
  <c r="AL127" i="16"/>
  <c r="AM126" i="16"/>
  <c r="AN126" i="16" s="1"/>
  <c r="AL128" i="16" l="1"/>
  <c r="AM127" i="16"/>
  <c r="AN127" i="16" s="1"/>
  <c r="AS128" i="16"/>
  <c r="AT127" i="16"/>
  <c r="AU127" i="16" s="1"/>
  <c r="AS129" i="16" l="1"/>
  <c r="AT128" i="16"/>
  <c r="AU128" i="16" s="1"/>
  <c r="AM128" i="16"/>
  <c r="AN128" i="16" s="1"/>
  <c r="AL129" i="16"/>
  <c r="AM129" i="16" l="1"/>
  <c r="AN129" i="16" s="1"/>
  <c r="AL130" i="16"/>
  <c r="AT129" i="16"/>
  <c r="AU129" i="16" s="1"/>
  <c r="AS130" i="16"/>
  <c r="AS131" i="16" l="1"/>
  <c r="AT130" i="16"/>
  <c r="AU130" i="16" s="1"/>
  <c r="AM130" i="16"/>
  <c r="AN130" i="16" s="1"/>
  <c r="AL131" i="16"/>
  <c r="AL132" i="16" l="1"/>
  <c r="AM131" i="16"/>
  <c r="AN131" i="16" s="1"/>
  <c r="AS132" i="16"/>
  <c r="AT131" i="16"/>
  <c r="AU131" i="16" s="1"/>
  <c r="AT132" i="16" l="1"/>
  <c r="AU132" i="16" s="1"/>
  <c r="AS133" i="16"/>
  <c r="AM132" i="16"/>
  <c r="AN132" i="16" s="1"/>
  <c r="AL133" i="16"/>
  <c r="AL134" i="16" l="1"/>
  <c r="AM133" i="16"/>
  <c r="AN133" i="16" s="1"/>
  <c r="AT133" i="16"/>
  <c r="AU133" i="16" s="1"/>
  <c r="AS134" i="16"/>
  <c r="AS135" i="16" l="1"/>
  <c r="AT134" i="16"/>
  <c r="AU134" i="16" s="1"/>
  <c r="AL135" i="16"/>
  <c r="AM134" i="16"/>
  <c r="AN134" i="16" s="1"/>
  <c r="AL136" i="16" l="1"/>
  <c r="AM135" i="16"/>
  <c r="AN135" i="16" s="1"/>
  <c r="AS136" i="16"/>
  <c r="AT135" i="16"/>
  <c r="AU135" i="16" s="1"/>
  <c r="AS137" i="16" l="1"/>
  <c r="AT136" i="16"/>
  <c r="AU136" i="16" s="1"/>
  <c r="AL137" i="16"/>
  <c r="AM136" i="16"/>
  <c r="AN136" i="16" s="1"/>
  <c r="AM137" i="16" l="1"/>
  <c r="AN137" i="16" s="1"/>
  <c r="AL138" i="16"/>
  <c r="AS138" i="16"/>
  <c r="AT137" i="16"/>
  <c r="AU137" i="16" s="1"/>
  <c r="AT138" i="16" l="1"/>
  <c r="AU138" i="16" s="1"/>
  <c r="AS139" i="16"/>
  <c r="AL139" i="16"/>
  <c r="AM138" i="16"/>
  <c r="AN138" i="16" s="1"/>
  <c r="AL140" i="16" l="1"/>
  <c r="AM139" i="16"/>
  <c r="AN139" i="16" s="1"/>
  <c r="AT139" i="16"/>
  <c r="AU139" i="16" s="1"/>
  <c r="AS140" i="16"/>
  <c r="AS141" i="16" l="1"/>
  <c r="AT140" i="16"/>
  <c r="AU140" i="16" s="1"/>
  <c r="AL141" i="16"/>
  <c r="AM140" i="16"/>
  <c r="AN140" i="16" s="1"/>
  <c r="AM141" i="16" l="1"/>
  <c r="AN141" i="16" s="1"/>
  <c r="AL142" i="16"/>
  <c r="AT141" i="16"/>
  <c r="AU141" i="16" s="1"/>
  <c r="AS142" i="16"/>
  <c r="AT142" i="16" l="1"/>
  <c r="AU142" i="16" s="1"/>
  <c r="AS143" i="16"/>
  <c r="AM142" i="16"/>
  <c r="AN142" i="16" s="1"/>
  <c r="AL143" i="16"/>
  <c r="AL144" i="16" l="1"/>
  <c r="AM143" i="16"/>
  <c r="AN143" i="16" s="1"/>
  <c r="AT143" i="16"/>
  <c r="AU143" i="16" s="1"/>
  <c r="AS144" i="16"/>
  <c r="AT144" i="16" l="1"/>
  <c r="AU144" i="16" s="1"/>
  <c r="AS145" i="16"/>
  <c r="AL145" i="16"/>
  <c r="AM144" i="16"/>
  <c r="AN144" i="16" s="1"/>
  <c r="AM145" i="16" l="1"/>
  <c r="AN145" i="16" s="1"/>
  <c r="AL146" i="16"/>
  <c r="AS146" i="16"/>
  <c r="AT145" i="16"/>
  <c r="AU145" i="16" s="1"/>
  <c r="AS147" i="16" l="1"/>
  <c r="AT146" i="16"/>
  <c r="AU146" i="16" s="1"/>
  <c r="AL147" i="16"/>
  <c r="AM146" i="16"/>
  <c r="AN146" i="16" s="1"/>
  <c r="AM147" i="16" l="1"/>
  <c r="AN147" i="16" s="1"/>
  <c r="AL148" i="16"/>
  <c r="AS148" i="16"/>
  <c r="AT147" i="16"/>
  <c r="AU147" i="16" s="1"/>
  <c r="AS149" i="16" l="1"/>
  <c r="AT148" i="16"/>
  <c r="AU148" i="16" s="1"/>
  <c r="AM148" i="16"/>
  <c r="AN148" i="16" s="1"/>
  <c r="AL149" i="16"/>
  <c r="AL150" i="16" l="1"/>
  <c r="AM149" i="16"/>
  <c r="AN149" i="16" s="1"/>
  <c r="AT149" i="16"/>
  <c r="AU149" i="16" s="1"/>
  <c r="AS150" i="16"/>
  <c r="AT150" i="16" l="1"/>
  <c r="AU150" i="16" s="1"/>
  <c r="AS151" i="16"/>
  <c r="AM150" i="16"/>
  <c r="AN150" i="16" s="1"/>
  <c r="AL151" i="16"/>
  <c r="AM151" i="16" l="1"/>
  <c r="AN151" i="16" s="1"/>
  <c r="AL152" i="16"/>
  <c r="AS152" i="16"/>
  <c r="AT151" i="16"/>
  <c r="AU151" i="16" s="1"/>
  <c r="AS153" i="16" l="1"/>
  <c r="AT152" i="16"/>
  <c r="AU152" i="16" s="1"/>
  <c r="AM152" i="16"/>
  <c r="AN152" i="16" s="1"/>
  <c r="AL153" i="16"/>
  <c r="AL154" i="16" l="1"/>
  <c r="AM153" i="16"/>
  <c r="AN153" i="16" s="1"/>
  <c r="AS154" i="16"/>
  <c r="AT153" i="16"/>
  <c r="AU153" i="16" s="1"/>
  <c r="AT154" i="16" l="1"/>
  <c r="AU154" i="16" s="1"/>
  <c r="AS155" i="16"/>
  <c r="AM154" i="16"/>
  <c r="AN154" i="16" s="1"/>
  <c r="AL155" i="16"/>
  <c r="AL156" i="16" l="1"/>
  <c r="AM155" i="16"/>
  <c r="AN155" i="16" s="1"/>
  <c r="AT155" i="16"/>
  <c r="AU155" i="16" s="1"/>
  <c r="AS156" i="16"/>
  <c r="AS157" i="16" l="1"/>
  <c r="AT156" i="16"/>
  <c r="AU156" i="16" s="1"/>
  <c r="AL157" i="16"/>
  <c r="AM156" i="16"/>
  <c r="AN156" i="16" s="1"/>
  <c r="AM157" i="16" l="1"/>
  <c r="AN157" i="16" s="1"/>
  <c r="AL158" i="16"/>
  <c r="AT157" i="16"/>
  <c r="AU157" i="16" s="1"/>
  <c r="AS158" i="16"/>
  <c r="AS159" i="16" l="1"/>
  <c r="AT158" i="16"/>
  <c r="AU158" i="16" s="1"/>
  <c r="AM158" i="16"/>
  <c r="AN158" i="16" s="1"/>
  <c r="AL159" i="16"/>
  <c r="AL160" i="16" l="1"/>
  <c r="AM159" i="16"/>
  <c r="AN159" i="16" s="1"/>
  <c r="AT159" i="16"/>
  <c r="AU159" i="16" s="1"/>
  <c r="AS160" i="16"/>
  <c r="AS161" i="16" l="1"/>
  <c r="AT160" i="16"/>
  <c r="AU160" i="16" s="1"/>
  <c r="AM160" i="16"/>
  <c r="AN160" i="16" s="1"/>
  <c r="AL161" i="16"/>
  <c r="AM161" i="16" l="1"/>
  <c r="AN161" i="16" s="1"/>
  <c r="AL162" i="16"/>
  <c r="AS162" i="16"/>
  <c r="AT161" i="16"/>
  <c r="AU161" i="16" s="1"/>
  <c r="AS163" i="16" l="1"/>
  <c r="AT162" i="16"/>
  <c r="AU162" i="16" s="1"/>
  <c r="AL163" i="16"/>
  <c r="AM162" i="16"/>
  <c r="AN162" i="16" s="1"/>
  <c r="AL164" i="16" l="1"/>
  <c r="AM163" i="16"/>
  <c r="AN163" i="16" s="1"/>
  <c r="AS164" i="16"/>
  <c r="AT163" i="16"/>
  <c r="AU163" i="16" s="1"/>
  <c r="AS165" i="16" l="1"/>
  <c r="AT164" i="16"/>
  <c r="AU164" i="16" s="1"/>
  <c r="AM164" i="16"/>
  <c r="AN164" i="16" s="1"/>
  <c r="AL165" i="16"/>
  <c r="AL166" i="16" l="1"/>
  <c r="AM165" i="16"/>
  <c r="AN165" i="16" s="1"/>
  <c r="AS166" i="16"/>
  <c r="AT165" i="16"/>
  <c r="AU165" i="16" s="1"/>
  <c r="AT166" i="16" l="1"/>
  <c r="AU166" i="16" s="1"/>
  <c r="AS167" i="16"/>
  <c r="AM166" i="16"/>
  <c r="AN166" i="16" s="1"/>
  <c r="AL167" i="16"/>
  <c r="AM167" i="16" l="1"/>
  <c r="AN167" i="16" s="1"/>
  <c r="AL168" i="16"/>
  <c r="AT167" i="16"/>
  <c r="AU167" i="16" s="1"/>
  <c r="AS168" i="16"/>
  <c r="AT168" i="16" l="1"/>
  <c r="AU168" i="16" s="1"/>
  <c r="AS169" i="16"/>
  <c r="AL169" i="16"/>
  <c r="AM168" i="16"/>
  <c r="AN168" i="16" s="1"/>
  <c r="AL170" i="16" l="1"/>
  <c r="AM169" i="16"/>
  <c r="AN169" i="16" s="1"/>
  <c r="AT169" i="16"/>
  <c r="AU169" i="16" s="1"/>
  <c r="AS170" i="16"/>
  <c r="AT170" i="16" l="1"/>
  <c r="AU170" i="16" s="1"/>
  <c r="AS171" i="16"/>
  <c r="AL171" i="16"/>
  <c r="AM170" i="16"/>
  <c r="AN170" i="16" s="1"/>
  <c r="AM171" i="16" l="1"/>
  <c r="AN171" i="16" s="1"/>
  <c r="AL172" i="16"/>
  <c r="AS172" i="16"/>
  <c r="AT171" i="16"/>
  <c r="AU171" i="16" s="1"/>
  <c r="AT172" i="16" l="1"/>
  <c r="AU172" i="16" s="1"/>
  <c r="AS173" i="16"/>
  <c r="AM172" i="16"/>
  <c r="AN172" i="16" s="1"/>
  <c r="AL173" i="16"/>
  <c r="AM173" i="16" l="1"/>
  <c r="AN173" i="16" s="1"/>
  <c r="AL174" i="16"/>
  <c r="AT173" i="16"/>
  <c r="AU173" i="16" s="1"/>
  <c r="AS174" i="16"/>
  <c r="AT174" i="16" l="1"/>
  <c r="AU174" i="16" s="1"/>
  <c r="AS175" i="16"/>
  <c r="AL175" i="16"/>
  <c r="AM174" i="16"/>
  <c r="AN174" i="16" s="1"/>
  <c r="AM175" i="16" l="1"/>
  <c r="AN175" i="16" s="1"/>
  <c r="AL176" i="16"/>
  <c r="AT175" i="16"/>
  <c r="AU175" i="16" s="1"/>
  <c r="AS176" i="16"/>
  <c r="AT176" i="16" l="1"/>
  <c r="AU176" i="16" s="1"/>
  <c r="AS177" i="16"/>
  <c r="AM176" i="16"/>
  <c r="AN176" i="16" s="1"/>
  <c r="AL177" i="16"/>
  <c r="AM177" i="16" l="1"/>
  <c r="AN177" i="16" s="1"/>
  <c r="AL178" i="16"/>
  <c r="AT177" i="16"/>
  <c r="AU177" i="16" s="1"/>
  <c r="AS178" i="16"/>
  <c r="AT178" i="16" l="1"/>
  <c r="AU178" i="16" s="1"/>
  <c r="AS179" i="16"/>
  <c r="AM178" i="16"/>
  <c r="AN178" i="16" s="1"/>
  <c r="AL179" i="16"/>
  <c r="AL180" i="16" l="1"/>
  <c r="AM179" i="16"/>
  <c r="AN179" i="16" s="1"/>
  <c r="AT179" i="16"/>
  <c r="AU179" i="16" s="1"/>
  <c r="AS180" i="16"/>
  <c r="AT180" i="16" l="1"/>
  <c r="AU180" i="16" s="1"/>
  <c r="AS181" i="16"/>
  <c r="AL181" i="16"/>
  <c r="AM180" i="16"/>
  <c r="AN180" i="16" s="1"/>
  <c r="AL182" i="16" l="1"/>
  <c r="AM181" i="16"/>
  <c r="AN181" i="16" s="1"/>
  <c r="AS182" i="16"/>
  <c r="AT181" i="16"/>
  <c r="AU181" i="16" s="1"/>
  <c r="AS183" i="16" l="1"/>
  <c r="AT182" i="16"/>
  <c r="AU182" i="16" s="1"/>
  <c r="AL183" i="16"/>
  <c r="AM182" i="16"/>
  <c r="AN182" i="16" s="1"/>
  <c r="AM183" i="16" l="1"/>
  <c r="AN183" i="16" s="1"/>
  <c r="AL184" i="16"/>
  <c r="AT183" i="16"/>
  <c r="AU183" i="16" s="1"/>
  <c r="AS184" i="16"/>
  <c r="AS185" i="16" l="1"/>
  <c r="AT184" i="16"/>
  <c r="AU184" i="16" s="1"/>
  <c r="AL185" i="16"/>
  <c r="AM184" i="16"/>
  <c r="AN184" i="16" s="1"/>
  <c r="AM185" i="16" l="1"/>
  <c r="AN185" i="16" s="1"/>
  <c r="AL186" i="16"/>
  <c r="AT185" i="16"/>
  <c r="AU185" i="16" s="1"/>
  <c r="AS186" i="16"/>
  <c r="AS187" i="16" l="1"/>
  <c r="AT186" i="16"/>
  <c r="AU186" i="16" s="1"/>
  <c r="AM186" i="16"/>
  <c r="AN186" i="16" s="1"/>
  <c r="AL187" i="16"/>
  <c r="AL188" i="16" l="1"/>
  <c r="AM187" i="16"/>
  <c r="AN187" i="16" s="1"/>
  <c r="AT187" i="16"/>
  <c r="AU187" i="16" s="1"/>
  <c r="AS188" i="16"/>
  <c r="AS189" i="16" l="1"/>
  <c r="AT188" i="16"/>
  <c r="AU188" i="16" s="1"/>
  <c r="AL189" i="16"/>
  <c r="AM188" i="16"/>
  <c r="AN188" i="16" s="1"/>
  <c r="AM189" i="16" l="1"/>
  <c r="AN189" i="16" s="1"/>
  <c r="AL190" i="16"/>
  <c r="AT189" i="16"/>
  <c r="AU189" i="16" s="1"/>
  <c r="AS190" i="16"/>
  <c r="AS191" i="16" l="1"/>
  <c r="AT190" i="16"/>
  <c r="AU190" i="16" s="1"/>
  <c r="AM190" i="16"/>
  <c r="AN190" i="16" s="1"/>
  <c r="AL191" i="16"/>
  <c r="AL192" i="16" l="1"/>
  <c r="AM191" i="16"/>
  <c r="AN191" i="16" s="1"/>
  <c r="AT191" i="16"/>
  <c r="AU191" i="16" s="1"/>
  <c r="AS192" i="16"/>
  <c r="AS193" i="16" l="1"/>
  <c r="AT192" i="16"/>
  <c r="AU192" i="16" s="1"/>
  <c r="AM192" i="16"/>
  <c r="AN192" i="16" s="1"/>
  <c r="AL193" i="16"/>
  <c r="AL194" i="16" l="1"/>
  <c r="AM193" i="16"/>
  <c r="AN193" i="16" s="1"/>
  <c r="AS194" i="16"/>
  <c r="AT193" i="16"/>
  <c r="AU193" i="16" s="1"/>
  <c r="AS195" i="16" l="1"/>
  <c r="AT194" i="16"/>
  <c r="AU194" i="16" s="1"/>
  <c r="AM194" i="16"/>
  <c r="AN194" i="16" s="1"/>
  <c r="AL195" i="16"/>
  <c r="AL196" i="16" l="1"/>
  <c r="AM195" i="16"/>
  <c r="AN195" i="16" s="1"/>
  <c r="AT195" i="16"/>
  <c r="AU195" i="16" s="1"/>
  <c r="AS196" i="16"/>
  <c r="AT196" i="16" l="1"/>
  <c r="AU196" i="16" s="1"/>
  <c r="AS197" i="16"/>
  <c r="AL197" i="16"/>
  <c r="AM196" i="16"/>
  <c r="AN196" i="16" s="1"/>
  <c r="AL198" i="16" l="1"/>
  <c r="AM197" i="16"/>
  <c r="AN197" i="16" s="1"/>
  <c r="AS198" i="16"/>
  <c r="AT197" i="16"/>
  <c r="AU197" i="16" s="1"/>
  <c r="AT198" i="16" l="1"/>
  <c r="AU198" i="16" s="1"/>
  <c r="AS199" i="16"/>
  <c r="AL199" i="16"/>
  <c r="AM198" i="16"/>
  <c r="AN198" i="16" s="1"/>
  <c r="AM199" i="16" l="1"/>
  <c r="AN199" i="16" s="1"/>
  <c r="AL200" i="16"/>
  <c r="AS200" i="16"/>
  <c r="AT199" i="16"/>
  <c r="AU199" i="16" s="1"/>
  <c r="AS201" i="16" l="1"/>
  <c r="AT200" i="16"/>
  <c r="AU200" i="16" s="1"/>
  <c r="AM200" i="16"/>
  <c r="AN200" i="16" s="1"/>
  <c r="AL201" i="16"/>
  <c r="AL202" i="16" l="1"/>
  <c r="AM201" i="16"/>
  <c r="AN201" i="16" s="1"/>
  <c r="AS202" i="16"/>
  <c r="AT201" i="16"/>
  <c r="AU201" i="16" s="1"/>
  <c r="AS203" i="16" l="1"/>
  <c r="AT202" i="16"/>
  <c r="AU202" i="16" s="1"/>
  <c r="AM202" i="16"/>
  <c r="AN202" i="16" s="1"/>
  <c r="AL203" i="16"/>
  <c r="AM203" i="16" l="1"/>
  <c r="AN203" i="16" s="1"/>
  <c r="AL204" i="16"/>
  <c r="AS204" i="16"/>
  <c r="AT203" i="16"/>
  <c r="AU203" i="16" s="1"/>
  <c r="AS205" i="16" l="1"/>
  <c r="AT204" i="16"/>
  <c r="AU204" i="16" s="1"/>
  <c r="AM204" i="16"/>
  <c r="AN204" i="16" s="1"/>
  <c r="AL205" i="16"/>
  <c r="AL206" i="16" l="1"/>
  <c r="AM205" i="16"/>
  <c r="AN205" i="16" s="1"/>
  <c r="AS206" i="16"/>
  <c r="AT205" i="16"/>
  <c r="AU205" i="16" s="1"/>
  <c r="AT206" i="16" l="1"/>
  <c r="AU206" i="16" s="1"/>
  <c r="AS207" i="16"/>
  <c r="AM206" i="16"/>
  <c r="AN206" i="16" s="1"/>
  <c r="AL207" i="16"/>
  <c r="AL208" i="16" l="1"/>
  <c r="AM207" i="16"/>
  <c r="AN207" i="16" s="1"/>
  <c r="AT207" i="16"/>
  <c r="AU207" i="16" s="1"/>
  <c r="AS208" i="16"/>
  <c r="AS209" i="16" l="1"/>
  <c r="AT208" i="16"/>
  <c r="AU208" i="16" s="1"/>
  <c r="AM208" i="16"/>
  <c r="AN208" i="16" s="1"/>
  <c r="AL209" i="16"/>
  <c r="AL210" i="16" l="1"/>
  <c r="AM209" i="16"/>
  <c r="AN209" i="16" s="1"/>
  <c r="AT209" i="16"/>
  <c r="AU209" i="16" s="1"/>
  <c r="AS210" i="16"/>
  <c r="AT210" i="16" l="1"/>
  <c r="AU210" i="16" s="1"/>
  <c r="AS211" i="16"/>
  <c r="AM210" i="16"/>
  <c r="AN210" i="16" s="1"/>
  <c r="AL211" i="16"/>
  <c r="AL212" i="16" l="1"/>
  <c r="AM211" i="16"/>
  <c r="AN211" i="16" s="1"/>
  <c r="AS212" i="16"/>
  <c r="AT211" i="16"/>
  <c r="AU211" i="16" s="1"/>
  <c r="AT212" i="16" l="1"/>
  <c r="AU212" i="16" s="1"/>
  <c r="AS213" i="16"/>
  <c r="AM212" i="16"/>
  <c r="AN212" i="16" s="1"/>
  <c r="AL213" i="16"/>
  <c r="AL214" i="16" l="1"/>
  <c r="AM213" i="16"/>
  <c r="AN213" i="16" s="1"/>
  <c r="AT213" i="16"/>
  <c r="AU213" i="16" s="1"/>
  <c r="AS214" i="16"/>
  <c r="AT214" i="16" l="1"/>
  <c r="AU214" i="16" s="1"/>
  <c r="AS215" i="16"/>
  <c r="AM214" i="16"/>
  <c r="AN214" i="16" s="1"/>
  <c r="AL215" i="16"/>
  <c r="AS216" i="16" l="1"/>
  <c r="AT215" i="16"/>
  <c r="AU215" i="16" s="1"/>
  <c r="AL216" i="16"/>
  <c r="AM215" i="16"/>
  <c r="AN215" i="16" s="1"/>
  <c r="AM216" i="16" l="1"/>
  <c r="AN216" i="16" s="1"/>
  <c r="AL217" i="16"/>
  <c r="AS217" i="16"/>
  <c r="AT216" i="16"/>
  <c r="AU216" i="16" s="1"/>
  <c r="AS218" i="16" l="1"/>
  <c r="AT217" i="16"/>
  <c r="AU217" i="16" s="1"/>
  <c r="AL218" i="16"/>
  <c r="AM217" i="16"/>
  <c r="AN217" i="16" s="1"/>
  <c r="AM218" i="16" l="1"/>
  <c r="AN218" i="16" s="1"/>
  <c r="AL219" i="16"/>
  <c r="AT218" i="16"/>
  <c r="AU218" i="16" s="1"/>
  <c r="AS219" i="16"/>
  <c r="AS220" i="16" l="1"/>
  <c r="AT219" i="16"/>
  <c r="AU219" i="16" s="1"/>
  <c r="AM219" i="16"/>
  <c r="AN219" i="16" s="1"/>
  <c r="AL220" i="16"/>
  <c r="AL221" i="16" l="1"/>
  <c r="AM220" i="16"/>
  <c r="AN220" i="16" s="1"/>
  <c r="AS221" i="16"/>
  <c r="AT220" i="16"/>
  <c r="AU220" i="16" s="1"/>
  <c r="AS222" i="16" l="1"/>
  <c r="AT221" i="16"/>
  <c r="AU221" i="16" s="1"/>
  <c r="AM221" i="16"/>
  <c r="AN221" i="16" s="1"/>
  <c r="AL222" i="16"/>
  <c r="AL223" i="16" l="1"/>
  <c r="AM222" i="16"/>
  <c r="AN222" i="16" s="1"/>
  <c r="AS223" i="16"/>
  <c r="AT222" i="16"/>
  <c r="AU222" i="16" s="1"/>
  <c r="AS224" i="16" l="1"/>
  <c r="AT223" i="16"/>
  <c r="AU223" i="16" s="1"/>
  <c r="AL224" i="16"/>
  <c r="AM223" i="16"/>
  <c r="AN223" i="16" s="1"/>
  <c r="AM224" i="16" l="1"/>
  <c r="AN224" i="16" s="1"/>
  <c r="AL225" i="16"/>
  <c r="AS225" i="16"/>
  <c r="AT224" i="16"/>
  <c r="AU224" i="16" s="1"/>
  <c r="AS226" i="16" l="1"/>
  <c r="AT225" i="16"/>
  <c r="AU225" i="16" s="1"/>
  <c r="AM225" i="16"/>
  <c r="AN225" i="16" s="1"/>
  <c r="AL226" i="16"/>
  <c r="AM226" i="16" l="1"/>
  <c r="AN226" i="16" s="1"/>
  <c r="AL227" i="16"/>
  <c r="AS227" i="16"/>
  <c r="AT226" i="16"/>
  <c r="AU226" i="16" s="1"/>
  <c r="AS228" i="16" l="1"/>
  <c r="AT227" i="16"/>
  <c r="AU227" i="16" s="1"/>
  <c r="AL228" i="16"/>
  <c r="AM227" i="16"/>
  <c r="AN227" i="16" s="1"/>
  <c r="AL229" i="16" l="1"/>
  <c r="AM228" i="16"/>
  <c r="AN228" i="16" s="1"/>
  <c r="AS229" i="16"/>
  <c r="AT228" i="16"/>
  <c r="AU228" i="16" s="1"/>
  <c r="AS230" i="16" l="1"/>
  <c r="AT229" i="16"/>
  <c r="AU229" i="16" s="1"/>
  <c r="AM229" i="16"/>
  <c r="AN229" i="16" s="1"/>
  <c r="AL230" i="16"/>
  <c r="AL231" i="16" l="1"/>
  <c r="AM230" i="16"/>
  <c r="AN230" i="16" s="1"/>
  <c r="AT230" i="16"/>
  <c r="AU230" i="16" s="1"/>
  <c r="AS231" i="16"/>
  <c r="AS232" i="16" l="1"/>
  <c r="AT231" i="16"/>
  <c r="AU231" i="16" s="1"/>
  <c r="AL232" i="16"/>
  <c r="AM231" i="16"/>
  <c r="AN231" i="16" s="1"/>
  <c r="AM232" i="16" l="1"/>
  <c r="AN232" i="16" s="1"/>
  <c r="AL233" i="16"/>
  <c r="AT232" i="16"/>
  <c r="AU232" i="16" s="1"/>
  <c r="AS233" i="16"/>
  <c r="AT233" i="16" l="1"/>
  <c r="AU233" i="16" s="1"/>
  <c r="AS234" i="16"/>
  <c r="AL234" i="16"/>
  <c r="AM233" i="16"/>
  <c r="AN233" i="16" s="1"/>
  <c r="AM234" i="16" l="1"/>
  <c r="AN234" i="16" s="1"/>
  <c r="AL235" i="16"/>
  <c r="AT234" i="16"/>
  <c r="AU234" i="16" s="1"/>
  <c r="AS235" i="16"/>
  <c r="AT235" i="16" l="1"/>
  <c r="AU235" i="16" s="1"/>
  <c r="AS236" i="16"/>
  <c r="AM235" i="16"/>
  <c r="AN235" i="16" s="1"/>
  <c r="AL236" i="16"/>
  <c r="AM236" i="16" l="1"/>
  <c r="AN236" i="16" s="1"/>
  <c r="AL237" i="16"/>
  <c r="AT236" i="16"/>
  <c r="AU236" i="16" s="1"/>
  <c r="AS237" i="16"/>
  <c r="AT237" i="16" l="1"/>
  <c r="AU237" i="16" s="1"/>
  <c r="AS238" i="16"/>
  <c r="AM237" i="16"/>
  <c r="AN237" i="16" s="1"/>
  <c r="AL238" i="16"/>
  <c r="AM238" i="16" l="1"/>
  <c r="AN238" i="16" s="1"/>
  <c r="AL239" i="16"/>
  <c r="AT238" i="16"/>
  <c r="AU238" i="16" s="1"/>
  <c r="AS239" i="16"/>
  <c r="AT239" i="16" l="1"/>
  <c r="AU239" i="16" s="1"/>
  <c r="AS240" i="16"/>
  <c r="AL240" i="16"/>
  <c r="AM239" i="16"/>
  <c r="AN239" i="16" s="1"/>
  <c r="AL241" i="16" l="1"/>
  <c r="AM240" i="16"/>
  <c r="AN240" i="16" s="1"/>
  <c r="AT240" i="16"/>
  <c r="AU240" i="16" s="1"/>
  <c r="AS241" i="16"/>
  <c r="AT241" i="16" l="1"/>
  <c r="AU241" i="16" s="1"/>
  <c r="AS242" i="16"/>
  <c r="AL242" i="16"/>
  <c r="AM241" i="16"/>
  <c r="AN241" i="16" s="1"/>
  <c r="AL243" i="16" l="1"/>
  <c r="AM242" i="16"/>
  <c r="AN242" i="16" s="1"/>
  <c r="AT242" i="16"/>
  <c r="AU242" i="16" s="1"/>
  <c r="AS243" i="16"/>
  <c r="AT243" i="16" l="1"/>
  <c r="AU243" i="16" s="1"/>
  <c r="AS244" i="16"/>
  <c r="AM243" i="16"/>
  <c r="AN243" i="16" s="1"/>
  <c r="AL244" i="16"/>
  <c r="AL245" i="16" l="1"/>
  <c r="AM244" i="16"/>
  <c r="AN244" i="16" s="1"/>
  <c r="AT244" i="16"/>
  <c r="AU244" i="16" s="1"/>
  <c r="AS245" i="16"/>
  <c r="AS246" i="16" l="1"/>
  <c r="AT245" i="16"/>
  <c r="AU245" i="16" s="1"/>
  <c r="AM245" i="16"/>
  <c r="AN245" i="16" s="1"/>
  <c r="AL246" i="16"/>
  <c r="AM246" i="16" l="1"/>
  <c r="AN246" i="16" s="1"/>
  <c r="AL247" i="16"/>
  <c r="AS247" i="16"/>
  <c r="AT246" i="16"/>
  <c r="AU246" i="16" s="1"/>
  <c r="AT247" i="16" l="1"/>
  <c r="AU247" i="16" s="1"/>
  <c r="AS248" i="16"/>
  <c r="AM247" i="16"/>
  <c r="AN247" i="16" s="1"/>
  <c r="AL248" i="16"/>
  <c r="AM248" i="16" l="1"/>
  <c r="AN248" i="16" s="1"/>
  <c r="AL249" i="16"/>
  <c r="AS249" i="16"/>
  <c r="AT248" i="16"/>
  <c r="AU248" i="16" s="1"/>
  <c r="AS250" i="16" l="1"/>
  <c r="AT249" i="16"/>
  <c r="AU249" i="16" s="1"/>
  <c r="AM249" i="16"/>
  <c r="AN249" i="16" s="1"/>
  <c r="AL250" i="16"/>
  <c r="AL251" i="16" l="1"/>
  <c r="AM250" i="16"/>
  <c r="AN250" i="16" s="1"/>
  <c r="AT250" i="16"/>
  <c r="AU250" i="16" s="1"/>
  <c r="AS251" i="16"/>
  <c r="AT251" i="16" l="1"/>
  <c r="AU251" i="16" s="1"/>
  <c r="AS252" i="16"/>
  <c r="AL252" i="16"/>
  <c r="AM251" i="16"/>
  <c r="AN251" i="16" s="1"/>
  <c r="AL253" i="16" l="1"/>
  <c r="AM252" i="16"/>
  <c r="AN252" i="16" s="1"/>
  <c r="AT252" i="16"/>
  <c r="AU252" i="16" s="1"/>
  <c r="AS253" i="16"/>
  <c r="AS254" i="16" l="1"/>
  <c r="AT253" i="16"/>
  <c r="AU253" i="16" s="1"/>
  <c r="AM253" i="16"/>
  <c r="AN253" i="16" s="1"/>
  <c r="AL254" i="16"/>
  <c r="AL255" i="16" l="1"/>
  <c r="AM254" i="16"/>
  <c r="AN254" i="16" s="1"/>
  <c r="AT254" i="16"/>
  <c r="AU254" i="16" s="1"/>
  <c r="AS255" i="16"/>
  <c r="AS256" i="16" l="1"/>
  <c r="AT255" i="16"/>
  <c r="AU255" i="16" s="1"/>
  <c r="AL256" i="16"/>
  <c r="AM255" i="16"/>
  <c r="AN255" i="16" s="1"/>
  <c r="AL257" i="16" l="1"/>
  <c r="AM256" i="16"/>
  <c r="AN256" i="16" s="1"/>
  <c r="AS257" i="16"/>
  <c r="AT256" i="16"/>
  <c r="AU256" i="16" s="1"/>
  <c r="AS258" i="16" l="1"/>
  <c r="AT257" i="16"/>
  <c r="AU257" i="16" s="1"/>
  <c r="AL258" i="16"/>
  <c r="AM257" i="16"/>
  <c r="AN257" i="16" s="1"/>
  <c r="AM258" i="16" l="1"/>
  <c r="AN258" i="16" s="1"/>
  <c r="AL259" i="16"/>
  <c r="AT258" i="16"/>
  <c r="AU258" i="16" s="1"/>
  <c r="AS259" i="16"/>
  <c r="AS260" i="16" l="1"/>
  <c r="AT259" i="16"/>
  <c r="AU259" i="16" s="1"/>
  <c r="AL260" i="16"/>
  <c r="AM259" i="16"/>
  <c r="AN259" i="16" s="1"/>
  <c r="AM260" i="16" l="1"/>
  <c r="AN260" i="16" s="1"/>
  <c r="AL261" i="16"/>
  <c r="AT260" i="16"/>
  <c r="AU260" i="16" s="1"/>
  <c r="AS261" i="16"/>
  <c r="AT261" i="16" l="1"/>
  <c r="AU261" i="16" s="1"/>
  <c r="AS262" i="16"/>
  <c r="AM261" i="16"/>
  <c r="AN261" i="16" s="1"/>
  <c r="AL262" i="16"/>
  <c r="AL263" i="16" l="1"/>
  <c r="AM262" i="16"/>
  <c r="AN262" i="16" s="1"/>
  <c r="AS263" i="16"/>
  <c r="AT262" i="16"/>
  <c r="AU262" i="16" s="1"/>
  <c r="AS264" i="16" l="1"/>
  <c r="AT263" i="16"/>
  <c r="AU263" i="16" s="1"/>
  <c r="AL264" i="16"/>
  <c r="AM263" i="16"/>
  <c r="AN263" i="16" s="1"/>
  <c r="AL265" i="16" l="1"/>
  <c r="AM264" i="16"/>
  <c r="AN264" i="16" s="1"/>
  <c r="AT264" i="16"/>
  <c r="AU264" i="16" s="1"/>
  <c r="AS265" i="16"/>
  <c r="AT265" i="16" l="1"/>
  <c r="AU265" i="16" s="1"/>
  <c r="AS266" i="16"/>
  <c r="AL266" i="16"/>
  <c r="AM265" i="16"/>
  <c r="AN265" i="16" s="1"/>
  <c r="AL267" i="16" l="1"/>
  <c r="AM266" i="16"/>
  <c r="AN266" i="16" s="1"/>
  <c r="AT266" i="16"/>
  <c r="AU266" i="16" s="1"/>
  <c r="AS267" i="16"/>
  <c r="AT267" i="16" l="1"/>
  <c r="AU267" i="16" s="1"/>
  <c r="AS268" i="16"/>
  <c r="AL268" i="16"/>
  <c r="AM267" i="16"/>
  <c r="AN267" i="16" s="1"/>
  <c r="AM268" i="16" l="1"/>
  <c r="AN268" i="16" s="1"/>
  <c r="AL269" i="16"/>
  <c r="AT268" i="16"/>
  <c r="AU268" i="16" s="1"/>
  <c r="AS269" i="16"/>
  <c r="AT269" i="16" l="1"/>
  <c r="AU269" i="16" s="1"/>
  <c r="AS270" i="16"/>
  <c r="AM269" i="16"/>
  <c r="AN269" i="16" s="1"/>
  <c r="AL270" i="16"/>
  <c r="AM270" i="16" l="1"/>
  <c r="AN270" i="16" s="1"/>
  <c r="AL271" i="16"/>
  <c r="AS271" i="16"/>
  <c r="AT270" i="16"/>
  <c r="AU270" i="16" s="1"/>
  <c r="AS272" i="16" l="1"/>
  <c r="AT271" i="16"/>
  <c r="AU271" i="16" s="1"/>
  <c r="AL272" i="16"/>
  <c r="AM271" i="16"/>
  <c r="AN271" i="16" s="1"/>
  <c r="AL273" i="16" l="1"/>
  <c r="AM272" i="16"/>
  <c r="AN272" i="16" s="1"/>
  <c r="AT272" i="16"/>
  <c r="AU272" i="16" s="1"/>
  <c r="AS273" i="16"/>
  <c r="AS274" i="16" l="1"/>
  <c r="AT273" i="16"/>
  <c r="AU273" i="16" s="1"/>
  <c r="AM273" i="16"/>
  <c r="AN273" i="16" s="1"/>
  <c r="AL274" i="16"/>
  <c r="AL275" i="16" l="1"/>
  <c r="AM274" i="16"/>
  <c r="AN274" i="16" s="1"/>
  <c r="AT274" i="16"/>
  <c r="AU274" i="16" s="1"/>
  <c r="AS275" i="16"/>
  <c r="AS276" i="16" l="1"/>
  <c r="AT275" i="16"/>
  <c r="AU275" i="16" s="1"/>
  <c r="AL276" i="16"/>
  <c r="AM275" i="16"/>
  <c r="AN275" i="16" s="1"/>
  <c r="AM276" i="16" l="1"/>
  <c r="AN276" i="16" s="1"/>
  <c r="AL277" i="16"/>
  <c r="AS277" i="16"/>
  <c r="AT276" i="16"/>
  <c r="AU276" i="16" s="1"/>
  <c r="AS278" i="16" l="1"/>
  <c r="AT277" i="16"/>
  <c r="AU277" i="16" s="1"/>
  <c r="AL278" i="16"/>
  <c r="AM277" i="16"/>
  <c r="AN277" i="16" s="1"/>
  <c r="AM278" i="16" l="1"/>
  <c r="AN278" i="16" s="1"/>
  <c r="AL279" i="16"/>
  <c r="AS279" i="16"/>
  <c r="AT278" i="16"/>
  <c r="AU278" i="16" s="1"/>
  <c r="AT279" i="16" l="1"/>
  <c r="AU279" i="16" s="1"/>
  <c r="AS280" i="16"/>
  <c r="AM279" i="16"/>
  <c r="AN279" i="16" s="1"/>
  <c r="AL280" i="16"/>
  <c r="AL281" i="16" l="1"/>
  <c r="AM280" i="16"/>
  <c r="AN280" i="16" s="1"/>
  <c r="AS281" i="16"/>
  <c r="AT280" i="16"/>
  <c r="AU280" i="16" s="1"/>
  <c r="AS282" i="16" l="1"/>
  <c r="AT281" i="16"/>
  <c r="AU281" i="16" s="1"/>
  <c r="AM281" i="16"/>
  <c r="AN281" i="16" s="1"/>
  <c r="AL282" i="16"/>
  <c r="AL283" i="16" l="1"/>
  <c r="AM282" i="16"/>
  <c r="AN282" i="16" s="1"/>
  <c r="AT282" i="16"/>
  <c r="AU282" i="16" s="1"/>
  <c r="AS283" i="16"/>
  <c r="AT283" i="16" l="1"/>
  <c r="AU283" i="16" s="1"/>
  <c r="AS284" i="16"/>
  <c r="AM283" i="16"/>
  <c r="AN283" i="16" s="1"/>
  <c r="AL284" i="16"/>
  <c r="AL285" i="16" l="1"/>
  <c r="AM284" i="16"/>
  <c r="AN284" i="16" s="1"/>
  <c r="AS285" i="16"/>
  <c r="AT284" i="16"/>
  <c r="AU284" i="16" s="1"/>
  <c r="AT285" i="16" l="1"/>
  <c r="AU285" i="16" s="1"/>
  <c r="AS286" i="16"/>
  <c r="AL286" i="16"/>
  <c r="AM285" i="16"/>
  <c r="AN285" i="16" s="1"/>
  <c r="AL287" i="16" l="1"/>
  <c r="AM286" i="16"/>
  <c r="AN286" i="16" s="1"/>
  <c r="AS287" i="16"/>
  <c r="AT286" i="16"/>
  <c r="AU286" i="16" s="1"/>
  <c r="AS288" i="16" l="1"/>
  <c r="AT287" i="16"/>
  <c r="AU287" i="16" s="1"/>
  <c r="AM287" i="16"/>
  <c r="AN287" i="16" s="1"/>
  <c r="AL288" i="16"/>
  <c r="AL289" i="16" l="1"/>
  <c r="AM288" i="16"/>
  <c r="AN288" i="16" s="1"/>
  <c r="AT288" i="16"/>
  <c r="AU288" i="16" s="1"/>
  <c r="AS289" i="16"/>
  <c r="AT289" i="16" l="1"/>
  <c r="AU289" i="16" s="1"/>
  <c r="AS290" i="16"/>
  <c r="AM289" i="16"/>
  <c r="AN289" i="16" s="1"/>
  <c r="AL290" i="16"/>
  <c r="AL291" i="16" l="1"/>
  <c r="AM290" i="16"/>
  <c r="AN290" i="16" s="1"/>
  <c r="AS291" i="16"/>
  <c r="AT290" i="16"/>
  <c r="AU290" i="16" s="1"/>
  <c r="AS292" i="16" l="1"/>
  <c r="AT291" i="16"/>
  <c r="AU291" i="16" s="1"/>
  <c r="AL292" i="16"/>
  <c r="AM291" i="16"/>
  <c r="AN291" i="16" s="1"/>
  <c r="AL293" i="16" l="1"/>
  <c r="AM292" i="16"/>
  <c r="AN292" i="16" s="1"/>
  <c r="AS293" i="16"/>
  <c r="AT292" i="16"/>
  <c r="AU292" i="16" s="1"/>
  <c r="AS294" i="16" l="1"/>
  <c r="AT293" i="16"/>
  <c r="AU293" i="16" s="1"/>
  <c r="AL294" i="16"/>
  <c r="AM293" i="16"/>
  <c r="AN293" i="16" s="1"/>
  <c r="AM294" i="16" l="1"/>
  <c r="AN294" i="16" s="1"/>
  <c r="AL295" i="16"/>
  <c r="AT294" i="16"/>
  <c r="AU294" i="16" s="1"/>
  <c r="AS295" i="16"/>
  <c r="AL296" i="16" l="1"/>
  <c r="AM295" i="16"/>
  <c r="AN295" i="16" s="1"/>
  <c r="AT295" i="16"/>
  <c r="AU295" i="16" s="1"/>
  <c r="AS296" i="16"/>
  <c r="AS297" i="16" l="1"/>
  <c r="AT296" i="16"/>
  <c r="AU296" i="16" s="1"/>
  <c r="AM296" i="16"/>
  <c r="AN296" i="16" s="1"/>
  <c r="AL297" i="16"/>
  <c r="AL298" i="16" l="1"/>
  <c r="AM297" i="16"/>
  <c r="AN297" i="16" s="1"/>
  <c r="AT297" i="16"/>
  <c r="AU297" i="16" s="1"/>
  <c r="AS298" i="16"/>
  <c r="AS299" i="16" l="1"/>
  <c r="AT298" i="16"/>
  <c r="AU298" i="16" s="1"/>
  <c r="AL299" i="16"/>
  <c r="AM298" i="16"/>
  <c r="AN298" i="16" s="1"/>
  <c r="AM299" i="16" l="1"/>
  <c r="AN299" i="16" s="1"/>
  <c r="AL300" i="16"/>
  <c r="AT299" i="16"/>
  <c r="AU299" i="16" s="1"/>
  <c r="AS300" i="16"/>
  <c r="AT300" i="16" l="1"/>
  <c r="AU300" i="16" s="1"/>
  <c r="AS301" i="16"/>
  <c r="AL301" i="16"/>
  <c r="AM300" i="16"/>
  <c r="AN300" i="16" s="1"/>
  <c r="AM301" i="16" l="1"/>
  <c r="AN301" i="16" s="1"/>
  <c r="AL302" i="16"/>
  <c r="AT301" i="16"/>
  <c r="AU301" i="16" s="1"/>
  <c r="AS302" i="16"/>
  <c r="AS303" i="16" l="1"/>
  <c r="AT302" i="16"/>
  <c r="AU302" i="16" s="1"/>
  <c r="AL303" i="16"/>
  <c r="AM302" i="16"/>
  <c r="AN302" i="16" s="1"/>
  <c r="AM303" i="16" l="1"/>
  <c r="AN303" i="16" s="1"/>
  <c r="AL304" i="16"/>
  <c r="AS304" i="16"/>
  <c r="AT303" i="16"/>
  <c r="AU303" i="16" s="1"/>
  <c r="AS305" i="16" l="1"/>
  <c r="AT304" i="16"/>
  <c r="AU304" i="16" s="1"/>
  <c r="AL305" i="16"/>
  <c r="AM304" i="16"/>
  <c r="AN304" i="16" s="1"/>
  <c r="AL306" i="16" l="1"/>
  <c r="AM305" i="16"/>
  <c r="AN305" i="16" s="1"/>
  <c r="AT305" i="16"/>
  <c r="AU305" i="16" s="1"/>
  <c r="AS306" i="16"/>
  <c r="AS307" i="16" l="1"/>
  <c r="AT306" i="16"/>
  <c r="AU306" i="16" s="1"/>
  <c r="AL307" i="16"/>
  <c r="AM306" i="16"/>
  <c r="AN306" i="16" s="1"/>
  <c r="AM307" i="16" l="1"/>
  <c r="AN307" i="16" s="1"/>
  <c r="AL308" i="16"/>
  <c r="AS308" i="16"/>
  <c r="AT307" i="16"/>
  <c r="AU307" i="16" s="1"/>
  <c r="AT308" i="16" l="1"/>
  <c r="AU308" i="16" s="1"/>
  <c r="AS309" i="16"/>
  <c r="AM308" i="16"/>
  <c r="AN308" i="16" s="1"/>
  <c r="AL309" i="16"/>
  <c r="AM309" i="16" l="1"/>
  <c r="AN309" i="16" s="1"/>
  <c r="AL310" i="16"/>
  <c r="AS310" i="16"/>
  <c r="AT309" i="16"/>
  <c r="AU309" i="16" s="1"/>
  <c r="AT310" i="16" l="1"/>
  <c r="AU310" i="16" s="1"/>
  <c r="AS311" i="16"/>
  <c r="AL311" i="16"/>
  <c r="AM310" i="16"/>
  <c r="AN310" i="16" s="1"/>
  <c r="AM311" i="16" l="1"/>
  <c r="AN311" i="16" s="1"/>
  <c r="AL312" i="16"/>
  <c r="AT311" i="16"/>
  <c r="AU311" i="16" s="1"/>
  <c r="AS312" i="16"/>
  <c r="AS313" i="16" l="1"/>
  <c r="AT312" i="16"/>
  <c r="AU312" i="16" s="1"/>
  <c r="AM312" i="16"/>
  <c r="AN312" i="16" s="1"/>
  <c r="AL313" i="16"/>
  <c r="AM313" i="16" l="1"/>
  <c r="AN313" i="16" s="1"/>
  <c r="AL314" i="16"/>
  <c r="AS314" i="16"/>
  <c r="AT313" i="16"/>
  <c r="AU313" i="16" s="1"/>
  <c r="AT314" i="16" l="1"/>
  <c r="AU314" i="16" s="1"/>
  <c r="AS315" i="16"/>
  <c r="AM314" i="16"/>
  <c r="AN314" i="16" s="1"/>
  <c r="AL315" i="16"/>
  <c r="AL316" i="16" l="1"/>
  <c r="AM315" i="16"/>
  <c r="AN315" i="16" s="1"/>
  <c r="AS316" i="16"/>
  <c r="AT315" i="16"/>
  <c r="AU315" i="16" s="1"/>
  <c r="AS317" i="16" l="1"/>
  <c r="AT316" i="16"/>
  <c r="AU316" i="16" s="1"/>
  <c r="AM316" i="16"/>
  <c r="AN316" i="16" s="1"/>
  <c r="AL317" i="16"/>
  <c r="AM317" i="16" l="1"/>
  <c r="AN317" i="16" s="1"/>
  <c r="AL318" i="16"/>
  <c r="AS318" i="16"/>
  <c r="AT317" i="16"/>
  <c r="AU317" i="16" s="1"/>
  <c r="AT318" i="16" l="1"/>
  <c r="AU318" i="16" s="1"/>
  <c r="AS319" i="16"/>
  <c r="AM318" i="16"/>
  <c r="AN318" i="16" s="1"/>
  <c r="AL319" i="16"/>
  <c r="AM319" i="16" l="1"/>
  <c r="AN319" i="16" s="1"/>
  <c r="AL320" i="16"/>
  <c r="AT319" i="16"/>
  <c r="AU319" i="16" s="1"/>
  <c r="AS320" i="16"/>
  <c r="AT320" i="16" l="1"/>
  <c r="AU320" i="16" s="1"/>
  <c r="AS321" i="16"/>
  <c r="AL321" i="16"/>
  <c r="AM320" i="16"/>
  <c r="AN320" i="16" s="1"/>
  <c r="AM321" i="16" l="1"/>
  <c r="AN321" i="16" s="1"/>
  <c r="AL322" i="16"/>
  <c r="AS322" i="16"/>
  <c r="AT321" i="16"/>
  <c r="AU321" i="16" s="1"/>
  <c r="AS323" i="16" l="1"/>
  <c r="AT322" i="16"/>
  <c r="AU322" i="16" s="1"/>
  <c r="AM322" i="16"/>
  <c r="AN322" i="16" s="1"/>
  <c r="AL323" i="16"/>
  <c r="AM323" i="16" l="1"/>
  <c r="AN323" i="16" s="1"/>
  <c r="AL324" i="16"/>
  <c r="AT323" i="16"/>
  <c r="AU323" i="16" s="1"/>
  <c r="AS324" i="16"/>
  <c r="AT324" i="16" l="1"/>
  <c r="AU324" i="16" s="1"/>
  <c r="AS325" i="16"/>
  <c r="AM324" i="16"/>
  <c r="AN324" i="16" s="1"/>
  <c r="AL325" i="16"/>
  <c r="AM325" i="16" l="1"/>
  <c r="AN325" i="16" s="1"/>
  <c r="AL326" i="16"/>
  <c r="AT325" i="16"/>
  <c r="AU325" i="16" s="1"/>
  <c r="AS326" i="16"/>
  <c r="AS327" i="16" l="1"/>
  <c r="AT326" i="16"/>
  <c r="AU326" i="16" s="1"/>
  <c r="AL327" i="16"/>
  <c r="AM326" i="16"/>
  <c r="AN326" i="16" s="1"/>
  <c r="AM327" i="16" l="1"/>
  <c r="AN327" i="16" s="1"/>
  <c r="AL328" i="16"/>
  <c r="AS328" i="16"/>
  <c r="AT327" i="16"/>
  <c r="AU327" i="16" s="1"/>
  <c r="AT328" i="16" l="1"/>
  <c r="AU328" i="16" s="1"/>
  <c r="AS329" i="16"/>
  <c r="AM328" i="16"/>
  <c r="AN328" i="16" s="1"/>
  <c r="AL329" i="16"/>
  <c r="AL330" i="16" l="1"/>
  <c r="AM329" i="16"/>
  <c r="AN329" i="16" s="1"/>
  <c r="AS330" i="16"/>
  <c r="AT329" i="16"/>
  <c r="AU329" i="16" s="1"/>
  <c r="AT330" i="16" l="1"/>
  <c r="AU330" i="16" s="1"/>
  <c r="AS331" i="16"/>
  <c r="AM330" i="16"/>
  <c r="AN330" i="16" s="1"/>
  <c r="AL331" i="16"/>
  <c r="AL332" i="16" l="1"/>
  <c r="AM331" i="16"/>
  <c r="AN331" i="16" s="1"/>
  <c r="AT331" i="16"/>
  <c r="AU331" i="16" s="1"/>
  <c r="AS332" i="16"/>
  <c r="AT332" i="16" l="1"/>
  <c r="AU332" i="16" s="1"/>
  <c r="AS333" i="16"/>
  <c r="AM332" i="16"/>
  <c r="AN332" i="16" s="1"/>
  <c r="AL333" i="16"/>
  <c r="AL334" i="16" l="1"/>
  <c r="AM333" i="16"/>
  <c r="AN333" i="16" s="1"/>
  <c r="AS334" i="16"/>
  <c r="AT333" i="16"/>
  <c r="AU333" i="16" s="1"/>
  <c r="AS335" i="16" l="1"/>
  <c r="AT334" i="16"/>
  <c r="AU334" i="16" s="1"/>
  <c r="AL335" i="16"/>
  <c r="AM334" i="16"/>
  <c r="AN334" i="16" s="1"/>
  <c r="AL336" i="16" l="1"/>
  <c r="AM335" i="16"/>
  <c r="AN335" i="16" s="1"/>
  <c r="AT335" i="16"/>
  <c r="AU335" i="16" s="1"/>
  <c r="AS336" i="16"/>
  <c r="AS337" i="16" l="1"/>
  <c r="AT336" i="16"/>
  <c r="AU336" i="16" s="1"/>
  <c r="AM336" i="16"/>
  <c r="AN336" i="16" s="1"/>
  <c r="AL337" i="16"/>
  <c r="AL338" i="16" l="1"/>
  <c r="AM337" i="16"/>
  <c r="AN337" i="16" s="1"/>
  <c r="AT337" i="16"/>
  <c r="AU337" i="16" s="1"/>
  <c r="AS338" i="16"/>
  <c r="AS339" i="16" l="1"/>
  <c r="AT338" i="16"/>
  <c r="AU338" i="16" s="1"/>
  <c r="AL339" i="16"/>
  <c r="AM338" i="16"/>
  <c r="AN338" i="16" s="1"/>
  <c r="AM339" i="16" l="1"/>
  <c r="AN339" i="16" s="1"/>
  <c r="AL340" i="16"/>
  <c r="AT339" i="16"/>
  <c r="AU339" i="16" s="1"/>
  <c r="AS340" i="16"/>
  <c r="AS341" i="16" l="1"/>
  <c r="AT340" i="16"/>
  <c r="AU340" i="16" s="1"/>
  <c r="AM340" i="16"/>
  <c r="AN340" i="16" s="1"/>
  <c r="AL341" i="16"/>
  <c r="AM341" i="16" l="1"/>
  <c r="AN341" i="16" s="1"/>
  <c r="AL342" i="16"/>
  <c r="AT341" i="16"/>
  <c r="AU341" i="16" s="1"/>
  <c r="AS342" i="16"/>
  <c r="AS343" i="16" l="1"/>
  <c r="AT342" i="16"/>
  <c r="AU342" i="16" s="1"/>
  <c r="AM342" i="16"/>
  <c r="AN342" i="16" s="1"/>
  <c r="AL343" i="16"/>
  <c r="AM343" i="16" l="1"/>
  <c r="AN343" i="16" s="1"/>
  <c r="AL344" i="16"/>
  <c r="AT343" i="16"/>
  <c r="AU343" i="16" s="1"/>
  <c r="AS344" i="16"/>
  <c r="AS345" i="16" l="1"/>
  <c r="AT344" i="16"/>
  <c r="AU344" i="16" s="1"/>
  <c r="AM344" i="16"/>
  <c r="AN344" i="16" s="1"/>
  <c r="AL345" i="16"/>
  <c r="AM345" i="16" l="1"/>
  <c r="AN345" i="16" s="1"/>
  <c r="AL346" i="16"/>
  <c r="AT345" i="16"/>
  <c r="AU345" i="16" s="1"/>
  <c r="AS346" i="16"/>
  <c r="AS347" i="16" l="1"/>
  <c r="AT346" i="16"/>
  <c r="AU346" i="16" s="1"/>
  <c r="AM346" i="16"/>
  <c r="AN346" i="16" s="1"/>
  <c r="AL347" i="16"/>
  <c r="AM347" i="16" l="1"/>
  <c r="AN347" i="16" s="1"/>
  <c r="AL348" i="16"/>
  <c r="AT347" i="16"/>
  <c r="AU347" i="16" s="1"/>
  <c r="AS348" i="16"/>
  <c r="AT348" i="16" l="1"/>
  <c r="AU348" i="16" s="1"/>
  <c r="AS349" i="16"/>
  <c r="AL349" i="16"/>
  <c r="AM348" i="16"/>
  <c r="AN348" i="16" s="1"/>
  <c r="AL350" i="16" l="1"/>
  <c r="AM349" i="16"/>
  <c r="AN349" i="16" s="1"/>
  <c r="AT349" i="16"/>
  <c r="AU349" i="16" s="1"/>
  <c r="AS350" i="16"/>
  <c r="AS351" i="16" l="1"/>
  <c r="AT350" i="16"/>
  <c r="AU350" i="16" s="1"/>
  <c r="AM350" i="16"/>
  <c r="AN350" i="16" s="1"/>
  <c r="AL351" i="16"/>
  <c r="AM351" i="16" l="1"/>
  <c r="AN351" i="16" s="1"/>
  <c r="AL352" i="16"/>
  <c r="AT351" i="16"/>
  <c r="AU351" i="16" s="1"/>
  <c r="AS352" i="16"/>
  <c r="AS353" i="16" l="1"/>
  <c r="AT352" i="16"/>
  <c r="AU352" i="16" s="1"/>
  <c r="AM352" i="16"/>
  <c r="AN352" i="16" s="1"/>
  <c r="AL353" i="16"/>
  <c r="AM353" i="16" l="1"/>
  <c r="AN353" i="16" s="1"/>
  <c r="AL354" i="16"/>
  <c r="AT353" i="16"/>
  <c r="AU353" i="16" s="1"/>
  <c r="AS354" i="16"/>
  <c r="AS355" i="16" l="1"/>
  <c r="AT354" i="16"/>
  <c r="AU354" i="16" s="1"/>
  <c r="AM354" i="16"/>
  <c r="AN354" i="16" s="1"/>
  <c r="AL355" i="16"/>
  <c r="AM355" i="16" l="1"/>
  <c r="AN355" i="16" s="1"/>
  <c r="AL356" i="16"/>
  <c r="AT355" i="16"/>
  <c r="AU355" i="16" s="1"/>
  <c r="AS356" i="16"/>
  <c r="AS357" i="16" l="1"/>
  <c r="AT356" i="16"/>
  <c r="AU356" i="16" s="1"/>
  <c r="AL357" i="16"/>
  <c r="AM356" i="16"/>
  <c r="AN356" i="16" s="1"/>
  <c r="AL358" i="16" l="1"/>
  <c r="AM357" i="16"/>
  <c r="AN357" i="16" s="1"/>
  <c r="AS358" i="16"/>
  <c r="AT357" i="16"/>
  <c r="AU357" i="16" s="1"/>
  <c r="AT358" i="16" l="1"/>
  <c r="AU358" i="16" s="1"/>
  <c r="AS359" i="16"/>
  <c r="AM358" i="16"/>
  <c r="AN358" i="16" s="1"/>
  <c r="AL359" i="16"/>
  <c r="AL360" i="16" l="1"/>
  <c r="AM359" i="16"/>
  <c r="AN359" i="16" s="1"/>
  <c r="AT359" i="16"/>
  <c r="AU359" i="16" s="1"/>
  <c r="AS360" i="16"/>
  <c r="AS361" i="16" l="1"/>
  <c r="AT360" i="16"/>
  <c r="AU360" i="16" s="1"/>
  <c r="AM360" i="16"/>
  <c r="AN360" i="16" s="1"/>
  <c r="AL361" i="16"/>
  <c r="AL362" i="16" l="1"/>
  <c r="AM361" i="16"/>
  <c r="AN361" i="16" s="1"/>
  <c r="AS362" i="16"/>
  <c r="AT361" i="16"/>
  <c r="AU361" i="16" s="1"/>
  <c r="AT362" i="16" l="1"/>
  <c r="AU362" i="16" s="1"/>
  <c r="AS363" i="16"/>
  <c r="AL363" i="16"/>
  <c r="AM362" i="16"/>
  <c r="AN362" i="16" s="1"/>
  <c r="AM363" i="16" l="1"/>
  <c r="AN363" i="16" s="1"/>
  <c r="AL364" i="16"/>
  <c r="AT363" i="16"/>
  <c r="AU363" i="16" s="1"/>
  <c r="AS364" i="16"/>
  <c r="AS365" i="16" l="1"/>
  <c r="AT364" i="16"/>
  <c r="AU364" i="16" s="1"/>
  <c r="AL365" i="16"/>
  <c r="AM364" i="16"/>
  <c r="AN364" i="16" s="1"/>
  <c r="AL366" i="16" l="1"/>
  <c r="AM365" i="16"/>
  <c r="AN365" i="16" s="1"/>
  <c r="AS366" i="16"/>
  <c r="AT365" i="16"/>
  <c r="AU365" i="16" s="1"/>
  <c r="AS367" i="16" l="1"/>
  <c r="AT366" i="16"/>
  <c r="AU366" i="16" s="1"/>
  <c r="AM366" i="16"/>
  <c r="AN366" i="16" s="1"/>
  <c r="AL367" i="16"/>
  <c r="AL368" i="16" l="1"/>
  <c r="AM368" i="16" s="1"/>
  <c r="AN368" i="16" s="1"/>
  <c r="AM367" i="16"/>
  <c r="AN367" i="16" s="1"/>
  <c r="AS368" i="16"/>
  <c r="AT368" i="16" s="1"/>
  <c r="AU368" i="16" s="1"/>
  <c r="AT367" i="16"/>
  <c r="AU367" i="16" s="1"/>
</calcChain>
</file>

<file path=xl/sharedStrings.xml><?xml version="1.0" encoding="utf-8"?>
<sst xmlns="http://schemas.openxmlformats.org/spreadsheetml/2006/main" count="9859" uniqueCount="912">
  <si>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</si>
  <si>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</si>
  <si>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</si>
  <si>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</si>
  <si>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</si>
  <si>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</si>
  <si>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</si>
  <si>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</si>
  <si>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</si>
  <si>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</si>
  <si>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</si>
  <si>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</si>
  <si>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</si>
  <si>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</si>
  <si>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</si>
  <si>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</si>
  <si>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</si>
  <si>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</si>
  <si>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</si>
  <si>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</si>
  <si>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</si>
  <si>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</si>
  <si>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</si>
  <si>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</si>
  <si>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</si>
  <si>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</si>
  <si>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</si>
  <si>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</si>
  <si>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</si>
  <si>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</si>
  <si>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</si>
  <si>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</si>
  <si>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</si>
  <si>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</si>
  <si>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</si>
  <si>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</si>
  <si>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</si>
  <si>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</si>
  <si>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</si>
  <si>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</si>
  <si>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</si>
  <si>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</si>
  <si>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</si>
  <si>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</si>
  <si>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</si>
  <si>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</si>
  <si>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</si>
  <si>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</si>
  <si>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</si>
  <si>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</si>
  <si>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</si>
  <si>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</si>
  <si>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</si>
  <si>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</si>
  <si>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</si>
  <si>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</si>
  <si>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</si>
  <si>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</si>
  <si>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</si>
  <si>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</si>
  <si>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</si>
  <si>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</si>
  <si>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</si>
  <si>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</si>
  <si>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</si>
  <si>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</si>
  <si>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</si>
  <si>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</si>
  <si>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</si>
  <si>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</si>
  <si>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</si>
  <si>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</si>
  <si>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</si>
  <si>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</si>
  <si>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</si>
  <si>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</si>
  <si>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</si>
  <si>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</si>
  <si>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</si>
  <si>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</si>
  <si>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</si>
  <si>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</si>
  <si>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</si>
  <si>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</si>
  <si>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</si>
  <si>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</si>
  <si>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</si>
  <si>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</si>
  <si>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</si>
  <si>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</si>
  <si>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</si>
  <si>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</si>
  <si>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</si>
  <si>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</si>
  <si>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</si>
  <si>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</si>
  <si>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</si>
  <si>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</si>
  <si>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</si>
  <si>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</si>
  <si>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</si>
  <si>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</si>
  <si>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</si>
  <si>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</si>
  <si>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</si>
  <si>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</si>
  <si>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</si>
  <si>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</si>
  <si>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</si>
  <si>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</si>
  <si>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</si>
  <si>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</si>
  <si>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</si>
  <si>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</si>
  <si>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</si>
  <si>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</si>
  <si>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</si>
  <si>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</si>
  <si>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</si>
  <si>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</si>
  <si>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</si>
  <si>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</si>
  <si>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</si>
  <si>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</si>
  <si>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</si>
  <si>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</si>
  <si>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</si>
  <si>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</si>
  <si>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</si>
  <si>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</si>
  <si>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</si>
  <si>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</si>
  <si>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</si>
  <si>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</si>
  <si>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</si>
  <si>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</si>
  <si>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</si>
  <si>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</si>
  <si>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</si>
  <si>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</si>
  <si>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</si>
  <si>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</si>
  <si>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</si>
  <si>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</si>
  <si>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</si>
  <si>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</si>
  <si>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</si>
  <si>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</si>
  <si>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</si>
  <si>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</si>
  <si>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</si>
  <si>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</si>
  <si>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</si>
  <si>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</si>
  <si>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</si>
  <si>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</si>
  <si>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</si>
  <si>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</si>
  <si>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</si>
  <si>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</si>
  <si>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</si>
  <si>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</si>
  <si>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</si>
  <si>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</si>
  <si>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</si>
  <si>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</si>
  <si>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</si>
  <si>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</si>
  <si>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</si>
  <si>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</si>
  <si>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</si>
  <si>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</si>
  <si>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</si>
  <si>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</si>
  <si>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</si>
  <si>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</si>
  <si>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</si>
  <si>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</si>
  <si>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</si>
  <si>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</si>
  <si>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</si>
  <si>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</si>
  <si>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</si>
  <si>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</si>
  <si>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</si>
  <si>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</si>
  <si>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</si>
  <si>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</si>
  <si>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</si>
  <si>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</si>
  <si>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</si>
  <si>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</si>
  <si>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</si>
  <si>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</si>
  <si>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</si>
  <si>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</si>
  <si>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</si>
  <si>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</si>
  <si>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</si>
  <si>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</si>
  <si>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</si>
  <si>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</si>
  <si>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</si>
  <si>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</si>
  <si>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</si>
  <si>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</si>
  <si>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</si>
  <si>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</si>
  <si>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</si>
  <si>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</si>
  <si>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</si>
  <si>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</si>
  <si>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</si>
  <si>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</si>
  <si>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</si>
  <si>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</si>
  <si>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</si>
  <si>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</si>
  <si>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</si>
  <si>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</si>
  <si>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</si>
  <si>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</si>
  <si>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</si>
  <si>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</si>
  <si>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</si>
  <si>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</si>
  <si>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</si>
  <si>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</si>
  <si>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</si>
  <si>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</si>
  <si>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</si>
  <si>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</si>
  <si>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</si>
  <si>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</si>
  <si>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</si>
  <si>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</si>
  <si>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</si>
  <si>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</si>
  <si>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</si>
  <si>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</si>
  <si>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</si>
  <si>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</si>
  <si>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</si>
  <si>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</si>
  <si>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</si>
  <si>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</si>
  <si>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</si>
  <si>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</si>
  <si>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</si>
  <si>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</si>
  <si>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</si>
  <si>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</si>
  <si>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</si>
  <si>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</si>
  <si>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</si>
  <si>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</si>
  <si>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</si>
  <si>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</si>
  <si>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</si>
  <si>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</si>
  <si>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</si>
  <si>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</si>
  <si>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</si>
  <si>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</si>
  <si>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</si>
  <si>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</si>
  <si>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</si>
  <si>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</si>
  <si>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</si>
  <si>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</si>
  <si>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</si>
  <si>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</si>
  <si>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</si>
  <si>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</si>
  <si>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</si>
  <si>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</si>
  <si>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</si>
  <si>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</si>
  <si>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</si>
  <si>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</si>
  <si>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</si>
  <si>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</si>
  <si>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</si>
  <si>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</si>
  <si>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</si>
  <si>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</si>
  <si>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</si>
  <si>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</si>
  <si>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</si>
  <si>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</si>
  <si>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</si>
  <si>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</si>
  <si>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</si>
  <si>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</si>
  <si>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</si>
  <si>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</si>
  <si>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</si>
  <si>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</si>
  <si>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</si>
  <si>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</si>
  <si>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</si>
  <si>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</si>
  <si>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</si>
  <si>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</si>
  <si>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</si>
  <si>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</si>
  <si>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</si>
  <si>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</si>
  <si>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</si>
  <si>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</si>
  <si>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</si>
  <si>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</si>
  <si>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</si>
  <si>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</si>
  <si>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</si>
  <si>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</si>
  <si>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</si>
  <si>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</si>
  <si>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</si>
  <si>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</si>
  <si>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</si>
  <si>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</si>
  <si>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</si>
  <si>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</si>
  <si>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</si>
  <si>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</si>
  <si>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</si>
  <si>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</si>
  <si>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</si>
  <si>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</si>
  <si>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</si>
  <si>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</si>
  <si>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</si>
  <si>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</si>
  <si>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</si>
  <si>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</si>
  <si>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</si>
  <si>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</si>
  <si>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</si>
  <si>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</si>
  <si>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Average</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</si>
  <si>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</si>
  <si>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</si>
  <si>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</si>
  <si>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</si>
  <si>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</si>
  <si>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</si>
  <si>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</si>
  <si>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</si>
  <si>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</si>
  <si>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</si>
  <si>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</si>
  <si>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</si>
  <si>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</si>
  <si>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</si>
  <si>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</si>
  <si>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</si>
  <si>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</si>
  <si>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</si>
  <si>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</si>
  <si>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</si>
  <si>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</si>
  <si>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</si>
  <si>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</si>
  <si>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</si>
  <si>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</si>
  <si>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</si>
  <si>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</si>
  <si>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</si>
  <si>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</si>
  <si>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</si>
  <si>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</si>
  <si>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</si>
  <si>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</si>
  <si>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</si>
  <si>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</si>
  <si>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</si>
  <si>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</si>
  <si>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</si>
  <si>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</si>
  <si>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</si>
  <si>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</si>
  <si>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</si>
  <si>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</si>
  <si>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</si>
  <si>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</si>
  <si>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</si>
  <si>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</si>
  <si>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</si>
  <si>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</si>
  <si>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</si>
  <si>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</si>
  <si>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</si>
  <si>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</si>
  <si>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</si>
  <si>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</si>
  <si>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</si>
  <si>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</si>
  <si>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</si>
  <si>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</si>
  <si>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</si>
  <si>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</si>
  <si>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</si>
  <si>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</si>
  <si>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</si>
  <si>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</si>
  <si>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</si>
  <si>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</si>
  <si>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</si>
  <si>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</si>
  <si>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</si>
  <si>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</si>
  <si>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</si>
  <si>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</si>
  <si>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</si>
  <si>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</si>
  <si>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</si>
  <si>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</si>
  <si>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</si>
  <si>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</si>
  <si>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</si>
  <si>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</si>
  <si>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</si>
  <si>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</si>
  <si>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</si>
  <si>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</si>
  <si>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</si>
  <si>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</si>
  <si>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</si>
  <si>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</si>
  <si>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</si>
  <si>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</si>
  <si>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</si>
  <si>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</si>
  <si>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</si>
  <si>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</si>
  <si>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</si>
  <si>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</si>
  <si>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</si>
  <si>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</si>
  <si>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</si>
  <si>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</si>
  <si>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</si>
  <si>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</si>
  <si>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</si>
  <si>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</si>
  <si>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</si>
  <si>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</si>
  <si>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</si>
  <si>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</si>
  <si>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</si>
  <si>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</si>
  <si>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</si>
  <si>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</si>
  <si>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</si>
  <si>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</si>
  <si>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</si>
  <si>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</si>
  <si>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</si>
  <si>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</si>
  <si>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</si>
  <si>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</si>
  <si>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</si>
  <si>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</si>
  <si>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</si>
  <si>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</si>
  <si>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</si>
  <si>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</si>
  <si>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</si>
  <si>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</si>
  <si>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</si>
  <si>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</si>
  <si>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</si>
  <si>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</si>
  <si>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</si>
  <si>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</si>
  <si>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</si>
  <si>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</si>
  <si>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</si>
  <si>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</si>
  <si>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</si>
  <si>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</si>
  <si>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</si>
  <si>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</si>
  <si>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</si>
  <si>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</si>
  <si>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</si>
  <si>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</si>
  <si>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</si>
  <si>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</si>
  <si>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</si>
  <si>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</si>
  <si>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</si>
  <si>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</si>
  <si>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</si>
  <si>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</si>
  <si>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</si>
  <si>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</si>
  <si>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</si>
  <si>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</si>
  <si>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</si>
  <si>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</si>
  <si>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</si>
  <si>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</si>
  <si>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</si>
  <si>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</si>
  <si>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</si>
  <si>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</si>
  <si>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</si>
  <si>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</si>
  <si>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</si>
  <si>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</si>
  <si>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</si>
  <si>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</si>
  <si>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</si>
  <si>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</si>
  <si>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</si>
  <si>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</si>
  <si>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</si>
  <si>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</si>
  <si>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</si>
  <si>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</si>
  <si>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</si>
  <si>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</si>
  <si>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</si>
  <si>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</si>
  <si>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</si>
  <si>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</si>
  <si>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</si>
  <si>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</si>
  <si>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</si>
  <si>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</si>
  <si>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</si>
  <si>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</si>
  <si>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</si>
  <si>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</si>
  <si>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</si>
  <si>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</si>
  <si>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</si>
  <si>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</si>
  <si>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</si>
  <si>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</si>
  <si>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</si>
  <si>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</si>
  <si>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</si>
  <si>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</si>
  <si>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</si>
  <si>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</si>
  <si>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</si>
  <si>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</si>
  <si>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</si>
  <si>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</si>
  <si>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</si>
  <si>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</si>
  <si>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</si>
  <si>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</si>
  <si>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</si>
  <si>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</si>
  <si>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</si>
  <si>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</si>
  <si>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</si>
  <si>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</si>
  <si>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</si>
  <si>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</si>
  <si>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</si>
  <si>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</si>
  <si>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</si>
  <si>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</si>
  <si>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</si>
  <si>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</si>
  <si>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</si>
  <si>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</si>
  <si>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</si>
  <si>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</si>
  <si>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</si>
  <si>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</si>
  <si>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</si>
  <si>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</si>
  <si>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</si>
  <si>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</si>
  <si>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</si>
  <si>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</si>
  <si>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</si>
  <si>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</si>
  <si>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</si>
  <si>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</si>
  <si>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</si>
  <si>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</si>
  <si>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</si>
  <si>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</si>
  <si>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</si>
  <si>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</si>
  <si>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</si>
  <si>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</si>
  <si>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</si>
  <si>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</si>
  <si>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</si>
  <si>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</si>
  <si>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</si>
  <si>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</si>
  <si>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</si>
  <si>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</si>
  <si>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</si>
  <si>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</si>
  <si>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</si>
  <si>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</si>
  <si>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</si>
  <si>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</si>
  <si>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</si>
  <si>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</si>
  <si>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</si>
  <si>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</si>
  <si>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</si>
  <si>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</si>
  <si>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</si>
  <si>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</si>
  <si>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</si>
  <si>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</si>
  <si>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</si>
  <si>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</si>
  <si>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</si>
  <si>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</si>
  <si>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</si>
  <si>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</si>
  <si>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</si>
  <si>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</si>
  <si>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</si>
  <si>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</si>
  <si>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</si>
  <si>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</si>
  <si>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</si>
  <si>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</si>
  <si>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</si>
  <si>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</si>
  <si>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</si>
  <si>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</si>
  <si>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</si>
  <si>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</si>
  <si>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</si>
  <si>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</si>
  <si>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</si>
  <si>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</si>
  <si>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</si>
  <si>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</si>
  <si>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</si>
  <si>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</si>
  <si>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</si>
  <si>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</si>
  <si>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</si>
  <si>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</si>
  <si>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</si>
  <si>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</si>
  <si>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</si>
  <si>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</si>
  <si>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</si>
  <si>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</si>
  <si>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</si>
  <si>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</si>
  <si>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</si>
  <si>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</si>
  <si>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</si>
  <si>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</si>
  <si>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</si>
  <si>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</si>
  <si>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</si>
  <si>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</si>
  <si>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</si>
  <si>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</si>
  <si>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</si>
  <si>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</si>
  <si>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</si>
  <si>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</si>
  <si>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</si>
  <si>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</si>
  <si>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</si>
  <si>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</si>
  <si>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</si>
  <si>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</si>
  <si>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</si>
  <si>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</si>
  <si>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</si>
  <si>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</si>
  <si>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</si>
  <si>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</si>
  <si>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</si>
  <si>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</si>
  <si>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</si>
  <si>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</si>
  <si>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</si>
  <si>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</si>
  <si>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</si>
  <si>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</si>
  <si>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</si>
  <si>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</si>
  <si>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</si>
  <si>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</si>
  <si>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</si>
  <si>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</si>
  <si>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</si>
  <si>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</si>
  <si>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</si>
  <si>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</si>
  <si>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</si>
  <si>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</si>
  <si>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</si>
  <si>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</si>
  <si>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</si>
  <si>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</si>
  <si>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</si>
  <si>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</si>
  <si>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</si>
  <si>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</si>
  <si>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</si>
  <si>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</si>
  <si>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</si>
  <si>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</si>
  <si>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</si>
  <si>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</si>
  <si>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</si>
  <si>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</si>
  <si>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</si>
  <si>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</si>
  <si>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</si>
  <si>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</si>
  <si>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</si>
  <si>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</si>
  <si>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</si>
  <si>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</si>
  <si>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</si>
  <si>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</si>
  <si>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</si>
  <si>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</si>
  <si>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</si>
  <si>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</si>
  <si>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</si>
  <si>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</si>
  <si>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</si>
  <si>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</si>
  <si>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</si>
  <si>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</si>
  <si>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</si>
  <si>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</si>
  <si>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</si>
  <si>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</si>
  <si>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</si>
  <si>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</si>
  <si>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</si>
  <si>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</si>
  <si>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</si>
  <si>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</si>
  <si>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</si>
  <si>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</si>
  <si>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</si>
  <si>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</si>
  <si>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</si>
  <si>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</si>
  <si>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</si>
  <si>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</si>
  <si>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</si>
  <si>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</si>
  <si>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</si>
  <si>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</si>
  <si>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</si>
  <si>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</si>
  <si>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</si>
  <si>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</si>
  <si>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</si>
  <si>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</si>
  <si>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</si>
  <si>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</si>
  <si>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</si>
  <si>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</si>
  <si>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</si>
  <si>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</si>
  <si>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</si>
  <si>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</si>
  <si>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</si>
  <si>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</si>
  <si>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</si>
  <si>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</si>
  <si>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</si>
  <si>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</si>
  <si>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</si>
  <si>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</si>
  <si>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</si>
  <si>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</si>
  <si>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</si>
  <si>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</si>
  <si>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</si>
  <si>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</si>
  <si>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</si>
  <si>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</si>
  <si>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</si>
  <si>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</si>
  <si>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</si>
  <si>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</si>
  <si>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</si>
  <si>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</si>
  <si>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</si>
  <si>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</si>
  <si>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</si>
  <si>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</si>
  <si>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</si>
  <si>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</si>
  <si>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</si>
  <si>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</si>
  <si>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</si>
  <si>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</si>
  <si>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</si>
  <si>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</si>
  <si>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</si>
  <si>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</si>
  <si>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</si>
  <si>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</si>
  <si>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</si>
  <si>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</si>
  <si>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</si>
  <si>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</si>
  <si>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</si>
  <si>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</si>
  <si>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</si>
  <si>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</si>
  <si>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</si>
  <si>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</si>
  <si>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</si>
  <si>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</si>
  <si>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</si>
  <si>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</si>
  <si>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</si>
  <si>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</si>
  <si>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</si>
  <si>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</si>
  <si>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</si>
  <si>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</si>
  <si>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</si>
  <si>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</si>
  <si>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</si>
  <si>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</si>
  <si>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</si>
  <si>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</si>
  <si>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</si>
  <si>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</si>
  <si>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</si>
  <si>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</si>
  <si>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</si>
  <si>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</si>
  <si>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</si>
  <si>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</si>
  <si>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</si>
  <si>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</si>
  <si>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</si>
  <si>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</si>
  <si>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</si>
  <si>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</si>
  <si>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</si>
  <si>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</si>
  <si>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</si>
  <si>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</si>
  <si>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</si>
  <si>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</si>
  <si>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</si>
  <si>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</si>
  <si>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</si>
  <si>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</si>
  <si>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</si>
  <si>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</si>
  <si>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</si>
  <si>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</si>
  <si>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</si>
  <si>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</si>
  <si>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</si>
  <si>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</si>
  <si>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</si>
  <si>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</si>
  <si>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</si>
  <si>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</si>
  <si>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</si>
  <si>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</si>
  <si>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</si>
  <si>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</si>
  <si>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</si>
  <si>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</si>
  <si>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</si>
  <si>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</si>
  <si>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</si>
  <si>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</si>
  <si>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</si>
  <si>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</si>
  <si>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</si>
  <si>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</si>
  <si>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</si>
  <si>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</si>
  <si>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</si>
  <si>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</si>
  <si>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</si>
  <si>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</si>
  <si>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</si>
  <si>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</si>
  <si>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</si>
  <si>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Ave.</t>
  </si>
  <si>
    <t>Walking &amp; Cycling Statistics</t>
  </si>
  <si>
    <t>Proportion of residents who do any walking or cycling, at least once per month</t>
  </si>
  <si>
    <t>2017/18</t>
  </si>
  <si>
    <t>Bournemouth, Christchurch and Poole</t>
  </si>
  <si>
    <t>Dorset Council</t>
  </si>
  <si>
    <t>East Suffolk</t>
  </si>
  <si>
    <t>Somerset West and Taunton</t>
  </si>
  <si>
    <t>West Suffolk</t>
  </si>
  <si>
    <t>2018/19</t>
  </si>
  <si>
    <t>Bournemouth, Christchurch &amp; Poole</t>
  </si>
  <si>
    <t xml:space="preserve">Predominantly Rural </t>
  </si>
  <si>
    <t>Somerset West &amp; Taunton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</si>
</sst>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sz val="10"/>
      <color theme="1"/>
      <name val="Arial"/>
      <family val="2"/>
    </font>
    <font>
      <sz val="10"/>
      <name val="Tahoma"/>
      <family val="2"/>
    </font>
    <font>
      <b/>
      <sz val="12"/>
      <name val="Tahoma"/>
      <family val="2"/>
    </font>
    <font>
      <b/>
      <sz val="10"/>
      <name val="Tahoma"/>
      <family val="2"/>
    </font>
    <font>
      <sz val="8"/>
      <color theme="0" tint="-0.34998626667073579"/>
      <name val="Tahoma"/>
      <family val="2"/>
    </font>
    <font>
      <b/>
      <sz val="10"/>
      <color theme="1"/>
      <name val="Tahoma"/>
      <family val="2"/>
    </font>
    <font>
      <sz val="8"/>
      <name val="Tahoma"/>
      <family val="2"/>
    </font>
    <font>
      <b/>
      <u/>
      <sz val="11"/>
      <color theme="7" tint="-0.249977111117893"/>
      <name val="Tahoma"/>
      <family val="2"/>
    </font>
    <font>
      <b/>
      <u/>
      <sz val="12"/>
      <color theme="7" tint="-0.249977111117893"/>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s>
  <fills count="2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DDDDDD"/>
        <bgColor indexed="64"/>
      </patternFill>
    </fill>
    <fill>
      <patternFill patternType="solid">
        <fgColor rgb="FFC0C0C0"/>
        <bgColor indexed="64"/>
      </patternFill>
    </fill>
    <fill>
      <patternFill patternType="solid">
        <fgColor rgb="FFF8F8F8"/>
        <bgColor indexed="64"/>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7"/>
      </top>
      <bottom style="thin">
        <color indexed="64"/>
      </bottom>
      <diagonal/>
    </border>
  </borders>
  <cellStyleXfs count="63">
    <xf numFmtId="0" fontId="0" fillId="0" borderId="0"/>
    <xf numFmtId="43" fontId="14" fillId="0" borderId="0" applyFont="0" applyFill="0" applyBorder="0" applyAlignment="0" applyProtection="0"/>
    <xf numFmtId="0" fontId="21" fillId="0" borderId="0"/>
    <xf numFmtId="0" fontId="21" fillId="0" borderId="0"/>
    <xf numFmtId="9" fontId="15" fillId="0" borderId="0" applyFont="0" applyFill="0" applyBorder="0" applyAlignment="0" applyProtection="0"/>
    <xf numFmtId="0" fontId="25" fillId="0" borderId="0"/>
    <xf numFmtId="0" fontId="10" fillId="0" borderId="0"/>
    <xf numFmtId="0" fontId="9" fillId="3"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2" borderId="10" applyNumberFormat="0" applyFont="0" applyAlignment="0" applyProtection="0"/>
    <xf numFmtId="0" fontId="9" fillId="2" borderId="10" applyNumberFormat="0" applyFont="0" applyAlignment="0" applyProtection="0"/>
    <xf numFmtId="9" fontId="9" fillId="0" borderId="0" applyFont="0" applyFill="0" applyBorder="0" applyAlignment="0" applyProtection="0"/>
    <xf numFmtId="37" fontId="10" fillId="0" borderId="0"/>
    <xf numFmtId="9"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0" fontId="35" fillId="0" borderId="0"/>
    <xf numFmtId="44" fontId="35" fillId="0" borderId="0" applyFont="0" applyFill="0" applyBorder="0" applyAlignment="0" applyProtection="0"/>
    <xf numFmtId="169" fontId="10" fillId="0" borderId="0" applyFont="0" applyFill="0" applyBorder="0" applyAlignment="0" applyProtection="0"/>
    <xf numFmtId="0" fontId="44" fillId="18" borderId="0"/>
    <xf numFmtId="0" fontId="7" fillId="0" borderId="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359">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4" fillId="0" borderId="0" xfId="0" applyFont="1" applyAlignment="1">
      <alignment wrapText="1"/>
    </xf>
    <xf numFmtId="0" fontId="24" fillId="0" borderId="0" xfId="0" applyFont="1" applyAlignment="1">
      <alignment horizontal="left" wrapText="1"/>
    </xf>
    <xf numFmtId="0" fontId="0" fillId="0" borderId="0" xfId="0" applyFill="1"/>
    <xf numFmtId="0" fontId="10" fillId="0" borderId="0" xfId="0" applyFont="1" applyFill="1" applyAlignment="1">
      <alignment horizontal="left"/>
    </xf>
    <xf numFmtId="0" fontId="10" fillId="0" borderId="0" xfId="5" applyNumberFormat="1" applyFont="1" applyFill="1" applyAlignment="1">
      <alignment horizontal="center"/>
    </xf>
    <xf numFmtId="0" fontId="26" fillId="0" borderId="0" xfId="0" applyFont="1" applyFill="1"/>
    <xf numFmtId="0" fontId="10" fillId="0" borderId="0" xfId="5" applyFont="1" applyFill="1" applyAlignment="1">
      <alignment horizontal="center"/>
    </xf>
    <xf numFmtId="0" fontId="0" fillId="0" borderId="0" xfId="5" applyNumberFormat="1" applyFont="1" applyFill="1" applyAlignment="1">
      <alignment horizontal="center"/>
    </xf>
    <xf numFmtId="0" fontId="22" fillId="0" borderId="0" xfId="0" applyFont="1" applyFill="1" applyAlignment="1">
      <alignment horizontal="left"/>
    </xf>
    <xf numFmtId="0" fontId="27" fillId="0" borderId="0" xfId="0" applyFont="1"/>
    <xf numFmtId="0" fontId="22" fillId="0" borderId="0" xfId="0" applyFont="1" applyFill="1" applyBorder="1"/>
    <xf numFmtId="0" fontId="23" fillId="0" borderId="0" xfId="0" applyFont="1" applyFill="1"/>
    <xf numFmtId="0" fontId="11" fillId="0" borderId="0" xfId="0" applyFont="1" applyFill="1" applyBorder="1"/>
    <xf numFmtId="0" fontId="0" fillId="0" borderId="0" xfId="0" applyFont="1" applyFill="1"/>
    <xf numFmtId="0" fontId="11" fillId="0" borderId="4" xfId="0" applyFont="1" applyFill="1" applyBorder="1"/>
    <xf numFmtId="0" fontId="0" fillId="0" borderId="0" xfId="0" applyFont="1"/>
    <xf numFmtId="0" fontId="0" fillId="0" borderId="0" xfId="0" applyFont="1" applyFill="1" applyAlignment="1">
      <alignment horizontal="left"/>
    </xf>
    <xf numFmtId="0" fontId="11"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1" fillId="0" borderId="0" xfId="0" applyNumberFormat="1" applyFont="1" applyFill="1" applyBorder="1" applyAlignment="1">
      <alignment horizontal="right"/>
    </xf>
    <xf numFmtId="0" fontId="22" fillId="0" borderId="1" xfId="0" applyNumberFormat="1" applyFont="1" applyFill="1" applyBorder="1" applyAlignment="1">
      <alignment horizontal="left"/>
    </xf>
    <xf numFmtId="0" fontId="11" fillId="0" borderId="0" xfId="0" applyNumberFormat="1" applyFont="1" applyFill="1" applyBorder="1"/>
    <xf numFmtId="0" fontId="11"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2" fillId="0" borderId="0" xfId="0" applyFont="1" applyFill="1" applyBorder="1" applyAlignment="1">
      <alignment horizontal="left"/>
    </xf>
    <xf numFmtId="0" fontId="0" fillId="17" borderId="0" xfId="0" applyFont="1" applyFill="1"/>
    <xf numFmtId="0" fontId="16" fillId="0" borderId="0" xfId="0" applyFont="1" applyFill="1" applyBorder="1"/>
    <xf numFmtId="0" fontId="22"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6" fillId="0" borderId="0" xfId="0" applyNumberFormat="1" applyFont="1" applyFill="1" applyBorder="1" applyAlignment="1">
      <alignment horizontal="left"/>
    </xf>
    <xf numFmtId="0" fontId="11" fillId="0" borderId="3" xfId="0" applyNumberFormat="1" applyFont="1" applyFill="1" applyBorder="1" applyAlignment="1">
      <alignment horizontal="left"/>
    </xf>
    <xf numFmtId="0" fontId="11" fillId="0" borderId="4" xfId="0" applyNumberFormat="1" applyFont="1" applyFill="1" applyBorder="1"/>
    <xf numFmtId="0" fontId="11" fillId="0" borderId="4" xfId="0" applyNumberFormat="1" applyFont="1" applyFill="1" applyBorder="1" applyAlignment="1">
      <alignment horizontal="right"/>
    </xf>
    <xf numFmtId="0" fontId="11" fillId="0" borderId="3" xfId="0" applyFont="1" applyFill="1" applyBorder="1"/>
    <xf numFmtId="0" fontId="11" fillId="0" borderId="4" xfId="0" applyNumberFormat="1" applyFont="1" applyFill="1" applyBorder="1" applyAlignment="1">
      <alignment horizontal="left"/>
    </xf>
    <xf numFmtId="0" fontId="11" fillId="0" borderId="4" xfId="0" applyFont="1" applyFill="1" applyBorder="1" applyAlignment="1">
      <alignment horizontal="right"/>
    </xf>
    <xf numFmtId="0" fontId="32" fillId="17" borderId="0" xfId="0" applyFont="1" applyFill="1"/>
    <xf numFmtId="0" fontId="31" fillId="0" borderId="0" xfId="0" applyFont="1" applyFill="1"/>
    <xf numFmtId="0" fontId="31" fillId="0" borderId="4" xfId="0" applyFont="1" applyFill="1" applyBorder="1"/>
    <xf numFmtId="0" fontId="32" fillId="0" borderId="0" xfId="0" applyFont="1" applyFill="1"/>
    <xf numFmtId="0" fontId="32" fillId="0" borderId="0" xfId="0" quotePrefix="1" applyFont="1" applyFill="1"/>
    <xf numFmtId="0" fontId="0" fillId="17" borderId="1" xfId="0" applyFill="1" applyBorder="1"/>
    <xf numFmtId="0" fontId="11" fillId="17" borderId="0" xfId="0" applyNumberFormat="1" applyFont="1" applyFill="1" applyBorder="1" applyAlignment="1">
      <alignment horizontal="right"/>
    </xf>
    <xf numFmtId="0" fontId="0" fillId="17" borderId="8" xfId="0" applyFill="1" applyBorder="1"/>
    <xf numFmtId="0" fontId="11" fillId="17" borderId="0" xfId="0" applyFont="1" applyFill="1" applyBorder="1" applyAlignment="1">
      <alignment horizontal="left"/>
    </xf>
    <xf numFmtId="0" fontId="22" fillId="17" borderId="1" xfId="0" applyFont="1" applyFill="1" applyBorder="1"/>
    <xf numFmtId="0" fontId="11" fillId="17" borderId="0" xfId="0" applyFont="1" applyFill="1"/>
    <xf numFmtId="0" fontId="0" fillId="16" borderId="11" xfId="0" applyFill="1" applyBorder="1"/>
    <xf numFmtId="37" fontId="11" fillId="0" borderId="0" xfId="51" applyFont="1"/>
    <xf numFmtId="37" fontId="10" fillId="0" borderId="0" xfId="51"/>
    <xf numFmtId="37" fontId="10" fillId="0" borderId="0" xfId="51" applyFont="1"/>
    <xf numFmtId="37" fontId="0" fillId="0" borderId="0" xfId="51" applyFont="1"/>
    <xf numFmtId="2" fontId="0" fillId="17" borderId="0" xfId="0" applyNumberFormat="1" applyFill="1" applyBorder="1"/>
    <xf numFmtId="2" fontId="11"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1"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6" fillId="17" borderId="0" xfId="0" applyNumberFormat="1" applyFont="1" applyFill="1" applyBorder="1"/>
    <xf numFmtId="0" fontId="16" fillId="17" borderId="0" xfId="0" applyNumberFormat="1" applyFont="1" applyFill="1" applyBorder="1" applyAlignment="1">
      <alignment vertical="top"/>
    </xf>
    <xf numFmtId="0" fontId="22" fillId="0" borderId="1" xfId="0" applyNumberFormat="1" applyFont="1" applyFill="1" applyBorder="1" applyAlignment="1">
      <alignment wrapText="1"/>
    </xf>
    <xf numFmtId="0" fontId="22" fillId="0" borderId="0" xfId="0" applyNumberFormat="1" applyFont="1" applyFill="1" applyBorder="1" applyAlignment="1">
      <alignment wrapText="1"/>
    </xf>
    <xf numFmtId="165" fontId="34" fillId="0" borderId="0" xfId="54" applyNumberFormat="1" applyFont="1" applyFill="1" applyBorder="1" applyAlignment="1">
      <alignment horizontal="right"/>
    </xf>
    <xf numFmtId="0" fontId="0" fillId="17" borderId="0" xfId="4" applyNumberFormat="1" applyFont="1" applyFill="1"/>
    <xf numFmtId="0" fontId="11" fillId="17" borderId="0" xfId="4" applyNumberFormat="1" applyFont="1" applyFill="1" applyBorder="1" applyAlignment="1">
      <alignment horizontal="right"/>
    </xf>
    <xf numFmtId="0" fontId="11" fillId="0" borderId="0" xfId="4" applyNumberFormat="1" applyFont="1" applyFill="1"/>
    <xf numFmtId="0" fontId="0" fillId="0" borderId="0" xfId="4" applyNumberFormat="1" applyFont="1" applyFill="1" applyBorder="1" applyAlignment="1">
      <alignment horizontal="right"/>
    </xf>
    <xf numFmtId="0" fontId="11" fillId="0" borderId="0" xfId="4" applyNumberFormat="1" applyFont="1" applyFill="1" applyBorder="1" applyAlignment="1">
      <alignment horizontal="right"/>
    </xf>
    <xf numFmtId="0" fontId="11"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6" fillId="0" borderId="0" xfId="0" applyNumberFormat="1" applyFont="1" applyFill="1"/>
    <xf numFmtId="2" fontId="0" fillId="0" borderId="0" xfId="0" applyNumberFormat="1" applyFont="1" applyFill="1"/>
    <xf numFmtId="0" fontId="11" fillId="17" borderId="0" xfId="4" applyNumberFormat="1" applyFont="1" applyFill="1"/>
    <xf numFmtId="0" fontId="11" fillId="17" borderId="0" xfId="4" applyNumberFormat="1" applyFont="1" applyFill="1" applyBorder="1"/>
    <xf numFmtId="0" fontId="10"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2" fillId="0" borderId="0" xfId="0" applyFont="1"/>
    <xf numFmtId="0" fontId="10" fillId="0" borderId="0" xfId="0" applyFont="1" applyFill="1" applyBorder="1"/>
    <xf numFmtId="168" fontId="43" fillId="0" borderId="0" xfId="37" applyNumberFormat="1" applyFont="1" applyFill="1" applyBorder="1" applyAlignment="1" applyProtection="1">
      <alignment horizontal="left"/>
    </xf>
    <xf numFmtId="0" fontId="23" fillId="0" borderId="0" xfId="0" applyFont="1" applyFill="1" applyBorder="1"/>
    <xf numFmtId="0" fontId="36" fillId="0" borderId="0" xfId="37" applyFont="1" applyFill="1" applyBorder="1" applyAlignment="1" applyProtection="1">
      <alignment horizontal="left" vertical="top" wrapText="1" readingOrder="1"/>
      <protection locked="0"/>
    </xf>
    <xf numFmtId="0" fontId="37" fillId="0" borderId="0" xfId="0"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0" fontId="39" fillId="0" borderId="0" xfId="0" applyFont="1" applyFill="1" applyBorder="1" applyAlignment="1" applyProtection="1">
      <alignment vertical="top" wrapText="1" readingOrder="1"/>
      <protection locked="0"/>
    </xf>
    <xf numFmtId="0" fontId="0" fillId="0" borderId="0" xfId="0" applyFont="1" applyFill="1" applyBorder="1"/>
    <xf numFmtId="167" fontId="40"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vertical="top" wrapText="1" readingOrder="1"/>
      <protection locked="0"/>
    </xf>
    <xf numFmtId="0" fontId="10" fillId="0" borderId="0" xfId="37" applyFill="1" applyBorder="1" applyAlignment="1">
      <alignment readingOrder="1"/>
    </xf>
    <xf numFmtId="49" fontId="12" fillId="0" borderId="0" xfId="57" applyNumberFormat="1" applyFont="1" applyFill="1" applyBorder="1" applyAlignment="1">
      <alignment horizontal="right"/>
    </xf>
    <xf numFmtId="49" fontId="45" fillId="0" borderId="0" xfId="58" applyNumberFormat="1" applyFont="1" applyFill="1" applyBorder="1" applyAlignment="1">
      <alignment horizontal="right"/>
    </xf>
    <xf numFmtId="0" fontId="41" fillId="0" borderId="0" xfId="0" applyFont="1" applyFill="1" applyBorder="1"/>
    <xf numFmtId="0" fontId="22" fillId="17" borderId="0" xfId="0" applyFont="1" applyFill="1"/>
    <xf numFmtId="0" fontId="22" fillId="0" borderId="0" xfId="0" applyFont="1" applyFill="1"/>
    <xf numFmtId="0" fontId="0" fillId="17" borderId="0" xfId="0" quotePrefix="1" applyFill="1"/>
    <xf numFmtId="0" fontId="11" fillId="17" borderId="13" xfId="0" applyFont="1" applyFill="1" applyBorder="1"/>
    <xf numFmtId="0" fontId="11" fillId="17" borderId="4" xfId="0" applyFont="1" applyFill="1" applyBorder="1"/>
    <xf numFmtId="0" fontId="0" fillId="17" borderId="4" xfId="0" applyFont="1" applyFill="1" applyBorder="1"/>
    <xf numFmtId="0" fontId="36"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0" fillId="0" borderId="0" xfId="37" applyFill="1" applyBorder="1"/>
    <xf numFmtId="0" fontId="13" fillId="17" borderId="0" xfId="0" applyFont="1" applyFill="1" applyBorder="1"/>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0" fontId="11" fillId="19" borderId="15" xfId="60" applyFont="1" applyFill="1" applyBorder="1" applyProtection="1"/>
    <xf numFmtId="170" fontId="11" fillId="19" borderId="15" xfId="60" applyNumberFormat="1" applyFont="1" applyFill="1" applyBorder="1" applyAlignment="1" applyProtection="1">
      <alignment horizontal="left"/>
    </xf>
    <xf numFmtId="0" fontId="10" fillId="19" borderId="0" xfId="0" applyFont="1" applyFill="1" applyBorder="1"/>
    <xf numFmtId="0" fontId="11" fillId="19" borderId="21" xfId="60" applyFont="1" applyFill="1" applyBorder="1" applyAlignment="1" applyProtection="1">
      <protection locked="0"/>
    </xf>
    <xf numFmtId="0" fontId="11" fillId="19" borderId="16" xfId="60" applyFont="1" applyFill="1" applyBorder="1" applyAlignment="1" applyProtection="1">
      <alignment wrapText="1"/>
    </xf>
    <xf numFmtId="0" fontId="11" fillId="19" borderId="16" xfId="60" applyFont="1" applyFill="1" applyBorder="1" applyAlignment="1" applyProtection="1"/>
    <xf numFmtId="0" fontId="6" fillId="0" borderId="17" xfId="60" applyFill="1" applyBorder="1" applyAlignment="1" applyProtection="1">
      <protection locked="0"/>
    </xf>
    <xf numFmtId="0" fontId="11" fillId="19" borderId="15" xfId="60" applyFont="1" applyFill="1" applyBorder="1" applyAlignment="1" applyProtection="1">
      <alignment horizontal="left"/>
    </xf>
    <xf numFmtId="0" fontId="34" fillId="19" borderId="20" xfId="60" applyFont="1" applyFill="1" applyBorder="1" applyAlignment="1" applyProtection="1">
      <protection locked="0"/>
    </xf>
    <xf numFmtId="167" fontId="37" fillId="0" borderId="0" xfId="37" applyNumberFormat="1" applyFont="1" applyFill="1" applyBorder="1" applyAlignment="1" applyProtection="1">
      <alignment horizontal="right" vertical="top" wrapText="1" readingOrder="1"/>
      <protection locked="0"/>
    </xf>
    <xf numFmtId="0" fontId="12" fillId="17" borderId="0" xfId="0" applyFont="1" applyFill="1" applyBorder="1"/>
    <xf numFmtId="0" fontId="34" fillId="0" borderId="0" xfId="0" applyFont="1" applyFill="1" applyBorder="1" applyAlignment="1" applyProtection="1">
      <alignment vertical="top" wrapText="1" readingOrder="1"/>
      <protection locked="0"/>
    </xf>
    <xf numFmtId="0" fontId="0" fillId="19" borderId="0" xfId="0" applyFont="1" applyFill="1" applyBorder="1"/>
    <xf numFmtId="0" fontId="40" fillId="0" borderId="0" xfId="37" applyFont="1" applyFill="1" applyBorder="1" applyAlignment="1" applyProtection="1">
      <alignment horizontal="right" vertical="top" wrapText="1" readingOrder="1"/>
      <protection locked="0"/>
    </xf>
    <xf numFmtId="0" fontId="36" fillId="0" borderId="0" xfId="37" applyFont="1" applyFill="1" applyBorder="1" applyAlignment="1" applyProtection="1">
      <alignmen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37"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vertical="top" wrapText="1" readingOrder="1"/>
      <protection locked="0"/>
    </xf>
    <xf numFmtId="167" fontId="37" fillId="0" borderId="0" xfId="37" applyNumberFormat="1" applyFont="1" applyFill="1" applyBorder="1" applyAlignment="1" applyProtection="1">
      <alignment vertical="top" wrapText="1" readingOrder="1"/>
      <protection locked="0"/>
    </xf>
    <xf numFmtId="0" fontId="42" fillId="0" borderId="0" xfId="37" applyFont="1" applyFill="1" applyBorder="1" applyAlignment="1" applyProtection="1">
      <alignment vertical="top" wrapText="1" readingOrder="1"/>
      <protection locked="0"/>
    </xf>
    <xf numFmtId="0" fontId="36" fillId="0" borderId="0" xfId="37" applyFont="1" applyFill="1" applyBorder="1" applyAlignment="1" applyProtection="1">
      <alignment wrapText="1" readingOrder="1"/>
      <protection locked="0"/>
    </xf>
    <xf numFmtId="167" fontId="38" fillId="0" borderId="0" xfId="37" applyNumberFormat="1" applyFont="1" applyAlignment="1" applyProtection="1">
      <alignment horizontal="right" vertical="top" wrapText="1" readingOrder="1"/>
      <protection locked="0"/>
    </xf>
    <xf numFmtId="0" fontId="40" fillId="0" borderId="0" xfId="37" applyFont="1" applyAlignment="1" applyProtection="1">
      <alignment horizontal="right" vertical="top" wrapText="1" readingOrder="1"/>
      <protection locked="0"/>
    </xf>
    <xf numFmtId="167" fontId="40" fillId="0" borderId="0" xfId="37" applyNumberFormat="1" applyFont="1" applyAlignment="1" applyProtection="1">
      <alignment horizontal="right" vertical="top" wrapText="1" readingOrder="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36" fillId="0" borderId="0" xfId="37" applyFont="1" applyBorder="1" applyAlignment="1" applyProtection="1">
      <alignment wrapText="1" readingOrder="1"/>
      <protection locked="0"/>
    </xf>
    <xf numFmtId="0" fontId="36" fillId="0" borderId="0" xfId="37" applyFont="1" applyBorder="1" applyAlignment="1" applyProtection="1">
      <alignment horizontal="left" vertical="top" wrapText="1" readingOrder="1"/>
      <protection locked="0"/>
    </xf>
    <xf numFmtId="0" fontId="10" fillId="0" borderId="0" xfId="37"/>
    <xf numFmtId="0" fontId="10" fillId="0" borderId="0" xfId="37" applyAlignment="1">
      <alignment readingOrder="1"/>
    </xf>
    <xf numFmtId="0" fontId="0" fillId="0" borderId="15" xfId="60" applyFont="1" applyFill="1" applyBorder="1" applyProtection="1">
      <protection locked="0"/>
    </xf>
    <xf numFmtId="0" fontId="39" fillId="0" borderId="4" xfId="37" applyFont="1" applyBorder="1" applyAlignment="1" applyProtection="1">
      <alignment horizontal="right" vertical="top" wrapText="1" readingOrder="1"/>
      <protection locked="0"/>
    </xf>
    <xf numFmtId="0" fontId="39" fillId="0" borderId="0" xfId="37" applyFont="1" applyBorder="1" applyAlignment="1" applyProtection="1">
      <alignment horizontal="right" vertical="top" wrapText="1" readingOrder="1"/>
      <protection locked="0"/>
    </xf>
    <xf numFmtId="0" fontId="46" fillId="17" borderId="0" xfId="0" applyNumberFormat="1" applyFont="1" applyFill="1"/>
    <xf numFmtId="0" fontId="47" fillId="17" borderId="0" xfId="0" applyFont="1" applyFill="1"/>
    <xf numFmtId="0" fontId="47" fillId="17" borderId="0" xfId="0" applyFont="1" applyFill="1" applyAlignment="1">
      <alignment horizontal="right"/>
    </xf>
    <xf numFmtId="10" fontId="10" fillId="17" borderId="0" xfId="4" applyNumberFormat="1" applyFont="1" applyFill="1" applyAlignment="1">
      <alignment horizontal="right"/>
    </xf>
    <xf numFmtId="0" fontId="10" fillId="19" borderId="0" xfId="0" applyFont="1" applyFill="1" applyBorder="1" applyAlignment="1">
      <alignment wrapText="1"/>
    </xf>
    <xf numFmtId="0" fontId="12" fillId="17" borderId="4" xfId="0" applyFont="1" applyFill="1" applyBorder="1"/>
    <xf numFmtId="0" fontId="11" fillId="19" borderId="22" xfId="60" applyFont="1" applyFill="1" applyBorder="1" applyProtection="1"/>
    <xf numFmtId="0" fontId="11" fillId="0" borderId="0" xfId="0" applyFont="1" applyFill="1" applyBorder="1" applyProtection="1"/>
    <xf numFmtId="0" fontId="10" fillId="0" borderId="0" xfId="0" applyFont="1" applyFill="1" applyBorder="1" applyAlignment="1" applyProtection="1">
      <alignment wrapText="1"/>
      <protection locked="0"/>
    </xf>
    <xf numFmtId="0" fontId="10" fillId="0" borderId="0" xfId="0" applyFont="1" applyFill="1" applyBorder="1" applyProtection="1">
      <protection locked="0"/>
    </xf>
    <xf numFmtId="0" fontId="0" fillId="0" borderId="0" xfId="0" applyFill="1" applyBorder="1" applyProtection="1">
      <protection locked="0"/>
    </xf>
    <xf numFmtId="0" fontId="48" fillId="17" borderId="1" xfId="0" applyFont="1" applyFill="1" applyBorder="1"/>
    <xf numFmtId="0" fontId="48" fillId="17" borderId="0" xfId="0" applyFont="1" applyFill="1"/>
    <xf numFmtId="0" fontId="48" fillId="17" borderId="1" xfId="0" applyNumberFormat="1" applyFont="1" applyFill="1" applyBorder="1" applyAlignment="1">
      <alignment horizontal="left"/>
    </xf>
    <xf numFmtId="165" fontId="49" fillId="17" borderId="0" xfId="54" applyNumberFormat="1" applyFont="1" applyFill="1" applyBorder="1" applyAlignment="1">
      <alignment horizontal="right"/>
    </xf>
    <xf numFmtId="0" fontId="49" fillId="17" borderId="0" xfId="0" applyFont="1" applyFill="1" applyBorder="1"/>
    <xf numFmtId="0" fontId="49" fillId="17" borderId="3" xfId="0" applyFont="1" applyFill="1" applyBorder="1"/>
    <xf numFmtId="0" fontId="49" fillId="17" borderId="4" xfId="0" applyFont="1" applyFill="1" applyBorder="1"/>
    <xf numFmtId="0" fontId="48" fillId="17" borderId="0" xfId="0" applyFont="1" applyFill="1" applyBorder="1"/>
    <xf numFmtId="1" fontId="48" fillId="17" borderId="0" xfId="0" applyNumberFormat="1" applyFont="1" applyFill="1" applyBorder="1" applyAlignment="1">
      <alignment horizontal="left"/>
    </xf>
    <xf numFmtId="0" fontId="48" fillId="17" borderId="0" xfId="0" applyNumberFormat="1" applyFont="1" applyFill="1" applyBorder="1" applyAlignment="1">
      <alignment horizontal="left"/>
    </xf>
    <xf numFmtId="0" fontId="48" fillId="17" borderId="1" xfId="0" applyNumberFormat="1" applyFont="1" applyFill="1" applyBorder="1" applyAlignment="1">
      <alignment wrapText="1"/>
    </xf>
    <xf numFmtId="0" fontId="48" fillId="17" borderId="0" xfId="0" applyNumberFormat="1" applyFont="1" applyFill="1" applyBorder="1" applyAlignment="1">
      <alignment wrapText="1"/>
    </xf>
    <xf numFmtId="1" fontId="48" fillId="17" borderId="1" xfId="0" applyNumberFormat="1" applyFont="1" applyFill="1" applyBorder="1" applyAlignment="1">
      <alignment horizontal="left"/>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1" fillId="17" borderId="8" xfId="0" applyFont="1" applyFill="1" applyBorder="1"/>
    <xf numFmtId="0" fontId="11" fillId="17" borderId="7" xfId="0" applyFont="1" applyFill="1" applyBorder="1"/>
    <xf numFmtId="0" fontId="51" fillId="0" borderId="25" xfId="60" applyFont="1" applyFill="1" applyBorder="1" applyAlignment="1" applyProtection="1">
      <alignment wrapText="1"/>
      <protection locked="0"/>
    </xf>
    <xf numFmtId="0" fontId="51" fillId="0" borderId="26" xfId="60" applyFont="1" applyFill="1" applyBorder="1" applyAlignment="1" applyProtection="1">
      <alignment wrapText="1"/>
      <protection locked="0"/>
    </xf>
    <xf numFmtId="0" fontId="51" fillId="0" borderId="27" xfId="60" applyFont="1" applyFill="1" applyBorder="1" applyAlignment="1" applyProtection="1">
      <alignment wrapText="1"/>
      <protection locked="0"/>
    </xf>
    <xf numFmtId="0" fontId="51" fillId="0" borderId="23" xfId="60" applyFont="1" applyFill="1" applyBorder="1" applyAlignment="1" applyProtection="1">
      <alignment wrapText="1"/>
      <protection locked="0"/>
    </xf>
    <xf numFmtId="0" fontId="51" fillId="0" borderId="28" xfId="60" applyFont="1" applyFill="1" applyBorder="1" applyAlignment="1" applyProtection="1">
      <alignment wrapText="1"/>
      <protection locked="0"/>
    </xf>
    <xf numFmtId="0" fontId="51" fillId="0" borderId="24" xfId="60" applyFont="1" applyFill="1" applyBorder="1" applyAlignment="1" applyProtection="1">
      <alignment wrapText="1"/>
      <protection locked="0"/>
    </xf>
    <xf numFmtId="0" fontId="51" fillId="0" borderId="29" xfId="60" applyFont="1" applyFill="1" applyBorder="1" applyAlignment="1" applyProtection="1">
      <alignment wrapText="1"/>
      <protection locked="0"/>
    </xf>
    <xf numFmtId="0" fontId="51" fillId="0" borderId="30" xfId="60" applyFont="1" applyFill="1" applyBorder="1" applyAlignment="1" applyProtection="1">
      <alignment vertical="top" wrapText="1"/>
      <protection locked="0"/>
    </xf>
    <xf numFmtId="0" fontId="11" fillId="17" borderId="31" xfId="0" applyFont="1" applyFill="1" applyBorder="1"/>
    <xf numFmtId="0" fontId="51" fillId="0" borderId="32" xfId="60" applyFont="1" applyFill="1" applyBorder="1" applyAlignment="1" applyProtection="1">
      <alignment wrapText="1"/>
      <protection locked="0"/>
    </xf>
    <xf numFmtId="0" fontId="51" fillId="0" borderId="33" xfId="60" applyFont="1" applyFill="1" applyBorder="1" applyAlignment="1" applyProtection="1">
      <alignment vertical="top" wrapText="1"/>
      <protection locked="0"/>
    </xf>
    <xf numFmtId="0" fontId="0" fillId="19" borderId="0" xfId="0" applyFill="1"/>
    <xf numFmtId="0" fontId="51" fillId="0" borderId="31" xfId="60" applyFont="1" applyFill="1" applyBorder="1" applyAlignment="1" applyProtection="1">
      <alignment wrapText="1"/>
      <protection locked="0"/>
    </xf>
    <xf numFmtId="0" fontId="51" fillId="0" borderId="35" xfId="60" applyFont="1" applyFill="1" applyBorder="1" applyAlignment="1" applyProtection="1">
      <alignment wrapText="1"/>
      <protection locked="0"/>
    </xf>
    <xf numFmtId="0" fontId="0" fillId="0" borderId="34" xfId="0" applyBorder="1" applyAlignment="1">
      <alignment horizontal="center"/>
    </xf>
    <xf numFmtId="0" fontId="50"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5" fillId="0" borderId="15" xfId="60" applyFont="1" applyFill="1" applyBorder="1" applyAlignment="1" applyProtection="1">
      <alignment wrapText="1"/>
      <protection locked="0"/>
    </xf>
    <xf numFmtId="0" fontId="51" fillId="0" borderId="0" xfId="0" applyFont="1"/>
    <xf numFmtId="0" fontId="0" fillId="22" borderId="0" xfId="0" applyFill="1"/>
    <xf numFmtId="0" fontId="32" fillId="22" borderId="0" xfId="0" quotePrefix="1" applyFont="1" applyFill="1"/>
    <xf numFmtId="0" fontId="0" fillId="22" borderId="1" xfId="0" applyFill="1" applyBorder="1"/>
    <xf numFmtId="0" fontId="0" fillId="22" borderId="0" xfId="0" applyFill="1" applyBorder="1"/>
    <xf numFmtId="0" fontId="0" fillId="22" borderId="0" xfId="0" applyFont="1" applyFill="1" applyBorder="1"/>
    <xf numFmtId="0" fontId="0" fillId="22" borderId="2" xfId="0" applyFill="1" applyBorder="1"/>
    <xf numFmtId="0" fontId="0" fillId="22" borderId="3" xfId="0" applyFill="1" applyBorder="1"/>
    <xf numFmtId="0" fontId="0" fillId="22" borderId="4" xfId="0" applyFill="1" applyBorder="1"/>
    <xf numFmtId="0" fontId="0" fillId="22" borderId="5" xfId="0" applyFill="1" applyBorder="1"/>
    <xf numFmtId="43" fontId="19" fillId="22" borderId="6" xfId="54" applyNumberFormat="1" applyFont="1" applyFill="1" applyBorder="1"/>
    <xf numFmtId="43" fontId="33" fillId="22" borderId="6" xfId="54" applyNumberFormat="1" applyFont="1" applyFill="1" applyBorder="1" applyAlignment="1">
      <alignment horizontal="center"/>
    </xf>
    <xf numFmtId="0" fontId="18" fillId="22" borderId="6" xfId="0" applyFont="1" applyFill="1" applyBorder="1" applyAlignment="1">
      <alignment horizontal="center"/>
    </xf>
    <xf numFmtId="0" fontId="10" fillId="22" borderId="0" xfId="0" applyFont="1" applyFill="1" applyAlignment="1">
      <alignment vertical="top" wrapText="1"/>
    </xf>
    <xf numFmtId="43" fontId="17" fillId="22" borderId="6" xfId="54" applyNumberFormat="1" applyFont="1" applyFill="1" applyBorder="1" applyAlignment="1">
      <alignment horizontal="center"/>
    </xf>
    <xf numFmtId="0" fontId="17" fillId="22" borderId="6" xfId="0" applyFont="1" applyFill="1" applyBorder="1" applyAlignment="1">
      <alignment horizontal="center"/>
    </xf>
    <xf numFmtId="43" fontId="10" fillId="22" borderId="0" xfId="54" applyNumberFormat="1" applyFont="1" applyFill="1" applyBorder="1" applyAlignment="1">
      <alignment vertical="center" textRotation="90"/>
    </xf>
    <xf numFmtId="43" fontId="17" fillId="22" borderId="14" xfId="54" applyNumberFormat="1" applyFont="1" applyFill="1" applyBorder="1" applyAlignment="1">
      <alignment horizontal="center"/>
    </xf>
    <xf numFmtId="0" fontId="10" fillId="22" borderId="0" xfId="0" applyFont="1" applyFill="1" applyBorder="1" applyAlignment="1">
      <alignment horizontal="center" vertical="center" textRotation="90"/>
    </xf>
    <xf numFmtId="0" fontId="17" fillId="22" borderId="0" xfId="0" applyFont="1" applyFill="1" applyBorder="1" applyAlignment="1">
      <alignment horizontal="center"/>
    </xf>
    <xf numFmtId="2" fontId="0" fillId="22" borderId="0" xfId="0" applyNumberFormat="1" applyFill="1" applyBorder="1" applyAlignment="1">
      <alignment horizontal="center"/>
    </xf>
    <xf numFmtId="2" fontId="0" fillId="22" borderId="0" xfId="0" applyNumberFormat="1" applyFill="1" applyBorder="1" applyAlignment="1"/>
    <xf numFmtId="0" fontId="0" fillId="22" borderId="0" xfId="0" applyFill="1" applyBorder="1" applyAlignment="1">
      <alignment horizontal="center"/>
    </xf>
    <xf numFmtId="0" fontId="10" fillId="22" borderId="0" xfId="0" applyFont="1" applyFill="1" applyBorder="1" applyAlignment="1">
      <alignment horizontal="center"/>
    </xf>
    <xf numFmtId="0" fontId="10" fillId="22" borderId="4" xfId="0" applyFont="1" applyFill="1" applyBorder="1" applyAlignment="1">
      <alignment vertical="top" wrapText="1"/>
    </xf>
    <xf numFmtId="0" fontId="0" fillId="22" borderId="1" xfId="0" applyFont="1" applyFill="1" applyBorder="1"/>
    <xf numFmtId="10" fontId="0" fillId="22" borderId="0" xfId="0" applyNumberFormat="1" applyFont="1" applyFill="1"/>
    <xf numFmtId="0" fontId="0" fillId="22" borderId="0" xfId="0" applyFont="1" applyFill="1"/>
    <xf numFmtId="0" fontId="0" fillId="22" borderId="3" xfId="0" applyFont="1" applyFill="1" applyBorder="1"/>
    <xf numFmtId="0" fontId="0" fillId="22" borderId="4" xfId="0" applyFont="1" applyFill="1" applyBorder="1"/>
    <xf numFmtId="0" fontId="0" fillId="22" borderId="7" xfId="0" applyFill="1" applyBorder="1"/>
    <xf numFmtId="43" fontId="52" fillId="22" borderId="6" xfId="54" applyNumberFormat="1" applyFont="1" applyFill="1" applyBorder="1"/>
    <xf numFmtId="43" fontId="52" fillId="22" borderId="6" xfId="54" applyNumberFormat="1" applyFont="1" applyFill="1" applyBorder="1" applyAlignment="1"/>
    <xf numFmtId="0" fontId="53" fillId="22" borderId="0" xfId="0" applyFont="1" applyFill="1"/>
    <xf numFmtId="0" fontId="53" fillId="22" borderId="0" xfId="0" applyFont="1" applyFill="1" applyAlignment="1">
      <alignment horizontal="left"/>
    </xf>
    <xf numFmtId="0" fontId="56" fillId="22" borderId="0" xfId="0" quotePrefix="1" applyFont="1" applyFill="1"/>
    <xf numFmtId="43" fontId="57" fillId="22" borderId="6" xfId="54" applyNumberFormat="1" applyFont="1" applyFill="1" applyBorder="1"/>
    <xf numFmtId="0" fontId="53" fillId="22" borderId="0" xfId="0" applyFont="1" applyFill="1" applyAlignment="1">
      <alignment vertical="top" wrapText="1"/>
    </xf>
    <xf numFmtId="43" fontId="53" fillId="22" borderId="6" xfId="54" applyNumberFormat="1" applyFont="1" applyFill="1" applyBorder="1"/>
    <xf numFmtId="43" fontId="53" fillId="22" borderId="6" xfId="54" applyNumberFormat="1" applyFont="1" applyFill="1" applyBorder="1" applyAlignment="1"/>
    <xf numFmtId="43" fontId="53" fillId="22" borderId="0" xfId="54" applyNumberFormat="1" applyFont="1" applyFill="1"/>
    <xf numFmtId="43" fontId="53" fillId="22" borderId="6" xfId="54" applyNumberFormat="1" applyFont="1" applyFill="1" applyBorder="1" applyAlignment="1">
      <alignment horizontal="center"/>
    </xf>
    <xf numFmtId="43" fontId="53" fillId="22" borderId="38" xfId="54" applyNumberFormat="1" applyFont="1" applyFill="1" applyBorder="1"/>
    <xf numFmtId="0" fontId="55" fillId="22" borderId="0" xfId="0" applyFont="1" applyFill="1"/>
    <xf numFmtId="0" fontId="55" fillId="22" borderId="0" xfId="0" applyFont="1" applyFill="1" applyAlignment="1"/>
    <xf numFmtId="0" fontId="53" fillId="22" borderId="0" xfId="0" applyFont="1" applyFill="1" applyAlignment="1"/>
    <xf numFmtId="0" fontId="61" fillId="22" borderId="0" xfId="0" applyFont="1" applyFill="1" applyAlignment="1"/>
    <xf numFmtId="0" fontId="53" fillId="22" borderId="0" xfId="0" applyFont="1" applyFill="1" applyAlignment="1">
      <alignment horizontal="center"/>
    </xf>
    <xf numFmtId="2" fontId="53" fillId="22" borderId="0" xfId="0" applyNumberFormat="1" applyFont="1" applyFill="1" applyAlignment="1">
      <alignment horizontal="center"/>
    </xf>
    <xf numFmtId="0" fontId="63" fillId="22" borderId="0" xfId="0" applyFont="1" applyFill="1"/>
    <xf numFmtId="2" fontId="62" fillId="22" borderId="0" xfId="0" applyNumberFormat="1" applyFont="1" applyFill="1" applyAlignment="1"/>
    <xf numFmtId="0" fontId="64" fillId="22" borderId="0" xfId="0" applyFont="1" applyFill="1"/>
    <xf numFmtId="0" fontId="4" fillId="0" borderId="16" xfId="60" applyFont="1" applyFill="1" applyBorder="1" applyAlignment="1" applyProtection="1">
      <protection locked="0"/>
    </xf>
    <xf numFmtId="0" fontId="55" fillId="22" borderId="0" xfId="0" applyFont="1" applyFill="1" applyAlignment="1">
      <alignment horizontal="left"/>
    </xf>
    <xf numFmtId="0" fontId="3" fillId="0" borderId="15" xfId="60" applyFont="1" applyFill="1" applyBorder="1" applyAlignment="1" applyProtection="1">
      <alignment wrapText="1"/>
      <protection locked="0"/>
    </xf>
    <xf numFmtId="43" fontId="58" fillId="22" borderId="0" xfId="54" applyNumberFormat="1" applyFont="1" applyFill="1" applyBorder="1" applyAlignment="1">
      <alignment vertical="center" textRotation="90"/>
    </xf>
    <xf numFmtId="43" fontId="53" fillId="22" borderId="14" xfId="54" applyNumberFormat="1" applyFont="1" applyFill="1" applyBorder="1"/>
    <xf numFmtId="43" fontId="53" fillId="22" borderId="14" xfId="54" applyNumberFormat="1" applyFont="1" applyFill="1" applyBorder="1" applyAlignment="1"/>
    <xf numFmtId="43" fontId="0" fillId="22" borderId="0" xfId="54" applyNumberFormat="1" applyFont="1" applyFill="1" applyBorder="1"/>
    <xf numFmtId="43" fontId="17" fillId="22" borderId="0" xfId="54" applyNumberFormat="1" applyFont="1" applyFill="1" applyBorder="1" applyAlignment="1">
      <alignment horizontal="center"/>
    </xf>
    <xf numFmtId="43" fontId="0" fillId="22" borderId="0" xfId="54" applyNumberFormat="1" applyFont="1" applyFill="1" applyBorder="1" applyAlignment="1"/>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0" fillId="0" borderId="0" xfId="0" applyFont="1" applyAlignment="1">
      <alignment horizontal="left"/>
    </xf>
    <xf numFmtId="0" fontId="10" fillId="0" borderId="0" xfId="5" applyFont="1" applyAlignment="1">
      <alignment horizontal="center"/>
    </xf>
    <xf numFmtId="0" fontId="26" fillId="0" borderId="0" xfId="0" applyFont="1"/>
    <xf numFmtId="0" fontId="0" fillId="0" borderId="0" xfId="0" applyAlignment="1">
      <alignment horizontal="left"/>
    </xf>
    <xf numFmtId="0" fontId="53" fillId="22" borderId="0" xfId="0" applyFont="1" applyFill="1" applyAlignment="1">
      <alignment horizontal="left"/>
    </xf>
    <xf numFmtId="0" fontId="55" fillId="22" borderId="0" xfId="0" applyFont="1" applyFill="1" applyAlignment="1">
      <alignment horizontal="center"/>
    </xf>
    <xf numFmtId="0" fontId="53" fillId="22" borderId="0" xfId="0" quotePrefix="1" applyNumberFormat="1" applyFont="1" applyFill="1" applyAlignment="1">
      <alignment horizontal="center"/>
    </xf>
    <xf numFmtId="0" fontId="53" fillId="22" borderId="0" xfId="0" applyFont="1" applyFill="1" applyAlignment="1">
      <alignment horizontal="center"/>
    </xf>
    <xf numFmtId="2" fontId="53" fillId="22" borderId="0" xfId="52" applyNumberFormat="1" applyFont="1" applyFill="1" applyAlignment="1">
      <alignment horizontal="center"/>
    </xf>
    <xf numFmtId="0" fontId="62" fillId="22" borderId="0" xfId="0" quotePrefix="1" applyNumberFormat="1" applyFont="1" applyFill="1" applyAlignment="1">
      <alignment horizontal="center"/>
    </xf>
    <xf numFmtId="0" fontId="0" fillId="22" borderId="0" xfId="0" applyFill="1" applyBorder="1" applyAlignment="1">
      <alignment horizontal="center"/>
    </xf>
    <xf numFmtId="2" fontId="0" fillId="22" borderId="0" xfId="0" applyNumberFormat="1" applyFill="1" applyBorder="1" applyAlignment="1">
      <alignment horizontal="center"/>
    </xf>
    <xf numFmtId="166" fontId="0" fillId="22" borderId="0" xfId="54" applyNumberFormat="1" applyFont="1" applyFill="1" applyAlignment="1">
      <alignment horizontal="center"/>
    </xf>
    <xf numFmtId="0" fontId="55" fillId="22" borderId="0" xfId="0" applyFont="1" applyFill="1" applyAlignment="1">
      <alignment horizontal="left"/>
    </xf>
    <xf numFmtId="2" fontId="0" fillId="22" borderId="0" xfId="4" applyNumberFormat="1" applyFont="1" applyFill="1" applyAlignment="1">
      <alignment horizontal="left" vertical="top"/>
    </xf>
    <xf numFmtId="0" fontId="11" fillId="22" borderId="8" xfId="0" applyFont="1" applyFill="1" applyBorder="1" applyAlignment="1">
      <alignment horizontal="left" vertical="top"/>
    </xf>
    <xf numFmtId="0" fontId="11" fillId="22" borderId="9" xfId="0" applyFont="1" applyFill="1" applyBorder="1" applyAlignment="1">
      <alignment horizontal="left" vertical="top"/>
    </xf>
    <xf numFmtId="0" fontId="11" fillId="22" borderId="1" xfId="0" applyFont="1" applyFill="1" applyBorder="1" applyAlignment="1">
      <alignment horizontal="left" vertical="top"/>
    </xf>
    <xf numFmtId="0" fontId="11" fillId="22" borderId="0" xfId="0" applyFont="1" applyFill="1" applyBorder="1" applyAlignment="1">
      <alignment horizontal="left" vertical="top"/>
    </xf>
    <xf numFmtId="2" fontId="55" fillId="22" borderId="0" xfId="4" applyNumberFormat="1" applyFont="1" applyFill="1" applyAlignment="1">
      <alignment horizontal="center"/>
    </xf>
    <xf numFmtId="1" fontId="53" fillId="22" borderId="0" xfId="0" applyNumberFormat="1" applyFont="1" applyFill="1" applyAlignment="1">
      <alignment horizontal="center"/>
    </xf>
    <xf numFmtId="2" fontId="53" fillId="22" borderId="0" xfId="52" applyNumberFormat="1" applyFont="1" applyFill="1" applyAlignment="1">
      <alignment horizontal="right"/>
    </xf>
    <xf numFmtId="2" fontId="55" fillId="22" borderId="0" xfId="4" applyNumberFormat="1" applyFont="1" applyFill="1" applyAlignment="1">
      <alignment horizontal="right"/>
    </xf>
    <xf numFmtId="0" fontId="59" fillId="21" borderId="0" xfId="0" applyFont="1" applyFill="1" applyAlignment="1">
      <alignment horizontal="center" vertical="center"/>
    </xf>
    <xf numFmtId="0" fontId="60" fillId="21" borderId="0" xfId="0" applyFont="1" applyFill="1" applyAlignment="1">
      <alignment horizontal="center" vertical="center"/>
    </xf>
    <xf numFmtId="0" fontId="61" fillId="22" borderId="0" xfId="0" applyFont="1" applyFill="1" applyAlignment="1">
      <alignment horizontal="center"/>
    </xf>
    <xf numFmtId="0" fontId="11" fillId="22" borderId="9" xfId="0" applyFont="1" applyFill="1" applyBorder="1" applyAlignment="1">
      <alignment horizontal="left" vertical="center" wrapText="1"/>
    </xf>
    <xf numFmtId="0" fontId="11" fillId="22" borderId="7" xfId="0" applyFont="1" applyFill="1" applyBorder="1" applyAlignment="1">
      <alignment horizontal="left" vertical="center" wrapText="1"/>
    </xf>
    <xf numFmtId="0" fontId="11" fillId="22" borderId="0" xfId="0" applyFont="1" applyFill="1" applyBorder="1" applyAlignment="1">
      <alignment horizontal="left" vertical="center" wrapText="1"/>
    </xf>
    <xf numFmtId="0" fontId="11" fillId="22" borderId="2" xfId="0" applyFont="1" applyFill="1" applyBorder="1" applyAlignment="1">
      <alignment horizontal="left" vertical="center" wrapText="1"/>
    </xf>
    <xf numFmtId="0" fontId="11" fillId="22" borderId="8" xfId="0" applyFont="1" applyFill="1" applyBorder="1" applyAlignment="1">
      <alignment horizontal="center" vertical="center"/>
    </xf>
    <xf numFmtId="0" fontId="11" fillId="22" borderId="9" xfId="0" applyFont="1" applyFill="1" applyBorder="1" applyAlignment="1">
      <alignment horizontal="center" vertical="center"/>
    </xf>
    <xf numFmtId="0" fontId="11" fillId="22" borderId="1" xfId="0" applyFont="1" applyFill="1" applyBorder="1" applyAlignment="1">
      <alignment horizontal="center" vertical="center"/>
    </xf>
    <xf numFmtId="0" fontId="11" fillId="22" borderId="0" xfId="0" applyFont="1" applyFill="1" applyBorder="1" applyAlignment="1">
      <alignment horizontal="center" vertical="center"/>
    </xf>
    <xf numFmtId="43" fontId="0" fillId="22" borderId="0" xfId="54" applyNumberFormat="1" applyFont="1" applyFill="1" applyBorder="1" applyAlignment="1">
      <alignment horizontal="center"/>
    </xf>
    <xf numFmtId="0" fontId="55" fillId="20" borderId="1" xfId="0" applyFont="1" applyFill="1" applyBorder="1" applyAlignment="1" applyProtection="1">
      <alignment horizontal="center" vertical="center" wrapText="1"/>
      <protection locked="0"/>
    </xf>
    <xf numFmtId="0" fontId="55" fillId="20" borderId="0" xfId="0" applyFont="1" applyFill="1" applyBorder="1" applyAlignment="1" applyProtection="1">
      <alignment horizontal="center" vertical="center" wrapText="1"/>
      <protection locked="0"/>
    </xf>
    <xf numFmtId="0" fontId="55" fillId="20" borderId="2" xfId="0" applyFont="1" applyFill="1" applyBorder="1" applyAlignment="1" applyProtection="1">
      <alignment horizontal="center" vertical="center" wrapText="1"/>
      <protection locked="0"/>
    </xf>
    <xf numFmtId="0" fontId="53" fillId="22" borderId="0" xfId="0" applyFont="1" applyFill="1" applyAlignment="1">
      <alignment horizontal="left" vertical="top" wrapText="1"/>
    </xf>
    <xf numFmtId="0" fontId="13" fillId="22" borderId="4" xfId="0" applyFont="1" applyFill="1" applyBorder="1" applyAlignment="1">
      <alignment horizontal="center"/>
    </xf>
    <xf numFmtId="43" fontId="53" fillId="22" borderId="14" xfId="54" applyNumberFormat="1" applyFont="1" applyFill="1" applyBorder="1" applyAlignment="1">
      <alignment horizontal="center"/>
    </xf>
    <xf numFmtId="43" fontId="53" fillId="22" borderId="6" xfId="54" applyNumberFormat="1" applyFont="1" applyFill="1" applyBorder="1" applyAlignment="1">
      <alignment horizontal="center"/>
    </xf>
    <xf numFmtId="164" fontId="53" fillId="22" borderId="14" xfId="54" applyNumberFormat="1" applyFont="1" applyFill="1" applyBorder="1" applyAlignment="1">
      <alignment horizontal="center"/>
    </xf>
    <xf numFmtId="164" fontId="0" fillId="22" borderId="0" xfId="54" applyNumberFormat="1" applyFont="1" applyFill="1" applyBorder="1" applyAlignment="1">
      <alignment horizontal="center"/>
    </xf>
    <xf numFmtId="43" fontId="58" fillId="22" borderId="14" xfId="54" applyNumberFormat="1" applyFont="1" applyFill="1" applyBorder="1" applyAlignment="1">
      <alignment horizontal="center" vertical="center" textRotation="90"/>
    </xf>
    <xf numFmtId="43" fontId="58" fillId="22" borderId="0" xfId="54" applyNumberFormat="1" applyFont="1" applyFill="1" applyBorder="1" applyAlignment="1">
      <alignment horizontal="center" vertical="center" textRotation="90"/>
    </xf>
    <xf numFmtId="164" fontId="53" fillId="22" borderId="6" xfId="54" applyNumberFormat="1" applyFont="1" applyFill="1" applyBorder="1" applyAlignment="1">
      <alignment horizontal="center"/>
    </xf>
    <xf numFmtId="1" fontId="12" fillId="22" borderId="4" xfId="4" applyNumberFormat="1" applyFont="1" applyFill="1" applyBorder="1" applyAlignment="1">
      <alignment horizontal="center"/>
    </xf>
    <xf numFmtId="43" fontId="10" fillId="22" borderId="0" xfId="54" applyNumberFormat="1" applyFont="1" applyFill="1" applyBorder="1" applyAlignment="1">
      <alignment horizontal="center"/>
    </xf>
    <xf numFmtId="0" fontId="53" fillId="22" borderId="8" xfId="0" applyFont="1" applyFill="1" applyBorder="1" applyAlignment="1">
      <alignment horizontal="left"/>
    </xf>
    <xf numFmtId="0" fontId="53" fillId="22" borderId="9" xfId="0" applyFont="1" applyFill="1" applyBorder="1" applyAlignment="1">
      <alignment horizontal="left"/>
    </xf>
    <xf numFmtId="0" fontId="53" fillId="22" borderId="7" xfId="0" applyFont="1" applyFill="1" applyBorder="1" applyAlignment="1">
      <alignment horizontal="left"/>
    </xf>
    <xf numFmtId="0" fontId="54" fillId="20" borderId="1" xfId="0" applyFont="1" applyFill="1" applyBorder="1" applyAlignment="1" applyProtection="1">
      <alignment horizontal="center" vertical="center" wrapText="1"/>
      <protection locked="0"/>
    </xf>
    <xf numFmtId="0" fontId="54" fillId="20" borderId="0" xfId="0" applyFont="1" applyFill="1" applyBorder="1" applyAlignment="1" applyProtection="1">
      <alignment horizontal="center" vertical="center" wrapText="1"/>
      <protection locked="0"/>
    </xf>
    <xf numFmtId="0" fontId="54" fillId="20" borderId="2" xfId="0" applyFont="1" applyFill="1" applyBorder="1" applyAlignment="1" applyProtection="1">
      <alignment horizontal="center" vertical="center" wrapText="1"/>
      <protection locked="0"/>
    </xf>
    <xf numFmtId="0" fontId="55" fillId="22" borderId="3" xfId="0" applyFont="1" applyFill="1" applyBorder="1" applyAlignment="1" applyProtection="1">
      <alignment horizontal="center" vertical="center" wrapText="1"/>
      <protection locked="0"/>
    </xf>
    <xf numFmtId="0" fontId="55" fillId="22" borderId="4" xfId="0" applyFont="1" applyFill="1" applyBorder="1" applyAlignment="1" applyProtection="1">
      <alignment horizontal="center" vertical="center" wrapText="1"/>
      <protection locked="0"/>
    </xf>
    <xf numFmtId="0" fontId="55" fillId="22" borderId="5" xfId="0" applyFont="1" applyFill="1" applyBorder="1" applyAlignment="1" applyProtection="1">
      <alignment horizontal="center" vertical="center" wrapText="1"/>
      <protection locked="0"/>
    </xf>
    <xf numFmtId="0" fontId="53" fillId="22" borderId="1" xfId="0" applyFont="1" applyFill="1" applyBorder="1" applyAlignment="1" applyProtection="1">
      <alignment horizontal="left" vertical="center" wrapText="1"/>
      <protection locked="0"/>
    </xf>
    <xf numFmtId="0" fontId="53" fillId="22" borderId="0" xfId="0" applyFont="1" applyFill="1" applyBorder="1" applyAlignment="1" applyProtection="1">
      <alignment horizontal="left" vertical="center" wrapText="1"/>
      <protection locked="0"/>
    </xf>
    <xf numFmtId="0" fontId="53" fillId="22" borderId="2" xfId="0" applyFont="1" applyFill="1" applyBorder="1" applyAlignment="1" applyProtection="1">
      <alignment horizontal="left" vertical="center" wrapText="1"/>
      <protection locked="0"/>
    </xf>
    <xf numFmtId="43" fontId="19" fillId="21" borderId="6" xfId="54" applyNumberFormat="1" applyFont="1" applyFill="1" applyBorder="1" applyAlignment="1">
      <alignment horizontal="center"/>
    </xf>
    <xf numFmtId="43" fontId="57" fillId="22" borderId="6" xfId="54" applyNumberFormat="1" applyFont="1" applyFill="1" applyBorder="1" applyAlignment="1">
      <alignment horizontal="center"/>
    </xf>
    <xf numFmtId="0" fontId="11" fillId="22" borderId="7" xfId="0" applyFont="1" applyFill="1" applyBorder="1" applyAlignment="1">
      <alignment horizontal="left" vertical="top"/>
    </xf>
    <xf numFmtId="0" fontId="11" fillId="22" borderId="2" xfId="0" applyFont="1" applyFill="1" applyBorder="1" applyAlignment="1">
      <alignment horizontal="left" vertical="top"/>
    </xf>
    <xf numFmtId="0" fontId="0" fillId="22" borderId="4" xfId="0" applyFont="1" applyFill="1" applyBorder="1" applyAlignment="1">
      <alignment horizontal="center"/>
    </xf>
    <xf numFmtId="0" fontId="54" fillId="20" borderId="0" xfId="0" applyFont="1" applyFill="1" applyAlignment="1" applyProtection="1">
      <alignment horizontal="left" vertical="top" wrapText="1"/>
      <protection locked="0"/>
    </xf>
    <xf numFmtId="0" fontId="22" fillId="17" borderId="1" xfId="0" applyNumberFormat="1" applyFont="1" applyFill="1" applyBorder="1" applyAlignment="1">
      <alignment horizontal="left" wrapText="1"/>
    </xf>
    <xf numFmtId="0" fontId="22" fillId="17" borderId="0" xfId="0" applyNumberFormat="1" applyFont="1" applyFill="1" applyBorder="1" applyAlignment="1">
      <alignment horizontal="left" wrapText="1"/>
    </xf>
    <xf numFmtId="0" fontId="48" fillId="17" borderId="1" xfId="0" applyFont="1" applyFill="1" applyBorder="1" applyAlignment="1">
      <alignment horizontal="left" vertical="top" wrapText="1"/>
    </xf>
    <xf numFmtId="0" fontId="48" fillId="17" borderId="0" xfId="0" applyFont="1" applyFill="1" applyBorder="1" applyAlignment="1">
      <alignment horizontal="left" vertical="top" wrapText="1"/>
    </xf>
    <xf numFmtId="0" fontId="48" fillId="17" borderId="2" xfId="0" applyFont="1" applyFill="1" applyBorder="1" applyAlignment="1">
      <alignment horizontal="left" vertical="top" wrapText="1"/>
    </xf>
    <xf numFmtId="0" fontId="11" fillId="19" borderId="18" xfId="60" applyFont="1" applyFill="1" applyBorder="1" applyAlignment="1" applyProtection="1">
      <alignment horizontal="left" vertical="center" wrapText="1"/>
    </xf>
    <xf numFmtId="0" fontId="11" fillId="19" borderId="19" xfId="60" applyFont="1" applyFill="1" applyBorder="1" applyAlignment="1" applyProtection="1">
      <alignment horizontal="left" vertical="center" wrapText="1"/>
    </xf>
    <xf numFmtId="167" fontId="37"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1">
    <dxf>
      <numFmt numFmtId="13" formatCode="0%"/>
    </dxf>
    <dxf>
      <font>
        <color theme="0"/>
      </font>
      <fill>
        <patternFill>
          <bgColor theme="7" tint="0.39994506668294322"/>
        </patternFill>
      </fill>
    </dxf>
    <dxf>
      <font>
        <color theme="0"/>
      </font>
      <fill>
        <patternFill>
          <bgColor theme="7" tint="0.39994506668294322"/>
        </patternFill>
      </fill>
    </dxf>
    <dxf>
      <font>
        <b val="0"/>
        <i val="0"/>
        <color auto="1"/>
      </font>
      <numFmt numFmtId="0" formatCode="General"/>
      <fill>
        <patternFill patternType="solid">
          <bgColor rgb="FFF8F8F8"/>
        </patternFill>
      </fill>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00B050"/>
      </font>
      <fill>
        <patternFill>
          <fgColor auto="1"/>
          <bgColor theme="7" tint="-0.24994659260841701"/>
        </patternFill>
      </fill>
      <border>
        <left style="thin">
          <color rgb="FF336600"/>
        </left>
        <right style="thin">
          <color rgb="FF336600"/>
        </right>
        <top style="thin">
          <color rgb="FF336600"/>
        </top>
        <bottom style="thin">
          <color rgb="FF33660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6600"/>
        </left>
        <right style="thin">
          <color rgb="FFFF6600"/>
        </right>
        <top style="thin">
          <color rgb="FFFF6600"/>
        </top>
        <bottom style="thin">
          <color rgb="FFFF66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CF305"/>
      <color rgb="FFFF9900"/>
      <color rgb="FFFF6600"/>
      <color rgb="FF336600"/>
      <color rgb="FFFFFF00"/>
      <color rgb="FFFFCC00"/>
      <color rgb="FF008000"/>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chemeClr val="accent4">
                <a:lumMod val="75000"/>
                <a:alpha val="50000"/>
              </a:schemeClr>
            </a:solidFill>
            <a:ln w="38100">
              <a:solidFill>
                <a:srgbClr val="00B050"/>
              </a:solidFill>
            </a:ln>
          </c:spPr>
          <c:invertIfNegative val="0"/>
          <c:cat>
            <c:strRef>
              <c:f>[0]!Marker</c:f>
              <c:strCache>
                <c:ptCount val="13"/>
                <c:pt idx="12">
                  <c:v>u</c:v>
                </c:pt>
              </c:strCache>
            </c:strRef>
          </c:cat>
          <c:val>
            <c:numRef>
              <c:f>[0]!TopQuart</c:f>
              <c:numCache>
                <c:formatCode>General</c:formatCode>
                <c:ptCount val="27"/>
                <c:pt idx="0">
                  <c:v>87.874989098739817</c:v>
                </c:pt>
                <c:pt idx="1">
                  <c:v>85.885087274196607</c:v>
                </c:pt>
                <c:pt idx="2">
                  <c:v>84.966154875457107</c:v>
                </c:pt>
                <c:pt idx="3">
                  <c:v>84.546740883384402</c:v>
                </c:pt>
                <c:pt idx="4">
                  <c:v>84.411781583716433</c:v>
                </c:pt>
                <c:pt idx="5">
                  <c:v>84.320660879168372</c:v>
                </c:pt>
                <c:pt idx="6">
                  <c:v>84.086361451106427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9608-414F-94F2-24570AF68438}"/>
            </c:ext>
          </c:extLst>
        </c:ser>
        <c:ser>
          <c:idx val="1"/>
          <c:order val="1"/>
          <c:tx>
            <c:strRef>
              <c:f>Profile!$N$32</c:f>
              <c:strCache>
                <c:ptCount val="1"/>
                <c:pt idx="0">
                  <c:v>2nd Quartile</c:v>
                </c:pt>
              </c:strCache>
            </c:strRef>
          </c:tx>
          <c:spPr>
            <a:solidFill>
              <a:schemeClr val="accent4">
                <a:lumMod val="60000"/>
                <a:lumOff val="40000"/>
                <a:alpha val="50000"/>
              </a:schemeClr>
            </a:solidFill>
            <a:ln w="31750">
              <a:solidFill>
                <a:srgbClr val="FFFF99"/>
              </a:solidFill>
            </a:ln>
          </c:spPr>
          <c:invertIfNegative val="0"/>
          <c:cat>
            <c:strRef>
              <c:f>[0]!Marker</c:f>
              <c:strCache>
                <c:ptCount val="13"/>
                <c:pt idx="12">
                  <c:v>u</c:v>
                </c:pt>
              </c:strCache>
            </c:strRef>
          </c:cat>
          <c:val>
            <c:numRef>
              <c:f>[0]!SecQuart</c:f>
              <c:numCache>
                <c:formatCode>General</c:formatCode>
                <c:ptCount val="27"/>
                <c:pt idx="0">
                  <c:v>0</c:v>
                </c:pt>
                <c:pt idx="1">
                  <c:v>0</c:v>
                </c:pt>
                <c:pt idx="2">
                  <c:v>0</c:v>
                </c:pt>
                <c:pt idx="3">
                  <c:v>0</c:v>
                </c:pt>
                <c:pt idx="4">
                  <c:v>0</c:v>
                </c:pt>
                <c:pt idx="5">
                  <c:v>0</c:v>
                </c:pt>
                <c:pt idx="6">
                  <c:v>0</c:v>
                </c:pt>
                <c:pt idx="7">
                  <c:v>83.963842489910377</c:v>
                </c:pt>
                <c:pt idx="8">
                  <c:v>83.530583979642358</c:v>
                </c:pt>
                <c:pt idx="9">
                  <c:v>83.358927119604033</c:v>
                </c:pt>
                <c:pt idx="10">
                  <c:v>83.236095220846323</c:v>
                </c:pt>
                <c:pt idx="11">
                  <c:v>83.09730584074228</c:v>
                </c:pt>
                <c:pt idx="12">
                  <c:v>83.002586119216289</c:v>
                </c:pt>
                <c:pt idx="13">
                  <c:v>82.994301123979568</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9608-414F-94F2-24570AF68438}"/>
            </c:ext>
          </c:extLst>
        </c:ser>
        <c:ser>
          <c:idx val="2"/>
          <c:order val="2"/>
          <c:tx>
            <c:strRef>
              <c:f>Profile!$X$32</c:f>
              <c:strCache>
                <c:ptCount val="1"/>
                <c:pt idx="0">
                  <c:v>3rd Quartile</c:v>
                </c:pt>
              </c:strCache>
            </c:strRef>
          </c:tx>
          <c:spPr>
            <a:solidFill>
              <a:schemeClr val="accent4">
                <a:lumMod val="40000"/>
                <a:lumOff val="60000"/>
                <a:alpha val="50000"/>
              </a:schemeClr>
            </a:solidFill>
            <a:ln w="31750">
              <a:solidFill>
                <a:schemeClr val="accent6">
                  <a:lumMod val="60000"/>
                  <a:lumOff val="40000"/>
                </a:schemeClr>
              </a:solidFill>
            </a:ln>
          </c:spPr>
          <c:invertIfNegative val="0"/>
          <c:cat>
            <c:strRef>
              <c:f>[0]!Marker</c:f>
              <c:strCache>
                <c:ptCount val="13"/>
                <c:pt idx="12">
                  <c:v>u</c:v>
                </c:pt>
              </c:strCache>
            </c:strRef>
          </c:cat>
          <c:val>
            <c:numRef>
              <c:f>[0]!ThirdQuart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82.703378459238934</c:v>
                </c:pt>
                <c:pt idx="15">
                  <c:v>82.463591325799086</c:v>
                </c:pt>
                <c:pt idx="16">
                  <c:v>82.364696744200316</c:v>
                </c:pt>
                <c:pt idx="17">
                  <c:v>81.97475543901848</c:v>
                </c:pt>
                <c:pt idx="18">
                  <c:v>81.75538355622308</c:v>
                </c:pt>
                <c:pt idx="19">
                  <c:v>81.217592590947703</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2-9608-414F-94F2-24570AF68438}"/>
            </c:ext>
          </c:extLst>
        </c:ser>
        <c:ser>
          <c:idx val="3"/>
          <c:order val="3"/>
          <c:tx>
            <c:strRef>
              <c:f>Profile!$AF$32</c:f>
              <c:strCache>
                <c:ptCount val="1"/>
                <c:pt idx="0">
                  <c:v>Bottom Quartile</c:v>
                </c:pt>
              </c:strCache>
            </c:strRef>
          </c:tx>
          <c:spPr>
            <a:solidFill>
              <a:schemeClr val="accent4">
                <a:lumMod val="20000"/>
                <a:lumOff val="80000"/>
                <a:alpha val="50000"/>
              </a:schemeClr>
            </a:solidFill>
            <a:ln w="31750">
              <a:solidFill>
                <a:srgbClr val="FF0000"/>
              </a:solidFill>
            </a:ln>
          </c:spPr>
          <c:invertIfNegative val="0"/>
          <c:cat>
            <c:strRef>
              <c:f>[0]!Marker</c:f>
              <c:strCache>
                <c:ptCount val="13"/>
                <c:pt idx="12">
                  <c:v>u</c:v>
                </c:pt>
              </c:strCache>
            </c:strRef>
          </c:cat>
          <c:val>
            <c:numRef>
              <c:f>[0]!BotQuart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80.365637953863711</c:v>
                </c:pt>
                <c:pt idx="21">
                  <c:v>80.040045724221116</c:v>
                </c:pt>
                <c:pt idx="22">
                  <c:v>79.79867780945284</c:v>
                </c:pt>
                <c:pt idx="23">
                  <c:v>78.750029660967968</c:v>
                </c:pt>
                <c:pt idx="24">
                  <c:v>78.211534177467797</c:v>
                </c:pt>
                <c:pt idx="25">
                  <c:v>77.957041174917606</c:v>
                </c:pt>
                <c:pt idx="26">
                  <c:v>0</c:v>
                </c:pt>
              </c:numCache>
            </c:numRef>
          </c:val>
          <c:extLst>
            <c:ext xmlns:c16="http://schemas.microsoft.com/office/drawing/2014/chart" uri="{C3380CC4-5D6E-409C-BE32-E72D297353CC}">
              <c16:uniqueId val="{00000003-9608-414F-94F2-24570AF68438}"/>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3"/>
                <c:pt idx="12">
                  <c:v>u</c:v>
                </c:pt>
              </c:strCache>
            </c:strRef>
          </c:cat>
          <c:val>
            <c:numRef>
              <c:f>[0]!MarkData</c:f>
              <c:numCache>
                <c:formatCode>0.00</c:formatCode>
                <c:ptCount val="27"/>
                <c:pt idx="0">
                  <c:v>87.874989098739817</c:v>
                </c:pt>
                <c:pt idx="1">
                  <c:v>85.885087274196607</c:v>
                </c:pt>
                <c:pt idx="2">
                  <c:v>84.966154875457107</c:v>
                </c:pt>
                <c:pt idx="3">
                  <c:v>84.546740883384402</c:v>
                </c:pt>
                <c:pt idx="4">
                  <c:v>84.411781583716433</c:v>
                </c:pt>
                <c:pt idx="5">
                  <c:v>84.320660879168372</c:v>
                </c:pt>
                <c:pt idx="6">
                  <c:v>84.086361451106427</c:v>
                </c:pt>
                <c:pt idx="7">
                  <c:v>83.963842489910377</c:v>
                </c:pt>
                <c:pt idx="8">
                  <c:v>83.530583979642358</c:v>
                </c:pt>
                <c:pt idx="9">
                  <c:v>83.358927119604033</c:v>
                </c:pt>
                <c:pt idx="10">
                  <c:v>83.236095220846323</c:v>
                </c:pt>
                <c:pt idx="11">
                  <c:v>83.09730584074228</c:v>
                </c:pt>
                <c:pt idx="12">
                  <c:v>83.002586119216289</c:v>
                </c:pt>
                <c:pt idx="13">
                  <c:v>82.994301123979568</c:v>
                </c:pt>
                <c:pt idx="14">
                  <c:v>82.703378459238934</c:v>
                </c:pt>
                <c:pt idx="15">
                  <c:v>82.463591325799086</c:v>
                </c:pt>
                <c:pt idx="16">
                  <c:v>82.364696744200316</c:v>
                </c:pt>
                <c:pt idx="17">
                  <c:v>81.97475543901848</c:v>
                </c:pt>
                <c:pt idx="18">
                  <c:v>81.75538355622308</c:v>
                </c:pt>
                <c:pt idx="19">
                  <c:v>81.217592590947703</c:v>
                </c:pt>
                <c:pt idx="20">
                  <c:v>80.365637953863711</c:v>
                </c:pt>
                <c:pt idx="21">
                  <c:v>80.040045724221116</c:v>
                </c:pt>
                <c:pt idx="22">
                  <c:v>79.79867780945284</c:v>
                </c:pt>
                <c:pt idx="23">
                  <c:v>78.750029660967968</c:v>
                </c:pt>
                <c:pt idx="24">
                  <c:v>78.211534177467797</c:v>
                </c:pt>
                <c:pt idx="25">
                  <c:v>77.957041174917606</c:v>
                </c:pt>
                <c:pt idx="26">
                  <c:v>0</c:v>
                </c:pt>
              </c:numCache>
            </c:numRef>
          </c:val>
          <c:extLst>
            <c:ext xmlns:c16="http://schemas.microsoft.com/office/drawing/2014/chart" uri="{C3380CC4-5D6E-409C-BE32-E72D297353CC}">
              <c16:uniqueId val="{00000004-9608-414F-94F2-24570AF68438}"/>
            </c:ext>
          </c:extLst>
        </c:ser>
        <c:dLbls>
          <c:showLegendKey val="0"/>
          <c:showVal val="0"/>
          <c:showCatName val="0"/>
          <c:showSerName val="0"/>
          <c:showPercent val="0"/>
          <c:showBubbleSize val="0"/>
        </c:dLbls>
        <c:gapWidth val="0"/>
        <c:overlap val="100"/>
        <c:axId val="549889920"/>
        <c:axId val="549891456"/>
      </c:barChart>
      <c:catAx>
        <c:axId val="549889920"/>
        <c:scaling>
          <c:orientation val="minMax"/>
        </c:scaling>
        <c:delete val="0"/>
        <c:axPos val="b"/>
        <c:numFmt formatCode="General" sourceLinked="1"/>
        <c:majorTickMark val="none"/>
        <c:minorTickMark val="none"/>
        <c:tickLblPos val="none"/>
        <c:crossAx val="549891456"/>
        <c:crosses val="autoZero"/>
        <c:auto val="1"/>
        <c:lblAlgn val="ctr"/>
        <c:lblOffset val="100"/>
        <c:noMultiLvlLbl val="0"/>
      </c:catAx>
      <c:valAx>
        <c:axId val="549891456"/>
        <c:scaling>
          <c:orientation val="minMax"/>
        </c:scaling>
        <c:delete val="0"/>
        <c:axPos val="l"/>
        <c:numFmt formatCode="0" sourceLinked="0"/>
        <c:majorTickMark val="out"/>
        <c:minorTickMark val="none"/>
        <c:tickLblPos val="nextTo"/>
        <c:txPr>
          <a:bodyPr rot="0" vert="horz"/>
          <a:lstStyle/>
          <a:p>
            <a:pPr>
              <a:defRPr/>
            </a:pPr>
            <a:endParaRPr lang="en-US"/>
          </a:p>
        </c:txPr>
        <c:crossAx val="549889920"/>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rgbClr val="8064A2">
                <a:lumMod val="75000"/>
                <a:alpha val="50000"/>
              </a:srgbClr>
            </a:solidFill>
          </c:spPr>
          <c:invertIfNegative val="0"/>
          <c:dPt>
            <c:idx val="0"/>
            <c:invertIfNegative val="0"/>
            <c:bubble3D val="0"/>
            <c:spPr>
              <a:solidFill>
                <a:srgbClr val="8064A2">
                  <a:lumMod val="75000"/>
                  <a:alpha val="75000"/>
                </a:srgbClr>
              </a:solidFill>
            </c:spPr>
            <c:extLst>
              <c:ext xmlns:c16="http://schemas.microsoft.com/office/drawing/2014/chart" uri="{C3380CC4-5D6E-409C-BE32-E72D297353CC}">
                <c16:uniqueId val="{00000000-DBC0-44AD-86A8-98791356ACC8}"/>
              </c:ext>
            </c:extLst>
          </c:dPt>
          <c:cat>
            <c:strRef>
              <c:f>Profile!$D$47:$D$50</c:f>
              <c:strCache>
                <c:ptCount val="3"/>
                <c:pt idx="0">
                  <c:v>Cumbria</c:v>
                </c:pt>
                <c:pt idx="1">
                  <c:v>Counties</c:v>
                </c:pt>
                <c:pt idx="2">
                  <c:v>Regional</c:v>
                </c:pt>
              </c:strCache>
            </c:strRef>
          </c:cat>
          <c:val>
            <c:numRef>
              <c:f>Profile!$E$47:$E$49</c:f>
              <c:numCache>
                <c:formatCode>0.00</c:formatCode>
                <c:ptCount val="3"/>
                <c:pt idx="0">
                  <c:v>83.002586119216289</c:v>
                </c:pt>
                <c:pt idx="1">
                  <c:v>79.513991946519596</c:v>
                </c:pt>
                <c:pt idx="2">
                  <c:v>81.521315921718696</c:v>
                </c:pt>
              </c:numCache>
            </c:numRef>
          </c:val>
          <c:extLst>
            <c:ext xmlns:c16="http://schemas.microsoft.com/office/drawing/2014/chart" uri="{C3380CC4-5D6E-409C-BE32-E72D297353CC}">
              <c16:uniqueId val="{00000001-DBC0-44AD-86A8-98791356ACC8}"/>
            </c:ext>
          </c:extLst>
        </c:ser>
        <c:dLbls>
          <c:showLegendKey val="0"/>
          <c:showVal val="0"/>
          <c:showCatName val="0"/>
          <c:showSerName val="0"/>
          <c:showPercent val="0"/>
          <c:showBubbleSize val="0"/>
        </c:dLbls>
        <c:gapWidth val="39"/>
        <c:overlap val="100"/>
        <c:axId val="549946880"/>
        <c:axId val="549948416"/>
      </c:barChart>
      <c:lineChart>
        <c:grouping val="standard"/>
        <c:varyColors val="0"/>
        <c:ser>
          <c:idx val="0"/>
          <c:order val="1"/>
          <c:tx>
            <c:v>Top Quartile Benchmark</c:v>
          </c:tx>
          <c:spPr>
            <a:ln>
              <a:solidFill>
                <a:schemeClr val="bg2">
                  <a:lumMod val="25000"/>
                </a:schemeClr>
              </a:solidFill>
            </a:ln>
          </c:spPr>
          <c:marker>
            <c:symbol val="none"/>
          </c:marker>
          <c:val>
            <c:numRef>
              <c:f>(Profile!$K$47,Profile!$K$48,Profile!$K$49)</c:f>
              <c:numCache>
                <c:formatCode>General</c:formatCode>
                <c:ptCount val="3"/>
                <c:pt idx="0">
                  <c:v>84.025101970508402</c:v>
                </c:pt>
                <c:pt idx="1">
                  <c:v>84.025101970508402</c:v>
                </c:pt>
                <c:pt idx="2">
                  <c:v>84.025101970508402</c:v>
                </c:pt>
              </c:numCache>
            </c:numRef>
          </c:val>
          <c:smooth val="0"/>
          <c:extLst>
            <c:ext xmlns:c16="http://schemas.microsoft.com/office/drawing/2014/chart" uri="{C3380CC4-5D6E-409C-BE32-E72D297353CC}">
              <c16:uniqueId val="{00000002-DBC0-44AD-86A8-98791356ACC8}"/>
            </c:ext>
          </c:extLst>
        </c:ser>
        <c:ser>
          <c:idx val="1"/>
          <c:order val="2"/>
          <c:tx>
            <c:v>Median</c:v>
          </c:tx>
          <c:spPr>
            <a:ln>
              <a:solidFill>
                <a:srgbClr val="FFFF00"/>
              </a:solidFill>
            </a:ln>
          </c:spPr>
          <c:marker>
            <c:symbol val="none"/>
          </c:marker>
          <c:val>
            <c:numRef>
              <c:f>(Profile!$M$47,Profile!$M$48,Profile!$M$49)</c:f>
              <c:numCache>
                <c:formatCode>General</c:formatCode>
                <c:ptCount val="3"/>
                <c:pt idx="0">
                  <c:v>82.994301123979568</c:v>
                </c:pt>
                <c:pt idx="1">
                  <c:v>82.994301123979568</c:v>
                </c:pt>
                <c:pt idx="2">
                  <c:v>82.994301123979568</c:v>
                </c:pt>
              </c:numCache>
            </c:numRef>
          </c:val>
          <c:smooth val="0"/>
          <c:extLst>
            <c:ext xmlns:c16="http://schemas.microsoft.com/office/drawing/2014/chart" uri="{C3380CC4-5D6E-409C-BE32-E72D297353CC}">
              <c16:uniqueId val="{00000003-DBC0-44AD-86A8-98791356ACC8}"/>
            </c:ext>
          </c:extLst>
        </c:ser>
        <c:ser>
          <c:idx val="2"/>
          <c:order val="3"/>
          <c:tx>
            <c:v>Bottom Quartile Benchmark</c:v>
          </c:tx>
          <c:spPr>
            <a:ln>
              <a:solidFill>
                <a:srgbClr val="FF0000"/>
              </a:solidFill>
            </a:ln>
          </c:spPr>
          <c:marker>
            <c:symbol val="none"/>
          </c:marker>
          <c:val>
            <c:numRef>
              <c:f>(Profile!$O$47,Profile!$O$48,Profile!$O$49)</c:f>
              <c:numCache>
                <c:formatCode>General</c:formatCode>
                <c:ptCount val="3"/>
                <c:pt idx="0">
                  <c:v>80.791615272405707</c:v>
                </c:pt>
                <c:pt idx="1">
                  <c:v>80.791615272405707</c:v>
                </c:pt>
                <c:pt idx="2">
                  <c:v>80.791615272405707</c:v>
                </c:pt>
              </c:numCache>
            </c:numRef>
          </c:val>
          <c:smooth val="0"/>
          <c:extLst>
            <c:ext xmlns:c16="http://schemas.microsoft.com/office/drawing/2014/chart" uri="{C3380CC4-5D6E-409C-BE32-E72D297353CC}">
              <c16:uniqueId val="{00000004-DBC0-44AD-86A8-98791356ACC8}"/>
            </c:ext>
          </c:extLst>
        </c:ser>
        <c:dLbls>
          <c:showLegendKey val="0"/>
          <c:showVal val="0"/>
          <c:showCatName val="0"/>
          <c:showSerName val="0"/>
          <c:showPercent val="0"/>
          <c:showBubbleSize val="0"/>
        </c:dLbls>
        <c:marker val="1"/>
        <c:smooth val="0"/>
        <c:axId val="549946880"/>
        <c:axId val="549948416"/>
      </c:lineChart>
      <c:catAx>
        <c:axId val="5499468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49948416"/>
        <c:crosses val="autoZero"/>
        <c:auto val="1"/>
        <c:lblAlgn val="ctr"/>
        <c:lblOffset val="100"/>
        <c:noMultiLvlLbl val="0"/>
      </c:catAx>
      <c:valAx>
        <c:axId val="549948416"/>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49946880"/>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rgbClr val="8064A2">
                <a:lumMod val="75000"/>
                <a:alpha val="50000"/>
              </a:srgbClr>
            </a:solidFill>
          </c:spPr>
          <c:invertIfNegative val="0"/>
          <c:dPt>
            <c:idx val="0"/>
            <c:invertIfNegative val="0"/>
            <c:bubble3D val="0"/>
            <c:spPr>
              <a:solidFill>
                <a:srgbClr val="8064A2">
                  <a:lumMod val="75000"/>
                  <a:alpha val="76000"/>
                </a:srgbClr>
              </a:solidFill>
            </c:spPr>
            <c:extLst>
              <c:ext xmlns:c16="http://schemas.microsoft.com/office/drawing/2014/chart" uri="{C3380CC4-5D6E-409C-BE32-E72D297353CC}">
                <c16:uniqueId val="{00000000-FBDD-45E0-B32C-D92CBEF4458C}"/>
              </c:ext>
            </c:extLst>
          </c:dPt>
          <c:cat>
            <c:strRef>
              <c:f>Profile!$F$117:$F$120</c:f>
              <c:strCache>
                <c:ptCount val="4"/>
                <c:pt idx="0">
                  <c:v>Cumbria</c:v>
                </c:pt>
                <c:pt idx="1">
                  <c:v>Predominantly Rural</c:v>
                </c:pt>
                <c:pt idx="2">
                  <c:v>Predominantly Urban</c:v>
                </c:pt>
                <c:pt idx="3">
                  <c:v>Significant Rural</c:v>
                </c:pt>
              </c:strCache>
            </c:strRef>
          </c:cat>
          <c:val>
            <c:numRef>
              <c:f>Profile!$G$117:$G$120</c:f>
              <c:numCache>
                <c:formatCode>0.00</c:formatCode>
                <c:ptCount val="4"/>
                <c:pt idx="0">
                  <c:v>83.002586119216289</c:v>
                </c:pt>
                <c:pt idx="1">
                  <c:v>74.965314180040451</c:v>
                </c:pt>
                <c:pt idx="2">
                  <c:v>84.756447879420762</c:v>
                </c:pt>
                <c:pt idx="3">
                  <c:v>81.847449666452192</c:v>
                </c:pt>
              </c:numCache>
            </c:numRef>
          </c:val>
          <c:extLst>
            <c:ext xmlns:c16="http://schemas.microsoft.com/office/drawing/2014/chart" uri="{C3380CC4-5D6E-409C-BE32-E72D297353CC}">
              <c16:uniqueId val="{00000001-FBDD-45E0-B32C-D92CBEF4458C}"/>
            </c:ext>
          </c:extLst>
        </c:ser>
        <c:dLbls>
          <c:showLegendKey val="0"/>
          <c:showVal val="0"/>
          <c:showCatName val="0"/>
          <c:showSerName val="0"/>
          <c:showPercent val="0"/>
          <c:showBubbleSize val="0"/>
        </c:dLbls>
        <c:gapWidth val="39"/>
        <c:overlap val="100"/>
        <c:axId val="550070144"/>
        <c:axId val="550071680"/>
      </c:barChart>
      <c:lineChart>
        <c:grouping val="standard"/>
        <c:varyColors val="0"/>
        <c:ser>
          <c:idx val="1"/>
          <c:order val="1"/>
          <c:tx>
            <c:v>Top Quartile Benchmark</c:v>
          </c:tx>
          <c:spPr>
            <a:ln>
              <a:solidFill>
                <a:schemeClr val="bg2">
                  <a:lumMod val="25000"/>
                </a:schemeClr>
              </a:solidFill>
            </a:ln>
          </c:spPr>
          <c:marker>
            <c:symbol val="none"/>
          </c:marker>
          <c:val>
            <c:numRef>
              <c:f>(Profile!$M$117,Profile!$M$118,Profile!$M$119,Profile!$M$120)</c:f>
              <c:numCache>
                <c:formatCode>General</c:formatCode>
                <c:ptCount val="4"/>
                <c:pt idx="0">
                  <c:v>84.025101970508402</c:v>
                </c:pt>
                <c:pt idx="1">
                  <c:v>84.025101970508402</c:v>
                </c:pt>
                <c:pt idx="2">
                  <c:v>84.025101970508402</c:v>
                </c:pt>
                <c:pt idx="3">
                  <c:v>84.025101970508402</c:v>
                </c:pt>
              </c:numCache>
            </c:numRef>
          </c:val>
          <c:smooth val="0"/>
          <c:extLst>
            <c:ext xmlns:c16="http://schemas.microsoft.com/office/drawing/2014/chart" uri="{C3380CC4-5D6E-409C-BE32-E72D297353CC}">
              <c16:uniqueId val="{00000002-FBDD-45E0-B32C-D92CBEF4458C}"/>
            </c:ext>
          </c:extLst>
        </c:ser>
        <c:ser>
          <c:idx val="2"/>
          <c:order val="2"/>
          <c:tx>
            <c:v>Median</c:v>
          </c:tx>
          <c:spPr>
            <a:ln>
              <a:solidFill>
                <a:srgbClr val="FFFF00"/>
              </a:solidFill>
            </a:ln>
          </c:spPr>
          <c:marker>
            <c:symbol val="none"/>
          </c:marker>
          <c:val>
            <c:numRef>
              <c:f>(Profile!$O$117,Profile!$O$118,Profile!$O$119,Profile!$O$120)</c:f>
              <c:numCache>
                <c:formatCode>General</c:formatCode>
                <c:ptCount val="4"/>
                <c:pt idx="0">
                  <c:v>82.994301123979568</c:v>
                </c:pt>
                <c:pt idx="1">
                  <c:v>82.994301123979568</c:v>
                </c:pt>
                <c:pt idx="2">
                  <c:v>82.994301123979568</c:v>
                </c:pt>
                <c:pt idx="3">
                  <c:v>82.994301123979568</c:v>
                </c:pt>
              </c:numCache>
            </c:numRef>
          </c:val>
          <c:smooth val="0"/>
          <c:extLst>
            <c:ext xmlns:c16="http://schemas.microsoft.com/office/drawing/2014/chart" uri="{C3380CC4-5D6E-409C-BE32-E72D297353CC}">
              <c16:uniqueId val="{00000003-FBDD-45E0-B32C-D92CBEF4458C}"/>
            </c:ext>
          </c:extLst>
        </c:ser>
        <c:ser>
          <c:idx val="3"/>
          <c:order val="3"/>
          <c:tx>
            <c:v>Bottom Quartile Benchmark</c:v>
          </c:tx>
          <c:spPr>
            <a:ln>
              <a:solidFill>
                <a:srgbClr val="FF0000"/>
              </a:solidFill>
            </a:ln>
          </c:spPr>
          <c:marker>
            <c:symbol val="none"/>
          </c:marker>
          <c:val>
            <c:numRef>
              <c:f>(Profile!$Q$117,Profile!$Q$118,Profile!$Q$119,Profile!$Q$120)</c:f>
              <c:numCache>
                <c:formatCode>General</c:formatCode>
                <c:ptCount val="4"/>
                <c:pt idx="0">
                  <c:v>80.791615272405707</c:v>
                </c:pt>
                <c:pt idx="1">
                  <c:v>80.791615272405707</c:v>
                </c:pt>
                <c:pt idx="2">
                  <c:v>80.791615272405707</c:v>
                </c:pt>
                <c:pt idx="3">
                  <c:v>80.791615272405707</c:v>
                </c:pt>
              </c:numCache>
            </c:numRef>
          </c:val>
          <c:smooth val="0"/>
          <c:extLst>
            <c:ext xmlns:c16="http://schemas.microsoft.com/office/drawing/2014/chart" uri="{C3380CC4-5D6E-409C-BE32-E72D297353CC}">
              <c16:uniqueId val="{00000004-FBDD-45E0-B32C-D92CBEF4458C}"/>
            </c:ext>
          </c:extLst>
        </c:ser>
        <c:dLbls>
          <c:showLegendKey val="0"/>
          <c:showVal val="0"/>
          <c:showCatName val="0"/>
          <c:showSerName val="0"/>
          <c:showPercent val="0"/>
          <c:showBubbleSize val="0"/>
        </c:dLbls>
        <c:marker val="1"/>
        <c:smooth val="0"/>
        <c:axId val="550070144"/>
        <c:axId val="550071680"/>
      </c:lineChart>
      <c:catAx>
        <c:axId val="55007014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50071680"/>
        <c:crosses val="autoZero"/>
        <c:auto val="1"/>
        <c:lblAlgn val="ctr"/>
        <c:lblOffset val="100"/>
        <c:noMultiLvlLbl val="0"/>
      </c:catAx>
      <c:valAx>
        <c:axId val="550071680"/>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50070144"/>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43</xdr:row>
      <xdr:rowOff>28574</xdr:rowOff>
    </xdr:from>
    <xdr:to>
      <xdr:col>38</xdr:col>
      <xdr:colOff>76200</xdr:colOff>
      <xdr:row>55</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113</xdr:row>
      <xdr:rowOff>142875</xdr:rowOff>
    </xdr:from>
    <xdr:to>
      <xdr:col>38</xdr:col>
      <xdr:colOff>104775</xdr:colOff>
      <xdr:row>132</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42</xdr:row>
      <xdr:rowOff>66675</xdr:rowOff>
    </xdr:from>
    <xdr:to>
      <xdr:col>3</xdr:col>
      <xdr:colOff>95249</xdr:colOff>
      <xdr:row>44</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113</xdr:row>
      <xdr:rowOff>19050</xdr:rowOff>
    </xdr:from>
    <xdr:to>
      <xdr:col>3</xdr:col>
      <xdr:colOff>38099</xdr:colOff>
      <xdr:row>114</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51" customFormat="1" ht="19.5" customHeight="1">
      <c r="B1" s="305" t="str">
        <f>VLOOKUP('Filtered Data'!D1,'Filtered Data'!L1:O6,3,FALSE)</f>
        <v>County</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row>
    <row r="2" spans="2:40" s="251" customFormat="1"/>
    <row r="3" spans="2:40" s="251" customFormat="1" ht="19.5" customHeight="1">
      <c r="B3" s="304" t="str">
        <f>Data!B3</f>
        <v>Walking &amp; Cycling Statistics</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2:40" s="251" customFormat="1">
      <c r="D4" s="252"/>
      <c r="E4" s="252"/>
    </row>
    <row r="5" spans="2:40" s="251" customFormat="1" ht="15.75" customHeight="1">
      <c r="B5" s="285" t="s">
        <v>334</v>
      </c>
      <c r="C5" s="285"/>
      <c r="D5" s="285"/>
      <c r="E5" s="285"/>
      <c r="J5" s="347" t="s">
        <v>306</v>
      </c>
      <c r="K5" s="347"/>
      <c r="L5" s="347"/>
      <c r="M5" s="347"/>
      <c r="N5" s="347"/>
      <c r="O5" s="347"/>
      <c r="P5" s="347"/>
      <c r="Q5" s="347"/>
      <c r="R5" s="347"/>
      <c r="S5" s="347"/>
      <c r="W5" s="330" t="s">
        <v>362</v>
      </c>
      <c r="X5" s="331"/>
      <c r="Y5" s="331"/>
      <c r="Z5" s="331"/>
      <c r="AA5" s="331"/>
      <c r="AB5" s="331"/>
      <c r="AC5" s="331"/>
      <c r="AD5" s="331"/>
      <c r="AE5" s="331"/>
      <c r="AF5" s="331"/>
      <c r="AG5" s="331"/>
      <c r="AH5" s="331"/>
      <c r="AI5" s="331"/>
      <c r="AJ5" s="331"/>
      <c r="AK5" s="331"/>
      <c r="AL5" s="331"/>
      <c r="AM5" s="332"/>
    </row>
    <row r="6" spans="2:40" s="251" customFormat="1" ht="17.25" customHeight="1">
      <c r="J6" s="347"/>
      <c r="K6" s="347"/>
      <c r="L6" s="347"/>
      <c r="M6" s="347"/>
      <c r="N6" s="347"/>
      <c r="O6" s="347"/>
      <c r="P6" s="347"/>
      <c r="Q6" s="347"/>
      <c r="R6" s="347"/>
      <c r="S6" s="347"/>
      <c r="W6" s="333" t="s">
        <v>901</v>
      </c>
      <c r="X6" s="334"/>
      <c r="Y6" s="334"/>
      <c r="Z6" s="334"/>
      <c r="AA6" s="334"/>
      <c r="AB6" s="334"/>
      <c r="AC6" s="334"/>
      <c r="AD6" s="334"/>
      <c r="AE6" s="334"/>
      <c r="AF6" s="334"/>
      <c r="AG6" s="334"/>
      <c r="AH6" s="334"/>
      <c r="AI6" s="334"/>
      <c r="AJ6" s="334"/>
      <c r="AK6" s="334"/>
      <c r="AL6" s="334"/>
      <c r="AM6" s="335"/>
    </row>
    <row r="7" spans="2:40" s="251" customFormat="1" ht="12.75" customHeight="1">
      <c r="W7" s="333"/>
      <c r="X7" s="334"/>
      <c r="Y7" s="334"/>
      <c r="Z7" s="334"/>
      <c r="AA7" s="334"/>
      <c r="AB7" s="334"/>
      <c r="AC7" s="334"/>
      <c r="AD7" s="334"/>
      <c r="AE7" s="334"/>
      <c r="AF7" s="334"/>
      <c r="AG7" s="334"/>
      <c r="AH7" s="334"/>
      <c r="AI7" s="334"/>
      <c r="AJ7" s="334"/>
      <c r="AK7" s="334"/>
      <c r="AL7" s="334"/>
      <c r="AM7" s="335"/>
    </row>
    <row r="8" spans="2:40" s="251" customFormat="1" ht="12.75" customHeight="1">
      <c r="B8" s="285" t="str">
        <f>IF('Filtered Data'!D1="L","County:","Type of Authority:")</f>
        <v>Type of Authority:</v>
      </c>
      <c r="C8" s="285"/>
      <c r="D8" s="285"/>
      <c r="E8" s="285"/>
      <c r="F8" s="285"/>
      <c r="G8" s="285"/>
      <c r="H8" s="285"/>
      <c r="I8" s="285"/>
      <c r="J8" s="252" t="str">
        <f>IF('Filtered Data'!D1="L",'Filtered Data'!I3,VLOOKUP('Filtered Data'!D1,'Filtered Data'!L1:O5,3,FALSE))</f>
        <v>County</v>
      </c>
      <c r="K8" s="252"/>
      <c r="L8" s="252"/>
      <c r="M8" s="252"/>
      <c r="N8" s="252"/>
      <c r="O8" s="252"/>
      <c r="P8" s="252"/>
      <c r="Q8" s="252"/>
      <c r="R8" s="252"/>
      <c r="W8" s="333"/>
      <c r="X8" s="334"/>
      <c r="Y8" s="334"/>
      <c r="Z8" s="334"/>
      <c r="AA8" s="334"/>
      <c r="AB8" s="334"/>
      <c r="AC8" s="334"/>
      <c r="AD8" s="334"/>
      <c r="AE8" s="334"/>
      <c r="AF8" s="334"/>
      <c r="AG8" s="334"/>
      <c r="AH8" s="334"/>
      <c r="AI8" s="334"/>
      <c r="AJ8" s="334"/>
      <c r="AK8" s="334"/>
      <c r="AL8" s="334"/>
      <c r="AM8" s="335"/>
    </row>
    <row r="9" spans="2:40" s="251" customFormat="1" ht="12.75" customHeight="1">
      <c r="B9" s="285" t="str">
        <f>IF('Filtered Data'!D1="L","Rural Classification:","Region:")</f>
        <v>Region:</v>
      </c>
      <c r="C9" s="285"/>
      <c r="D9" s="285"/>
      <c r="E9" s="285"/>
      <c r="F9" s="285"/>
      <c r="G9" s="285"/>
      <c r="H9" s="285"/>
      <c r="I9" s="285"/>
      <c r="J9" s="252" t="str">
        <f>IF('Filtered Data'!D1="L",'Filtered Data'!H3,'Filtered Data'!G3)</f>
        <v>North West</v>
      </c>
      <c r="K9" s="252"/>
      <c r="L9" s="252"/>
      <c r="M9" s="252"/>
      <c r="N9" s="252"/>
      <c r="O9" s="252"/>
      <c r="P9" s="252"/>
      <c r="Q9" s="252"/>
      <c r="R9" s="252"/>
      <c r="W9" s="333"/>
      <c r="X9" s="334"/>
      <c r="Y9" s="334"/>
      <c r="Z9" s="334"/>
      <c r="AA9" s="334"/>
      <c r="AB9" s="334"/>
      <c r="AC9" s="334"/>
      <c r="AD9" s="334"/>
      <c r="AE9" s="334"/>
      <c r="AF9" s="334"/>
      <c r="AG9" s="334"/>
      <c r="AH9" s="334"/>
      <c r="AI9" s="334"/>
      <c r="AJ9" s="334"/>
      <c r="AK9" s="334"/>
      <c r="AL9" s="334"/>
      <c r="AM9" s="335"/>
    </row>
    <row r="10" spans="2:40" s="251" customFormat="1" ht="12.75" customHeight="1">
      <c r="B10" s="285" t="str">
        <f>IF('Filtered Data'!D1="L","",IF('Filtered Data'!D1="SC","Rural Classification:",IF('Filtered Data'!D1="UA","Rural Classification:","County:")))</f>
        <v>Rural Classification:</v>
      </c>
      <c r="C10" s="285"/>
      <c r="D10" s="285"/>
      <c r="E10" s="285"/>
      <c r="F10" s="285"/>
      <c r="G10" s="285"/>
      <c r="H10" s="285"/>
      <c r="I10" s="285"/>
      <c r="J10" s="285" t="str">
        <f>IF('Filtered Data'!D1="L","",IF('Filtered Data'!D1="MD",'Filtered Data'!I3,IF('Filtered Data'!D1="SD",'Filtered Data'!I3,'Filtered Data'!H3)))</f>
        <v>Predominantly Rural</v>
      </c>
      <c r="K10" s="285"/>
      <c r="L10" s="285"/>
      <c r="M10" s="285"/>
      <c r="N10" s="285"/>
      <c r="O10" s="285"/>
      <c r="P10" s="285"/>
      <c r="Q10" s="285"/>
      <c r="R10" s="285"/>
      <c r="W10" s="333"/>
      <c r="X10" s="334"/>
      <c r="Y10" s="334"/>
      <c r="Z10" s="334"/>
      <c r="AA10" s="334"/>
      <c r="AB10" s="334"/>
      <c r="AC10" s="334"/>
      <c r="AD10" s="334"/>
      <c r="AE10" s="334"/>
      <c r="AF10" s="334"/>
      <c r="AG10" s="334"/>
      <c r="AH10" s="334"/>
      <c r="AI10" s="334"/>
      <c r="AJ10" s="334"/>
      <c r="AK10" s="334"/>
      <c r="AL10" s="334"/>
      <c r="AM10" s="335"/>
    </row>
    <row r="11" spans="2:40" s="251" customFormat="1" ht="12.75" customHeight="1">
      <c r="B11" s="285" t="str">
        <f>IF('Filtered Data'!D1="L","",IF('Filtered Data'!D1="SC","",IF('Filtered Data'!D1="UA","","Rural Classification:")))</f>
        <v/>
      </c>
      <c r="C11" s="285"/>
      <c r="D11" s="285"/>
      <c r="E11" s="285"/>
      <c r="F11" s="285"/>
      <c r="G11" s="285"/>
      <c r="H11" s="285"/>
      <c r="I11" s="285"/>
      <c r="J11" s="252" t="str">
        <f>IF('Filtered Data'!D1="MD",'Filtered Data'!H3,IF('Filtered Data'!D1="SD",'Filtered Data'!H3,""))</f>
        <v/>
      </c>
      <c r="K11" s="252"/>
      <c r="W11" s="339" t="s">
        <v>365</v>
      </c>
      <c r="X11" s="340"/>
      <c r="Y11" s="340"/>
      <c r="Z11" s="340"/>
      <c r="AA11" s="340"/>
      <c r="AB11" s="340"/>
      <c r="AC11" s="340"/>
      <c r="AD11" s="340"/>
      <c r="AE11" s="340"/>
      <c r="AF11" s="340"/>
      <c r="AG11" s="340"/>
      <c r="AH11" s="340"/>
      <c r="AI11" s="340"/>
      <c r="AJ11" s="340"/>
      <c r="AK11" s="340"/>
      <c r="AL11" s="340"/>
      <c r="AM11" s="341"/>
    </row>
    <row r="12" spans="2:40" s="251" customFormat="1" ht="12.75" customHeight="1">
      <c r="W12" s="316" t="s">
        <v>908</v>
      </c>
      <c r="X12" s="317"/>
      <c r="Y12" s="317"/>
      <c r="Z12" s="317"/>
      <c r="AA12" s="317"/>
      <c r="AB12" s="317"/>
      <c r="AC12" s="317"/>
      <c r="AD12" s="317"/>
      <c r="AE12" s="317"/>
      <c r="AF12" s="317"/>
      <c r="AG12" s="317"/>
      <c r="AH12" s="317"/>
      <c r="AI12" s="317"/>
      <c r="AJ12" s="317"/>
      <c r="AK12" s="317"/>
      <c r="AL12" s="317"/>
      <c r="AM12" s="318"/>
    </row>
    <row r="13" spans="2:40" s="251" customFormat="1" ht="12.75" customHeight="1">
      <c r="B13" s="252"/>
      <c r="C13" s="252"/>
      <c r="D13" s="252"/>
      <c r="E13" s="252"/>
      <c r="F13" s="252"/>
      <c r="G13" s="252"/>
      <c r="H13" s="252"/>
      <c r="I13" s="252"/>
      <c r="J13" s="252"/>
      <c r="K13" s="252"/>
      <c r="L13" s="252"/>
      <c r="M13" s="252"/>
      <c r="N13" s="252"/>
      <c r="O13" s="252"/>
      <c r="P13" s="252"/>
      <c r="Q13" s="252"/>
      <c r="R13" s="252"/>
      <c r="W13" s="339" t="s">
        <v>366</v>
      </c>
      <c r="X13" s="340"/>
      <c r="Y13" s="340"/>
      <c r="Z13" s="340"/>
      <c r="AA13" s="340"/>
      <c r="AB13" s="340"/>
      <c r="AC13" s="340"/>
      <c r="AD13" s="340"/>
      <c r="AE13" s="340"/>
      <c r="AF13" s="340"/>
      <c r="AG13" s="340"/>
      <c r="AH13" s="340"/>
      <c r="AI13" s="340"/>
      <c r="AJ13" s="340"/>
      <c r="AK13" s="340"/>
      <c r="AL13" s="340"/>
      <c r="AM13" s="341"/>
    </row>
    <row r="14" spans="2:40" s="251" customFormat="1" ht="25.5" customHeight="1">
      <c r="B14" s="252"/>
      <c r="C14" s="252"/>
      <c r="D14" s="252"/>
      <c r="E14" s="252"/>
      <c r="F14" s="252"/>
      <c r="G14" s="252"/>
      <c r="H14" s="252"/>
      <c r="I14" s="252"/>
      <c r="J14" s="252"/>
      <c r="K14" s="252"/>
      <c r="L14" s="252"/>
      <c r="M14" s="252"/>
      <c r="N14" s="252"/>
      <c r="O14" s="252"/>
      <c r="P14" s="252"/>
      <c r="Q14" s="252"/>
      <c r="R14" s="252"/>
      <c r="W14" s="336" t="str">
        <f>HLOOKUP(W6,Data!4:6,3,FALSE)</f>
        <v>Department for Transport statistics</v>
      </c>
      <c r="X14" s="337"/>
      <c r="Y14" s="337"/>
      <c r="Z14" s="337"/>
      <c r="AA14" s="337"/>
      <c r="AB14" s="337"/>
      <c r="AC14" s="337"/>
      <c r="AD14" s="337"/>
      <c r="AE14" s="337"/>
      <c r="AF14" s="337"/>
      <c r="AG14" s="337"/>
      <c r="AH14" s="337"/>
      <c r="AI14" s="337"/>
      <c r="AJ14" s="337"/>
      <c r="AK14" s="337"/>
      <c r="AL14" s="337"/>
      <c r="AM14" s="338"/>
    </row>
    <row r="15" spans="2:40" s="251" customFormat="1"/>
    <row r="16" spans="2:40">
      <c r="B16" s="296" t="str">
        <f>W6&amp;" - "&amp;W12</f>
        <v>Proportion of residents who do any walking or cycling, at least once per month - 2018/19</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344"/>
    </row>
    <row r="17" spans="2:42">
      <c r="B17" s="298"/>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345"/>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20" t="s">
        <v>341</v>
      </c>
      <c r="F32" s="346"/>
      <c r="G32" s="346"/>
      <c r="H32" s="346"/>
      <c r="I32" s="346"/>
      <c r="J32" s="346"/>
      <c r="K32" s="328">
        <f>IF('Filtered Data'!$H$8="..",'Filtered Data'!O10,'Filtered Data'!O10/100)</f>
        <v>84.025101970508402</v>
      </c>
      <c r="L32" s="328"/>
      <c r="M32" s="328"/>
      <c r="N32" s="320" t="s">
        <v>352</v>
      </c>
      <c r="O32" s="320"/>
      <c r="P32" s="320"/>
      <c r="Q32" s="320"/>
      <c r="R32" s="320"/>
      <c r="S32" s="320"/>
      <c r="T32" s="328">
        <f>IF('Filtered Data'!$H$8="..",'Filtered Data'!P10,'Filtered Data'!P10/100)</f>
        <v>82.994301123979568</v>
      </c>
      <c r="U32" s="328"/>
      <c r="V32" s="328"/>
      <c r="W32" s="328"/>
      <c r="X32" s="320" t="s">
        <v>353</v>
      </c>
      <c r="Y32" s="320"/>
      <c r="Z32" s="320"/>
      <c r="AA32" s="320"/>
      <c r="AB32" s="320"/>
      <c r="AC32" s="328">
        <f>IF('Filtered Data'!$H$8="..",'Filtered Data'!Q10,'Filtered Data'!Q10/100)</f>
        <v>80.791615272405707</v>
      </c>
      <c r="AD32" s="328"/>
      <c r="AE32" s="328"/>
      <c r="AF32" s="320" t="s">
        <v>342</v>
      </c>
      <c r="AG32" s="320"/>
      <c r="AH32" s="320"/>
      <c r="AI32" s="320"/>
      <c r="AJ32" s="320"/>
      <c r="AK32" s="320"/>
      <c r="AL32" s="320"/>
      <c r="AM32" s="227"/>
      <c r="AP32" s="220"/>
    </row>
    <row r="33" spans="2:42" s="251" customFormat="1">
      <c r="B33" s="251" t="str">
        <f>"The graph &amp; quartile information show data for all "&amp;V37&amp;" "&amp;VLOOKUP('Filtered Data'!D1,'Filtered Data'!L1:O6,3,FALSE)&amp;" councils in England."</f>
        <v>The graph &amp; quartile information show data for all 27 County councils in England.</v>
      </c>
      <c r="AP33" s="253"/>
    </row>
    <row r="34" spans="2:42" s="251" customFormat="1">
      <c r="AP34" s="253"/>
    </row>
    <row r="35" spans="2:42">
      <c r="B35" s="249" t="str">
        <f>J5</f>
        <v>Cumbria</v>
      </c>
      <c r="C35" s="249"/>
      <c r="D35" s="254"/>
      <c r="E35" s="249"/>
      <c r="F35" s="249"/>
      <c r="G35" s="249"/>
      <c r="H35" s="249"/>
      <c r="I35" s="249"/>
      <c r="J35" s="228"/>
      <c r="K35" s="229" t="s">
        <v>356</v>
      </c>
      <c r="L35" s="343">
        <f>IF(ISERROR(IF('Filtered Data'!$H$8="%.",(VLOOKUP(J5,'Filtered Data'!C:H,4,FALSE))/100,(VLOOKUP(J5,'Filtered Data'!C:H,4,FALSE)))),"",(IF('Filtered Data'!$H$8="%.",(VLOOKUP(J5,'Filtered Data'!C:H,4,FALSE))/100,(VLOOKUP(J5,'Filtered Data'!C:H,4,FALSE)))))</f>
        <v>83.002586119216289</v>
      </c>
      <c r="M35" s="343"/>
      <c r="N35" s="343"/>
      <c r="O35" s="343"/>
      <c r="P35" s="250"/>
      <c r="Q35" s="343" t="s">
        <v>354</v>
      </c>
      <c r="R35" s="343"/>
      <c r="S35" s="343"/>
      <c r="T35" s="343"/>
      <c r="U35" s="343"/>
      <c r="V35" s="343"/>
      <c r="W35" s="343"/>
      <c r="AP35" s="220"/>
    </row>
    <row r="36" spans="2:42" ht="12.75" customHeight="1">
      <c r="B36" s="342" t="str">
        <f>'Filtered Data'!R8&amp;" Quartile"</f>
        <v>Second Quartile</v>
      </c>
      <c r="C36" s="342"/>
      <c r="D36" s="342"/>
      <c r="E36" s="342"/>
      <c r="F36" s="342"/>
      <c r="G36" s="342"/>
      <c r="H36" s="342"/>
      <c r="I36" s="342"/>
      <c r="J36" s="342"/>
      <c r="K36" s="342"/>
      <c r="L36" s="342"/>
      <c r="M36" s="342"/>
      <c r="N36" s="342"/>
      <c r="O36" s="342"/>
      <c r="P36" s="342"/>
      <c r="Q36" s="342"/>
      <c r="R36" s="342"/>
      <c r="S36" s="342"/>
      <c r="T36" s="342"/>
      <c r="U36" s="342"/>
      <c r="V36" s="342"/>
      <c r="W36" s="342"/>
      <c r="Z36" s="230" t="s">
        <v>358</v>
      </c>
      <c r="AB36" s="319" t="s">
        <v>360</v>
      </c>
      <c r="AC36" s="319"/>
      <c r="AD36" s="319"/>
      <c r="AE36" s="319"/>
      <c r="AF36" s="319"/>
      <c r="AG36" s="319"/>
      <c r="AH36" s="319"/>
      <c r="AI36" s="319"/>
      <c r="AJ36" s="319"/>
      <c r="AK36" s="319"/>
      <c r="AL36" s="319"/>
      <c r="AM36" s="255"/>
      <c r="AP36" s="220"/>
    </row>
    <row r="37" spans="2:42" ht="12.75" customHeight="1">
      <c r="B37" s="256" t="str">
        <f>VLOOKUP('Filtered Data'!D1,'Filtered Data'!L1:O6,2,FALSE)</f>
        <v>Counties</v>
      </c>
      <c r="C37" s="256"/>
      <c r="D37" s="256"/>
      <c r="E37" s="256"/>
      <c r="F37" s="256"/>
      <c r="G37" s="256"/>
      <c r="H37" s="256"/>
      <c r="I37" s="256"/>
      <c r="J37" s="325" t="s">
        <v>899</v>
      </c>
      <c r="K37" s="232" t="str">
        <f>IF(Q37="","",IF('Filtered Data'!I8="D",IF($L$35&gt;=L37,"J","L"),IF('Filtered Data'!I8="A",IF($L$35&lt;=L37,"J","L"))))</f>
        <v>J</v>
      </c>
      <c r="L37" s="322">
        <f>'Filtered Data'!M9</f>
        <v>79.513991946519596</v>
      </c>
      <c r="M37" s="322"/>
      <c r="N37" s="322"/>
      <c r="O37" s="322"/>
      <c r="P37" s="257"/>
      <c r="Q37" s="327">
        <f>VLOOKUP(J5,'Filtered Data'!C:I,7,FALSE)</f>
        <v>13</v>
      </c>
      <c r="R37" s="327"/>
      <c r="S37" s="260"/>
      <c r="T37" s="259" t="s">
        <v>355</v>
      </c>
      <c r="U37" s="259"/>
      <c r="V37" s="327">
        <f>COUNT('Filtered Data'!I11:I363)</f>
        <v>27</v>
      </c>
      <c r="W37" s="327"/>
      <c r="AB37" s="319"/>
      <c r="AC37" s="319"/>
      <c r="AD37" s="319"/>
      <c r="AE37" s="319"/>
      <c r="AF37" s="319"/>
      <c r="AG37" s="319"/>
      <c r="AH37" s="319"/>
      <c r="AI37" s="319"/>
      <c r="AJ37" s="319"/>
      <c r="AK37" s="319"/>
      <c r="AL37" s="319"/>
      <c r="AM37" s="255"/>
      <c r="AP37" s="220"/>
    </row>
    <row r="38" spans="2:42">
      <c r="B38" s="256" t="str">
        <f>IF('Filtered Data'!D1="L","",IF('Filtered Data'!D1="SD",J10,"Regional"))</f>
        <v>Regional</v>
      </c>
      <c r="C38" s="256"/>
      <c r="D38" s="256"/>
      <c r="E38" s="256"/>
      <c r="F38" s="256"/>
      <c r="G38" s="256"/>
      <c r="H38" s="256"/>
      <c r="I38" s="256"/>
      <c r="J38" s="326"/>
      <c r="K38" s="232" t="str">
        <f>IF(Q38="","",IF('Filtered Data'!I8="D",IF($L$35&gt;=L38,"J","L"),IF('Filtered Data'!I8="A",IF($L$35&lt;=L38,"J","L"))))</f>
        <v>J</v>
      </c>
      <c r="L38" s="322">
        <f>IF('Filtered Data'!D1="L","",IF('Filtered Data'!D1="SD",'Filtered Data'!AJ9,'Filtered Data'!AQ9))</f>
        <v>81.521315921718696</v>
      </c>
      <c r="M38" s="322"/>
      <c r="N38" s="322"/>
      <c r="O38" s="322"/>
      <c r="P38" s="257"/>
      <c r="Q38" s="327">
        <f>IF(ISERROR(IF('Filtered Data'!D1="L","",IF('Filtered Data'!D1="SD",VLOOKUP(J5,'Filtered Data'!L:AK,26,FALSE),(VLOOKUP(J5,'Filtered Data'!L:AR,33,FALSE))))),"",(IF('Filtered Data'!D1="L","",IF('Filtered Data'!D1="SD",VLOOKUP(J5,'Filtered Data'!L:AK,26,FALSE),(VLOOKUP(J5,'Filtered Data'!L:AR,33,FALSE))))))</f>
        <v>1</v>
      </c>
      <c r="R38" s="327"/>
      <c r="S38" s="258"/>
      <c r="T38" s="259" t="str">
        <f>IF(B38="","","out of")</f>
        <v>out of</v>
      </c>
      <c r="U38" s="259"/>
      <c r="V38" s="327">
        <f>IF('Filtered Data'!D1="L","",IF('Filtered Data'!D1="SD",COUNT('Filtered Data'!AK11:AK363),(COUNT('Filtered Data'!AQ11:AQ363))))</f>
        <v>2</v>
      </c>
      <c r="W38" s="327"/>
      <c r="Z38" s="233" t="s">
        <v>359</v>
      </c>
      <c r="AB38" s="319" t="s">
        <v>361</v>
      </c>
      <c r="AC38" s="319"/>
      <c r="AD38" s="319"/>
      <c r="AE38" s="319"/>
      <c r="AF38" s="319"/>
      <c r="AG38" s="319"/>
      <c r="AH38" s="319"/>
      <c r="AI38" s="319"/>
      <c r="AJ38" s="319"/>
      <c r="AK38" s="319"/>
      <c r="AL38" s="319"/>
      <c r="AM38" s="319"/>
      <c r="AP38" s="220"/>
    </row>
    <row r="39" spans="2:42" ht="12.75" customHeight="1">
      <c r="B39" s="274"/>
      <c r="C39" s="274"/>
      <c r="D39" s="274"/>
      <c r="E39" s="274"/>
      <c r="F39" s="274"/>
      <c r="G39" s="274"/>
      <c r="H39" s="274"/>
      <c r="I39" s="274"/>
      <c r="J39" s="273"/>
      <c r="K39" s="235"/>
      <c r="L39" s="321"/>
      <c r="M39" s="321"/>
      <c r="N39" s="321"/>
      <c r="O39" s="321"/>
      <c r="P39" s="275"/>
      <c r="Q39" s="323"/>
      <c r="R39" s="323"/>
      <c r="S39" s="321"/>
      <c r="T39" s="321"/>
      <c r="U39" s="321"/>
      <c r="V39" s="323"/>
      <c r="W39" s="323"/>
      <c r="AB39" s="319"/>
      <c r="AC39" s="319"/>
      <c r="AD39" s="319"/>
      <c r="AE39" s="319"/>
      <c r="AF39" s="319"/>
      <c r="AG39" s="319"/>
      <c r="AH39" s="319"/>
      <c r="AI39" s="319"/>
      <c r="AJ39" s="319"/>
      <c r="AK39" s="319"/>
      <c r="AL39" s="319"/>
      <c r="AM39" s="319"/>
      <c r="AP39" s="220"/>
    </row>
    <row r="40" spans="2:42">
      <c r="B40" s="276"/>
      <c r="C40" s="276"/>
      <c r="D40" s="276"/>
      <c r="E40" s="276"/>
      <c r="F40" s="276"/>
      <c r="G40" s="276"/>
      <c r="H40" s="276"/>
      <c r="I40" s="276"/>
      <c r="J40" s="234"/>
      <c r="K40" s="277" t="str">
        <f>IF(B40="","",IF('Filtered Data'!D1="UA","",(IF($L$35&gt;=L40,"J","L"))))</f>
        <v/>
      </c>
      <c r="L40" s="315"/>
      <c r="M40" s="315"/>
      <c r="N40" s="315"/>
      <c r="O40" s="315"/>
      <c r="P40" s="278"/>
      <c r="Q40" s="324"/>
      <c r="R40" s="324"/>
      <c r="S40" s="329"/>
      <c r="T40" s="329"/>
      <c r="U40" s="329"/>
      <c r="V40" s="324"/>
      <c r="W40" s="324"/>
      <c r="AB40" s="231"/>
      <c r="AC40" s="231"/>
      <c r="AD40" s="231"/>
      <c r="AE40" s="231"/>
      <c r="AF40" s="231"/>
      <c r="AG40" s="231"/>
      <c r="AH40" s="231"/>
      <c r="AI40" s="231"/>
      <c r="AJ40" s="231"/>
      <c r="AK40" s="231"/>
      <c r="AL40" s="231"/>
      <c r="AM40" s="231"/>
      <c r="AP40" s="220"/>
    </row>
    <row r="41" spans="2:42">
      <c r="B41" s="222"/>
      <c r="C41" s="222"/>
      <c r="D41" s="222"/>
      <c r="E41" s="222"/>
      <c r="F41" s="222"/>
      <c r="G41" s="222"/>
      <c r="H41" s="222"/>
      <c r="I41" s="222"/>
      <c r="J41" s="236"/>
      <c r="K41" s="237"/>
      <c r="L41" s="238"/>
      <c r="M41" s="238"/>
      <c r="N41" s="238"/>
      <c r="O41" s="238"/>
      <c r="P41" s="239"/>
      <c r="Q41" s="240"/>
      <c r="R41" s="240"/>
      <c r="S41" s="241"/>
      <c r="T41" s="240"/>
      <c r="U41" s="240"/>
      <c r="V41" s="240"/>
      <c r="W41" s="240"/>
      <c r="AB41" s="242"/>
      <c r="AC41" s="242"/>
      <c r="AD41" s="242"/>
      <c r="AE41" s="242"/>
      <c r="AF41" s="242"/>
      <c r="AG41" s="242"/>
      <c r="AH41" s="242"/>
      <c r="AI41" s="242"/>
      <c r="AJ41" s="242"/>
      <c r="AK41" s="242"/>
      <c r="AL41" s="242"/>
      <c r="AM41" s="242"/>
      <c r="AP41" s="220"/>
    </row>
    <row r="42" spans="2:42">
      <c r="B42" s="311" t="s">
        <v>357</v>
      </c>
      <c r="C42" s="312"/>
      <c r="D42" s="312"/>
      <c r="E42" s="312"/>
      <c r="F42" s="312"/>
      <c r="G42" s="312"/>
      <c r="H42" s="312"/>
      <c r="I42" s="312"/>
      <c r="J42" s="312"/>
      <c r="K42" s="312"/>
      <c r="L42" s="312"/>
      <c r="M42" s="312"/>
      <c r="N42" s="312"/>
      <c r="O42" s="307" t="str">
        <f>W6&amp;" - "&amp;W12</f>
        <v>Proportion of residents who do any walking or cycling, at least once per month - 2018/19</v>
      </c>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8"/>
      <c r="AP42" s="220"/>
    </row>
    <row r="43" spans="2:42">
      <c r="B43" s="313"/>
      <c r="C43" s="314"/>
      <c r="D43" s="314"/>
      <c r="E43" s="314"/>
      <c r="F43" s="314"/>
      <c r="G43" s="314"/>
      <c r="H43" s="314"/>
      <c r="I43" s="314"/>
      <c r="J43" s="314"/>
      <c r="K43" s="314"/>
      <c r="L43" s="314"/>
      <c r="M43" s="314"/>
      <c r="N43" s="314"/>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10"/>
      <c r="AP43" s="220"/>
    </row>
    <row r="44" spans="2:42">
      <c r="B44" s="243"/>
      <c r="C44" s="223"/>
      <c r="D44" s="223"/>
      <c r="E44" s="223"/>
      <c r="F44" s="223"/>
      <c r="G44" s="222"/>
      <c r="H44" s="222"/>
      <c r="I44" s="222"/>
      <c r="J44" s="222"/>
      <c r="K44" s="239"/>
      <c r="L44" s="239"/>
      <c r="M44" s="239"/>
      <c r="N44" s="239"/>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4"/>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t="e">
        <f>IF((VLOOKUP(Profile!W6,'Indicator info'!A:B,4,FALSE))=".","",(VLOOKUP(Profile!W6,'Indicator info'!A:B,4,FALSE)))</f>
        <v>#REF!</v>
      </c>
      <c r="E46" s="223"/>
      <c r="F46" s="223"/>
      <c r="G46" s="222"/>
      <c r="H46" s="222"/>
      <c r="I46" s="222"/>
      <c r="J46" s="222"/>
      <c r="K46" s="239" t="s">
        <v>795</v>
      </c>
      <c r="L46" s="239"/>
      <c r="M46" s="239" t="s">
        <v>796</v>
      </c>
      <c r="N46" s="239"/>
      <c r="O46" s="222" t="s">
        <v>797</v>
      </c>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44" t="str">
        <f>B35</f>
        <v>Cumbria</v>
      </c>
      <c r="E47" s="292">
        <f>IF('Filtered Data'!$H$8="..",L35,L35*100)</f>
        <v>83.002586119216289</v>
      </c>
      <c r="F47" s="292"/>
      <c r="G47" s="292"/>
      <c r="H47" s="292"/>
      <c r="I47" s="222"/>
      <c r="J47" s="222"/>
      <c r="K47" s="291">
        <f>IF('Filtered Data'!$H$8="..",K$32,K$32*100)</f>
        <v>84.025101970508402</v>
      </c>
      <c r="L47" s="291"/>
      <c r="M47" s="291">
        <f>IF('Filtered Data'!$H$8="..",T$32,T$32*100)</f>
        <v>82.994301123979568</v>
      </c>
      <c r="N47" s="291"/>
      <c r="O47" s="291">
        <f>IF('Filtered Data'!$H$8="..",AC$32,AC$32*100)</f>
        <v>80.791615272405707</v>
      </c>
      <c r="P47" s="291"/>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5" t="str">
        <f>B37</f>
        <v>Counties</v>
      </c>
      <c r="E48" s="292">
        <f>IF('Filtered Data'!$H$8="..",L37,L37*100)</f>
        <v>79.513991946519596</v>
      </c>
      <c r="F48" s="292"/>
      <c r="G48" s="292"/>
      <c r="H48" s="292"/>
      <c r="I48" s="222"/>
      <c r="J48" s="222"/>
      <c r="K48" s="291">
        <f>IF('Filtered Data'!$H$8="..",K$32,K$32*100)</f>
        <v>84.025101970508402</v>
      </c>
      <c r="L48" s="291"/>
      <c r="M48" s="291">
        <f>IF('Filtered Data'!$H$8="..",T$32,T$32*100)</f>
        <v>82.994301123979568</v>
      </c>
      <c r="N48" s="291"/>
      <c r="O48" s="291">
        <f>IF('Filtered Data'!$H$8="..",AC$32,AC$32*100)</f>
        <v>80.791615272405707</v>
      </c>
      <c r="P48" s="291"/>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4" t="str">
        <f>B38</f>
        <v>Regional</v>
      </c>
      <c r="E49" s="292">
        <f>IF('Filtered Data'!$H$8="..",L38,L38*100)</f>
        <v>81.521315921718696</v>
      </c>
      <c r="F49" s="292"/>
      <c r="G49" s="292"/>
      <c r="H49" s="292"/>
      <c r="I49" s="222"/>
      <c r="J49" s="222"/>
      <c r="K49" s="291">
        <f>IF('Filtered Data'!$H$8="..",K$32,K$32*100)</f>
        <v>84.025101970508402</v>
      </c>
      <c r="L49" s="291"/>
      <c r="M49" s="291">
        <f>IF('Filtered Data'!$H$8="..",T$32,T$32*100)</f>
        <v>82.994301123979568</v>
      </c>
      <c r="N49" s="291"/>
      <c r="O49" s="291">
        <f>IF('Filtered Data'!$H$8="..",AC$32,AC$32*100)</f>
        <v>80.791615272405707</v>
      </c>
      <c r="P49" s="291"/>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c r="E50" s="292"/>
      <c r="F50" s="292"/>
      <c r="G50" s="292"/>
      <c r="H50" s="292"/>
      <c r="I50" s="222"/>
      <c r="J50" s="222"/>
      <c r="K50" s="291"/>
      <c r="L50" s="291"/>
      <c r="M50" s="291"/>
      <c r="N50" s="291"/>
      <c r="O50" s="291"/>
      <c r="P50" s="291"/>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45"/>
      <c r="E51" s="292"/>
      <c r="F51" s="292"/>
      <c r="G51" s="292"/>
      <c r="H51" s="292"/>
      <c r="I51" s="222"/>
      <c r="J51" s="222"/>
      <c r="K51" s="291"/>
      <c r="L51" s="291"/>
      <c r="M51" s="291"/>
      <c r="N51" s="291"/>
      <c r="O51" s="291"/>
      <c r="P51" s="291"/>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293"/>
      <c r="F52" s="293"/>
      <c r="G52" s="293"/>
      <c r="H52" s="293"/>
      <c r="I52" s="222"/>
      <c r="J52" s="222"/>
      <c r="K52" s="291"/>
      <c r="L52" s="291"/>
      <c r="M52" s="291"/>
      <c r="N52" s="291"/>
      <c r="O52" s="291"/>
      <c r="P52" s="291"/>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23"/>
      <c r="E53" s="223"/>
      <c r="F53" s="223"/>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6"/>
      <c r="C56" s="247"/>
      <c r="D56" s="247"/>
      <c r="E56" s="247"/>
      <c r="F56" s="247"/>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7"/>
      <c r="AP56" s="220"/>
    </row>
    <row r="57" spans="2:42">
      <c r="B57" s="223"/>
      <c r="C57" s="223"/>
      <c r="D57" s="223"/>
      <c r="E57" s="223"/>
      <c r="F57" s="223"/>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P57" s="220"/>
    </row>
    <row r="58" spans="2:42" s="251" customFormat="1" ht="19.5" customHeight="1">
      <c r="B58" s="304" t="str">
        <f>B3</f>
        <v>Walking &amp; Cycling Statistics</v>
      </c>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P58" s="253"/>
    </row>
    <row r="59" spans="2:42" s="251" customFormat="1">
      <c r="AP59" s="253"/>
    </row>
    <row r="60" spans="2:42" s="251" customFormat="1" ht="12" customHeight="1">
      <c r="B60" s="261" t="str">
        <f>W6&amp;" - "&amp;W12</f>
        <v>Proportion of residents who do any walking or cycling, at least once per month - 2018/19</v>
      </c>
      <c r="AP60" s="253"/>
    </row>
    <row r="61" spans="2:42" s="251" customFormat="1" ht="12" customHeight="1">
      <c r="AP61" s="253"/>
    </row>
    <row r="62" spans="2:42" s="251" customFormat="1" ht="12" customHeight="1">
      <c r="B62" s="261" t="s">
        <v>363</v>
      </c>
      <c r="AP62" s="253"/>
    </row>
    <row r="63" spans="2:42" s="251" customFormat="1" ht="12" customHeight="1">
      <c r="AP63" s="253"/>
    </row>
    <row r="64" spans="2:42" s="251" customFormat="1" ht="12" customHeight="1">
      <c r="B64" s="286" t="s">
        <v>354</v>
      </c>
      <c r="C64" s="286"/>
      <c r="D64" s="286"/>
      <c r="E64" s="294" t="s">
        <v>333</v>
      </c>
      <c r="F64" s="294"/>
      <c r="G64" s="294"/>
      <c r="H64" s="294"/>
      <c r="I64" s="294"/>
      <c r="J64" s="294"/>
      <c r="K64" s="294"/>
      <c r="L64" s="294"/>
      <c r="M64" s="294"/>
      <c r="N64" s="294"/>
      <c r="O64" s="294"/>
      <c r="P64" s="294"/>
      <c r="Q64" s="294"/>
      <c r="R64" s="294"/>
      <c r="S64" s="294"/>
      <c r="T64" s="294"/>
      <c r="U64" s="286" t="s">
        <v>364</v>
      </c>
      <c r="V64" s="286"/>
      <c r="W64" s="286"/>
      <c r="X64" s="286"/>
      <c r="Y64" s="262"/>
      <c r="Z64" s="262"/>
      <c r="AA64" s="262"/>
      <c r="AB64" s="262"/>
      <c r="AC64" s="263"/>
      <c r="AD64" s="262"/>
      <c r="AE64" s="262"/>
      <c r="AF64" s="262"/>
      <c r="AG64" s="262"/>
      <c r="AH64" s="263"/>
      <c r="AI64" s="262"/>
      <c r="AJ64" s="262"/>
      <c r="AK64" s="262"/>
      <c r="AL64" s="262"/>
      <c r="AP64" s="253"/>
    </row>
    <row r="65" spans="2:42" s="251" customFormat="1" ht="12" customHeight="1">
      <c r="B65" s="287">
        <v>1</v>
      </c>
      <c r="C65" s="288"/>
      <c r="D65" s="288"/>
      <c r="E65" s="285" t="str">
        <f>VLOOKUP(B65,'Filtered Data'!K:L,2,FALSE)</f>
        <v>Oxfordshire</v>
      </c>
      <c r="F65" s="285"/>
      <c r="G65" s="285"/>
      <c r="H65" s="285"/>
      <c r="I65" s="285"/>
      <c r="J65" s="285"/>
      <c r="K65" s="285"/>
      <c r="L65" s="285"/>
      <c r="M65" s="285"/>
      <c r="N65" s="285"/>
      <c r="O65" s="285"/>
      <c r="P65" s="285"/>
      <c r="Q65" s="285"/>
      <c r="R65" s="285"/>
      <c r="S65" s="285"/>
      <c r="T65" s="285"/>
      <c r="U65" s="289">
        <f>IF('Filtered Data'!$H$8="%.",(VLOOKUP(B65,'Filtered Data'!K:M,3,FALSE))/100,VLOOKUP(B65,'Filtered Data'!K:M,3,FALSE))</f>
        <v>87.874989098739817</v>
      </c>
      <c r="V65" s="289"/>
      <c r="W65" s="289"/>
      <c r="X65" s="289"/>
      <c r="Y65" s="264" t="str">
        <f>IF((VLOOKUP(E65,classifications!C:K,9,FALSE))="Sparse","S","")</f>
        <v/>
      </c>
      <c r="Z65" s="264"/>
      <c r="AA65" s="264"/>
      <c r="AB65" s="264"/>
      <c r="AC65" s="264"/>
      <c r="AD65" s="306"/>
      <c r="AE65" s="306"/>
      <c r="AF65" s="306"/>
      <c r="AG65" s="306"/>
      <c r="AH65" s="306"/>
      <c r="AI65" s="306"/>
      <c r="AJ65" s="306"/>
      <c r="AK65" s="306"/>
      <c r="AL65" s="306"/>
      <c r="AP65" s="253"/>
    </row>
    <row r="66" spans="2:42" s="251" customFormat="1" ht="12" customHeight="1">
      <c r="B66" s="287">
        <v>2</v>
      </c>
      <c r="C66" s="288"/>
      <c r="D66" s="288"/>
      <c r="E66" s="285" t="str">
        <f>VLOOKUP(B66,'Filtered Data'!K:L,2,FALSE)</f>
        <v>Devon</v>
      </c>
      <c r="F66" s="285"/>
      <c r="G66" s="285"/>
      <c r="H66" s="285"/>
      <c r="I66" s="285"/>
      <c r="J66" s="285"/>
      <c r="K66" s="285"/>
      <c r="L66" s="285"/>
      <c r="M66" s="285"/>
      <c r="N66" s="285"/>
      <c r="O66" s="285"/>
      <c r="P66" s="285"/>
      <c r="Q66" s="285"/>
      <c r="R66" s="285"/>
      <c r="S66" s="285"/>
      <c r="T66" s="285"/>
      <c r="U66" s="289">
        <f>IF('Filtered Data'!$H$8="%.",(VLOOKUP(B66,'Filtered Data'!K:M,3,FALSE))/100,VLOOKUP(B66,'Filtered Data'!K:M,3,FALSE))</f>
        <v>85.885087274196607</v>
      </c>
      <c r="V66" s="289"/>
      <c r="W66" s="289"/>
      <c r="X66" s="289"/>
      <c r="Y66" s="264" t="str">
        <f>IF((VLOOKUP(E66,classifications!C:K,9,FALSE))="Sparse","S","")</f>
        <v>S</v>
      </c>
      <c r="Z66" s="264"/>
      <c r="AA66" s="264"/>
      <c r="AB66" s="264"/>
      <c r="AC66" s="264"/>
      <c r="AD66" s="306"/>
      <c r="AE66" s="306"/>
      <c r="AF66" s="306"/>
      <c r="AG66" s="306"/>
      <c r="AH66" s="306"/>
      <c r="AI66" s="306"/>
      <c r="AJ66" s="306"/>
      <c r="AK66" s="306"/>
      <c r="AL66" s="306"/>
      <c r="AP66" s="253"/>
    </row>
    <row r="67" spans="2:42" s="251" customFormat="1" ht="12" customHeight="1">
      <c r="B67" s="287">
        <v>3</v>
      </c>
      <c r="C67" s="288"/>
      <c r="D67" s="288"/>
      <c r="E67" s="285" t="str">
        <f>VLOOKUP(B67,'Filtered Data'!K:L,2,FALSE)</f>
        <v>Surrey</v>
      </c>
      <c r="F67" s="285"/>
      <c r="G67" s="285"/>
      <c r="H67" s="285"/>
      <c r="I67" s="285"/>
      <c r="J67" s="285"/>
      <c r="K67" s="285"/>
      <c r="L67" s="285"/>
      <c r="M67" s="285"/>
      <c r="N67" s="285"/>
      <c r="O67" s="285"/>
      <c r="P67" s="285"/>
      <c r="Q67" s="285"/>
      <c r="R67" s="285"/>
      <c r="S67" s="285"/>
      <c r="T67" s="285"/>
      <c r="U67" s="289">
        <f>IF('Filtered Data'!$H$8="%.",(VLOOKUP(B67,'Filtered Data'!K:M,3,FALSE))/100,VLOOKUP(B67,'Filtered Data'!K:M,3,FALSE))</f>
        <v>84.966154875457107</v>
      </c>
      <c r="V67" s="289"/>
      <c r="W67" s="289"/>
      <c r="X67" s="289"/>
      <c r="Y67" s="264" t="str">
        <f>IF((VLOOKUP(E67,classifications!C:K,9,FALSE))="Sparse","S","")</f>
        <v/>
      </c>
      <c r="Z67" s="264"/>
      <c r="AA67" s="264"/>
      <c r="AB67" s="264"/>
      <c r="AC67" s="264"/>
      <c r="AD67" s="306"/>
      <c r="AE67" s="306"/>
      <c r="AF67" s="306"/>
      <c r="AG67" s="306"/>
      <c r="AH67" s="306"/>
      <c r="AI67" s="306"/>
      <c r="AJ67" s="306"/>
      <c r="AK67" s="306"/>
      <c r="AL67" s="306"/>
      <c r="AP67" s="253"/>
    </row>
    <row r="68" spans="2:42" s="251" customFormat="1" ht="12" customHeight="1">
      <c r="B68" s="287">
        <v>4</v>
      </c>
      <c r="C68" s="288"/>
      <c r="D68" s="288"/>
      <c r="E68" s="285" t="str">
        <f>VLOOKUP(B68,'Filtered Data'!K:L,2,FALSE)</f>
        <v>Hertfordshire</v>
      </c>
      <c r="F68" s="285"/>
      <c r="G68" s="285"/>
      <c r="H68" s="285"/>
      <c r="I68" s="285"/>
      <c r="J68" s="285"/>
      <c r="K68" s="285"/>
      <c r="L68" s="285"/>
      <c r="M68" s="285"/>
      <c r="N68" s="285"/>
      <c r="O68" s="285"/>
      <c r="P68" s="285"/>
      <c r="Q68" s="285"/>
      <c r="R68" s="285"/>
      <c r="S68" s="285"/>
      <c r="T68" s="285"/>
      <c r="U68" s="289">
        <f>IF('Filtered Data'!$H$8="%.",(VLOOKUP(B68,'Filtered Data'!K:M,3,FALSE))/100,VLOOKUP(B68,'Filtered Data'!K:M,3,FALSE))</f>
        <v>84.546740883384402</v>
      </c>
      <c r="V68" s="289"/>
      <c r="W68" s="289"/>
      <c r="X68" s="289"/>
      <c r="Y68" s="264" t="str">
        <f>IF((VLOOKUP(E68,classifications!C:K,9,FALSE))="Sparse","S","")</f>
        <v/>
      </c>
      <c r="Z68" s="264"/>
      <c r="AA68" s="264"/>
      <c r="AB68" s="264"/>
      <c r="AC68" s="264"/>
      <c r="AD68" s="306"/>
      <c r="AE68" s="306"/>
      <c r="AF68" s="306"/>
      <c r="AG68" s="306"/>
      <c r="AH68" s="306"/>
      <c r="AI68" s="306"/>
      <c r="AJ68" s="306"/>
      <c r="AK68" s="306"/>
      <c r="AL68" s="306"/>
      <c r="AP68" s="253"/>
    </row>
    <row r="69" spans="2:42" s="251" customFormat="1" ht="12" customHeight="1">
      <c r="B69" s="287">
        <v>5</v>
      </c>
      <c r="C69" s="288"/>
      <c r="D69" s="288"/>
      <c r="E69" s="285" t="str">
        <f>VLOOKUP(B69,'Filtered Data'!K:L,2,FALSE)</f>
        <v>West Sussex</v>
      </c>
      <c r="F69" s="285"/>
      <c r="G69" s="285"/>
      <c r="H69" s="285"/>
      <c r="I69" s="285"/>
      <c r="J69" s="285"/>
      <c r="K69" s="285"/>
      <c r="L69" s="285"/>
      <c r="M69" s="285"/>
      <c r="N69" s="285"/>
      <c r="O69" s="285"/>
      <c r="P69" s="285"/>
      <c r="Q69" s="285"/>
      <c r="R69" s="285"/>
      <c r="S69" s="285"/>
      <c r="T69" s="285"/>
      <c r="U69" s="289">
        <f>IF('Filtered Data'!$H$8="%.",(VLOOKUP(B69,'Filtered Data'!K:M,3,FALSE))/100,VLOOKUP(B69,'Filtered Data'!K:M,3,FALSE))</f>
        <v>84.411781583716433</v>
      </c>
      <c r="V69" s="289"/>
      <c r="W69" s="289"/>
      <c r="X69" s="289"/>
      <c r="Y69" s="264" t="str">
        <f>IF((VLOOKUP(E69,classifications!C:K,9,FALSE))="Sparse","S","")</f>
        <v/>
      </c>
      <c r="Z69" s="264"/>
      <c r="AA69" s="264"/>
      <c r="AB69" s="264"/>
      <c r="AC69" s="264"/>
      <c r="AD69" s="306"/>
      <c r="AE69" s="306"/>
      <c r="AF69" s="306"/>
      <c r="AG69" s="306"/>
      <c r="AH69" s="306"/>
      <c r="AI69" s="306"/>
      <c r="AJ69" s="306"/>
      <c r="AK69" s="306"/>
      <c r="AL69" s="306"/>
      <c r="AP69" s="253"/>
    </row>
    <row r="70" spans="2:42" s="251" customFormat="1" ht="12" customHeight="1">
      <c r="B70" s="287">
        <v>6</v>
      </c>
      <c r="C70" s="288"/>
      <c r="D70" s="288"/>
      <c r="E70" s="285" t="str">
        <f>VLOOKUP(B70,'Filtered Data'!K:L,2,FALSE)</f>
        <v>Buckinghamshire</v>
      </c>
      <c r="F70" s="285"/>
      <c r="G70" s="285"/>
      <c r="H70" s="285"/>
      <c r="I70" s="285"/>
      <c r="J70" s="285"/>
      <c r="K70" s="285"/>
      <c r="L70" s="285"/>
      <c r="M70" s="285"/>
      <c r="N70" s="285"/>
      <c r="O70" s="285"/>
      <c r="P70" s="285"/>
      <c r="Q70" s="285"/>
      <c r="R70" s="285"/>
      <c r="S70" s="285"/>
      <c r="T70" s="285"/>
      <c r="U70" s="289">
        <f>IF('Filtered Data'!$H$8="%.",(VLOOKUP(B70,'Filtered Data'!K:M,3,FALSE))/100,VLOOKUP(B70,'Filtered Data'!K:M,3,FALSE))</f>
        <v>84.320660879168372</v>
      </c>
      <c r="V70" s="289"/>
      <c r="W70" s="289"/>
      <c r="X70" s="289"/>
      <c r="Y70" s="264" t="str">
        <f>IF((VLOOKUP(E70,classifications!C:K,9,FALSE))="Sparse","S","")</f>
        <v/>
      </c>
      <c r="Z70" s="264"/>
      <c r="AA70" s="264"/>
      <c r="AB70" s="264"/>
      <c r="AC70" s="264"/>
      <c r="AD70" s="306"/>
      <c r="AE70" s="306"/>
      <c r="AF70" s="306"/>
      <c r="AG70" s="306"/>
      <c r="AH70" s="306"/>
      <c r="AI70" s="306"/>
      <c r="AJ70" s="306"/>
      <c r="AK70" s="306"/>
      <c r="AL70" s="306"/>
      <c r="AP70" s="253"/>
    </row>
    <row r="71" spans="2:42" s="251" customFormat="1" ht="12" customHeight="1">
      <c r="B71" s="287">
        <v>7</v>
      </c>
      <c r="C71" s="288"/>
      <c r="D71" s="288"/>
      <c r="E71" s="285" t="str">
        <f>VLOOKUP(B71,'Filtered Data'!K:L,2,FALSE)</f>
        <v>Gloucestershire</v>
      </c>
      <c r="F71" s="285"/>
      <c r="G71" s="285"/>
      <c r="H71" s="285"/>
      <c r="I71" s="285"/>
      <c r="J71" s="285"/>
      <c r="K71" s="285"/>
      <c r="L71" s="285"/>
      <c r="M71" s="285"/>
      <c r="N71" s="285"/>
      <c r="O71" s="285"/>
      <c r="P71" s="285"/>
      <c r="Q71" s="285"/>
      <c r="R71" s="285"/>
      <c r="S71" s="285"/>
      <c r="T71" s="285"/>
      <c r="U71" s="289">
        <f>IF('Filtered Data'!$H$8="%.",(VLOOKUP(B71,'Filtered Data'!K:M,3,FALSE))/100,VLOOKUP(B71,'Filtered Data'!K:M,3,FALSE))</f>
        <v>84.086361451106427</v>
      </c>
      <c r="V71" s="289"/>
      <c r="W71" s="289"/>
      <c r="X71" s="289"/>
      <c r="Y71" s="264" t="str">
        <f>IF((VLOOKUP(E71,classifications!C:K,9,FALSE))="Sparse","S","")</f>
        <v/>
      </c>
      <c r="Z71" s="264"/>
      <c r="AA71" s="264"/>
      <c r="AB71" s="264"/>
      <c r="AC71" s="264"/>
      <c r="AD71" s="306"/>
      <c r="AE71" s="306"/>
      <c r="AF71" s="306"/>
      <c r="AG71" s="306"/>
      <c r="AH71" s="306"/>
      <c r="AI71" s="306"/>
      <c r="AJ71" s="306"/>
      <c r="AK71" s="306"/>
      <c r="AL71" s="306"/>
      <c r="AP71" s="253"/>
    </row>
    <row r="72" spans="2:42" s="251" customFormat="1" ht="12" customHeight="1">
      <c r="B72" s="287">
        <v>8</v>
      </c>
      <c r="C72" s="288"/>
      <c r="D72" s="288"/>
      <c r="E72" s="285" t="str">
        <f>VLOOKUP(B72,'Filtered Data'!K:L,2,FALSE)</f>
        <v>North Yorkshire</v>
      </c>
      <c r="F72" s="285"/>
      <c r="G72" s="285"/>
      <c r="H72" s="285"/>
      <c r="I72" s="285"/>
      <c r="J72" s="285"/>
      <c r="K72" s="285"/>
      <c r="L72" s="285"/>
      <c r="M72" s="285"/>
      <c r="N72" s="285"/>
      <c r="O72" s="285"/>
      <c r="P72" s="285"/>
      <c r="Q72" s="285"/>
      <c r="R72" s="285"/>
      <c r="S72" s="285"/>
      <c r="T72" s="285"/>
      <c r="U72" s="289">
        <f>IF('Filtered Data'!$H$8="%.",(VLOOKUP(B72,'Filtered Data'!K:M,3,FALSE))/100,VLOOKUP(B72,'Filtered Data'!K:M,3,FALSE))</f>
        <v>83.963842489910377</v>
      </c>
      <c r="V72" s="289"/>
      <c r="W72" s="289"/>
      <c r="X72" s="289"/>
      <c r="Y72" s="264" t="str">
        <f>IF((VLOOKUP(E72,classifications!C:K,9,FALSE))="Sparse","S","")</f>
        <v>S</v>
      </c>
      <c r="Z72" s="264"/>
      <c r="AA72" s="264"/>
      <c r="AB72" s="264"/>
      <c r="AC72" s="264"/>
      <c r="AD72" s="306"/>
      <c r="AE72" s="306"/>
      <c r="AF72" s="306"/>
      <c r="AG72" s="306"/>
      <c r="AH72" s="306"/>
      <c r="AI72" s="306"/>
      <c r="AJ72" s="306"/>
      <c r="AK72" s="306"/>
      <c r="AL72" s="306"/>
      <c r="AP72" s="253"/>
    </row>
    <row r="73" spans="2:42" s="251" customFormat="1" ht="12" customHeight="1">
      <c r="B73" s="287">
        <v>9</v>
      </c>
      <c r="C73" s="288"/>
      <c r="D73" s="288"/>
      <c r="E73" s="285" t="str">
        <f>VLOOKUP(B73,'Filtered Data'!K:L,2,FALSE)</f>
        <v>Worcestershire</v>
      </c>
      <c r="F73" s="285"/>
      <c r="G73" s="285"/>
      <c r="H73" s="285"/>
      <c r="I73" s="285"/>
      <c r="J73" s="285"/>
      <c r="K73" s="285"/>
      <c r="L73" s="285"/>
      <c r="M73" s="285"/>
      <c r="N73" s="285"/>
      <c r="O73" s="285"/>
      <c r="P73" s="285"/>
      <c r="Q73" s="285"/>
      <c r="R73" s="285"/>
      <c r="S73" s="285"/>
      <c r="T73" s="285"/>
      <c r="U73" s="289">
        <f>IF('Filtered Data'!$H$8="%.",(VLOOKUP(B73,'Filtered Data'!K:M,3,FALSE))/100,VLOOKUP(B73,'Filtered Data'!K:M,3,FALSE))</f>
        <v>83.530583979642358</v>
      </c>
      <c r="V73" s="289"/>
      <c r="W73" s="289"/>
      <c r="X73" s="289"/>
      <c r="Y73" s="264" t="str">
        <f>IF((VLOOKUP(E73,classifications!C:K,9,FALSE))="Sparse","S","")</f>
        <v>S</v>
      </c>
      <c r="Z73" s="264"/>
      <c r="AA73" s="264"/>
      <c r="AB73" s="264"/>
      <c r="AC73" s="264"/>
      <c r="AD73" s="306"/>
      <c r="AE73" s="306"/>
      <c r="AF73" s="306"/>
      <c r="AG73" s="306"/>
      <c r="AH73" s="306"/>
      <c r="AI73" s="306"/>
      <c r="AJ73" s="306"/>
      <c r="AK73" s="306"/>
      <c r="AL73" s="306"/>
      <c r="AP73" s="253"/>
    </row>
    <row r="74" spans="2:42" s="251" customFormat="1" ht="12" customHeight="1">
      <c r="B74" s="287">
        <v>10</v>
      </c>
      <c r="C74" s="288"/>
      <c r="D74" s="288"/>
      <c r="E74" s="285" t="str">
        <f>VLOOKUP(B74,'Filtered Data'!K:L,2,FALSE)</f>
        <v>Cambridgeshire</v>
      </c>
      <c r="F74" s="285"/>
      <c r="G74" s="285"/>
      <c r="H74" s="285"/>
      <c r="I74" s="285"/>
      <c r="J74" s="285"/>
      <c r="K74" s="285"/>
      <c r="L74" s="285"/>
      <c r="M74" s="285"/>
      <c r="N74" s="285"/>
      <c r="O74" s="285"/>
      <c r="P74" s="285"/>
      <c r="Q74" s="285"/>
      <c r="R74" s="285"/>
      <c r="S74" s="285"/>
      <c r="T74" s="285"/>
      <c r="U74" s="289">
        <f>IF('Filtered Data'!$H$8="%.",(VLOOKUP(B74,'Filtered Data'!K:M,3,FALSE))/100,VLOOKUP(B74,'Filtered Data'!K:M,3,FALSE))</f>
        <v>83.358927119604033</v>
      </c>
      <c r="V74" s="289"/>
      <c r="W74" s="289"/>
      <c r="X74" s="289"/>
      <c r="Y74" s="264" t="str">
        <f>IF((VLOOKUP(E74,classifications!C:K,9,FALSE))="Sparse","S","")</f>
        <v/>
      </c>
      <c r="Z74" s="264"/>
      <c r="AA74" s="264"/>
      <c r="AB74" s="264"/>
      <c r="AC74" s="264"/>
      <c r="AD74" s="306"/>
      <c r="AE74" s="306"/>
      <c r="AF74" s="306"/>
      <c r="AG74" s="306"/>
      <c r="AH74" s="306"/>
      <c r="AI74" s="306"/>
      <c r="AJ74" s="306"/>
      <c r="AK74" s="306"/>
      <c r="AL74" s="306"/>
      <c r="AP74" s="253"/>
    </row>
    <row r="75" spans="2:42" s="251" customFormat="1" ht="12" customHeight="1">
      <c r="B75" s="287">
        <v>11</v>
      </c>
      <c r="C75" s="288"/>
      <c r="D75" s="288"/>
      <c r="E75" s="285" t="str">
        <f>VLOOKUP(B75,'Filtered Data'!K:L,2,FALSE)</f>
        <v>Somerset</v>
      </c>
      <c r="F75" s="285"/>
      <c r="G75" s="285"/>
      <c r="H75" s="285"/>
      <c r="I75" s="285"/>
      <c r="J75" s="285"/>
      <c r="K75" s="285"/>
      <c r="L75" s="285"/>
      <c r="M75" s="285"/>
      <c r="N75" s="285"/>
      <c r="O75" s="285"/>
      <c r="P75" s="285"/>
      <c r="Q75" s="285"/>
      <c r="R75" s="285"/>
      <c r="S75" s="285"/>
      <c r="T75" s="285"/>
      <c r="U75" s="289">
        <f>IF('Filtered Data'!$H$8="%.",(VLOOKUP(B75,'Filtered Data'!K:M,3,FALSE))/100,VLOOKUP(B75,'Filtered Data'!K:M,3,FALSE))</f>
        <v>83.236095220846323</v>
      </c>
      <c r="V75" s="289"/>
      <c r="W75" s="289"/>
      <c r="X75" s="289"/>
      <c r="Y75" s="264" t="str">
        <f>IF((VLOOKUP(E75,classifications!C:K,9,FALSE))="Sparse","S","")</f>
        <v/>
      </c>
      <c r="Z75" s="264"/>
      <c r="AA75" s="264"/>
      <c r="AB75" s="264"/>
      <c r="AC75" s="264"/>
      <c r="AD75" s="306"/>
      <c r="AE75" s="306"/>
      <c r="AF75" s="306"/>
      <c r="AG75" s="306"/>
      <c r="AH75" s="306"/>
      <c r="AI75" s="306"/>
      <c r="AJ75" s="306"/>
      <c r="AK75" s="306"/>
      <c r="AL75" s="306"/>
      <c r="AP75" s="253"/>
    </row>
    <row r="76" spans="2:42" s="251" customFormat="1" ht="12" customHeight="1">
      <c r="B76" s="287">
        <v>12</v>
      </c>
      <c r="C76" s="288"/>
      <c r="D76" s="288"/>
      <c r="E76" s="285" t="str">
        <f>VLOOKUP(B76,'Filtered Data'!K:L,2,FALSE)</f>
        <v>Hampshire</v>
      </c>
      <c r="F76" s="285"/>
      <c r="G76" s="285"/>
      <c r="H76" s="285"/>
      <c r="I76" s="285"/>
      <c r="J76" s="285"/>
      <c r="K76" s="285"/>
      <c r="L76" s="285"/>
      <c r="M76" s="285"/>
      <c r="N76" s="285"/>
      <c r="O76" s="285"/>
      <c r="P76" s="285"/>
      <c r="Q76" s="285"/>
      <c r="R76" s="285"/>
      <c r="S76" s="285"/>
      <c r="T76" s="285"/>
      <c r="U76" s="289">
        <f>IF('Filtered Data'!$H$8="%.",(VLOOKUP(B76,'Filtered Data'!K:M,3,FALSE))/100,VLOOKUP(B76,'Filtered Data'!K:M,3,FALSE))</f>
        <v>83.09730584074228</v>
      </c>
      <c r="V76" s="289"/>
      <c r="W76" s="289"/>
      <c r="X76" s="289"/>
      <c r="Y76" s="264" t="str">
        <f>IF((VLOOKUP(E76,classifications!C:K,9,FALSE))="Sparse","S","")</f>
        <v>S</v>
      </c>
      <c r="Z76" s="264"/>
      <c r="AA76" s="264"/>
      <c r="AB76" s="264"/>
      <c r="AC76" s="264"/>
      <c r="AD76" s="306"/>
      <c r="AE76" s="306"/>
      <c r="AF76" s="306"/>
      <c r="AG76" s="306"/>
      <c r="AH76" s="306"/>
      <c r="AI76" s="306"/>
      <c r="AJ76" s="306"/>
      <c r="AK76" s="306"/>
      <c r="AL76" s="306"/>
      <c r="AP76" s="253"/>
    </row>
    <row r="77" spans="2:42" s="251" customFormat="1" ht="12" customHeight="1">
      <c r="B77" s="287">
        <v>13</v>
      </c>
      <c r="C77" s="288"/>
      <c r="D77" s="288"/>
      <c r="E77" s="285" t="str">
        <f>VLOOKUP(B77,'Filtered Data'!K:L,2,FALSE)</f>
        <v>Cumbria</v>
      </c>
      <c r="F77" s="285"/>
      <c r="G77" s="285"/>
      <c r="H77" s="285"/>
      <c r="I77" s="285"/>
      <c r="J77" s="285"/>
      <c r="K77" s="285"/>
      <c r="L77" s="285"/>
      <c r="M77" s="285"/>
      <c r="N77" s="285"/>
      <c r="O77" s="285"/>
      <c r="P77" s="285"/>
      <c r="Q77" s="285"/>
      <c r="R77" s="285"/>
      <c r="S77" s="285"/>
      <c r="T77" s="285"/>
      <c r="U77" s="289">
        <f>IF('Filtered Data'!$H$8="%.",(VLOOKUP(B77,'Filtered Data'!K:M,3,FALSE))/100,VLOOKUP(B77,'Filtered Data'!K:M,3,FALSE))</f>
        <v>83.002586119216289</v>
      </c>
      <c r="V77" s="289"/>
      <c r="W77" s="289"/>
      <c r="X77" s="289"/>
      <c r="Y77" s="264" t="str">
        <f>IF((VLOOKUP(E77,classifications!C:K,9,FALSE))="Sparse","S","")</f>
        <v>S</v>
      </c>
      <c r="Z77" s="264"/>
      <c r="AA77" s="264"/>
      <c r="AB77" s="264"/>
      <c r="AC77" s="264"/>
      <c r="AD77" s="306"/>
      <c r="AE77" s="306"/>
      <c r="AF77" s="306"/>
      <c r="AG77" s="306"/>
      <c r="AH77" s="306"/>
      <c r="AI77" s="306"/>
      <c r="AJ77" s="306"/>
      <c r="AK77" s="306"/>
      <c r="AL77" s="306"/>
      <c r="AP77" s="253"/>
    </row>
    <row r="78" spans="2:42" s="251" customFormat="1" ht="12" customHeight="1">
      <c r="B78" s="287">
        <v>14</v>
      </c>
      <c r="C78" s="288"/>
      <c r="D78" s="288"/>
      <c r="E78" s="285" t="str">
        <f>VLOOKUP(B78,'Filtered Data'!K:L,2,FALSE)</f>
        <v>East Sussex</v>
      </c>
      <c r="F78" s="285"/>
      <c r="G78" s="285"/>
      <c r="H78" s="285"/>
      <c r="I78" s="285"/>
      <c r="J78" s="285"/>
      <c r="K78" s="285"/>
      <c r="L78" s="285"/>
      <c r="M78" s="285"/>
      <c r="N78" s="285"/>
      <c r="O78" s="285"/>
      <c r="P78" s="285"/>
      <c r="Q78" s="285"/>
      <c r="R78" s="285"/>
      <c r="S78" s="285"/>
      <c r="T78" s="285"/>
      <c r="U78" s="289">
        <f>IF('Filtered Data'!$H$8="%.",(VLOOKUP(B78,'Filtered Data'!K:M,3,FALSE))/100,VLOOKUP(B78,'Filtered Data'!K:M,3,FALSE))</f>
        <v>82.994301123979568</v>
      </c>
      <c r="V78" s="289"/>
      <c r="W78" s="289"/>
      <c r="X78" s="289"/>
      <c r="Y78" s="264" t="str">
        <f>IF((VLOOKUP(E78,classifications!C:K,9,FALSE))="Sparse","S","")</f>
        <v>S</v>
      </c>
      <c r="Z78" s="264"/>
      <c r="AA78" s="264"/>
      <c r="AB78" s="264"/>
      <c r="AC78" s="264"/>
      <c r="AD78" s="306"/>
      <c r="AE78" s="306"/>
      <c r="AF78" s="306"/>
      <c r="AG78" s="306"/>
      <c r="AH78" s="306"/>
      <c r="AI78" s="306"/>
      <c r="AJ78" s="306"/>
      <c r="AK78" s="306"/>
      <c r="AL78" s="306"/>
      <c r="AP78" s="253"/>
    </row>
    <row r="79" spans="2:42" s="251" customFormat="1" ht="12" customHeight="1">
      <c r="B79" s="287">
        <v>15</v>
      </c>
      <c r="C79" s="288"/>
      <c r="D79" s="288"/>
      <c r="E79" s="285" t="str">
        <f>VLOOKUP(B79,'Filtered Data'!K:L,2,FALSE)</f>
        <v>Essex</v>
      </c>
      <c r="F79" s="285"/>
      <c r="G79" s="285"/>
      <c r="H79" s="285"/>
      <c r="I79" s="285"/>
      <c r="J79" s="285"/>
      <c r="K79" s="285"/>
      <c r="L79" s="285"/>
      <c r="M79" s="285"/>
      <c r="N79" s="285"/>
      <c r="O79" s="285"/>
      <c r="P79" s="285"/>
      <c r="Q79" s="285"/>
      <c r="R79" s="285"/>
      <c r="S79" s="285"/>
      <c r="T79" s="285"/>
      <c r="U79" s="289">
        <f>IF('Filtered Data'!$H$8="%.",(VLOOKUP(B79,'Filtered Data'!K:M,3,FALSE))/100,VLOOKUP(B79,'Filtered Data'!K:M,3,FALSE))</f>
        <v>82.703378459238934</v>
      </c>
      <c r="V79" s="289"/>
      <c r="W79" s="289"/>
      <c r="X79" s="289"/>
      <c r="Y79" s="264" t="str">
        <f>IF((VLOOKUP(E79,classifications!C:K,9,FALSE))="Sparse","S","")</f>
        <v>S</v>
      </c>
      <c r="Z79" s="264"/>
      <c r="AA79" s="264"/>
      <c r="AB79" s="264"/>
      <c r="AC79" s="264"/>
      <c r="AD79" s="306"/>
      <c r="AE79" s="306"/>
      <c r="AF79" s="306"/>
      <c r="AG79" s="306"/>
      <c r="AH79" s="306"/>
      <c r="AI79" s="306"/>
      <c r="AJ79" s="306"/>
      <c r="AK79" s="306"/>
      <c r="AL79" s="306"/>
      <c r="AP79" s="253"/>
    </row>
    <row r="80" spans="2:42" s="251" customFormat="1" ht="12" customHeight="1">
      <c r="B80" s="287">
        <v>16</v>
      </c>
      <c r="C80" s="288"/>
      <c r="D80" s="288"/>
      <c r="E80" s="285" t="str">
        <f>VLOOKUP(B80,'Filtered Data'!K:L,2,FALSE)</f>
        <v>Leicestershire</v>
      </c>
      <c r="F80" s="285"/>
      <c r="G80" s="285"/>
      <c r="H80" s="285"/>
      <c r="I80" s="285"/>
      <c r="J80" s="285"/>
      <c r="K80" s="285"/>
      <c r="L80" s="285"/>
      <c r="M80" s="285"/>
      <c r="N80" s="285"/>
      <c r="O80" s="285"/>
      <c r="P80" s="285"/>
      <c r="Q80" s="285"/>
      <c r="R80" s="285"/>
      <c r="S80" s="285"/>
      <c r="T80" s="285"/>
      <c r="U80" s="289">
        <f>IF('Filtered Data'!$H$8="%.",(VLOOKUP(B80,'Filtered Data'!K:M,3,FALSE))/100,VLOOKUP(B80,'Filtered Data'!K:M,3,FALSE))</f>
        <v>82.463591325799086</v>
      </c>
      <c r="V80" s="289"/>
      <c r="W80" s="289"/>
      <c r="X80" s="289"/>
      <c r="Y80" s="264" t="str">
        <f>IF((VLOOKUP(E80,classifications!C:K,9,FALSE))="Sparse","S","")</f>
        <v>S</v>
      </c>
      <c r="Z80" s="264"/>
      <c r="AA80" s="264"/>
      <c r="AB80" s="264"/>
      <c r="AC80" s="264"/>
      <c r="AD80" s="306"/>
      <c r="AE80" s="306"/>
      <c r="AF80" s="306"/>
      <c r="AG80" s="306"/>
      <c r="AH80" s="306"/>
      <c r="AI80" s="306"/>
      <c r="AJ80" s="306"/>
      <c r="AK80" s="306"/>
      <c r="AL80" s="306"/>
      <c r="AP80" s="253"/>
    </row>
    <row r="81" spans="2:48" s="251" customFormat="1" ht="12" customHeight="1">
      <c r="B81" s="287">
        <v>17</v>
      </c>
      <c r="C81" s="288"/>
      <c r="D81" s="288"/>
      <c r="E81" s="285" t="str">
        <f>VLOOKUP(B81,'Filtered Data'!K:L,2,FALSE)</f>
        <v>Suffolk</v>
      </c>
      <c r="F81" s="285"/>
      <c r="G81" s="285"/>
      <c r="H81" s="285"/>
      <c r="I81" s="285"/>
      <c r="J81" s="285"/>
      <c r="K81" s="285"/>
      <c r="L81" s="285"/>
      <c r="M81" s="285"/>
      <c r="N81" s="285"/>
      <c r="O81" s="285"/>
      <c r="P81" s="285"/>
      <c r="Q81" s="285"/>
      <c r="R81" s="285"/>
      <c r="S81" s="285"/>
      <c r="T81" s="285"/>
      <c r="U81" s="289">
        <f>IF('Filtered Data'!$H$8="%.",(VLOOKUP(B81,'Filtered Data'!K:M,3,FALSE))/100,VLOOKUP(B81,'Filtered Data'!K:M,3,FALSE))</f>
        <v>82.364696744200316</v>
      </c>
      <c r="V81" s="289"/>
      <c r="W81" s="289"/>
      <c r="X81" s="289"/>
      <c r="Y81" s="264" t="str">
        <f>IF((VLOOKUP(E81,classifications!C:K,9,FALSE))="Sparse","S","")</f>
        <v>S</v>
      </c>
      <c r="Z81" s="264"/>
      <c r="AA81" s="264"/>
      <c r="AB81" s="264"/>
      <c r="AC81" s="264"/>
      <c r="AD81" s="306"/>
      <c r="AE81" s="306"/>
      <c r="AF81" s="306"/>
      <c r="AG81" s="306"/>
      <c r="AH81" s="306"/>
      <c r="AI81" s="306"/>
      <c r="AJ81" s="306"/>
      <c r="AK81" s="306"/>
      <c r="AL81" s="306"/>
      <c r="AP81" s="253"/>
    </row>
    <row r="82" spans="2:48" s="251" customFormat="1" ht="12" customHeight="1">
      <c r="B82" s="287">
        <v>18</v>
      </c>
      <c r="C82" s="288"/>
      <c r="D82" s="288"/>
      <c r="E82" s="285" t="str">
        <f>VLOOKUP(B82,'Filtered Data'!K:L,2,FALSE)</f>
        <v>Kent</v>
      </c>
      <c r="F82" s="285"/>
      <c r="G82" s="285"/>
      <c r="H82" s="285"/>
      <c r="I82" s="285"/>
      <c r="J82" s="285"/>
      <c r="K82" s="285"/>
      <c r="L82" s="285"/>
      <c r="M82" s="285"/>
      <c r="N82" s="285"/>
      <c r="O82" s="285"/>
      <c r="P82" s="285"/>
      <c r="Q82" s="285"/>
      <c r="R82" s="285"/>
      <c r="S82" s="285"/>
      <c r="T82" s="285"/>
      <c r="U82" s="289">
        <f>IF('Filtered Data'!$H$8="%.",(VLOOKUP(B82,'Filtered Data'!K:M,3,FALSE))/100,VLOOKUP(B82,'Filtered Data'!K:M,3,FALSE))</f>
        <v>81.97475543901848</v>
      </c>
      <c r="V82" s="289"/>
      <c r="W82" s="289"/>
      <c r="X82" s="289"/>
      <c r="Y82" s="264" t="str">
        <f>IF((VLOOKUP(E82,classifications!C:K,9,FALSE))="Sparse","S","")</f>
        <v/>
      </c>
      <c r="Z82" s="264"/>
      <c r="AA82" s="264"/>
      <c r="AB82" s="264"/>
      <c r="AC82" s="264"/>
      <c r="AD82" s="306"/>
      <c r="AE82" s="306"/>
      <c r="AF82" s="306"/>
      <c r="AG82" s="306"/>
      <c r="AH82" s="306"/>
      <c r="AI82" s="306"/>
      <c r="AJ82" s="306"/>
      <c r="AK82" s="306"/>
      <c r="AL82" s="306"/>
      <c r="AP82" s="253"/>
    </row>
    <row r="83" spans="2:48" s="251" customFormat="1" ht="12" customHeight="1">
      <c r="B83" s="287">
        <v>19</v>
      </c>
      <c r="C83" s="288"/>
      <c r="D83" s="288"/>
      <c r="E83" s="285" t="str">
        <f>VLOOKUP(B83,'Filtered Data'!K:L,2,FALSE)</f>
        <v>Norfolk</v>
      </c>
      <c r="F83" s="285"/>
      <c r="G83" s="285"/>
      <c r="H83" s="285"/>
      <c r="I83" s="285"/>
      <c r="J83" s="285"/>
      <c r="K83" s="285"/>
      <c r="L83" s="285"/>
      <c r="M83" s="285"/>
      <c r="N83" s="285"/>
      <c r="O83" s="285"/>
      <c r="P83" s="285"/>
      <c r="Q83" s="285"/>
      <c r="R83" s="285"/>
      <c r="S83" s="285"/>
      <c r="T83" s="285"/>
      <c r="U83" s="289">
        <f>IF('Filtered Data'!$H$8="%.",(VLOOKUP(B83,'Filtered Data'!K:M,3,FALSE))/100,VLOOKUP(B83,'Filtered Data'!K:M,3,FALSE))</f>
        <v>81.75538355622308</v>
      </c>
      <c r="V83" s="289"/>
      <c r="W83" s="289"/>
      <c r="X83" s="289"/>
      <c r="Y83" s="264" t="str">
        <f>IF((VLOOKUP(E83,classifications!C:K,9,FALSE))="Sparse","S","")</f>
        <v>S</v>
      </c>
      <c r="Z83" s="264"/>
      <c r="AA83" s="264"/>
      <c r="AB83" s="264"/>
      <c r="AC83" s="264"/>
      <c r="AD83" s="306"/>
      <c r="AE83" s="306"/>
      <c r="AF83" s="306"/>
      <c r="AG83" s="306"/>
      <c r="AH83" s="306"/>
      <c r="AI83" s="306"/>
      <c r="AJ83" s="306"/>
      <c r="AK83" s="306"/>
      <c r="AL83" s="306"/>
      <c r="AP83" s="253"/>
    </row>
    <row r="84" spans="2:48" s="251" customFormat="1" ht="12" customHeight="1">
      <c r="B84" s="287">
        <v>20</v>
      </c>
      <c r="C84" s="287"/>
      <c r="D84" s="287"/>
      <c r="E84" s="285" t="str">
        <f>VLOOKUP(B84,'Filtered Data'!K:L,2,FALSE)</f>
        <v>Derbyshire</v>
      </c>
      <c r="F84" s="285"/>
      <c r="G84" s="285"/>
      <c r="H84" s="285"/>
      <c r="I84" s="285"/>
      <c r="J84" s="285"/>
      <c r="K84" s="285"/>
      <c r="L84" s="285"/>
      <c r="M84" s="285"/>
      <c r="N84" s="285"/>
      <c r="O84" s="285"/>
      <c r="P84" s="285"/>
      <c r="Q84" s="285"/>
      <c r="R84" s="285"/>
      <c r="S84" s="285"/>
      <c r="T84" s="285"/>
      <c r="U84" s="289">
        <f>IF('Filtered Data'!$H$8="%.",(VLOOKUP(B84,'Filtered Data'!K:M,3,FALSE))/100,VLOOKUP(B84,'Filtered Data'!K:M,3,FALSE))</f>
        <v>81.217592590947703</v>
      </c>
      <c r="V84" s="289"/>
      <c r="W84" s="289"/>
      <c r="X84" s="289"/>
      <c r="Y84" s="264" t="str">
        <f>IF((VLOOKUP(E84,classifications!C:K,9,FALSE))="Sparse","S","")</f>
        <v>S</v>
      </c>
      <c r="Z84" s="264"/>
      <c r="AA84" s="264"/>
      <c r="AB84" s="264"/>
      <c r="AC84" s="264"/>
      <c r="AD84" s="306"/>
      <c r="AE84" s="306"/>
      <c r="AF84" s="306"/>
      <c r="AG84" s="306"/>
      <c r="AH84" s="306"/>
      <c r="AI84" s="306"/>
      <c r="AJ84" s="306"/>
      <c r="AK84" s="306"/>
      <c r="AL84" s="306"/>
      <c r="AP84" s="253"/>
    </row>
    <row r="85" spans="2:48" s="251" customFormat="1" ht="12" customHeight="1">
      <c r="B85" s="290" t="str">
        <f>IF(Q37&lt;=MAX(B65:D84),"",Q37)</f>
        <v/>
      </c>
      <c r="C85" s="290"/>
      <c r="D85" s="290"/>
      <c r="E85" s="285" t="str">
        <f>IF(B85="","",VLOOKUP(B85,'Filtered Data'!K:L,2,FALSE))</f>
        <v/>
      </c>
      <c r="F85" s="285"/>
      <c r="G85" s="285"/>
      <c r="H85" s="285"/>
      <c r="I85" s="285"/>
      <c r="J85" s="285"/>
      <c r="K85" s="285"/>
      <c r="L85" s="285"/>
      <c r="M85" s="285"/>
      <c r="N85" s="285"/>
      <c r="O85" s="285"/>
      <c r="P85" s="285"/>
      <c r="Q85" s="285"/>
      <c r="R85" s="285"/>
      <c r="S85" s="285"/>
      <c r="T85" s="285"/>
      <c r="U85" s="300" t="str">
        <f>IF(B85="","",L35)</f>
        <v/>
      </c>
      <c r="V85" s="300"/>
      <c r="W85" s="300"/>
      <c r="X85" s="300"/>
      <c r="Y85" s="264" t="str">
        <f>IF(B85="","",IF((VLOOKUP(E85,classifications!C:K,9,FALSE))="Sparse","S",""))</f>
        <v/>
      </c>
      <c r="Z85" s="264"/>
      <c r="AA85" s="264"/>
      <c r="AB85" s="264"/>
      <c r="AC85" s="264"/>
      <c r="AD85" s="286"/>
      <c r="AE85" s="286"/>
      <c r="AF85" s="286"/>
      <c r="AG85" s="286"/>
      <c r="AH85" s="286"/>
      <c r="AI85" s="286"/>
      <c r="AJ85" s="286"/>
      <c r="AK85" s="286"/>
      <c r="AL85" s="286"/>
      <c r="AP85" s="253"/>
    </row>
    <row r="86" spans="2:48" s="251" customFormat="1" ht="12" customHeight="1">
      <c r="B86" s="265"/>
      <c r="C86" s="265"/>
      <c r="D86" s="265"/>
      <c r="E86" s="252"/>
      <c r="F86" s="252"/>
      <c r="G86" s="252"/>
      <c r="H86" s="252"/>
      <c r="I86" s="252"/>
      <c r="J86" s="252"/>
      <c r="K86" s="252"/>
      <c r="L86" s="252"/>
      <c r="M86" s="252"/>
      <c r="N86" s="252"/>
      <c r="O86" s="252"/>
      <c r="P86" s="252"/>
      <c r="Q86" s="252"/>
      <c r="R86" s="252"/>
      <c r="S86" s="252"/>
      <c r="T86" s="252"/>
      <c r="U86" s="266"/>
      <c r="V86" s="266"/>
      <c r="W86" s="266"/>
      <c r="X86" s="266"/>
      <c r="AP86" s="253"/>
    </row>
    <row r="87" spans="2:48" s="251" customFormat="1" ht="12" customHeight="1">
      <c r="AP87" s="253"/>
    </row>
    <row r="88" spans="2:48" s="251" customFormat="1" ht="12" customHeight="1">
      <c r="B88" s="261" t="str">
        <f>IF('Filtered Data'!D1="MD","",IF('Filtered Data'!D1="SC","",IF('Filtered Data'!D1="UA","Regional Authorites:","County Authorities:")))</f>
        <v/>
      </c>
      <c r="L88" s="261" t="str">
        <f>IF('Filtered Data'!D1="SC",J9,J10)</f>
        <v>North West</v>
      </c>
      <c r="U88" s="261"/>
      <c r="AD88" s="261"/>
      <c r="AP88" s="253"/>
    </row>
    <row r="89" spans="2:48" s="251" customFormat="1" ht="12" customHeight="1">
      <c r="B89" s="261"/>
      <c r="AP89" s="253"/>
    </row>
    <row r="90" spans="2:48" s="251" customFormat="1" ht="12" customHeight="1">
      <c r="B90" s="286" t="str">
        <f>IF('Filtered Data'!D1="MD","","Rank")</f>
        <v>Rank</v>
      </c>
      <c r="C90" s="286"/>
      <c r="D90" s="286"/>
      <c r="E90" s="294" t="str">
        <f>IF('Filtered Data'!D1="MD","","Authority")</f>
        <v>Authority</v>
      </c>
      <c r="F90" s="294"/>
      <c r="G90" s="294"/>
      <c r="H90" s="294"/>
      <c r="I90" s="294"/>
      <c r="J90" s="294"/>
      <c r="K90" s="294"/>
      <c r="L90" s="294"/>
      <c r="M90" s="294"/>
      <c r="N90" s="294"/>
      <c r="O90" s="271"/>
      <c r="P90" s="271"/>
      <c r="Q90" s="271"/>
      <c r="R90" s="271"/>
      <c r="S90" s="271"/>
      <c r="T90" s="271"/>
      <c r="U90" s="286" t="str">
        <f>IF('Filtered Data'!D1="MD","","Value")</f>
        <v>Value</v>
      </c>
      <c r="V90" s="286"/>
      <c r="W90" s="286"/>
      <c r="X90" s="286"/>
      <c r="AA90" s="286"/>
      <c r="AB90" s="286"/>
      <c r="AC90" s="286"/>
      <c r="AD90" s="294"/>
      <c r="AE90" s="294"/>
      <c r="AF90" s="294"/>
      <c r="AG90" s="294"/>
      <c r="AH90" s="294"/>
      <c r="AI90" s="294"/>
      <c r="AJ90" s="294"/>
      <c r="AK90" s="294"/>
      <c r="AL90" s="294"/>
      <c r="AM90" s="294"/>
      <c r="AN90" s="286"/>
      <c r="AO90" s="286"/>
      <c r="AP90" s="286"/>
      <c r="AV90" s="253"/>
    </row>
    <row r="91" spans="2:48" s="251" customFormat="1" ht="12" customHeight="1">
      <c r="B91" s="287">
        <f>IF('Filtered Data'!$D$1="MD","",IF('Filtered Data'!$D$1="SC",'Filtered Data'!AS11,'Filtered Data'!AL11))</f>
        <v>1</v>
      </c>
      <c r="C91" s="288"/>
      <c r="D91" s="288"/>
      <c r="E91" s="285" t="str">
        <f>IF(B91="","",IF('Filtered Data'!$D$1="SC",VLOOKUP(B91,'Filtered Data'!AS:AU,2,FALSE),VLOOKUP(B91,'Filtered Data'!AL:AN,2,FALSE)))</f>
        <v>Cumbria</v>
      </c>
      <c r="F91" s="285"/>
      <c r="G91" s="285"/>
      <c r="H91" s="285"/>
      <c r="I91" s="285"/>
      <c r="J91" s="285"/>
      <c r="K91" s="285"/>
      <c r="L91" s="285"/>
      <c r="M91" s="285"/>
      <c r="N91" s="285"/>
      <c r="O91" s="285"/>
      <c r="P91" s="285"/>
      <c r="Q91" s="285"/>
      <c r="R91" s="285"/>
      <c r="S91" s="285"/>
      <c r="T91" s="285"/>
      <c r="U91" s="289">
        <f>IF(B91="","",IF('Filtered Data'!$D$1&amp;'Filtered Data'!$H$8="SC%.",(VLOOKUP(B91,'Filtered Data'!AS:AU,3,FALSE))/100,IF('Filtered Data'!$D$1&amp;'Filtered Data'!$H$8="SC%%",(VLOOKUP(B91,'Filtered Data'!AS:AU,3,FALSE)),IF('Filtered Data'!$D$1&amp;'Filtered Data'!$H$8="SC..",(VLOOKUP(B91,'Filtered Data'!AS:AU,3,FALSE)),IF('Filtered Data'!$H$8="%.",VLOOKUP(B91,'Filtered Data'!AL:AN,3,FALSE)/100,VLOOKUP(B91,'Filtered Data'!AL:AN,3,FALSE))))))</f>
        <v>83.002586119216289</v>
      </c>
      <c r="V91" s="289"/>
      <c r="W91" s="289"/>
      <c r="X91" s="289"/>
      <c r="Y91" s="267" t="str">
        <f>IF(E91="","",IF((VLOOKUP(E91,classifications!C:K,9,FALSE))="Sparse","S",""))</f>
        <v>S</v>
      </c>
      <c r="AA91" s="301"/>
      <c r="AB91" s="288"/>
      <c r="AC91" s="288"/>
      <c r="AD91" s="285"/>
      <c r="AE91" s="285"/>
      <c r="AF91" s="285"/>
      <c r="AG91" s="285"/>
      <c r="AH91" s="285"/>
      <c r="AI91" s="285"/>
      <c r="AJ91" s="285"/>
      <c r="AK91" s="285"/>
      <c r="AL91" s="285"/>
      <c r="AM91" s="285"/>
      <c r="AN91" s="302"/>
      <c r="AO91" s="302"/>
      <c r="AP91" s="302"/>
      <c r="AQ91" s="302"/>
      <c r="AR91" s="267"/>
      <c r="AV91" s="253"/>
    </row>
    <row r="92" spans="2:48" s="251" customFormat="1" ht="12" customHeight="1">
      <c r="B92" s="287">
        <f>IF('Filtered Data'!$D$1="MD","",IF('Filtered Data'!$D$1="SC",'Filtered Data'!AS12,'Filtered Data'!AL12))</f>
        <v>2</v>
      </c>
      <c r="C92" s="288"/>
      <c r="D92" s="288"/>
      <c r="E92" s="285" t="str">
        <f>IF(B92="","",IF('Filtered Data'!$D$1="SC",VLOOKUP(B92,'Filtered Data'!AS:AU,2,FALSE),VLOOKUP(B92,'Filtered Data'!AL:AN,2,FALSE)))</f>
        <v>Lancashire</v>
      </c>
      <c r="F92" s="285"/>
      <c r="G92" s="285"/>
      <c r="H92" s="285"/>
      <c r="I92" s="285"/>
      <c r="J92" s="285"/>
      <c r="K92" s="285"/>
      <c r="L92" s="285"/>
      <c r="M92" s="285"/>
      <c r="N92" s="285"/>
      <c r="O92" s="285"/>
      <c r="P92" s="285"/>
      <c r="Q92" s="285"/>
      <c r="R92" s="285"/>
      <c r="S92" s="285"/>
      <c r="T92" s="285"/>
      <c r="U92" s="289">
        <f>IF(B92="","",IF('Filtered Data'!$D$1&amp;'Filtered Data'!$H$8="SC%.",(VLOOKUP(B92,'Filtered Data'!AS:AU,3,FALSE))/100,IF('Filtered Data'!$D$1&amp;'Filtered Data'!$H$8="SC%%",(VLOOKUP(B92,'Filtered Data'!AS:AU,3,FALSE)),IF('Filtered Data'!$D$1&amp;'Filtered Data'!$H$8="SC..",(VLOOKUP(B92,'Filtered Data'!AS:AU,3,FALSE)),IF('Filtered Data'!$H$8="%.",VLOOKUP(B92,'Filtered Data'!AL:AN,3,FALSE)/100,VLOOKUP(B92,'Filtered Data'!AL:AN,3,FALSE))))))</f>
        <v>80.040045724221116</v>
      </c>
      <c r="V92" s="289"/>
      <c r="W92" s="289"/>
      <c r="X92" s="289"/>
      <c r="Y92" s="267" t="str">
        <f>IF(E92="","",IF((VLOOKUP(E92,classifications!C:K,9,FALSE))="Sparse","S",""))</f>
        <v>S</v>
      </c>
      <c r="AA92" s="301"/>
      <c r="AB92" s="288"/>
      <c r="AC92" s="288"/>
      <c r="AD92" s="285"/>
      <c r="AE92" s="285"/>
      <c r="AF92" s="285"/>
      <c r="AG92" s="285"/>
      <c r="AH92" s="285"/>
      <c r="AI92" s="285"/>
      <c r="AJ92" s="285"/>
      <c r="AK92" s="285"/>
      <c r="AL92" s="285"/>
      <c r="AM92" s="285"/>
      <c r="AN92" s="302"/>
      <c r="AO92" s="302"/>
      <c r="AP92" s="302"/>
      <c r="AQ92" s="302"/>
      <c r="AR92" s="267"/>
      <c r="AV92" s="253"/>
    </row>
    <row r="93" spans="2:48" s="251" customFormat="1" ht="12" customHeight="1">
      <c r="B93" s="287" t="str">
        <f>IF('Filtered Data'!$D$1="MD","",IF('Filtered Data'!$D$1="SC",'Filtered Data'!AS13,'Filtered Data'!AL13))</f>
        <v/>
      </c>
      <c r="C93" s="288"/>
      <c r="D93" s="288"/>
      <c r="E93" s="285" t="str">
        <f>IF(B93="","",IF('Filtered Data'!$D$1="SC",VLOOKUP(B93,'Filtered Data'!AS:AU,2,FALSE),VLOOKUP(B93,'Filtered Data'!AL:AN,2,FALSE)))</f>
        <v/>
      </c>
      <c r="F93" s="285"/>
      <c r="G93" s="285"/>
      <c r="H93" s="285"/>
      <c r="I93" s="285"/>
      <c r="J93" s="285"/>
      <c r="K93" s="285"/>
      <c r="L93" s="285"/>
      <c r="M93" s="285"/>
      <c r="N93" s="285"/>
      <c r="O93" s="285"/>
      <c r="P93" s="285"/>
      <c r="Q93" s="285"/>
      <c r="R93" s="285"/>
      <c r="S93" s="285"/>
      <c r="T93" s="285"/>
      <c r="U93" s="289" t="str">
        <f>IF(B93="","",IF('Filtered Data'!$D$1&amp;'Filtered Data'!$H$8="SC%.",(VLOOKUP(B93,'Filtered Data'!AS:AU,3,FALSE))/100,IF('Filtered Data'!$D$1&amp;'Filtered Data'!$H$8="SC%%",(VLOOKUP(B93,'Filtered Data'!AS:AU,3,FALSE)),IF('Filtered Data'!$D$1&amp;'Filtered Data'!$H$8="SC..",(VLOOKUP(B93,'Filtered Data'!AS:AU,3,FALSE)),IF('Filtered Data'!$H$8="%.",VLOOKUP(B93,'Filtered Data'!AL:AN,3,FALSE)/100,VLOOKUP(B93,'Filtered Data'!AL:AN,3,FALSE))))))</f>
        <v/>
      </c>
      <c r="V93" s="289"/>
      <c r="W93" s="289"/>
      <c r="X93" s="289"/>
      <c r="Y93" s="267" t="str">
        <f>IF(E93="","",IF((VLOOKUP(E93,classifications!C:K,9,FALSE))="Sparse","S",""))</f>
        <v/>
      </c>
      <c r="AA93" s="301"/>
      <c r="AB93" s="288"/>
      <c r="AC93" s="288"/>
      <c r="AD93" s="285"/>
      <c r="AE93" s="285"/>
      <c r="AF93" s="285"/>
      <c r="AG93" s="285"/>
      <c r="AH93" s="285"/>
      <c r="AI93" s="285"/>
      <c r="AJ93" s="285"/>
      <c r="AK93" s="285"/>
      <c r="AL93" s="285"/>
      <c r="AM93" s="285"/>
      <c r="AN93" s="302"/>
      <c r="AO93" s="302"/>
      <c r="AP93" s="302"/>
      <c r="AQ93" s="302"/>
      <c r="AR93" s="267"/>
      <c r="AV93" s="253"/>
    </row>
    <row r="94" spans="2:48" s="251" customFormat="1" ht="12" customHeight="1">
      <c r="B94" s="287" t="str">
        <f>IF('Filtered Data'!$D$1="MD","",IF('Filtered Data'!$D$1="SC",'Filtered Data'!AS14,'Filtered Data'!AL14))</f>
        <v/>
      </c>
      <c r="C94" s="288"/>
      <c r="D94" s="288"/>
      <c r="E94" s="285" t="str">
        <f>IF(B94="","",IF('Filtered Data'!$D$1="SC",VLOOKUP(B94,'Filtered Data'!AS:AU,2,FALSE),VLOOKUP(B94,'Filtered Data'!AL:AN,2,FALSE)))</f>
        <v/>
      </c>
      <c r="F94" s="285"/>
      <c r="G94" s="285"/>
      <c r="H94" s="285"/>
      <c r="I94" s="285"/>
      <c r="J94" s="285"/>
      <c r="K94" s="285"/>
      <c r="L94" s="285"/>
      <c r="M94" s="285"/>
      <c r="N94" s="285"/>
      <c r="O94" s="285"/>
      <c r="P94" s="285"/>
      <c r="Q94" s="285"/>
      <c r="R94" s="285"/>
      <c r="S94" s="285"/>
      <c r="T94" s="285"/>
      <c r="U94" s="289" t="str">
        <f>IF(B94="","",IF('Filtered Data'!$D$1&amp;'Filtered Data'!$H$8="SC%.",(VLOOKUP(B94,'Filtered Data'!AS:AU,3,FALSE))/100,IF('Filtered Data'!$D$1&amp;'Filtered Data'!$H$8="SC%%",(VLOOKUP(B94,'Filtered Data'!AS:AU,3,FALSE)),IF('Filtered Data'!$D$1&amp;'Filtered Data'!$H$8="SC..",(VLOOKUP(B94,'Filtered Data'!AS:AU,3,FALSE)),IF('Filtered Data'!$H$8="%.",VLOOKUP(B94,'Filtered Data'!AL:AN,3,FALSE)/100,VLOOKUP(B94,'Filtered Data'!AL:AN,3,FALSE))))))</f>
        <v/>
      </c>
      <c r="V94" s="289"/>
      <c r="W94" s="289"/>
      <c r="X94" s="289"/>
      <c r="Y94" s="267" t="str">
        <f>IF(E94="","",IF((VLOOKUP(E94,classifications!C:K,9,FALSE))="Sparse","S",""))</f>
        <v/>
      </c>
      <c r="AA94" s="301"/>
      <c r="AB94" s="288"/>
      <c r="AC94" s="288"/>
      <c r="AD94" s="285"/>
      <c r="AE94" s="285"/>
      <c r="AF94" s="285"/>
      <c r="AG94" s="285"/>
      <c r="AH94" s="285"/>
      <c r="AI94" s="285"/>
      <c r="AJ94" s="285"/>
      <c r="AK94" s="285"/>
      <c r="AL94" s="285"/>
      <c r="AM94" s="285"/>
      <c r="AN94" s="302"/>
      <c r="AO94" s="302"/>
      <c r="AP94" s="302"/>
      <c r="AQ94" s="302"/>
      <c r="AR94" s="267"/>
      <c r="AV94" s="253"/>
    </row>
    <row r="95" spans="2:48" s="251" customFormat="1" ht="12" customHeight="1">
      <c r="B95" s="287" t="str">
        <f>IF('Filtered Data'!$D$1="MD","",IF('Filtered Data'!$D$1="SC",'Filtered Data'!AS15,'Filtered Data'!AL15))</f>
        <v/>
      </c>
      <c r="C95" s="288"/>
      <c r="D95" s="288"/>
      <c r="E95" s="285" t="str">
        <f>IF(B95="","",IF('Filtered Data'!$D$1="SC",VLOOKUP(B95,'Filtered Data'!AS:AU,2,FALSE),VLOOKUP(B95,'Filtered Data'!AL:AN,2,FALSE)))</f>
        <v/>
      </c>
      <c r="F95" s="285"/>
      <c r="G95" s="285"/>
      <c r="H95" s="285"/>
      <c r="I95" s="285"/>
      <c r="J95" s="285"/>
      <c r="K95" s="285"/>
      <c r="L95" s="285"/>
      <c r="M95" s="285"/>
      <c r="N95" s="285"/>
      <c r="O95" s="285"/>
      <c r="P95" s="285"/>
      <c r="Q95" s="285"/>
      <c r="R95" s="285"/>
      <c r="S95" s="285"/>
      <c r="T95" s="285"/>
      <c r="U95" s="289" t="str">
        <f>IF(B95="","",IF('Filtered Data'!$D$1&amp;'Filtered Data'!$H$8="SC%.",(VLOOKUP(B95,'Filtered Data'!AS:AU,3,FALSE))/100,IF('Filtered Data'!$D$1&amp;'Filtered Data'!$H$8="SC%%",(VLOOKUP(B95,'Filtered Data'!AS:AU,3,FALSE)),IF('Filtered Data'!$D$1&amp;'Filtered Data'!$H$8="SC..",(VLOOKUP(B95,'Filtered Data'!AS:AU,3,FALSE)),IF('Filtered Data'!$H$8="%.",VLOOKUP(B95,'Filtered Data'!AL:AN,3,FALSE)/100,VLOOKUP(B95,'Filtered Data'!AL:AN,3,FALSE))))))</f>
        <v/>
      </c>
      <c r="V95" s="289"/>
      <c r="W95" s="289"/>
      <c r="X95" s="289"/>
      <c r="Y95" s="267" t="str">
        <f>IF(E95="","",IF((VLOOKUP(E95,classifications!C:K,9,FALSE))="Sparse","S",""))</f>
        <v/>
      </c>
      <c r="AA95" s="301"/>
      <c r="AB95" s="288"/>
      <c r="AC95" s="288"/>
      <c r="AD95" s="285"/>
      <c r="AE95" s="285"/>
      <c r="AF95" s="285"/>
      <c r="AG95" s="285"/>
      <c r="AH95" s="285"/>
      <c r="AI95" s="285"/>
      <c r="AJ95" s="285"/>
      <c r="AK95" s="285"/>
      <c r="AL95" s="285"/>
      <c r="AM95" s="285"/>
      <c r="AN95" s="302"/>
      <c r="AO95" s="302"/>
      <c r="AP95" s="302"/>
      <c r="AQ95" s="302"/>
      <c r="AR95" s="267"/>
      <c r="AV95" s="253"/>
    </row>
    <row r="96" spans="2:48" s="251" customFormat="1" ht="12" customHeight="1">
      <c r="B96" s="287" t="str">
        <f>IF('Filtered Data'!$D$1="MD","",IF('Filtered Data'!$D$1="SC",'Filtered Data'!AS16,'Filtered Data'!AL16))</f>
        <v/>
      </c>
      <c r="C96" s="288"/>
      <c r="D96" s="288"/>
      <c r="E96" s="285" t="str">
        <f>IF(B96="","",IF('Filtered Data'!$D$1="SC",VLOOKUP(B96,'Filtered Data'!AS:AU,2,FALSE),VLOOKUP(B96,'Filtered Data'!AL:AN,2,FALSE)))</f>
        <v/>
      </c>
      <c r="F96" s="285"/>
      <c r="G96" s="285"/>
      <c r="H96" s="285"/>
      <c r="I96" s="285"/>
      <c r="J96" s="285"/>
      <c r="K96" s="285"/>
      <c r="L96" s="285"/>
      <c r="M96" s="285"/>
      <c r="N96" s="285"/>
      <c r="O96" s="285"/>
      <c r="P96" s="285"/>
      <c r="Q96" s="285"/>
      <c r="R96" s="285"/>
      <c r="S96" s="285"/>
      <c r="T96" s="285"/>
      <c r="U96" s="289" t="str">
        <f>IF(B96="","",IF('Filtered Data'!$D$1&amp;'Filtered Data'!$H$8="SC%.",(VLOOKUP(B96,'Filtered Data'!AS:AU,3,FALSE))/100,IF('Filtered Data'!$D$1&amp;'Filtered Data'!$H$8="SC%%",(VLOOKUP(B96,'Filtered Data'!AS:AU,3,FALSE)),IF('Filtered Data'!$D$1&amp;'Filtered Data'!$H$8="SC..",(VLOOKUP(B96,'Filtered Data'!AS:AU,3,FALSE)),IF('Filtered Data'!$H$8="%.",VLOOKUP(B96,'Filtered Data'!AL:AN,3,FALSE)/100,VLOOKUP(B96,'Filtered Data'!AL:AN,3,FALSE))))))</f>
        <v/>
      </c>
      <c r="V96" s="289"/>
      <c r="W96" s="289"/>
      <c r="X96" s="289"/>
      <c r="Y96" s="267" t="str">
        <f>IF(E96="","",IF((VLOOKUP(E96,classifications!C:K,9,FALSE))="Sparse","S",""))</f>
        <v/>
      </c>
      <c r="AA96" s="301"/>
      <c r="AB96" s="288"/>
      <c r="AC96" s="288"/>
      <c r="AD96" s="285"/>
      <c r="AE96" s="285"/>
      <c r="AF96" s="285"/>
      <c r="AG96" s="285"/>
      <c r="AH96" s="285"/>
      <c r="AI96" s="285"/>
      <c r="AJ96" s="285"/>
      <c r="AK96" s="285"/>
      <c r="AL96" s="285"/>
      <c r="AM96" s="285"/>
      <c r="AN96" s="302"/>
      <c r="AO96" s="302"/>
      <c r="AP96" s="302"/>
      <c r="AQ96" s="302"/>
      <c r="AR96" s="267"/>
      <c r="AV96" s="253"/>
    </row>
    <row r="97" spans="2:48" s="251" customFormat="1" ht="12" customHeight="1">
      <c r="B97" s="287" t="str">
        <f>IF('Filtered Data'!$D$1="MD","",IF('Filtered Data'!$D$1="SC",'Filtered Data'!AS17,'Filtered Data'!AL17))</f>
        <v/>
      </c>
      <c r="C97" s="288"/>
      <c r="D97" s="288"/>
      <c r="E97" s="285" t="str">
        <f>IF(B97="","",IF('Filtered Data'!$D$1="SC",VLOOKUP(B97,'Filtered Data'!AS:AU,2,FALSE),VLOOKUP(B97,'Filtered Data'!AL:AN,2,FALSE)))</f>
        <v/>
      </c>
      <c r="F97" s="285"/>
      <c r="G97" s="285"/>
      <c r="H97" s="285"/>
      <c r="I97" s="285"/>
      <c r="J97" s="285"/>
      <c r="K97" s="285"/>
      <c r="L97" s="285"/>
      <c r="M97" s="285"/>
      <c r="N97" s="285"/>
      <c r="O97" s="285"/>
      <c r="P97" s="285"/>
      <c r="Q97" s="285"/>
      <c r="R97" s="285"/>
      <c r="S97" s="285"/>
      <c r="T97" s="285"/>
      <c r="U97" s="289" t="str">
        <f>IF(B97="","",IF('Filtered Data'!$D$1&amp;'Filtered Data'!$H$8="SC%.",(VLOOKUP(B97,'Filtered Data'!AS:AU,3,FALSE))/100,IF('Filtered Data'!$D$1&amp;'Filtered Data'!$H$8="SC%%",(VLOOKUP(B97,'Filtered Data'!AS:AU,3,FALSE)),IF('Filtered Data'!$D$1&amp;'Filtered Data'!$H$8="SC..",(VLOOKUP(B97,'Filtered Data'!AS:AU,3,FALSE)),IF('Filtered Data'!$H$8="%.",VLOOKUP(B97,'Filtered Data'!AL:AN,3,FALSE)/100,VLOOKUP(B97,'Filtered Data'!AL:AN,3,FALSE))))))</f>
        <v/>
      </c>
      <c r="V97" s="289"/>
      <c r="W97" s="289"/>
      <c r="X97" s="289"/>
      <c r="Y97" s="267" t="str">
        <f>IF(E97="","",IF((VLOOKUP(E97,classifications!C:K,9,FALSE))="Sparse","S",""))</f>
        <v/>
      </c>
      <c r="AA97" s="301"/>
      <c r="AB97" s="288"/>
      <c r="AC97" s="288"/>
      <c r="AD97" s="285"/>
      <c r="AE97" s="285"/>
      <c r="AF97" s="285"/>
      <c r="AG97" s="285"/>
      <c r="AH97" s="285"/>
      <c r="AI97" s="285"/>
      <c r="AJ97" s="285"/>
      <c r="AK97" s="285"/>
      <c r="AL97" s="285"/>
      <c r="AM97" s="285"/>
      <c r="AN97" s="302"/>
      <c r="AO97" s="302"/>
      <c r="AP97" s="302"/>
      <c r="AQ97" s="302"/>
      <c r="AR97" s="267"/>
      <c r="AV97" s="253"/>
    </row>
    <row r="98" spans="2:48" s="251" customFormat="1" ht="12" customHeight="1">
      <c r="B98" s="287" t="str">
        <f>IF('Filtered Data'!$D$1="MD","",IF('Filtered Data'!$D$1="SC",'Filtered Data'!AS18,'Filtered Data'!AL18))</f>
        <v/>
      </c>
      <c r="C98" s="288"/>
      <c r="D98" s="288"/>
      <c r="E98" s="285" t="str">
        <f>IF(B98="","",IF('Filtered Data'!$D$1="SC",VLOOKUP(B98,'Filtered Data'!AS:AU,2,FALSE),VLOOKUP(B98,'Filtered Data'!AL:AN,2,FALSE)))</f>
        <v/>
      </c>
      <c r="F98" s="285"/>
      <c r="G98" s="285"/>
      <c r="H98" s="285"/>
      <c r="I98" s="285"/>
      <c r="J98" s="285"/>
      <c r="K98" s="285"/>
      <c r="L98" s="285"/>
      <c r="M98" s="285"/>
      <c r="N98" s="285"/>
      <c r="O98" s="285"/>
      <c r="P98" s="285"/>
      <c r="Q98" s="285"/>
      <c r="R98" s="285"/>
      <c r="S98" s="285"/>
      <c r="T98" s="285"/>
      <c r="U98" s="289" t="str">
        <f>IF(B98="","",IF('Filtered Data'!$D$1&amp;'Filtered Data'!$H$8="SC%.",(VLOOKUP(B98,'Filtered Data'!AS:AU,3,FALSE))/100,IF('Filtered Data'!$D$1&amp;'Filtered Data'!$H$8="SC%%",(VLOOKUP(B98,'Filtered Data'!AS:AU,3,FALSE)),IF('Filtered Data'!$D$1&amp;'Filtered Data'!$H$8="SC..",(VLOOKUP(B98,'Filtered Data'!AS:AU,3,FALSE)),IF('Filtered Data'!$H$8="%.",VLOOKUP(B98,'Filtered Data'!AL:AN,3,FALSE)/100,VLOOKUP(B98,'Filtered Data'!AL:AN,3,FALSE))))))</f>
        <v/>
      </c>
      <c r="V98" s="289"/>
      <c r="W98" s="289"/>
      <c r="X98" s="289"/>
      <c r="Y98" s="267" t="str">
        <f>IF(E98="","",IF((VLOOKUP(E98,classifications!C:K,9,FALSE))="Sparse","S",""))</f>
        <v/>
      </c>
      <c r="AA98" s="301"/>
      <c r="AB98" s="288"/>
      <c r="AC98" s="288"/>
      <c r="AD98" s="285"/>
      <c r="AE98" s="285"/>
      <c r="AF98" s="285"/>
      <c r="AG98" s="285"/>
      <c r="AH98" s="285"/>
      <c r="AI98" s="285"/>
      <c r="AJ98" s="285"/>
      <c r="AK98" s="285"/>
      <c r="AL98" s="285"/>
      <c r="AM98" s="285"/>
      <c r="AN98" s="302"/>
      <c r="AO98" s="302"/>
      <c r="AP98" s="302"/>
      <c r="AQ98" s="302"/>
      <c r="AR98" s="267"/>
      <c r="AV98" s="253"/>
    </row>
    <row r="99" spans="2:48" s="251" customFormat="1" ht="12" customHeight="1">
      <c r="B99" s="287" t="str">
        <f>IF('Filtered Data'!$D$1="MD","",IF('Filtered Data'!$D$1="SC",'Filtered Data'!AS19,'Filtered Data'!AL19))</f>
        <v/>
      </c>
      <c r="C99" s="288"/>
      <c r="D99" s="288"/>
      <c r="E99" s="285" t="str">
        <f>IF(B99="","",IF('Filtered Data'!$D$1="SC",VLOOKUP(B99,'Filtered Data'!AS:AU,2,FALSE),VLOOKUP(B99,'Filtered Data'!AL:AN,2,FALSE)))</f>
        <v/>
      </c>
      <c r="F99" s="285"/>
      <c r="G99" s="285"/>
      <c r="H99" s="285"/>
      <c r="I99" s="285"/>
      <c r="J99" s="285"/>
      <c r="K99" s="285"/>
      <c r="L99" s="285"/>
      <c r="M99" s="285"/>
      <c r="N99" s="285"/>
      <c r="O99" s="285"/>
      <c r="P99" s="285"/>
      <c r="Q99" s="285"/>
      <c r="R99" s="285"/>
      <c r="S99" s="285"/>
      <c r="T99" s="285"/>
      <c r="U99" s="289" t="str">
        <f>IF(B99="","",IF('Filtered Data'!$D$1&amp;'Filtered Data'!$H$8="SC%.",(VLOOKUP(B99,'Filtered Data'!AS:AU,3,FALSE))/100,IF('Filtered Data'!$D$1&amp;'Filtered Data'!$H$8="SC%%",(VLOOKUP(B99,'Filtered Data'!AS:AU,3,FALSE)),IF('Filtered Data'!$D$1&amp;'Filtered Data'!$H$8="SC..",(VLOOKUP(B99,'Filtered Data'!AS:AU,3,FALSE)),IF('Filtered Data'!$H$8="%.",VLOOKUP(B99,'Filtered Data'!AL:AN,3,FALSE)/100,VLOOKUP(B99,'Filtered Data'!AL:AN,3,FALSE))))))</f>
        <v/>
      </c>
      <c r="V99" s="289"/>
      <c r="W99" s="289"/>
      <c r="X99" s="289"/>
      <c r="Y99" s="267" t="str">
        <f>IF(E99="","",IF((VLOOKUP(E99,classifications!C:K,9,FALSE))="Sparse","S",""))</f>
        <v/>
      </c>
      <c r="AA99" s="301"/>
      <c r="AB99" s="288"/>
      <c r="AC99" s="288"/>
      <c r="AD99" s="285"/>
      <c r="AE99" s="285"/>
      <c r="AF99" s="285"/>
      <c r="AG99" s="285"/>
      <c r="AH99" s="285"/>
      <c r="AI99" s="285"/>
      <c r="AJ99" s="285"/>
      <c r="AK99" s="285"/>
      <c r="AL99" s="285"/>
      <c r="AM99" s="285"/>
      <c r="AN99" s="302"/>
      <c r="AO99" s="302"/>
      <c r="AP99" s="302"/>
      <c r="AQ99" s="302"/>
      <c r="AR99" s="267"/>
      <c r="AV99" s="253"/>
    </row>
    <row r="100" spans="2:48" s="251" customFormat="1" ht="12" customHeight="1">
      <c r="B100" s="287" t="str">
        <f>IF('Filtered Data'!$D$1="MD","",IF('Filtered Data'!$D$1="SC",'Filtered Data'!AS20,'Filtered Data'!AL20))</f>
        <v/>
      </c>
      <c r="C100" s="288"/>
      <c r="D100" s="288"/>
      <c r="E100" s="285" t="str">
        <f>IF(B100="","",IF('Filtered Data'!$D$1="SC",VLOOKUP(B100,'Filtered Data'!AS:AU,2,FALSE),VLOOKUP(B100,'Filtered Data'!AL:AN,2,FALSE)))</f>
        <v/>
      </c>
      <c r="F100" s="285"/>
      <c r="G100" s="285"/>
      <c r="H100" s="285"/>
      <c r="I100" s="285"/>
      <c r="J100" s="285"/>
      <c r="K100" s="285"/>
      <c r="L100" s="285"/>
      <c r="M100" s="285"/>
      <c r="N100" s="285"/>
      <c r="O100" s="285"/>
      <c r="P100" s="285"/>
      <c r="Q100" s="285"/>
      <c r="R100" s="285"/>
      <c r="S100" s="285"/>
      <c r="T100" s="285"/>
      <c r="U100" s="289" t="str">
        <f>IF(B100="","",IF('Filtered Data'!$D$1&amp;'Filtered Data'!$H$8="SC%.",(VLOOKUP(B100,'Filtered Data'!AS:AU,3,FALSE))/100,IF('Filtered Data'!$D$1&amp;'Filtered Data'!$H$8="SC%%",(VLOOKUP(B100,'Filtered Data'!AS:AU,3,FALSE)),IF('Filtered Data'!$D$1&amp;'Filtered Data'!$H$8="SC..",(VLOOKUP(B100,'Filtered Data'!AS:AU,3,FALSE)),IF('Filtered Data'!$H$8="%.",VLOOKUP(B100,'Filtered Data'!AL:AN,3,FALSE)/100,VLOOKUP(B100,'Filtered Data'!AL:AN,3,FALSE))))))</f>
        <v/>
      </c>
      <c r="V100" s="289"/>
      <c r="W100" s="289"/>
      <c r="X100" s="289"/>
      <c r="Y100" s="267" t="str">
        <f>IF(E100="","",IF((VLOOKUP(E100,classifications!C:K,9,FALSE))="Sparse","S",""))</f>
        <v/>
      </c>
      <c r="AA100" s="301"/>
      <c r="AB100" s="288"/>
      <c r="AC100" s="288"/>
      <c r="AD100" s="285"/>
      <c r="AE100" s="285"/>
      <c r="AF100" s="285"/>
      <c r="AG100" s="285"/>
      <c r="AH100" s="285"/>
      <c r="AI100" s="285"/>
      <c r="AJ100" s="285"/>
      <c r="AK100" s="285"/>
      <c r="AL100" s="285"/>
      <c r="AM100" s="285"/>
      <c r="AN100" s="302"/>
      <c r="AO100" s="302"/>
      <c r="AP100" s="302"/>
      <c r="AQ100" s="302"/>
      <c r="AR100" s="267"/>
      <c r="AV100" s="253"/>
    </row>
    <row r="101" spans="2:48" s="251" customFormat="1" ht="12" customHeight="1">
      <c r="B101" s="287" t="str">
        <f>IF('Filtered Data'!$D$1="MD","",IF('Filtered Data'!$D$1="SC",'Filtered Data'!AS21,'Filtered Data'!AL21))</f>
        <v/>
      </c>
      <c r="C101" s="288"/>
      <c r="D101" s="288"/>
      <c r="E101" s="285" t="str">
        <f>IF(B101="","",IF('Filtered Data'!$D$1="SC",VLOOKUP(B101,'Filtered Data'!AS:AU,2,FALSE),VLOOKUP(B101,'Filtered Data'!AL:AN,2,FALSE)))</f>
        <v/>
      </c>
      <c r="F101" s="285"/>
      <c r="G101" s="285"/>
      <c r="H101" s="285"/>
      <c r="I101" s="285"/>
      <c r="J101" s="285"/>
      <c r="K101" s="285"/>
      <c r="L101" s="285"/>
      <c r="M101" s="285"/>
      <c r="N101" s="285"/>
      <c r="O101" s="285"/>
      <c r="P101" s="285"/>
      <c r="Q101" s="285"/>
      <c r="R101" s="285"/>
      <c r="S101" s="285"/>
      <c r="T101" s="285"/>
      <c r="U101" s="289" t="str">
        <f>IF(B101="","",IF('Filtered Data'!$D$1&amp;'Filtered Data'!$H$8="SC%.",(VLOOKUP(B101,'Filtered Data'!AS:AU,3,FALSE))/100,IF('Filtered Data'!$D$1&amp;'Filtered Data'!$H$8="SC%%",(VLOOKUP(B101,'Filtered Data'!AS:AU,3,FALSE)),IF('Filtered Data'!$D$1&amp;'Filtered Data'!$H$8="SC..",(VLOOKUP(B101,'Filtered Data'!AS:AU,3,FALSE)),IF('Filtered Data'!$H$8="%.",VLOOKUP(B101,'Filtered Data'!AL:AN,3,FALSE)/100,VLOOKUP(B101,'Filtered Data'!AL:AN,3,FALSE))))))</f>
        <v/>
      </c>
      <c r="V101" s="289"/>
      <c r="W101" s="289"/>
      <c r="X101" s="289"/>
      <c r="Y101" s="267" t="str">
        <f>IF(E101="","",IF((VLOOKUP(E101,classifications!C:K,9,FALSE))="Sparse","S",""))</f>
        <v/>
      </c>
      <c r="AA101" s="301"/>
      <c r="AB101" s="288"/>
      <c r="AC101" s="288"/>
      <c r="AD101" s="285"/>
      <c r="AE101" s="285"/>
      <c r="AF101" s="285"/>
      <c r="AG101" s="285"/>
      <c r="AH101" s="285"/>
      <c r="AI101" s="285"/>
      <c r="AJ101" s="285"/>
      <c r="AK101" s="285"/>
      <c r="AL101" s="285"/>
      <c r="AM101" s="285"/>
      <c r="AN101" s="302"/>
      <c r="AO101" s="302"/>
      <c r="AP101" s="302"/>
      <c r="AQ101" s="302"/>
      <c r="AR101" s="267"/>
      <c r="AV101" s="253"/>
    </row>
    <row r="102" spans="2:48" s="251" customFormat="1" ht="12" customHeight="1">
      <c r="B102" s="287" t="str">
        <f>IF('Filtered Data'!$D$1="MD","",IF('Filtered Data'!$D$1="SC",'Filtered Data'!AS22,'Filtered Data'!AL22))</f>
        <v/>
      </c>
      <c r="C102" s="288"/>
      <c r="D102" s="288"/>
      <c r="E102" s="285" t="str">
        <f>IF(B102="","",IF('Filtered Data'!$D$1="SC",VLOOKUP(B102,'Filtered Data'!AS:AU,2,FALSE),VLOOKUP(B102,'Filtered Data'!AL:AN,2,FALSE)))</f>
        <v/>
      </c>
      <c r="F102" s="285"/>
      <c r="G102" s="285"/>
      <c r="H102" s="285"/>
      <c r="I102" s="285"/>
      <c r="J102" s="285"/>
      <c r="K102" s="285"/>
      <c r="L102" s="285"/>
      <c r="M102" s="285"/>
      <c r="N102" s="285"/>
      <c r="O102" s="285"/>
      <c r="P102" s="285"/>
      <c r="Q102" s="285"/>
      <c r="R102" s="285"/>
      <c r="S102" s="285"/>
      <c r="T102" s="285"/>
      <c r="U102" s="289" t="str">
        <f>IF(B102="","",IF('Filtered Data'!$D$1&amp;'Filtered Data'!$H$8="SC%.",(VLOOKUP(B102,'Filtered Data'!AS:AU,3,FALSE))/100,IF('Filtered Data'!$D$1&amp;'Filtered Data'!$H$8="SC%%",(VLOOKUP(B102,'Filtered Data'!AS:AU,3,FALSE)),IF('Filtered Data'!$D$1&amp;'Filtered Data'!$H$8="SC..",(VLOOKUP(B102,'Filtered Data'!AS:AU,3,FALSE)),IF('Filtered Data'!$H$8="%.",VLOOKUP(B102,'Filtered Data'!AL:AN,3,FALSE)/100,VLOOKUP(B102,'Filtered Data'!AL:AN,3,FALSE))))))</f>
        <v/>
      </c>
      <c r="V102" s="289"/>
      <c r="W102" s="289"/>
      <c r="X102" s="289"/>
      <c r="Y102" s="267" t="str">
        <f>IF(E102="","",IF((VLOOKUP(E102,classifications!C:K,9,FALSE))="Sparse","S",""))</f>
        <v/>
      </c>
      <c r="AA102" s="301"/>
      <c r="AB102" s="288"/>
      <c r="AC102" s="288"/>
      <c r="AD102" s="285"/>
      <c r="AE102" s="285"/>
      <c r="AF102" s="285"/>
      <c r="AG102" s="285"/>
      <c r="AH102" s="285"/>
      <c r="AI102" s="285"/>
      <c r="AJ102" s="285"/>
      <c r="AK102" s="285"/>
      <c r="AL102" s="285"/>
      <c r="AM102" s="285"/>
      <c r="AN102" s="302"/>
      <c r="AO102" s="302"/>
      <c r="AP102" s="302"/>
      <c r="AQ102" s="302"/>
      <c r="AR102" s="267"/>
      <c r="AV102" s="253"/>
    </row>
    <row r="103" spans="2:48" s="251" customFormat="1" ht="12" customHeight="1">
      <c r="B103" s="287" t="str">
        <f>IF('Filtered Data'!$D$1="MD","",IF('Filtered Data'!$D$1="SC",'Filtered Data'!AS23,'Filtered Data'!AL23))</f>
        <v/>
      </c>
      <c r="C103" s="288"/>
      <c r="D103" s="288"/>
      <c r="E103" s="285" t="str">
        <f>IF(B103="","",IF('Filtered Data'!$D$1="SC",VLOOKUP(B103,'Filtered Data'!AS:AU,2,FALSE),VLOOKUP(B103,'Filtered Data'!AL:AN,2,FALSE)))</f>
        <v/>
      </c>
      <c r="F103" s="285"/>
      <c r="G103" s="285"/>
      <c r="H103" s="285"/>
      <c r="I103" s="285"/>
      <c r="J103" s="285"/>
      <c r="K103" s="285"/>
      <c r="L103" s="285"/>
      <c r="M103" s="285"/>
      <c r="N103" s="285"/>
      <c r="O103" s="285"/>
      <c r="P103" s="285"/>
      <c r="Q103" s="285"/>
      <c r="R103" s="285"/>
      <c r="S103" s="285"/>
      <c r="T103" s="285"/>
      <c r="U103" s="289" t="str">
        <f>IF(B103="","",IF('Filtered Data'!$D$1&amp;'Filtered Data'!$H$8="SC%.",(VLOOKUP(B103,'Filtered Data'!AS:AU,3,FALSE))/100,IF('Filtered Data'!$D$1&amp;'Filtered Data'!$H$8="SC%%",(VLOOKUP(B103,'Filtered Data'!AS:AU,3,FALSE)),IF('Filtered Data'!$D$1&amp;'Filtered Data'!$H$8="SC..",(VLOOKUP(B103,'Filtered Data'!AS:AU,3,FALSE)),IF('Filtered Data'!$H$8="%.",VLOOKUP(B103,'Filtered Data'!AL:AN,3,FALSE)/100,VLOOKUP(B103,'Filtered Data'!AL:AN,3,FALSE))))))</f>
        <v/>
      </c>
      <c r="V103" s="289"/>
      <c r="W103" s="289"/>
      <c r="X103" s="289"/>
      <c r="Y103" s="267" t="str">
        <f>IF(E103="","",IF((VLOOKUP(E103,classifications!C:K,9,FALSE))="Sparse","S",""))</f>
        <v/>
      </c>
      <c r="AA103" s="301"/>
      <c r="AB103" s="288"/>
      <c r="AC103" s="288"/>
      <c r="AD103" s="285"/>
      <c r="AE103" s="285"/>
      <c r="AF103" s="285"/>
      <c r="AG103" s="285"/>
      <c r="AH103" s="285"/>
      <c r="AI103" s="285"/>
      <c r="AJ103" s="285"/>
      <c r="AK103" s="285"/>
      <c r="AL103" s="285"/>
      <c r="AM103" s="285"/>
      <c r="AN103" s="302"/>
      <c r="AO103" s="302"/>
      <c r="AP103" s="302"/>
      <c r="AQ103" s="302"/>
      <c r="AR103" s="267"/>
      <c r="AV103" s="253"/>
    </row>
    <row r="104" spans="2:48" s="251" customFormat="1" ht="12" customHeight="1">
      <c r="B104" s="287" t="str">
        <f>IF('Filtered Data'!$D$1="MD","",IF('Filtered Data'!$D$1="SC",'Filtered Data'!AS24,'Filtered Data'!AL24))</f>
        <v/>
      </c>
      <c r="C104" s="288"/>
      <c r="D104" s="288"/>
      <c r="E104" s="285" t="str">
        <f>IF(B104="","",IF('Filtered Data'!$D$1="SC",VLOOKUP(B104,'Filtered Data'!AS:AU,2,FALSE),VLOOKUP(B104,'Filtered Data'!AL:AN,2,FALSE)))</f>
        <v/>
      </c>
      <c r="F104" s="285"/>
      <c r="G104" s="285"/>
      <c r="H104" s="285"/>
      <c r="I104" s="285"/>
      <c r="J104" s="285"/>
      <c r="K104" s="285"/>
      <c r="L104" s="285"/>
      <c r="M104" s="285"/>
      <c r="N104" s="285"/>
      <c r="O104" s="285"/>
      <c r="P104" s="285"/>
      <c r="Q104" s="285"/>
      <c r="R104" s="285"/>
      <c r="S104" s="285"/>
      <c r="T104" s="285"/>
      <c r="U104" s="289" t="str">
        <f>IF(B104="","",IF('Filtered Data'!$D$1&amp;'Filtered Data'!$H$8="SC%.",(VLOOKUP(B104,'Filtered Data'!AS:AU,3,FALSE))/100,IF('Filtered Data'!$D$1&amp;'Filtered Data'!$H$8="SC%%",(VLOOKUP(B104,'Filtered Data'!AS:AU,3,FALSE)),IF('Filtered Data'!$D$1&amp;'Filtered Data'!$H$8="SC..",(VLOOKUP(B104,'Filtered Data'!AS:AU,3,FALSE)),IF('Filtered Data'!$H$8="%.",VLOOKUP(B104,'Filtered Data'!AL:AN,3,FALSE)/100,VLOOKUP(B104,'Filtered Data'!AL:AN,3,FALSE))))))</f>
        <v/>
      </c>
      <c r="V104" s="289"/>
      <c r="W104" s="289"/>
      <c r="X104" s="289"/>
      <c r="Y104" s="267" t="str">
        <f>IF(E104="","",IF((VLOOKUP(E104,classifications!C:K,9,FALSE))="Sparse","S",""))</f>
        <v/>
      </c>
      <c r="AA104" s="301"/>
      <c r="AB104" s="288"/>
      <c r="AC104" s="288"/>
      <c r="AD104" s="285"/>
      <c r="AE104" s="285"/>
      <c r="AF104" s="285"/>
      <c r="AG104" s="285"/>
      <c r="AH104" s="285"/>
      <c r="AI104" s="285"/>
      <c r="AJ104" s="285"/>
      <c r="AK104" s="285"/>
      <c r="AL104" s="285"/>
      <c r="AM104" s="285"/>
      <c r="AN104" s="302"/>
      <c r="AO104" s="302"/>
      <c r="AP104" s="302"/>
      <c r="AQ104" s="302"/>
      <c r="AR104" s="267"/>
      <c r="AV104" s="253"/>
    </row>
    <row r="105" spans="2:48" s="251" customFormat="1" ht="12" customHeight="1">
      <c r="B105" s="287" t="str">
        <f>IF('Filtered Data'!$D$1="MD","",IF('Filtered Data'!$D$1="SC",'Filtered Data'!AS25,'Filtered Data'!AL25))</f>
        <v/>
      </c>
      <c r="C105" s="288"/>
      <c r="D105" s="288"/>
      <c r="E105" s="285" t="str">
        <f>IF(B105="","",IF('Filtered Data'!$D$1="SC",VLOOKUP(B105,'Filtered Data'!AS:AU,2,FALSE),VLOOKUP(B105,'Filtered Data'!AL:AN,2,FALSE)))</f>
        <v/>
      </c>
      <c r="F105" s="285"/>
      <c r="G105" s="285"/>
      <c r="H105" s="285"/>
      <c r="I105" s="285"/>
      <c r="J105" s="285"/>
      <c r="K105" s="285"/>
      <c r="L105" s="285"/>
      <c r="M105" s="285"/>
      <c r="N105" s="285"/>
      <c r="O105" s="285"/>
      <c r="P105" s="285"/>
      <c r="Q105" s="285"/>
      <c r="R105" s="285"/>
      <c r="S105" s="285"/>
      <c r="T105" s="285"/>
      <c r="U105" s="289" t="str">
        <f>IF(B105="","",IF('Filtered Data'!$D$1&amp;'Filtered Data'!$H$8="SC%.",(VLOOKUP(B105,'Filtered Data'!AS:AU,3,FALSE))/100,IF('Filtered Data'!$D$1&amp;'Filtered Data'!$H$8="SC%%",(VLOOKUP(B105,'Filtered Data'!AS:AU,3,FALSE)),IF('Filtered Data'!$D$1&amp;'Filtered Data'!$H$8="SC..",(VLOOKUP(B105,'Filtered Data'!AS:AU,3,FALSE)),IF('Filtered Data'!$H$8="%.",VLOOKUP(B105,'Filtered Data'!AL:AN,3,FALSE)/100,VLOOKUP(B105,'Filtered Data'!AL:AN,3,FALSE))))))</f>
        <v/>
      </c>
      <c r="V105" s="289"/>
      <c r="W105" s="289"/>
      <c r="X105" s="289"/>
      <c r="Y105" s="267" t="str">
        <f>IF(E105="","",IF((VLOOKUP(E105,classifications!C:K,9,FALSE))="Sparse","S",""))</f>
        <v/>
      </c>
      <c r="AA105" s="301"/>
      <c r="AB105" s="288"/>
      <c r="AC105" s="288"/>
      <c r="AD105" s="285"/>
      <c r="AE105" s="285"/>
      <c r="AF105" s="285"/>
      <c r="AG105" s="285"/>
      <c r="AH105" s="285"/>
      <c r="AI105" s="285"/>
      <c r="AJ105" s="285"/>
      <c r="AK105" s="285"/>
      <c r="AL105" s="285"/>
      <c r="AM105" s="285"/>
      <c r="AN105" s="302"/>
      <c r="AO105" s="302"/>
      <c r="AP105" s="302"/>
      <c r="AQ105" s="302"/>
      <c r="AR105" s="267"/>
      <c r="AV105" s="253"/>
    </row>
    <row r="106" spans="2:48" s="251" customFormat="1" ht="12" customHeight="1">
      <c r="B106" s="287" t="str">
        <f>IF('Filtered Data'!$D$1="MD","",IF('Filtered Data'!$D$1="SC",'Filtered Data'!AS26,'Filtered Data'!AL26))</f>
        <v/>
      </c>
      <c r="C106" s="288"/>
      <c r="D106" s="288"/>
      <c r="E106" s="285" t="str">
        <f>IF(B106="","",IF('Filtered Data'!$D$1="SC",VLOOKUP(B106,'Filtered Data'!AS:AU,2,FALSE),VLOOKUP(B106,'Filtered Data'!AL:AN,2,FALSE)))</f>
        <v/>
      </c>
      <c r="F106" s="285"/>
      <c r="G106" s="285"/>
      <c r="H106" s="285"/>
      <c r="I106" s="285"/>
      <c r="J106" s="285"/>
      <c r="K106" s="285"/>
      <c r="L106" s="285"/>
      <c r="M106" s="285"/>
      <c r="N106" s="285"/>
      <c r="O106" s="285"/>
      <c r="P106" s="285"/>
      <c r="Q106" s="285"/>
      <c r="R106" s="285"/>
      <c r="S106" s="285"/>
      <c r="T106" s="285"/>
      <c r="U106" s="289" t="str">
        <f>IF(B106="","",IF('Filtered Data'!$D$1&amp;'Filtered Data'!$H$8="SC%.",(VLOOKUP(B106,'Filtered Data'!AS:AU,3,FALSE))/100,IF('Filtered Data'!$D$1&amp;'Filtered Data'!$H$8="SC%%",(VLOOKUP(B106,'Filtered Data'!AS:AU,3,FALSE)),IF('Filtered Data'!$D$1&amp;'Filtered Data'!$H$8="SC..",(VLOOKUP(B106,'Filtered Data'!AS:AU,3,FALSE)),IF('Filtered Data'!$H$8="%.",VLOOKUP(B106,'Filtered Data'!AL:AN,3,FALSE)/100,VLOOKUP(B106,'Filtered Data'!AL:AN,3,FALSE))))))</f>
        <v/>
      </c>
      <c r="V106" s="289"/>
      <c r="W106" s="289"/>
      <c r="X106" s="289"/>
      <c r="Y106" s="267" t="str">
        <f>IF(E106="","",IF((VLOOKUP(E106,classifications!C:K,9,FALSE))="Sparse","S",""))</f>
        <v/>
      </c>
      <c r="AA106" s="301"/>
      <c r="AB106" s="288"/>
      <c r="AC106" s="288"/>
      <c r="AD106" s="285"/>
      <c r="AE106" s="285"/>
      <c r="AF106" s="285"/>
      <c r="AG106" s="285"/>
      <c r="AH106" s="285"/>
      <c r="AI106" s="285"/>
      <c r="AJ106" s="285"/>
      <c r="AK106" s="285"/>
      <c r="AL106" s="285"/>
      <c r="AM106" s="285"/>
      <c r="AN106" s="302"/>
      <c r="AO106" s="302"/>
      <c r="AP106" s="302"/>
      <c r="AQ106" s="302"/>
      <c r="AR106" s="267"/>
      <c r="AV106" s="253"/>
    </row>
    <row r="107" spans="2:48" s="251" customFormat="1" ht="12" customHeight="1">
      <c r="B107" s="288"/>
      <c r="C107" s="288"/>
      <c r="D107" s="288"/>
      <c r="E107" s="294" t="s">
        <v>340</v>
      </c>
      <c r="F107" s="294"/>
      <c r="G107" s="294"/>
      <c r="H107" s="294"/>
      <c r="I107" s="294"/>
      <c r="J107" s="294"/>
      <c r="K107" s="294"/>
      <c r="L107" s="294"/>
      <c r="M107" s="294"/>
      <c r="N107" s="294"/>
      <c r="O107" s="271"/>
      <c r="P107" s="271"/>
      <c r="Q107" s="271"/>
      <c r="R107" s="271"/>
      <c r="S107" s="271"/>
      <c r="T107" s="271"/>
      <c r="U107" s="300">
        <f>L38</f>
        <v>81.521315921718696</v>
      </c>
      <c r="V107" s="300"/>
      <c r="W107" s="300"/>
      <c r="X107" s="300"/>
      <c r="Y107" s="267"/>
      <c r="AA107" s="288"/>
      <c r="AB107" s="288"/>
      <c r="AC107" s="288"/>
      <c r="AD107" s="262"/>
      <c r="AE107" s="262"/>
      <c r="AF107" s="262"/>
      <c r="AG107" s="262"/>
      <c r="AH107" s="262"/>
      <c r="AI107" s="262"/>
      <c r="AJ107" s="262"/>
      <c r="AK107" s="262"/>
      <c r="AL107" s="262"/>
      <c r="AM107" s="268"/>
      <c r="AN107" s="303"/>
      <c r="AO107" s="303"/>
      <c r="AP107" s="303"/>
      <c r="AQ107" s="303"/>
      <c r="AV107" s="253"/>
    </row>
    <row r="108" spans="2:48" s="251" customFormat="1" ht="12" customHeight="1">
      <c r="W108" s="269">
        <f>COUNT(AA91:AB106)</f>
        <v>0</v>
      </c>
    </row>
    <row r="109" spans="2:48" s="251" customFormat="1" ht="19.5" customHeight="1">
      <c r="B109" s="304" t="str">
        <f>B3</f>
        <v>Walking &amp; Cycling Statistics</v>
      </c>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row>
    <row r="110" spans="2:48" s="251" customFormat="1" ht="12" customHeight="1"/>
    <row r="111" spans="2:48" s="251" customFormat="1" ht="12" customHeight="1">
      <c r="B111" s="294" t="s">
        <v>372</v>
      </c>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row>
    <row r="112" spans="2:48" ht="12" customHeight="1"/>
    <row r="113" spans="2:40" ht="12" customHeight="1">
      <c r="B113" s="296" t="str">
        <f>W6&amp;" - "&amp;W12</f>
        <v>Proportion of residents who do any walking or cycling, at least once per month - 2018/19</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48"/>
    </row>
    <row r="114" spans="2:40" ht="12" customHeight="1">
      <c r="B114" s="298"/>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24"/>
    </row>
    <row r="115" spans="2:40" ht="12" customHeight="1">
      <c r="B115" s="221"/>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4"/>
    </row>
    <row r="116" spans="2:40" ht="12" customHeight="1">
      <c r="B116" s="221"/>
      <c r="C116" s="222"/>
      <c r="D116" s="222"/>
      <c r="E116" s="222"/>
      <c r="L116" s="222"/>
      <c r="M116" s="239" t="s">
        <v>795</v>
      </c>
      <c r="N116" s="239"/>
      <c r="O116" s="239" t="s">
        <v>796</v>
      </c>
      <c r="P116" s="239"/>
      <c r="Q116" s="222" t="s">
        <v>797</v>
      </c>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F117" s="219" t="str">
        <f>J5</f>
        <v>Cumbria</v>
      </c>
      <c r="G117" s="295">
        <f>IF('Filtered Data'!H8="..",L35,L35*100)</f>
        <v>83.002586119216289</v>
      </c>
      <c r="H117" s="295"/>
      <c r="I117" s="295"/>
      <c r="J117" s="295"/>
      <c r="K117" s="295"/>
      <c r="L117" s="222"/>
      <c r="M117" s="291">
        <f>K$47</f>
        <v>84.025101970508402</v>
      </c>
      <c r="N117" s="291"/>
      <c r="O117" s="291">
        <f>M$47</f>
        <v>82.994301123979568</v>
      </c>
      <c r="P117" s="291"/>
      <c r="Q117" s="291">
        <f>O$47</f>
        <v>80.791615272405707</v>
      </c>
      <c r="R117" s="291"/>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
        <v>382</v>
      </c>
      <c r="G118" s="295">
        <f>IF('Filtered Data'!H8="%%",(AVERAGEIF('Filtered Data'!AA$10:AA$500,$F118,'Filtered Data'!M$10:M$500))*100,(AVERAGEIF('Filtered Data'!AA$10:AA$500,$F118,'Filtered Data'!M$10:M$500)))</f>
        <v>74.965314180040451</v>
      </c>
      <c r="H118" s="295"/>
      <c r="I118" s="295"/>
      <c r="J118" s="295"/>
      <c r="K118" s="295"/>
      <c r="L118" s="222"/>
      <c r="M118" s="291">
        <f>K$47</f>
        <v>84.025101970508402</v>
      </c>
      <c r="N118" s="291"/>
      <c r="O118" s="291">
        <f>M$47</f>
        <v>82.994301123979568</v>
      </c>
      <c r="P118" s="291"/>
      <c r="Q118" s="291">
        <f>O$47</f>
        <v>80.791615272405707</v>
      </c>
      <c r="R118" s="291"/>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384</v>
      </c>
      <c r="G119" s="295">
        <f>IF('Filtered Data'!H8="%%",(AVERAGEIF('Filtered Data'!AA$10:AA$500,$F119,'Filtered Data'!M$10:M$500))*100,(AVERAGEIF('Filtered Data'!AA$10:AA$500,$F119,'Filtered Data'!M$10:M$500)))</f>
        <v>84.756447879420762</v>
      </c>
      <c r="H119" s="295"/>
      <c r="I119" s="295"/>
      <c r="J119" s="295"/>
      <c r="K119" s="295"/>
      <c r="L119" s="222"/>
      <c r="M119" s="291">
        <f>K$47</f>
        <v>84.025101970508402</v>
      </c>
      <c r="N119" s="291"/>
      <c r="O119" s="291">
        <f>M$47</f>
        <v>82.994301123979568</v>
      </c>
      <c r="P119" s="291"/>
      <c r="Q119" s="291">
        <f>O$47</f>
        <v>80.791615272405707</v>
      </c>
      <c r="R119" s="291"/>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371</v>
      </c>
      <c r="G120" s="295">
        <f>IF('Filtered Data'!H8="%%",(AVERAGEIF('Filtered Data'!AA$10:AA$500,$F120,'Filtered Data'!M$10:M$500))*100,(AVERAGEIF('Filtered Data'!AA$10:AA$500,$F120,'Filtered Data'!M$10:M$500)))</f>
        <v>81.847449666452192</v>
      </c>
      <c r="H120" s="295"/>
      <c r="I120" s="295"/>
      <c r="J120" s="295"/>
      <c r="K120" s="295"/>
      <c r="L120" s="222"/>
      <c r="M120" s="291">
        <f>K$47</f>
        <v>84.025101970508402</v>
      </c>
      <c r="N120" s="291"/>
      <c r="O120" s="291">
        <f>M$47</f>
        <v>82.994301123979568</v>
      </c>
      <c r="P120" s="291"/>
      <c r="Q120" s="291">
        <f>O$47</f>
        <v>80.791615272405707</v>
      </c>
      <c r="R120" s="291"/>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22"/>
      <c r="G121" s="295"/>
      <c r="H121" s="295"/>
      <c r="I121" s="295"/>
      <c r="J121" s="295"/>
      <c r="K121" s="295"/>
      <c r="L121" s="222"/>
      <c r="M121" s="291"/>
      <c r="N121" s="291"/>
      <c r="O121" s="291"/>
      <c r="P121" s="291"/>
      <c r="Q121" s="291"/>
      <c r="R121" s="291"/>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95"/>
      <c r="H122" s="295"/>
      <c r="I122" s="295"/>
      <c r="J122" s="295"/>
      <c r="K122" s="295"/>
      <c r="L122" s="222"/>
      <c r="M122" s="291"/>
      <c r="N122" s="291"/>
      <c r="O122" s="291"/>
      <c r="P122" s="291"/>
      <c r="Q122" s="291"/>
      <c r="R122" s="291"/>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95"/>
      <c r="H123" s="295"/>
      <c r="I123" s="295"/>
      <c r="J123" s="295"/>
      <c r="K123" s="295"/>
      <c r="L123" s="222"/>
      <c r="M123" s="291"/>
      <c r="N123" s="291"/>
      <c r="O123" s="291"/>
      <c r="P123" s="291"/>
      <c r="Q123" s="291"/>
      <c r="R123" s="291"/>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7"/>
    </row>
    <row r="134" spans="2:40" ht="12" customHeight="1"/>
    <row r="135" spans="2:40" ht="12" customHeight="1"/>
    <row r="136" spans="2:40" hidden="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sheetData>
  <sheetProtection algorithmName="SHA-512" hashValue="e0y008jD/7ICVml+alw5RfxVyna2RiqyUWPUBZd8LhJDvj+7ASljMI/cXt11oiUcmxvZ9Q4B3jnw/zGjyxp0vw==" saltValue="bLmQfIbCKybKAPPuOM6dug==" spinCount="100000" sheet="1" objects="1" scenarios="1" selectLockedCells="1"/>
  <protectedRanges>
    <protectedRange sqref="W12" name="Range3"/>
    <protectedRange sqref="W6" name="Range2"/>
    <protectedRange sqref="J5:S6" name="Range1"/>
  </protectedRanges>
  <mergeCells count="295">
    <mergeCell ref="G118:K118"/>
    <mergeCell ref="G119:K119"/>
    <mergeCell ref="G120:K120"/>
    <mergeCell ref="G121:K121"/>
    <mergeCell ref="G122:K122"/>
    <mergeCell ref="G123:K123"/>
    <mergeCell ref="M118:N118"/>
    <mergeCell ref="O118:P118"/>
    <mergeCell ref="Q118:R118"/>
    <mergeCell ref="M119:N119"/>
    <mergeCell ref="O119:P119"/>
    <mergeCell ref="Q119:R119"/>
    <mergeCell ref="M123:N123"/>
    <mergeCell ref="O123:P123"/>
    <mergeCell ref="Q123:R123"/>
    <mergeCell ref="M120:N120"/>
    <mergeCell ref="O120:P120"/>
    <mergeCell ref="Q120:R120"/>
    <mergeCell ref="M121:N121"/>
    <mergeCell ref="O121:P121"/>
    <mergeCell ref="Q121:R121"/>
    <mergeCell ref="M122:N122"/>
    <mergeCell ref="O122:P122"/>
    <mergeCell ref="Q122:R122"/>
    <mergeCell ref="AN105:AQ105"/>
    <mergeCell ref="U106:X106"/>
    <mergeCell ref="M117:N117"/>
    <mergeCell ref="O117:P117"/>
    <mergeCell ref="Q117:R117"/>
    <mergeCell ref="U103:X103"/>
    <mergeCell ref="AA96:AC96"/>
    <mergeCell ref="AA92:AC92"/>
    <mergeCell ref="U102:X102"/>
    <mergeCell ref="AD101:AM101"/>
    <mergeCell ref="U93:X93"/>
    <mergeCell ref="AA101:AC101"/>
    <mergeCell ref="U98:X98"/>
    <mergeCell ref="AA98:AC98"/>
    <mergeCell ref="AA100:AC100"/>
    <mergeCell ref="U95:X95"/>
    <mergeCell ref="E107:N107"/>
    <mergeCell ref="AA106:AC106"/>
    <mergeCell ref="AN95:AQ95"/>
    <mergeCell ref="AD99:AM99"/>
    <mergeCell ref="AA95:AC95"/>
    <mergeCell ref="AD98:AM98"/>
    <mergeCell ref="AD96:AM96"/>
    <mergeCell ref="AN104:AQ104"/>
    <mergeCell ref="AN103:AQ103"/>
    <mergeCell ref="AA102:AC102"/>
    <mergeCell ref="AN96:AQ96"/>
    <mergeCell ref="AN98:AQ98"/>
    <mergeCell ref="AD93:AM93"/>
    <mergeCell ref="AD92:AM92"/>
    <mergeCell ref="E92:T92"/>
    <mergeCell ref="E93:T93"/>
    <mergeCell ref="E94:T94"/>
    <mergeCell ref="E95:T95"/>
    <mergeCell ref="E96:T96"/>
    <mergeCell ref="E100:T100"/>
    <mergeCell ref="E101:T101"/>
    <mergeCell ref="E102:T102"/>
    <mergeCell ref="E103:T103"/>
    <mergeCell ref="AD78:AL78"/>
    <mergeCell ref="AD79:AL79"/>
    <mergeCell ref="AN99:AQ99"/>
    <mergeCell ref="AN100:AQ100"/>
    <mergeCell ref="AN101:AQ101"/>
    <mergeCell ref="AN102:AQ102"/>
    <mergeCell ref="AD81:AL81"/>
    <mergeCell ref="AD82:AL82"/>
    <mergeCell ref="AA99:AC99"/>
    <mergeCell ref="AD100:AM100"/>
    <mergeCell ref="AA94:AC94"/>
    <mergeCell ref="AD84:AL84"/>
    <mergeCell ref="AD85:AL85"/>
    <mergeCell ref="AD83:AL83"/>
    <mergeCell ref="AN92:AQ92"/>
    <mergeCell ref="AN93:AQ93"/>
    <mergeCell ref="AN94:AQ94"/>
    <mergeCell ref="AD91:AM91"/>
    <mergeCell ref="AD72:AL72"/>
    <mergeCell ref="AD69:AL69"/>
    <mergeCell ref="AA93:AC93"/>
    <mergeCell ref="U91:X91"/>
    <mergeCell ref="U92:X92"/>
    <mergeCell ref="AN97:AQ97"/>
    <mergeCell ref="U96:X96"/>
    <mergeCell ref="AA97:AC97"/>
    <mergeCell ref="AD74:AL74"/>
    <mergeCell ref="AD75:AL75"/>
    <mergeCell ref="AA91:AC91"/>
    <mergeCell ref="AN90:AP90"/>
    <mergeCell ref="U85:X85"/>
    <mergeCell ref="AN91:AQ91"/>
    <mergeCell ref="AA90:AC90"/>
    <mergeCell ref="AD90:AM90"/>
    <mergeCell ref="U82:X82"/>
    <mergeCell ref="U84:X84"/>
    <mergeCell ref="AD80:AL80"/>
    <mergeCell ref="U77:X77"/>
    <mergeCell ref="U79:X79"/>
    <mergeCell ref="U72:X72"/>
    <mergeCell ref="U83:X83"/>
    <mergeCell ref="U94:X94"/>
    <mergeCell ref="W5:AM5"/>
    <mergeCell ref="W6:AM10"/>
    <mergeCell ref="W14:AM14"/>
    <mergeCell ref="W11:AM11"/>
    <mergeCell ref="B36:W36"/>
    <mergeCell ref="AD66:AL66"/>
    <mergeCell ref="L35:O35"/>
    <mergeCell ref="B16:AM17"/>
    <mergeCell ref="X32:AB32"/>
    <mergeCell ref="Q35:W35"/>
    <mergeCell ref="B5:E5"/>
    <mergeCell ref="J10:R10"/>
    <mergeCell ref="K32:M32"/>
    <mergeCell ref="T32:W32"/>
    <mergeCell ref="E32:J32"/>
    <mergeCell ref="J5:S6"/>
    <mergeCell ref="B8:I8"/>
    <mergeCell ref="B9:I9"/>
    <mergeCell ref="B11:I11"/>
    <mergeCell ref="E47:H47"/>
    <mergeCell ref="U64:X64"/>
    <mergeCell ref="B10:I10"/>
    <mergeCell ref="W13:AM13"/>
    <mergeCell ref="AB36:AL37"/>
    <mergeCell ref="AD77:AL77"/>
    <mergeCell ref="E74:T74"/>
    <mergeCell ref="E75:T75"/>
    <mergeCell ref="E68:T68"/>
    <mergeCell ref="B80:D80"/>
    <mergeCell ref="B82:D82"/>
    <mergeCell ref="E78:T78"/>
    <mergeCell ref="B92:D92"/>
    <mergeCell ref="E79:T79"/>
    <mergeCell ref="E82:T82"/>
    <mergeCell ref="B75:D75"/>
    <mergeCell ref="B73:D73"/>
    <mergeCell ref="B74:D74"/>
    <mergeCell ref="U75:X75"/>
    <mergeCell ref="U73:X73"/>
    <mergeCell ref="E77:T77"/>
    <mergeCell ref="U78:X78"/>
    <mergeCell ref="U74:X74"/>
    <mergeCell ref="E73:T73"/>
    <mergeCell ref="AD71:AL71"/>
    <mergeCell ref="AD73:AL73"/>
    <mergeCell ref="AD76:AL76"/>
    <mergeCell ref="E72:T72"/>
    <mergeCell ref="U76:X76"/>
    <mergeCell ref="U81:X81"/>
    <mergeCell ref="AD97:AM97"/>
    <mergeCell ref="AD94:AM94"/>
    <mergeCell ref="AD95:AM95"/>
    <mergeCell ref="B3:AN3"/>
    <mergeCell ref="B70:D70"/>
    <mergeCell ref="B71:D71"/>
    <mergeCell ref="U71:X71"/>
    <mergeCell ref="S39:U39"/>
    <mergeCell ref="E71:T71"/>
    <mergeCell ref="AD67:AL67"/>
    <mergeCell ref="AD68:AL68"/>
    <mergeCell ref="Q38:R38"/>
    <mergeCell ref="Q37:R37"/>
    <mergeCell ref="V37:W37"/>
    <mergeCell ref="L37:O37"/>
    <mergeCell ref="U70:X70"/>
    <mergeCell ref="N32:S32"/>
    <mergeCell ref="AC32:AE32"/>
    <mergeCell ref="V38:W38"/>
    <mergeCell ref="S40:U40"/>
    <mergeCell ref="U80:X80"/>
    <mergeCell ref="E90:N90"/>
    <mergeCell ref="U67:X67"/>
    <mergeCell ref="U66:X66"/>
    <mergeCell ref="E70:T70"/>
    <mergeCell ref="E69:T69"/>
    <mergeCell ref="AF32:AL32"/>
    <mergeCell ref="L39:O39"/>
    <mergeCell ref="L38:O38"/>
    <mergeCell ref="Q39:R39"/>
    <mergeCell ref="Q40:R40"/>
    <mergeCell ref="V40:W40"/>
    <mergeCell ref="V39:W39"/>
    <mergeCell ref="U69:X69"/>
    <mergeCell ref="U68:X68"/>
    <mergeCell ref="J37:J38"/>
    <mergeCell ref="B1:AN1"/>
    <mergeCell ref="AD70:AL70"/>
    <mergeCell ref="B69:D69"/>
    <mergeCell ref="B65:D65"/>
    <mergeCell ref="B66:D66"/>
    <mergeCell ref="B67:D67"/>
    <mergeCell ref="E65:T65"/>
    <mergeCell ref="E66:T66"/>
    <mergeCell ref="O42:AM43"/>
    <mergeCell ref="B42:N43"/>
    <mergeCell ref="B64:D64"/>
    <mergeCell ref="B68:D68"/>
    <mergeCell ref="AD65:AL65"/>
    <mergeCell ref="U65:X65"/>
    <mergeCell ref="L40:O40"/>
    <mergeCell ref="B58:AN58"/>
    <mergeCell ref="K47:L47"/>
    <mergeCell ref="K48:L48"/>
    <mergeCell ref="W12:AM12"/>
    <mergeCell ref="K49:L49"/>
    <mergeCell ref="K50:L50"/>
    <mergeCell ref="K51:L51"/>
    <mergeCell ref="K52:L52"/>
    <mergeCell ref="AB38:AM39"/>
    <mergeCell ref="G117:K117"/>
    <mergeCell ref="B113:AM114"/>
    <mergeCell ref="B111:AN111"/>
    <mergeCell ref="B107:D107"/>
    <mergeCell ref="AD102:AM102"/>
    <mergeCell ref="AD103:AM103"/>
    <mergeCell ref="AD104:AM104"/>
    <mergeCell ref="AA107:AC107"/>
    <mergeCell ref="U107:X107"/>
    <mergeCell ref="B106:D106"/>
    <mergeCell ref="B102:D102"/>
    <mergeCell ref="B103:D103"/>
    <mergeCell ref="B104:D104"/>
    <mergeCell ref="B105:D105"/>
    <mergeCell ref="AA105:AC105"/>
    <mergeCell ref="AD105:AM105"/>
    <mergeCell ref="U104:X104"/>
    <mergeCell ref="AA103:AC103"/>
    <mergeCell ref="AA104:AC104"/>
    <mergeCell ref="AN106:AQ106"/>
    <mergeCell ref="AN107:AQ107"/>
    <mergeCell ref="B109:AN109"/>
    <mergeCell ref="U105:X105"/>
    <mergeCell ref="AD106:AM106"/>
    <mergeCell ref="B72:D72"/>
    <mergeCell ref="E67:T67"/>
    <mergeCell ref="M47:N47"/>
    <mergeCell ref="M48:N48"/>
    <mergeCell ref="M49:N49"/>
    <mergeCell ref="M50:N50"/>
    <mergeCell ref="M51:N51"/>
    <mergeCell ref="M52:N52"/>
    <mergeCell ref="O47:P47"/>
    <mergeCell ref="O48:P48"/>
    <mergeCell ref="O49:P49"/>
    <mergeCell ref="O50:P50"/>
    <mergeCell ref="O51:P51"/>
    <mergeCell ref="O52:P52"/>
    <mergeCell ref="E49:H49"/>
    <mergeCell ref="E50:H50"/>
    <mergeCell ref="E51:H51"/>
    <mergeCell ref="E52:H52"/>
    <mergeCell ref="E64:T64"/>
    <mergeCell ref="E48:H48"/>
    <mergeCell ref="B76:D76"/>
    <mergeCell ref="B90:D90"/>
    <mergeCell ref="B91:D91"/>
    <mergeCell ref="B79:D79"/>
    <mergeCell ref="E76:T76"/>
    <mergeCell ref="B81:D81"/>
    <mergeCell ref="B77:D77"/>
    <mergeCell ref="B83:D83"/>
    <mergeCell ref="B84:D84"/>
    <mergeCell ref="E84:T84"/>
    <mergeCell ref="E81:T81"/>
    <mergeCell ref="E80:T80"/>
    <mergeCell ref="E83:T83"/>
    <mergeCell ref="B78:D78"/>
    <mergeCell ref="E85:T85"/>
    <mergeCell ref="B85:D85"/>
    <mergeCell ref="E91:T91"/>
    <mergeCell ref="E104:T104"/>
    <mergeCell ref="E105:T105"/>
    <mergeCell ref="E106:T106"/>
    <mergeCell ref="U90:X90"/>
    <mergeCell ref="B93:D93"/>
    <mergeCell ref="B94:D94"/>
    <mergeCell ref="B95:D95"/>
    <mergeCell ref="B98:D98"/>
    <mergeCell ref="U97:X97"/>
    <mergeCell ref="E97:T97"/>
    <mergeCell ref="E98:T98"/>
    <mergeCell ref="E99:T99"/>
    <mergeCell ref="U101:X101"/>
    <mergeCell ref="U99:X99"/>
    <mergeCell ref="B101:D101"/>
    <mergeCell ref="B99:D99"/>
    <mergeCell ref="B100:D100"/>
    <mergeCell ref="B97:D97"/>
    <mergeCell ref="B96:D96"/>
    <mergeCell ref="U100:X100"/>
  </mergeCells>
  <phoneticPr fontId="20" type="noConversion"/>
  <conditionalFormatting sqref="B91:D106">
    <cfRule type="expression" dxfId="30" priority="47">
      <formula>IF(E91="",TRUE,FALSE)</formula>
    </cfRule>
  </conditionalFormatting>
  <conditionalFormatting sqref="Z38 Z36 K37:K41">
    <cfRule type="containsText" dxfId="29" priority="103" operator="containsText" text="L">
      <formula>NOT(ISERROR(SEARCH("L",K36)))</formula>
    </cfRule>
    <cfRule type="containsText" dxfId="28" priority="104" operator="containsText" text="J">
      <formula>NOT(ISERROR(SEARCH("J",K36)))</formula>
    </cfRule>
  </conditionalFormatting>
  <conditionalFormatting sqref="Z38 Z36 K37:K41">
    <cfRule type="containsText" dxfId="27" priority="101" operator="containsText" text="y">
      <formula>NOT(ISERROR(SEARCH("y",K36)))</formula>
    </cfRule>
    <cfRule type="containsText" dxfId="26" priority="102" operator="containsText" text="n">
      <formula>NOT(ISERROR(SEARCH("n",K36)))</formula>
    </cfRule>
  </conditionalFormatting>
  <conditionalFormatting sqref="B36">
    <cfRule type="containsText" dxfId="25" priority="3" operator="containsText" text="Bottom Quartile">
      <formula>NOT(ISERROR(SEARCH("Bottom Quartile",B36)))</formula>
    </cfRule>
    <cfRule type="containsText" dxfId="24" priority="88" operator="containsText" text="third quartile">
      <formula>NOT(ISERROR(SEARCH("third quartile",B36)))</formula>
    </cfRule>
    <cfRule type="containsText" dxfId="23" priority="89" operator="containsText" text="second quartile">
      <formula>NOT(ISERROR(SEARCH("second quartile",B36)))</formula>
    </cfRule>
    <cfRule type="containsText" dxfId="22" priority="90" operator="containsText" text="top quartile">
      <formula>NOT(ISERROR(SEARCH("top quartile",B36)))</formula>
    </cfRule>
  </conditionalFormatting>
  <conditionalFormatting sqref="E65:T85">
    <cfRule type="cellIs" dxfId="21" priority="62" stopIfTrue="1" operator="equal">
      <formula>$J$5</formula>
    </cfRule>
  </conditionalFormatting>
  <conditionalFormatting sqref="U85:X85">
    <cfRule type="expression" dxfId="20" priority="55">
      <formula>IF(E85=$J$5,TRUE,FALSE)</formula>
    </cfRule>
  </conditionalFormatting>
  <conditionalFormatting sqref="F91:K105 E91:G106 E106:N106 L91:T106">
    <cfRule type="expression" dxfId="19" priority="45">
      <formula>IF(ISNA(E106),TRUE,FALSE)</formula>
    </cfRule>
  </conditionalFormatting>
  <conditionalFormatting sqref="U65:X84">
    <cfRule type="expression" dxfId="18" priority="38">
      <formula>IF(E65=$J$5,TRUE,FALSE)</formula>
    </cfRule>
  </conditionalFormatting>
  <conditionalFormatting sqref="F101:G102 H91:K106">
    <cfRule type="expression" dxfId="17" priority="141">
      <formula>IF(ISNA(F107),TRUE,FALSE)</formula>
    </cfRule>
  </conditionalFormatting>
  <conditionalFormatting sqref="F103:G103">
    <cfRule type="expression" dxfId="16" priority="145">
      <formula>IF(ISNA(F123),TRUE,FALSE)</formula>
    </cfRule>
  </conditionalFormatting>
  <conditionalFormatting sqref="AD91:AM106 E91:T106">
    <cfRule type="cellIs" dxfId="15" priority="24" operator="equal">
      <formula>$J$5</formula>
    </cfRule>
  </conditionalFormatting>
  <conditionalFormatting sqref="AA91:AC106 B91:D106">
    <cfRule type="expression" dxfId="14" priority="23">
      <formula>IF(E91=$J$5,TRUE,FALSE)</formula>
    </cfRule>
  </conditionalFormatting>
  <conditionalFormatting sqref="U91:X106">
    <cfRule type="expression" dxfId="13" priority="21">
      <formula>IF(E91=$J$5,TRUE,FALSE)</formula>
    </cfRule>
  </conditionalFormatting>
  <conditionalFormatting sqref="U92:X106">
    <cfRule type="expression" dxfId="12" priority="20">
      <formula>IF(E92=$J$5,TRUE,FALSE)</formula>
    </cfRule>
  </conditionalFormatting>
  <conditionalFormatting sqref="AN91:AQ106">
    <cfRule type="expression" dxfId="11" priority="19">
      <formula>IF(AD91=$J$5,TRUE,FALSE)</formula>
    </cfRule>
  </conditionalFormatting>
  <conditionalFormatting sqref="Y85:AC85">
    <cfRule type="expression" dxfId="10" priority="16">
      <formula>IF(E85=$J$5,TRUE,FALSE)</formula>
    </cfRule>
  </conditionalFormatting>
  <conditionalFormatting sqref="Y65:AC84">
    <cfRule type="expression" dxfId="9" priority="15">
      <formula>IF(E65=$J$5,TRUE,FALSE)</formula>
    </cfRule>
  </conditionalFormatting>
  <conditionalFormatting sqref="Y91:Y106">
    <cfRule type="expression" dxfId="8" priority="13">
      <formula>IF(E91=$J$5,TRUE,FALSE)</formula>
    </cfRule>
  </conditionalFormatting>
  <conditionalFormatting sqref="AR91">
    <cfRule type="expression" dxfId="7" priority="12">
      <formula>IF(AD91=$J$5,TRUE,FALSE)</formula>
    </cfRule>
  </conditionalFormatting>
  <conditionalFormatting sqref="AR92:AR106">
    <cfRule type="expression" dxfId="6" priority="11">
      <formula>IF(AD92=$J$5,TRUE,FALSE)</formula>
    </cfRule>
  </conditionalFormatting>
  <conditionalFormatting sqref="K32:M32 T32 AC32:AE32 L35:O35 L37:O39">
    <cfRule type="expression" dxfId="5" priority="9">
      <formula>IF($D$22="%",TRUE,FALSE)</formula>
    </cfRule>
  </conditionalFormatting>
  <conditionalFormatting sqref="U65:X85 AN91:AQ107 U91:X107">
    <cfRule type="expression" dxfId="4" priority="6">
      <formula>IF($D$22="%",TRUE,FALSE)</formula>
    </cfRule>
  </conditionalFormatting>
  <conditionalFormatting sqref="B85:D85">
    <cfRule type="expression" dxfId="3" priority="4">
      <formula>IF($U$85="",TRUE,FALSE)</formula>
    </cfRule>
  </conditionalFormatting>
  <conditionalFormatting sqref="B65:D84">
    <cfRule type="expression" dxfId="2" priority="2">
      <formula>IF(E65=$J$5,TRUE,FALSE)</formula>
    </cfRule>
  </conditionalFormatting>
  <conditionalFormatting sqref="B85:Y85">
    <cfRule type="expression" dxfId="1" priority="1">
      <formula>IF(E85=$J$5,TRUE,FALSE)</formula>
    </cfRule>
  </conditionalFormatting>
  <dataValidations count="4">
    <dataValidation type="list" allowBlank="1" showInputMessage="1" showErrorMessage="1" sqref="D58:E58 D109:E109 D1:E1 D3:E4" xr:uid="{00000000-0002-0000-0000-000000000000}">
      <formula1>#REF!</formula1>
    </dataValidation>
    <dataValidation type="list" allowBlank="1" showInputMessage="1" showErrorMessage="1" sqref="W6:AM10" xr:uid="{00000000-0002-0000-0000-000001000000}">
      <formula1>Indicators</formula1>
    </dataValidation>
    <dataValidation type="list" allowBlank="1" showInputMessage="1" showErrorMessage="1" sqref="W12:AM12" xr:uid="{00000000-0002-0000-0000-000002000000}">
      <formula1>Years</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7"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workbookViewId="0">
      <selection activeCell="A347"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378</v>
      </c>
      <c r="D1" s="64" t="s">
        <v>389</v>
      </c>
      <c r="E1" s="24"/>
      <c r="F1" s="24"/>
      <c r="G1" s="24"/>
      <c r="H1" s="72"/>
      <c r="I1" s="73"/>
      <c r="K1" s="58"/>
      <c r="L1" s="25" t="s">
        <v>359</v>
      </c>
      <c r="M1" s="87" t="s">
        <v>383</v>
      </c>
      <c r="N1" s="87" t="s">
        <v>383</v>
      </c>
      <c r="O1" s="87"/>
      <c r="P1" s="87"/>
      <c r="Q1" s="87"/>
      <c r="R1" s="87"/>
      <c r="T1" s="350" t="s">
        <v>823</v>
      </c>
      <c r="U1" s="351"/>
      <c r="V1" s="351"/>
      <c r="W1" s="352"/>
      <c r="X1" s="58"/>
      <c r="AA1" s="350" t="s">
        <v>822</v>
      </c>
      <c r="AB1" s="351"/>
      <c r="AC1" s="351"/>
      <c r="AD1" s="352"/>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386</v>
      </c>
      <c r="M2" s="87" t="s">
        <v>414</v>
      </c>
      <c r="N2" s="87" t="s">
        <v>420</v>
      </c>
      <c r="O2" s="87"/>
      <c r="P2" s="88"/>
      <c r="Q2" s="88"/>
      <c r="R2" s="88"/>
      <c r="S2" s="59"/>
      <c r="T2" s="350"/>
      <c r="U2" s="351"/>
      <c r="V2" s="351"/>
      <c r="W2" s="352"/>
      <c r="X2" s="348"/>
      <c r="Y2" s="349"/>
      <c r="Z2" s="349"/>
      <c r="AA2" s="350"/>
      <c r="AB2" s="351"/>
      <c r="AC2" s="351"/>
      <c r="AD2" s="352"/>
      <c r="AE2" s="58"/>
      <c r="AF2" s="61"/>
      <c r="AG2" s="61"/>
      <c r="AI2" s="58"/>
      <c r="AL2" s="24"/>
      <c r="AP2" s="58"/>
      <c r="AQ2" s="69"/>
      <c r="AR2" s="24"/>
      <c r="AS2" s="24"/>
      <c r="AT2" s="24"/>
      <c r="AU2" s="24"/>
      <c r="AV2" s="24"/>
      <c r="AW2" s="79"/>
      <c r="AX2" s="42"/>
      <c r="AZ2" s="42"/>
      <c r="ABG2" s="62" t="s">
        <v>405</v>
      </c>
    </row>
    <row r="3" spans="1:735" s="25" customFormat="1">
      <c r="A3" s="53"/>
      <c r="B3" s="53"/>
      <c r="C3" s="25" t="s">
        <v>408</v>
      </c>
      <c r="D3" s="25" t="str">
        <f>Profile!J5</f>
        <v>Cumbria</v>
      </c>
      <c r="F3" s="73" t="str">
        <f>VLOOKUP(D3,classifications!C:G,4,FALSE)</f>
        <v>SC</v>
      </c>
      <c r="G3" s="25" t="str">
        <f>VLOOKUP(D3,classifications!C:E,3,FALSE)</f>
        <v>North West</v>
      </c>
      <c r="H3" s="81" t="str">
        <f>VLOOKUP(D3,classifications!C:H,6,FALSE)</f>
        <v>Predominantly Rural</v>
      </c>
      <c r="I3" s="25" t="str">
        <f>VLOOKUP(D3,classifications!C:J,8,FALSE)</f>
        <v>Cumbria</v>
      </c>
      <c r="J3" s="24" t="str">
        <f>VLOOKUP(D3,classifications!C:I,7,FALSE)</f>
        <v>Predominantly Rural</v>
      </c>
      <c r="K3" s="58"/>
      <c r="L3" s="25" t="s">
        <v>387</v>
      </c>
      <c r="M3" s="87" t="s">
        <v>415</v>
      </c>
      <c r="N3" s="87" t="s">
        <v>396</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389</v>
      </c>
      <c r="M4" s="87" t="s">
        <v>416</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406</v>
      </c>
      <c r="D5" s="82" t="str">
        <f>Profile!W6</f>
        <v>Proportion of residents who do any walking or cycling, at least once per month</v>
      </c>
      <c r="E5" s="82"/>
      <c r="F5" s="24"/>
      <c r="G5" s="24"/>
      <c r="H5" s="72"/>
      <c r="I5" s="73"/>
      <c r="K5" s="58" t="s">
        <v>3</v>
      </c>
      <c r="L5" s="25" t="s">
        <v>381</v>
      </c>
      <c r="M5" s="87" t="s">
        <v>417</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407</v>
      </c>
      <c r="D6" s="83" t="str">
        <f>Profile!W12</f>
        <v>2018/19</v>
      </c>
      <c r="E6" s="83"/>
      <c r="F6" s="24"/>
      <c r="G6" s="24"/>
      <c r="H6" s="72"/>
      <c r="I6" s="74"/>
      <c r="K6" s="58" t="s">
        <v>3</v>
      </c>
      <c r="L6" s="25" t="s">
        <v>418</v>
      </c>
      <c r="M6" s="87" t="s">
        <v>419</v>
      </c>
      <c r="N6" s="87" t="s">
        <v>421</v>
      </c>
      <c r="O6" s="87"/>
      <c r="P6" s="97" t="s">
        <v>402</v>
      </c>
      <c r="Q6" s="97" t="s">
        <v>403</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87.874989098739817</v>
      </c>
      <c r="Q7" s="98">
        <f>IF(I8="A",MAX(N11:N363),MIN(N11:N363))</f>
        <v>0</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794</v>
      </c>
      <c r="D8" s="165" t="str">
        <f>VLOOKUP(D5,'Indicator info'!A:D,2,FALSE)</f>
        <v>.</v>
      </c>
      <c r="E8" s="165"/>
      <c r="F8" s="83" t="s">
        <v>793</v>
      </c>
      <c r="G8" s="166" t="str">
        <f>VLOOKUP(D5,'Indicator info'!A:D,3,FALSE)</f>
        <v>.</v>
      </c>
      <c r="H8" s="167" t="str">
        <f>D8&amp;G8</f>
        <v>..</v>
      </c>
      <c r="I8" s="168" t="str">
        <f>VLOOKUP(D5,'Indicator info'!A:D,4,FALSE)</f>
        <v>D</v>
      </c>
      <c r="K8" s="58"/>
      <c r="M8" s="100"/>
      <c r="N8" s="100"/>
      <c r="O8" s="100"/>
      <c r="P8" s="75" t="str">
        <f>D3</f>
        <v>Cumbria</v>
      </c>
      <c r="Q8" s="99">
        <f>VLOOKUP(D3,L11:N363,3,FALSE)</f>
        <v>83.002586119216289</v>
      </c>
      <c r="R8" s="100" t="str">
        <f>IF(I8="A",IF(Q8&gt;Q10,"Bottom",IF(Q8&gt;P10,"Third",IF(Q8&gt;O10,"Second","Top"))),IF(Q8&gt;=O10,"Top",IF(Q8&gt;=P10,"Second",IF(Q8&gt;=Q10,"Third","Bottom"))))</f>
        <v>Second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SC Authorities only</v>
      </c>
      <c r="I9" s="76"/>
      <c r="J9" s="18"/>
      <c r="K9" s="31" t="str">
        <f>"Rank &amp; Quartiles for all "&amp;D1&amp;" Authorities"</f>
        <v>Rank &amp; Quartiles for all SC Authorities</v>
      </c>
      <c r="L9" s="32"/>
      <c r="M9" s="86">
        <f>IF($H$8="%.",(AVERAGE(M11:M363))/100,(AVERAGE(M11:M363)))</f>
        <v>79.513991946519596</v>
      </c>
      <c r="N9" s="86"/>
      <c r="O9" s="89" t="s">
        <v>341</v>
      </c>
      <c r="P9" s="89" t="s">
        <v>352</v>
      </c>
      <c r="Q9" s="89" t="s">
        <v>353</v>
      </c>
      <c r="R9" s="91" t="s">
        <v>401</v>
      </c>
      <c r="S9" s="30"/>
      <c r="T9" s="178" t="s">
        <v>818</v>
      </c>
      <c r="U9" s="179">
        <f>IF($H$8="%.",(AVERAGE(U11:U363))/100,(AVERAGE(U11:U363)))</f>
        <v>81.768914887220902</v>
      </c>
      <c r="V9" s="180"/>
      <c r="W9" s="180"/>
      <c r="X9" s="84" t="str">
        <f>"Lower Level Ranking for Authorites in "&amp;H3&amp;" &amp; are a "&amp;F3</f>
        <v>Lower Level Ranking for Authorites in Predominantly Rural &amp; are a SC</v>
      </c>
      <c r="Y9" s="86" t="e">
        <f>IF($H$8="%.",(AVERAGE(Y11:Y363))/100,(AVERAGE(Y11:Y363)))</f>
        <v>#DIV/0!</v>
      </c>
      <c r="Z9" s="85"/>
      <c r="AA9" s="186" t="s">
        <v>380</v>
      </c>
      <c r="AB9" s="179">
        <f>IF($H$8="%.",(AVERAGE(AB11:AB363))/100,(AVERAGE(AB11:AB363)))</f>
        <v>74.965314180040451</v>
      </c>
      <c r="AC9" s="187"/>
      <c r="AD9" s="187"/>
      <c r="AE9" s="31" t="s">
        <v>410</v>
      </c>
      <c r="AG9" s="86">
        <f>IF($H$8="%.",(AVERAGE(AG11:AG363))/100,(AVERAGE(AG11:AG363)))</f>
        <v>76.676881840220418</v>
      </c>
      <c r="AI9" s="84" t="str">
        <f>"County Ranking &amp; Top Authorites in "&amp;I3&amp;" &amp; are a "&amp;F3</f>
        <v>County Ranking &amp; Top Authorites in Cumbria &amp; are a SC</v>
      </c>
      <c r="AJ9" s="86">
        <f>IF($H$8="%.",(AVERAGE(AJ11:AJ363))/100,(AVERAGE(AJ11:AJ363)))</f>
        <v>83.002586119216289</v>
      </c>
      <c r="AK9" s="85"/>
      <c r="AL9" s="44"/>
      <c r="AM9" s="8"/>
      <c r="AN9" s="8"/>
      <c r="AP9" s="84" t="str">
        <f>"Regional Ranking in for "&amp;F3</f>
        <v>Regional Ranking in for SC</v>
      </c>
      <c r="AQ9" s="86">
        <f>IF($H$8="%.",(AVERAGE(AQ11:AQ363))/100,(AVERAGE(AQ11:AQ363)))</f>
        <v>81.521315921718696</v>
      </c>
      <c r="AR9" s="85"/>
      <c r="AS9" s="85"/>
      <c r="AT9" s="85"/>
      <c r="AU9" s="85"/>
      <c r="AV9" s="26"/>
      <c r="AW9" s="79"/>
      <c r="AX9" s="125" t="str">
        <f>Profile!$W$6</f>
        <v>Proportion of residents who do any walking or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411</v>
      </c>
      <c r="B10" s="55"/>
      <c r="C10" s="20" t="s">
        <v>399</v>
      </c>
      <c r="D10" s="20" t="s">
        <v>378</v>
      </c>
      <c r="E10" s="20" t="s">
        <v>373</v>
      </c>
      <c r="F10" s="20" t="s">
        <v>374</v>
      </c>
      <c r="H10" s="52" t="s">
        <v>374</v>
      </c>
      <c r="I10" s="52" t="s">
        <v>354</v>
      </c>
      <c r="K10" s="47" t="s">
        <v>354</v>
      </c>
      <c r="L10" s="48" t="s">
        <v>333</v>
      </c>
      <c r="M10" s="92" t="s">
        <v>374</v>
      </c>
      <c r="N10" s="92" t="s">
        <v>799</v>
      </c>
      <c r="O10" s="93">
        <f>IF(I8="A",QUARTILE(N:N,1),QUARTILE(N:N,3))</f>
        <v>84.025101970508402</v>
      </c>
      <c r="P10" s="93">
        <f>QUARTILE(N:N,2)</f>
        <v>82.994301123979568</v>
      </c>
      <c r="Q10" s="93">
        <f>IF(I8="A",QUARTILE(N:N,3),QUARTILE(N:N,1))</f>
        <v>80.791615272405707</v>
      </c>
      <c r="R10" s="92"/>
      <c r="S10" s="49"/>
      <c r="T10" s="181" t="s">
        <v>373</v>
      </c>
      <c r="U10" s="182" t="s">
        <v>374</v>
      </c>
      <c r="V10" s="182" t="s">
        <v>354</v>
      </c>
      <c r="W10" s="182"/>
      <c r="X10" s="50" t="s">
        <v>379</v>
      </c>
      <c r="Y10" s="20" t="s">
        <v>374</v>
      </c>
      <c r="Z10" s="20" t="s">
        <v>354</v>
      </c>
      <c r="AA10" s="181" t="s">
        <v>380</v>
      </c>
      <c r="AB10" s="182" t="s">
        <v>374</v>
      </c>
      <c r="AC10" s="182" t="s">
        <v>354</v>
      </c>
      <c r="AD10" s="182"/>
      <c r="AE10" s="50" t="s">
        <v>354</v>
      </c>
      <c r="AF10" s="20" t="s">
        <v>409</v>
      </c>
      <c r="AG10" s="70" t="s">
        <v>374</v>
      </c>
      <c r="AI10" s="50" t="s">
        <v>301</v>
      </c>
      <c r="AJ10" s="20" t="s">
        <v>374</v>
      </c>
      <c r="AK10" s="51" t="s">
        <v>354</v>
      </c>
      <c r="AL10" s="51" t="s">
        <v>375</v>
      </c>
      <c r="AM10" s="20" t="s">
        <v>409</v>
      </c>
      <c r="AN10" s="20" t="s">
        <v>374</v>
      </c>
      <c r="AO10" s="52"/>
      <c r="AP10" s="50" t="s">
        <v>339</v>
      </c>
      <c r="AQ10" s="70" t="s">
        <v>374</v>
      </c>
      <c r="AR10" s="20" t="s">
        <v>354</v>
      </c>
      <c r="AS10" s="51" t="s">
        <v>375</v>
      </c>
      <c r="AT10" s="20" t="s">
        <v>409</v>
      </c>
      <c r="AU10" s="20" t="s">
        <v>374</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SC1</v>
      </c>
      <c r="B11" s="57" t="str">
        <f>IF(ISERROR(VLOOKUP(A11,classifications!A:C,3,FALSE)),0,VLOOKUP(A11,classifications!A:C,3,FALSE))</f>
        <v>Cumbria</v>
      </c>
      <c r="C11" s="8" t="s">
        <v>4</v>
      </c>
      <c r="D11" s="26" t="str">
        <f>VLOOKUP($C11,classifications!$C:$J,4,FALSE)</f>
        <v>SD</v>
      </c>
      <c r="E11" s="26">
        <f>VLOOKUP(C11,classifications!C:K,9,FALSE)</f>
        <v>0</v>
      </c>
      <c r="F11" s="36">
        <f t="shared" ref="F11:F74" si="0">HLOOKUP($D$6,AX$10:ZX$368,ROW()-9,FALSE)</f>
        <v>83.883886554025949</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Oxfordshire</v>
      </c>
      <c r="M11" s="102">
        <f>IF(L11="","",IF(VLOOKUP(L11,C:D,2,FALSE)=$F$3,VLOOKUP(L11,C:H,6,FALSE),""))</f>
        <v>87.874989098739817</v>
      </c>
      <c r="N11" s="101">
        <f>IF(L11="","",IF($H$8="%%",M11*100,M11))</f>
        <v>87.874989098739817</v>
      </c>
      <c r="O11" s="94">
        <f>IF(I$8="A",IF(N11&gt;=$P$7,IF(N11&lt;=$O$10,N11,""),""),IF(N11&lt;=$P$7,IF(N11&gt;=$O$10,N11,""),""))</f>
        <v>87.874989098739817</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Predominantly Rural</v>
      </c>
      <c r="Y11" s="26" t="b">
        <f t="shared" ref="Y11:Y74" si="3">IF($D$1="UA",IF(X11="Largely Rural (rural including hub towns 50-79%) ",M11,IF(X11="Mainly Rural (rural including hub towns &gt;=80%) ",M11,IF(X11="Urban with Significant Rural (rural including hub towns 26-49%)",M11,""))),IF($D$1="SD",IF(X11=$H$3,M11,"")))</f>
        <v>0</v>
      </c>
      <c r="Z11" s="34" t="e">
        <f>IF(Y11="","",IF(I$8="A",(RANK(Y11,Y$11:Y$368,1)+COUNTIF(Y$11:Y11,Y11)-1),(RANK(Y11,Y$11:Y$368)+COUNTIF(Y$11:Y11,Y11)-1)))</f>
        <v>#N/A</v>
      </c>
      <c r="AA11" s="188" t="str">
        <f>IF(L11="","",VLOOKUP($L11,classifications!C:I,7,FALSE))</f>
        <v>Predominantly Rural</v>
      </c>
      <c r="AB11" s="184">
        <f>IF(AA11=$J$3,M11,"")</f>
        <v>87.874989098739817</v>
      </c>
      <c r="AC11" s="184">
        <f>IF(AB11="","",IF($I$8="A",(RANK(AB11,AB$11:AB$368)+COUNTIF(AB$11:AB11,AB11)-1),(RANK(AB11,AB$11:AB$368,1)+COUNTIF(AB$11:AB11,AB11)-1)))</f>
        <v>10</v>
      </c>
      <c r="AD11" s="184"/>
      <c r="AE11" s="45">
        <f>IF(I$8="A",(RANK(AG11,AG$11:AG$368,1)+COUNTIF(AG$11:AG11,AG11)-1),(RANK(AG11,AG$11:AG$368)+COUNTIF(AG$11:AG11,AG11)-1))</f>
        <v>6</v>
      </c>
      <c r="AF11" s="43" t="str">
        <f>'Filtered Data'!D3</f>
        <v>Cumbria</v>
      </c>
      <c r="AG11" s="95">
        <f>VLOOKUP(Profile!$J$5,$C$11:$H$368,4,FALSE)</f>
        <v>83.002586119216289</v>
      </c>
      <c r="AH11" s="46">
        <f>AE11</f>
        <v>6</v>
      </c>
      <c r="AI11" s="38" t="str">
        <f>IF(L11="","",VLOOKUP($L11,classifications!$C:$J,8,FALSE))</f>
        <v>Oxfordshire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Cumbria</v>
      </c>
      <c r="AN11" s="8">
        <f>(VLOOKUP(AM11,L:M,2,FALSE))</f>
        <v>83.002586119216289</v>
      </c>
      <c r="AP11" s="38" t="str">
        <f>IF(L11="","",VLOOKUP($L11,classifications!$C:$E,3,FALSE))</f>
        <v>South East</v>
      </c>
      <c r="AQ11" s="39" t="str">
        <f>IF(AP11=$G$3,$M11,"")</f>
        <v/>
      </c>
      <c r="AR11" s="34" t="str">
        <f>IF(AQ11="","",IF(I$8="A",(RANK(AQ11,AQ$11:AQ$368,1)+COUNTIF(AQ$11:AQ11,AQ11)-1),(RANK(AQ11,AQ$11:AQ$368)+COUNTIF(AQ$11:AQ11,AQ11)-1)))</f>
        <v/>
      </c>
      <c r="AS11" s="34">
        <v>1</v>
      </c>
      <c r="AT11" s="34" t="str">
        <f t="shared" ref="AT11:AT74" si="6">IF(AS11="","",INDEX(L$11:L$368,MATCH(AS11,AR$11:AR$368,0)))</f>
        <v>Cumbria</v>
      </c>
      <c r="AU11" s="39">
        <f>IF(AT11="","",VLOOKUP(AT11,L:M,2,FALSE))</f>
        <v>83.002586119216289</v>
      </c>
      <c r="AX11" s="21">
        <f>HLOOKUP($AX$9&amp;$AX$10,Data!$A$1:$ZZ$2000,(MATCH($C11,Data!$A$1:$A$2000,0)),FALSE)</f>
        <v>83.883886554025949</v>
      </c>
      <c r="AY11" s="103"/>
      <c r="AZ11" s="21"/>
    </row>
    <row r="12" spans="1:735">
      <c r="A12" s="56" t="str">
        <f>$D$1&amp;2</f>
        <v>SC2</v>
      </c>
      <c r="B12" s="57" t="str">
        <f>IF(ISERROR(VLOOKUP(A12,classifications!A:C,3,FALSE)),0,VLOOKUP(A12,classifications!A:C,3,FALSE))</f>
        <v>Derbyshire</v>
      </c>
      <c r="C12" s="8" t="s">
        <v>6</v>
      </c>
      <c r="D12" s="26" t="str">
        <f>VLOOKUP($C12,classifications!$C:$J,4,FALSE)</f>
        <v>SD</v>
      </c>
      <c r="E12" s="26" t="str">
        <f>VLOOKUP(C12,classifications!C:K,9,FALSE)</f>
        <v>Sparse</v>
      </c>
      <c r="F12" s="36">
        <f t="shared" si="0"/>
        <v>81.774925961121198</v>
      </c>
      <c r="G12" s="71"/>
      <c r="H12" s="37" t="str">
        <f t="shared" si="1"/>
        <v/>
      </c>
      <c r="I12" s="77" t="str">
        <f>IF(H12="","",IF($I$8="A",(RANK(H12,H$11:H$368,1)+COUNTIF(H$11:H12,H12)-1),(RANK(H12,H$11:H$368)+COUNTIF(H$11:H12,H12)-1)))</f>
        <v/>
      </c>
      <c r="J12" s="35"/>
      <c r="K12" s="28">
        <f t="shared" ref="K12:K75" si="7">IF(K11="","",IF(K11+1&gt;(COUNT(H$11:H$368)),"",K11+1))</f>
        <v>2</v>
      </c>
      <c r="L12" s="36" t="str">
        <f t="shared" si="2"/>
        <v>Devon</v>
      </c>
      <c r="M12" s="102">
        <f>IF(L12="","",IF(VLOOKUP(L12,C:D,2,FALSE)=$F$3,VLOOKUP(L12,C:H,6,FALSE),""))</f>
        <v>85.885087274196607</v>
      </c>
      <c r="N12" s="101">
        <f>IF(L12="","",IF($H$8="%%",M12*100,M12))</f>
        <v>85.885087274196607</v>
      </c>
      <c r="O12" s="94">
        <f t="shared" ref="O12:O74" si="8">IF(I$8="A",IF(N12&gt;=$P$7,IF(N12&lt;=$O$10,N12,""),""),IF(N12&lt;=$P$7,IF(N12&gt;=$O$10,N12,""),""))</f>
        <v>85.885087274196607</v>
      </c>
      <c r="P12" s="94" t="str">
        <f>IF(I$8="A",IF(N12&gt;$O$10,IF(N12&lt;=$P$10,N12,""),""),IF(N12&lt;$O$10,IF(N12&gt;=$P$10,N12,""),""))</f>
        <v/>
      </c>
      <c r="Q12" s="94" t="str">
        <f>IF(I$8="A",IF(N12&gt;$P$10,IF(N12&lt;=$Q$10,N12,""),""),IF(N12&lt;$P$10,IF(N12&gt;=$Q$10,N12,""),""))</f>
        <v/>
      </c>
      <c r="R12" s="90" t="str">
        <f>IF(I$8="A",IF(N12&gt;$Q$10,N12,""),IF(N12&lt;$Q$10,N12,""))</f>
        <v/>
      </c>
      <c r="S12" s="37" t="str">
        <f t="shared" ref="S12:S75" si="9">IF(L12=D$3,"u","")</f>
        <v/>
      </c>
      <c r="T12" s="176" t="str">
        <f>IF(L12="","",VLOOKUP(L12,classifications!C:K,9,FALSE))</f>
        <v>Sparse</v>
      </c>
      <c r="U12" s="183">
        <f t="shared" ref="U12:U42" si="10">IF(T12="Sparse",M12,"")</f>
        <v>85.885087274196607</v>
      </c>
      <c r="V12" s="184">
        <f>IF(U12="","",IF($I$8="A",(RANK(U12,U$11:U$368)+COUNTIF(U$11:U12,U12)-1),(RANK(U12,U$11:U$368,1)+COUNTIF(U$11:U12,U12)-1)))</f>
        <v>16</v>
      </c>
      <c r="W12" s="185"/>
      <c r="X12" s="38" t="str">
        <f>IF(L12="","",VLOOKUP($L12,classifications!$C:$J,6,FALSE))</f>
        <v>Predominantly Rural</v>
      </c>
      <c r="Y12" s="26" t="b">
        <f t="shared" si="3"/>
        <v>0</v>
      </c>
      <c r="Z12" s="34" t="e">
        <f>IF(Y12="","",IF(I$8="A",(RANK(Y12,Y$11:Y$368,1)+COUNTIF(Y$11:Y12,Y12)-1),(RANK(Y12,Y$11:Y$368)+COUNTIF(Y$11:Y12,Y12)-1)))</f>
        <v>#N/A</v>
      </c>
      <c r="AA12" s="188" t="str">
        <f>IF(L12="","",VLOOKUP($L12,classifications!C:I,7,FALSE))</f>
        <v>Predominantly Rural</v>
      </c>
      <c r="AB12" s="184">
        <f t="shared" ref="AB12:AB75" si="11">IF(AA12=$J$3,M12,"")</f>
        <v>85.885087274196607</v>
      </c>
      <c r="AC12" s="184">
        <f>IF(AB12="","",IF($I$8="A",(RANK(AB12,AB$11:AB$368)+COUNTIF(AB$11:AB12,AB12)-1),(RANK(AB12,AB$11:AB$368,1)+COUNTIF(AB$11:AB12,AB12)-1)))</f>
        <v>9</v>
      </c>
      <c r="AD12" s="184"/>
      <c r="AE12" s="45">
        <f>IF(I$8="A",(RANK(AG12,AG$11:AG$368,1)+COUNTIF(AG$11:AG12,AG12)-1),(RANK(AG12,AG$11:AG$368)+COUNTIF(AG$11:AG12,AG12)-1))</f>
        <v>10</v>
      </c>
      <c r="AF12" s="1" t="str">
        <f>VLOOKUP(Profile!$J$5,Families!$C:$R,2,FALSE)</f>
        <v>Derbyshire</v>
      </c>
      <c r="AG12" s="96">
        <f t="shared" ref="AG12:AG26" si="12">VLOOKUP(AF12,$C$11:$H$368,4,FALSE)</f>
        <v>81.217592590947703</v>
      </c>
      <c r="AH12" s="46">
        <f>AE12</f>
        <v>10</v>
      </c>
      <c r="AI12" s="38" t="str">
        <f>IF(L12="","",VLOOKUP($L12,classifications!$C:$J,8,FALSE))</f>
        <v>Devon</v>
      </c>
      <c r="AJ12" s="39" t="str">
        <f t="shared" si="4"/>
        <v/>
      </c>
      <c r="AK12" s="34" t="str">
        <f>IF(AJ12="","",IF(I$8="A",(RANK(AJ12,AJ$11:AJ$368,1)+COUNTIF(AJ$11:AJ12,AJ12)-1),(RANK(AJ12,AJ$11:AJ$368)+COUNTIF(AJ$11:AJ12,AJ12)-1)))</f>
        <v/>
      </c>
      <c r="AL12" s="29" t="str">
        <f t="shared" ref="AL12:AL75" si="13">IF(AL11="","",IF(AL11+1&gt;(COUNT(AJ$11:AJ$368)),"",AL11+1))</f>
        <v/>
      </c>
      <c r="AM12" s="8" t="str">
        <f t="shared" si="5"/>
        <v/>
      </c>
      <c r="AN12" s="8" t="str">
        <f t="shared" ref="AN12:AN75" si="14">(VLOOKUP(AM12,L:M,2,FALSE))</f>
        <v/>
      </c>
      <c r="AP12" s="38" t="str">
        <f>IF(L12="","",VLOOKUP($L12,classifications!$C:$E,3,FALSE))</f>
        <v>South West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Lancashire</v>
      </c>
      <c r="AU12" s="39">
        <f t="shared" ref="AU12:AU75" si="17">IF(AT12="","",VLOOKUP(AT12,L:M,2,FALSE))</f>
        <v>80.040045724221116</v>
      </c>
      <c r="AX12" s="21">
        <f>HLOOKUP($AX$9&amp;$AX$10,Data!$A$1:$ZZ$2000,(MATCH($C12,Data!$A$1:$A$2000,0)),FALSE)</f>
        <v>81.774925961121198</v>
      </c>
      <c r="AY12" s="103"/>
      <c r="AZ12" s="21"/>
    </row>
    <row r="13" spans="1:735">
      <c r="A13" s="56" t="str">
        <f>$D$1&amp;3</f>
        <v>SC3</v>
      </c>
      <c r="B13" s="57" t="str">
        <f>IF(ISERROR(VLOOKUP(A13,classifications!A:C,3,FALSE)),0,VLOOKUP(A13,classifications!A:C,3,FALSE))</f>
        <v>Devon</v>
      </c>
      <c r="C13" s="8" t="s">
        <v>7</v>
      </c>
      <c r="D13" s="26" t="str">
        <f>VLOOKUP($C13,classifications!$C:$J,4,FALSE)</f>
        <v>SD</v>
      </c>
      <c r="E13" s="26">
        <f>VLOOKUP(C13,classifications!C:K,9,FALSE)</f>
        <v>0</v>
      </c>
      <c r="F13" s="36">
        <f t="shared" si="0"/>
        <v>81.9033742825373</v>
      </c>
      <c r="G13" s="71"/>
      <c r="H13" s="37" t="str">
        <f t="shared" si="1"/>
        <v/>
      </c>
      <c r="I13" s="77" t="str">
        <f>IF(H13="","",IF($I$8="A",(RANK(H13,H$11:H$368,1)+COUNTIF(H$11:H13,H13)-1),(RANK(H13,H$11:H$368)+COUNTIF(H$11:H13,H13)-1)))</f>
        <v/>
      </c>
      <c r="J13" s="35"/>
      <c r="K13" s="28">
        <f t="shared" si="7"/>
        <v>3</v>
      </c>
      <c r="L13" s="36" t="str">
        <f t="shared" si="2"/>
        <v>Surrey</v>
      </c>
      <c r="M13" s="102">
        <f>IF(L13="","",IF(VLOOKUP(L13,C:D,2,FALSE)=$F$3,VLOOKUP(L13,C:H,6,FALSE),""))</f>
        <v>84.966154875457107</v>
      </c>
      <c r="N13" s="101">
        <f>IF(L13="","",IF($H$8="%%",M13*100,M13))</f>
        <v>84.966154875457107</v>
      </c>
      <c r="O13" s="94">
        <f t="shared" si="8"/>
        <v>84.966154875457107</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Predominantly Urban</v>
      </c>
      <c r="Y13" s="26" t="b">
        <f t="shared" si="3"/>
        <v>0</v>
      </c>
      <c r="Z13" s="34" t="e">
        <f>IF(Y13="","",IF(I$8="A",(RANK(Y13,Y$11:Y$368,1)+COUNTIF(Y$11:Y13,Y13)-1),(RANK(Y13,Y$11:Y$368)+COUNTIF(Y$11:Y13,Y13)-1)))</f>
        <v>#N/A</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3</v>
      </c>
      <c r="AF13" s="1" t="str">
        <f>VLOOKUP(Profile!$J$5,Families!$C:$R,3,FALSE)</f>
        <v>North Yorkshire</v>
      </c>
      <c r="AG13" s="96">
        <f t="shared" si="12"/>
        <v>83.963842489910377</v>
      </c>
      <c r="AH13" s="46">
        <f t="shared" ref="AH13:AH26" si="21">AE13</f>
        <v>3</v>
      </c>
      <c r="AI13" s="38" t="str">
        <f>IF(L13="","",VLOOKUP($L13,classifications!$C:$J,8,FALSE))</f>
        <v>Surrey</v>
      </c>
      <c r="AJ13" s="39" t="str">
        <f>IF(AI13=$I$3,M13,"")</f>
        <v/>
      </c>
      <c r="AK13" s="34" t="str">
        <f>IF(AJ13="","",IF(I$8="A",(RANK(AJ13,AJ$11:AJ$368,1)+COUNTIF(AJ$11:AJ13,AJ13)-1),(RANK(AJ13,AJ$11:AJ$368)+COUNTIF(AJ$11:AJ13,AJ13)-1)))</f>
        <v/>
      </c>
      <c r="AL13" s="29" t="str">
        <f t="shared" si="13"/>
        <v/>
      </c>
      <c r="AM13" s="8" t="str">
        <f t="shared" si="5"/>
        <v/>
      </c>
      <c r="AN13" s="8" t="str">
        <f t="shared" si="14"/>
        <v/>
      </c>
      <c r="AP13" s="38" t="str">
        <f>IF(L13="","",VLOOKUP($L13,classifications!$C:$E,3,FALSE))</f>
        <v>South East</v>
      </c>
      <c r="AQ13" s="39" t="str">
        <f t="shared" si="15"/>
        <v/>
      </c>
      <c r="AR13" s="34" t="str">
        <f>IF(AQ13="","",IF(I$8="A",(RANK(AQ13,AQ$11:AQ$368,1)+COUNTIF(AQ$11:AQ13,AQ13)-1),(RANK(AQ13,AQ$11:AQ$368)+COUNTIF(AQ$11:AQ13,AQ13)-1)))</f>
        <v/>
      </c>
      <c r="AS13" s="29" t="str">
        <f t="shared" si="16"/>
        <v/>
      </c>
      <c r="AT13" s="34" t="str">
        <f t="shared" si="6"/>
        <v/>
      </c>
      <c r="AU13" s="39" t="str">
        <f t="shared" si="17"/>
        <v/>
      </c>
      <c r="AX13" s="21">
        <f>HLOOKUP($AX$9&amp;$AX$10,Data!$A$1:$ZZ$2000,(MATCH($C13,Data!$A$1:$A$2000,0)),FALSE)</f>
        <v>81.9033742825373</v>
      </c>
      <c r="AY13" s="103"/>
      <c r="AZ13" s="21"/>
    </row>
    <row r="14" spans="1:735">
      <c r="A14" s="56" t="str">
        <f>$D$1&amp;4</f>
        <v>SC4</v>
      </c>
      <c r="B14" s="57" t="str">
        <f>IF(ISERROR(VLOOKUP(A14,classifications!A:C,3,FALSE)),0,VLOOKUP(A14,classifications!A:C,3,FALSE))</f>
        <v>East Sussex</v>
      </c>
      <c r="C14" s="8" t="s">
        <v>8</v>
      </c>
      <c r="D14" s="26" t="str">
        <f>VLOOKUP($C14,classifications!$C:$J,4,FALSE)</f>
        <v>SD</v>
      </c>
      <c r="E14" s="26">
        <f>VLOOKUP(C14,classifications!C:K,9,FALSE)</f>
        <v>0</v>
      </c>
      <c r="F14" s="36">
        <f t="shared" si="0"/>
        <v>86.183848082296933</v>
      </c>
      <c r="G14" s="71"/>
      <c r="H14" s="37" t="str">
        <f t="shared" si="1"/>
        <v/>
      </c>
      <c r="I14" s="77" t="str">
        <f>IF(H14="","",IF($I$8="A",(RANK(H14,H$11:H$368,1)+COUNTIF(H$11:H14,H14)-1),(RANK(H14,H$11:H$368)+COUNTIF(H$11:H14,H14)-1)))</f>
        <v/>
      </c>
      <c r="J14" s="35"/>
      <c r="K14" s="28">
        <f t="shared" si="7"/>
        <v>4</v>
      </c>
      <c r="L14" s="36" t="str">
        <f t="shared" si="2"/>
        <v>Hertfordshire</v>
      </c>
      <c r="M14" s="102">
        <f t="shared" ref="M14:M75" si="22">IF(L14="","",IF(VLOOKUP(L14,C:D,2,FALSE)=$F$3,VLOOKUP(L14,C:H,6,FALSE),""))</f>
        <v>84.546740883384402</v>
      </c>
      <c r="N14" s="101">
        <f t="shared" ref="N14:N75" si="23">IF(L14="","",IF($H$8="%%",M14*100,M14))</f>
        <v>84.546740883384402</v>
      </c>
      <c r="O14" s="94">
        <f t="shared" si="8"/>
        <v>84.546740883384402</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Predominantly Urban</v>
      </c>
      <c r="Y14" s="26" t="b">
        <f t="shared" si="3"/>
        <v>0</v>
      </c>
      <c r="Z14" s="34" t="e">
        <f>IF(Y14="","",IF(I$8="A",(RANK(Y14,Y$11:Y$368,1)+COUNTIF(Y$11:Y14,Y14)-1),(RANK(Y14,Y$11:Y$368)+COUNTIF(Y$11:Y14,Y14)-1)))</f>
        <v>#N/A</v>
      </c>
      <c r="AA14" s="188" t="str">
        <f>IF(L14="","",VLOOKUP($L14,classifications!C:I,7,FALSE))</f>
        <v>Predominantly Urban</v>
      </c>
      <c r="AB14" s="184" t="str">
        <f t="shared" si="11"/>
        <v/>
      </c>
      <c r="AC14" s="184" t="str">
        <f>IF(AB14="","",IF($I$8="A",(RANK(AB14,AB$11:AB$368)+COUNTIF(AB$11:AB14,AB14)-1),(RANK(AB14,AB$11:AB$368,1)+COUNTIF(AB$11:AB14,AB14)-1)))</f>
        <v/>
      </c>
      <c r="AD14" s="184"/>
      <c r="AE14" s="45">
        <f>IF(I$8="A",(RANK(AG14,AG$11:AG$368,1)+COUNTIF(AG$11:AG14,AG14)-1),(RANK(AG14,AG$11:AG$368)+COUNTIF(AG$11:AG14,AG14)-1))</f>
        <v>14</v>
      </c>
      <c r="AF14" s="1" t="str">
        <f>VLOOKUP(Profile!$J$5,Families!$C:$R,4,FALSE)</f>
        <v>Lincolnshire</v>
      </c>
      <c r="AG14" s="96">
        <f t="shared" si="12"/>
        <v>78.211534177467797</v>
      </c>
      <c r="AH14" s="46">
        <f t="shared" si="21"/>
        <v>14</v>
      </c>
      <c r="AI14" s="38" t="str">
        <f>IF(L14="","",VLOOKUP($L14,classifications!$C:$J,8,FALSE))</f>
        <v>Hertfordshire</v>
      </c>
      <c r="AJ14" s="39" t="str">
        <f t="shared" si="4"/>
        <v/>
      </c>
      <c r="AK14" s="34" t="str">
        <f>IF(AJ14="","",IF(I$8="A",(RANK(AJ14,AJ$11:AJ$368,1)+COUNTIF(AJ$11:AJ14,AJ14)-1),(RANK(AJ14,AJ$11:AJ$368)+COUNTIF(AJ$11:AJ14,AJ14)-1)))</f>
        <v/>
      </c>
      <c r="AL14" s="29" t="str">
        <f t="shared" si="13"/>
        <v/>
      </c>
      <c r="AM14" s="8" t="str">
        <f t="shared" si="5"/>
        <v/>
      </c>
      <c r="AN14" s="8" t="str">
        <f t="shared" si="14"/>
        <v/>
      </c>
      <c r="AP14" s="38" t="str">
        <f>IF(L14="","",VLOOKUP($L14,classifications!$C:$E,3,FALSE))</f>
        <v>East of England</v>
      </c>
      <c r="AQ14" s="39" t="str">
        <f t="shared" si="15"/>
        <v/>
      </c>
      <c r="AR14" s="34" t="str">
        <f>IF(AQ14="","",IF(I$8="A",(RANK(AQ14,AQ$11:AQ$368,1)+COUNTIF(AQ$11:AQ14,AQ14)-1),(RANK(AQ14,AQ$11:AQ$368)+COUNTIF(AQ$11:AQ14,AQ14)-1)))</f>
        <v/>
      </c>
      <c r="AS14" s="29" t="str">
        <f t="shared" si="16"/>
        <v/>
      </c>
      <c r="AT14" s="34" t="str">
        <f t="shared" si="6"/>
        <v/>
      </c>
      <c r="AU14" s="39" t="str">
        <f t="shared" si="17"/>
        <v/>
      </c>
      <c r="AX14" s="21">
        <f>HLOOKUP($AX$9&amp;$AX$10,Data!$A$1:$ZZ$2000,(MATCH($C14,Data!$A$1:$A$2000,0)),FALSE)</f>
        <v>86.183848082296933</v>
      </c>
      <c r="AY14" s="103"/>
      <c r="AZ14" s="21"/>
    </row>
    <row r="15" spans="1:735">
      <c r="A15" s="56" t="str">
        <f>$D$1&amp;5</f>
        <v>SC5</v>
      </c>
      <c r="B15" s="57" t="str">
        <f>IF(ISERROR(VLOOKUP(A15,classifications!A:C,3,FALSE)),0,VLOOKUP(A15,classifications!A:C,3,FALSE))</f>
        <v>Essex</v>
      </c>
      <c r="C15" s="8" t="s">
        <v>9</v>
      </c>
      <c r="D15" s="26" t="str">
        <f>VLOOKUP($C15,classifications!$C:$J,4,FALSE)</f>
        <v>SD</v>
      </c>
      <c r="E15" s="26">
        <f>VLOOKUP(C15,classifications!C:K,9,FALSE)</f>
        <v>0</v>
      </c>
      <c r="F15" s="36">
        <f t="shared" si="0"/>
        <v>77.737873022638354</v>
      </c>
      <c r="G15" s="71"/>
      <c r="H15" s="37" t="str">
        <f t="shared" si="1"/>
        <v/>
      </c>
      <c r="I15" s="77" t="str">
        <f>IF(H15="","",IF($I$8="A",(RANK(H15,H$11:H$368,1)+COUNTIF(H$11:H15,H15)-1),(RANK(H15,H$11:H$368)+COUNTIF(H$11:H15,H15)-1)))</f>
        <v/>
      </c>
      <c r="J15" s="35"/>
      <c r="K15" s="28">
        <f t="shared" si="7"/>
        <v>5</v>
      </c>
      <c r="L15" s="36" t="str">
        <f t="shared" si="2"/>
        <v>West Sussex</v>
      </c>
      <c r="M15" s="102">
        <f t="shared" si="22"/>
        <v>84.411781583716433</v>
      </c>
      <c r="N15" s="101">
        <f t="shared" si="23"/>
        <v>84.411781583716433</v>
      </c>
      <c r="O15" s="94">
        <f t="shared" si="8"/>
        <v>84.411781583716433</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Significant Rural</v>
      </c>
      <c r="Y15" s="26" t="b">
        <f t="shared" si="3"/>
        <v>0</v>
      </c>
      <c r="Z15" s="34" t="e">
        <f>IF(Y15="","",IF(I$8="A",(RANK(Y15,Y$11:Y$368,1)+COUNTIF(Y$11:Y15,Y15)-1),(RANK(Y15,Y$11:Y$368)+COUNTIF(Y$11:Y15,Y15)-1)))</f>
        <v>#N/A</v>
      </c>
      <c r="AA15" s="188" t="str">
        <f>IF(L15="","",VLOOKUP($L15,classifications!C:I,7,FALSE))</f>
        <v>Significant Rural</v>
      </c>
      <c r="AB15" s="184" t="str">
        <f t="shared" si="11"/>
        <v/>
      </c>
      <c r="AC15" s="184" t="str">
        <f>IF(AB15="","",IF($I$8="A",(RANK(AB15,AB$11:AB$368)+COUNTIF(AB$11:AB15,AB15)-1),(RANK(AB15,AB$11:AB$368,1)+COUNTIF(AB$11:AB15,AB15)-1)))</f>
        <v/>
      </c>
      <c r="AD15" s="184"/>
      <c r="AE15" s="45">
        <f>IF(I$8="A",(RANK(AG15,AG$11:AG$368,1)+COUNTIF(AG$11:AG15,AG15)-1),(RANK(AG15,AG$11:AG$368)+COUNTIF(AG$11:AG15,AG15)-1))</f>
        <v>13</v>
      </c>
      <c r="AF15" s="1" t="str">
        <f>VLOOKUP(Profile!$J$5,Families!$C:$R,5,FALSE)</f>
        <v>Staffordshire</v>
      </c>
      <c r="AG15" s="96">
        <f t="shared" si="12"/>
        <v>78.750029660967968</v>
      </c>
      <c r="AH15" s="46">
        <f t="shared" si="21"/>
        <v>13</v>
      </c>
      <c r="AI15" s="38" t="str">
        <f>IF(L15="","",VLOOKUP($L15,classifications!$C:$J,8,FALSE))</f>
        <v>West Sussex</v>
      </c>
      <c r="AJ15" s="39" t="str">
        <f t="shared" si="4"/>
        <v/>
      </c>
      <c r="AK15" s="34" t="str">
        <f>IF(AJ15="","",IF(I$8="A",(RANK(AJ15,AJ$11:AJ$368,1)+COUNTIF(AJ$11:AJ15,AJ15)-1),(RANK(AJ15,AJ$11:AJ$368)+COUNTIF(AJ$11:AJ15,AJ15)-1)))</f>
        <v/>
      </c>
      <c r="AL15" s="29" t="str">
        <f t="shared" si="13"/>
        <v/>
      </c>
      <c r="AM15" s="8" t="str">
        <f t="shared" si="5"/>
        <v/>
      </c>
      <c r="AN15" s="8" t="str">
        <f t="shared" si="14"/>
        <v/>
      </c>
      <c r="AP15" s="38" t="str">
        <f>IF(L15="","",VLOOKUP($L15,classifications!$C:$E,3,FALSE))</f>
        <v>South East</v>
      </c>
      <c r="AQ15" s="39" t="str">
        <f t="shared" si="15"/>
        <v/>
      </c>
      <c r="AR15" s="34" t="str">
        <f>IF(AQ15="","",IF(I$8="A",(RANK(AQ15,AQ$11:AQ$368,1)+COUNTIF(AQ$11:AQ15,AQ15)-1),(RANK(AQ15,AQ$11:AQ$368)+COUNTIF(AQ$11:AQ15,AQ15)-1)))</f>
        <v/>
      </c>
      <c r="AS15" s="29" t="str">
        <f t="shared" si="16"/>
        <v/>
      </c>
      <c r="AT15" s="34" t="str">
        <f t="shared" si="6"/>
        <v/>
      </c>
      <c r="AU15" s="39" t="str">
        <f t="shared" si="17"/>
        <v/>
      </c>
      <c r="AX15" s="21">
        <f>HLOOKUP($AX$9&amp;$AX$10,Data!$A$1:$ZZ$2000,(MATCH($C15,Data!$A$1:$A$2000,0)),FALSE)</f>
        <v>77.737873022638354</v>
      </c>
      <c r="AY15" s="103"/>
      <c r="AZ15" s="21"/>
    </row>
    <row r="16" spans="1:735">
      <c r="A16" s="56" t="str">
        <f>$D$1&amp;6</f>
        <v>SC6</v>
      </c>
      <c r="B16" s="57" t="str">
        <f>IF(ISERROR(VLOOKUP(A16,classifications!A:C,3,FALSE)),0,VLOOKUP(A16,classifications!A:C,3,FALSE))</f>
        <v>Hampshire</v>
      </c>
      <c r="C16" s="8" t="s">
        <v>10</v>
      </c>
      <c r="D16" s="26" t="str">
        <f>VLOOKUP($C16,classifications!$C:$J,4,FALSE)</f>
        <v>SD</v>
      </c>
      <c r="E16" s="26" t="str">
        <f>VLOOKUP(C16,classifications!C:K,9,FALSE)</f>
        <v>Sparse</v>
      </c>
      <c r="F16" s="36">
        <f t="shared" si="0"/>
        <v>79.637339452150854</v>
      </c>
      <c r="G16" s="71"/>
      <c r="H16" s="37" t="str">
        <f t="shared" si="1"/>
        <v/>
      </c>
      <c r="I16" s="77" t="str">
        <f>IF(H16="","",IF($I$8="A",(RANK(H16,H$11:H$368,1)+COUNTIF(H$11:H16,H16)-1),(RANK(H16,H$11:H$368)+COUNTIF(H$11:H16,H16)-1)))</f>
        <v/>
      </c>
      <c r="J16" s="35"/>
      <c r="K16" s="28">
        <f t="shared" si="7"/>
        <v>6</v>
      </c>
      <c r="L16" s="36" t="str">
        <f t="shared" si="2"/>
        <v>Buckinghamshire</v>
      </c>
      <c r="M16" s="102">
        <f t="shared" si="22"/>
        <v>84.320660879168372</v>
      </c>
      <c r="N16" s="101">
        <f t="shared" si="23"/>
        <v>84.320660879168372</v>
      </c>
      <c r="O16" s="94">
        <f t="shared" si="8"/>
        <v>84.320660879168372</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Significant Rural</v>
      </c>
      <c r="Y16" s="26" t="b">
        <f t="shared" si="3"/>
        <v>0</v>
      </c>
      <c r="Z16" s="34" t="e">
        <f>IF(Y16="","",IF(I$8="A",(RANK(Y16,Y$11:Y$368,1)+COUNTIF(Y$11:Y16,Y16)-1),(RANK(Y16,Y$11:Y$368)+COUNTIF(Y$11:Y16,Y16)-1)))</f>
        <v>#N/A</v>
      </c>
      <c r="AA16" s="188" t="str">
        <f>IF(L16="","",VLOOKUP($L16,classifications!C:I,7,FALSE))</f>
        <v>Significant Rural</v>
      </c>
      <c r="AB16" s="184" t="str">
        <f t="shared" si="11"/>
        <v/>
      </c>
      <c r="AC16" s="184" t="str">
        <f>IF(AB16="","",IF($I$8="A",(RANK(AB16,AB$11:AB$368)+COUNTIF(AB$11:AB16,AB16)-1),(RANK(AB16,AB$11:AB$368,1)+COUNTIF(AB$11:AB16,AB16)-1)))</f>
        <v/>
      </c>
      <c r="AD16" s="184"/>
      <c r="AE16" s="45">
        <f>IF(I$8="A",(RANK(AG16,AG$11:AG$368,1)+COUNTIF(AG$11:AG16,AG16)-1),(RANK(AG16,AG$11:AG$368)+COUNTIF(AG$11:AG16,AG16)-1))</f>
        <v>11</v>
      </c>
      <c r="AF16" s="1" t="str">
        <f>VLOOKUP(Profile!$J$5,Families!$C:$R,6,FALSE)</f>
        <v>Nottinghamshire</v>
      </c>
      <c r="AG16" s="96">
        <f t="shared" si="12"/>
        <v>80.365637953863711</v>
      </c>
      <c r="AH16" s="46">
        <f t="shared" si="21"/>
        <v>11</v>
      </c>
      <c r="AI16" s="38" t="str">
        <f>IF(L16="","",VLOOKUP($L16,classifications!$C:$J,8,FALSE))</f>
        <v>Buckinghamshire</v>
      </c>
      <c r="AJ16" s="39" t="str">
        <f t="shared" si="4"/>
        <v/>
      </c>
      <c r="AK16" s="34" t="str">
        <f>IF(AJ16="","",IF(I$8="A",(RANK(AJ16,AJ$11:AJ$368,1)+COUNTIF(AJ$11:AJ16,AJ16)-1),(RANK(AJ16,AJ$11:AJ$368)+COUNTIF(AJ$11:AJ16,AJ16)-1)))</f>
        <v/>
      </c>
      <c r="AL16" s="29" t="str">
        <f t="shared" si="13"/>
        <v/>
      </c>
      <c r="AM16" s="8" t="str">
        <f t="shared" si="5"/>
        <v/>
      </c>
      <c r="AN16" s="8" t="str">
        <f t="shared" si="14"/>
        <v/>
      </c>
      <c r="AP16" s="38" t="str">
        <f>IF(L16="","",VLOOKUP($L16,classifications!$C:$E,3,FALSE))</f>
        <v>South East</v>
      </c>
      <c r="AQ16" s="39" t="str">
        <f t="shared" si="15"/>
        <v/>
      </c>
      <c r="AR16" s="34" t="str">
        <f>IF(AQ16="","",IF(I$8="A",(RANK(AQ16,AQ$11:AQ$368,1)+COUNTIF(AQ$11:AQ16,AQ16)-1),(RANK(AQ16,AQ$11:AQ$368)+COUNTIF(AQ$11:AQ16,AQ16)-1)))</f>
        <v/>
      </c>
      <c r="AS16" s="29" t="str">
        <f t="shared" si="16"/>
        <v/>
      </c>
      <c r="AT16" s="34" t="str">
        <f t="shared" si="6"/>
        <v/>
      </c>
      <c r="AU16" s="39" t="str">
        <f t="shared" si="17"/>
        <v/>
      </c>
      <c r="AX16" s="21">
        <f>HLOOKUP($AX$9&amp;$AX$10,Data!$A$1:$ZZ$2000,(MATCH($C16,Data!$A$1:$A$2000,0)),FALSE)</f>
        <v>79.637339452150854</v>
      </c>
      <c r="AY16" s="103"/>
      <c r="AZ16" s="21"/>
    </row>
    <row r="17" spans="1:52">
      <c r="A17" s="56" t="str">
        <f>$D$1&amp;7</f>
        <v>SC7</v>
      </c>
      <c r="B17" s="57" t="str">
        <f>IF(ISERROR(VLOOKUP(A17,classifications!A:C,3,FALSE)),0,VLOOKUP(A17,classifications!A:C,3,FALSE))</f>
        <v>Lancashire</v>
      </c>
      <c r="C17" s="8" t="s">
        <v>11</v>
      </c>
      <c r="D17" s="26" t="str">
        <f>VLOOKUP($C17,classifications!$C:$J,4,FALSE)</f>
        <v>SD</v>
      </c>
      <c r="E17" s="26">
        <f>VLOOKUP(C17,classifications!C:K,9,FALSE)</f>
        <v>0</v>
      </c>
      <c r="F17" s="36">
        <f t="shared" si="0"/>
        <v>82.891590896344596</v>
      </c>
      <c r="G17" s="71"/>
      <c r="H17" s="37" t="str">
        <f t="shared" si="1"/>
        <v/>
      </c>
      <c r="I17" s="77" t="str">
        <f>IF(H17="","",IF($I$8="A",(RANK(H17,H$11:H$368,1)+COUNTIF(H$11:H17,H17)-1),(RANK(H17,H$11:H$368)+COUNTIF(H$11:H17,H17)-1)))</f>
        <v/>
      </c>
      <c r="J17" s="35"/>
      <c r="K17" s="28">
        <f t="shared" si="7"/>
        <v>7</v>
      </c>
      <c r="L17" s="36" t="str">
        <f t="shared" si="2"/>
        <v>Gloucestershire</v>
      </c>
      <c r="M17" s="102">
        <f t="shared" si="22"/>
        <v>84.086361451106427</v>
      </c>
      <c r="N17" s="101">
        <f t="shared" si="23"/>
        <v>84.086361451106427</v>
      </c>
      <c r="O17" s="94">
        <f t="shared" si="8"/>
        <v>84.086361451106427</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Significant Rural</v>
      </c>
      <c r="Y17" s="26" t="b">
        <f t="shared" si="3"/>
        <v>0</v>
      </c>
      <c r="Z17" s="34" t="e">
        <f>IF(Y17="","",IF(I$8="A",(RANK(Y17,Y$11:Y$368,1)+COUNTIF(Y$11:Y17,Y17)-1),(RANK(Y17,Y$11:Y$368)+COUNTIF(Y$11:Y17,Y17)-1)))</f>
        <v>#N/A</v>
      </c>
      <c r="AA17" s="188" t="str">
        <f>IF(L17="","",VLOOKUP($L17,classifications!C:I,7,FALSE))</f>
        <v>Significant Rural</v>
      </c>
      <c r="AB17" s="184" t="str">
        <f t="shared" si="11"/>
        <v/>
      </c>
      <c r="AC17" s="184" t="str">
        <f>IF(AB17="","",IF($I$8="A",(RANK(AB17,AB$11:AB$368)+COUNTIF(AB$11:AB17,AB17)-1),(RANK(AB17,AB$11:AB$368,1)+COUNTIF(AB$11:AB17,AB17)-1)))</f>
        <v/>
      </c>
      <c r="AD17" s="184"/>
      <c r="AE17" s="45">
        <f>IF(I$8="A",(RANK(AG17,AG$11:AG$368,1)+COUNTIF(AG$11:AG17,AG17)-1),(RANK(AG17,AG$11:AG$368)+COUNTIF(AG$11:AG17,AG17)-1))</f>
        <v>8</v>
      </c>
      <c r="AF17" s="1" t="str">
        <f>VLOOKUP(Profile!$J$5,Families!$C:$R,7,FALSE)</f>
        <v>Suffolk</v>
      </c>
      <c r="AG17" s="96">
        <f t="shared" si="12"/>
        <v>82.364696744200316</v>
      </c>
      <c r="AH17" s="46">
        <f t="shared" si="21"/>
        <v>8</v>
      </c>
      <c r="AI17" s="38" t="str">
        <f>IF(L17="","",VLOOKUP($L17,classifications!$C:$J,8,FALSE))</f>
        <v>Gloucestershire</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South West</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82.891590896344596</v>
      </c>
      <c r="AY17" s="103"/>
      <c r="AZ17" s="21"/>
    </row>
    <row r="18" spans="1:52">
      <c r="A18" s="56" t="str">
        <f>$D$1&amp;8</f>
        <v>SC8</v>
      </c>
      <c r="B18" s="57" t="str">
        <f>IF(ISERROR(VLOOKUP(A18,classifications!A:C,3,FALSE)),0,VLOOKUP(A18,classifications!A:C,3,FALSE))</f>
        <v>Leicestershire</v>
      </c>
      <c r="C18" s="8" t="s">
        <v>12</v>
      </c>
      <c r="D18" s="26" t="str">
        <f>VLOOKUP($C18,classifications!$C:$J,4,FALSE)</f>
        <v>SD</v>
      </c>
      <c r="E18" s="26" t="str">
        <f>VLOOKUP(C18,classifications!C:K,9,FALSE)</f>
        <v>Sparse</v>
      </c>
      <c r="F18" s="36">
        <f t="shared" si="0"/>
        <v>78.89244691922211</v>
      </c>
      <c r="G18" s="71"/>
      <c r="H18" s="37" t="str">
        <f t="shared" si="1"/>
        <v/>
      </c>
      <c r="I18" s="77" t="str">
        <f>IF(H18="","",IF($I$8="A",(RANK(H18,H$11:H$368,1)+COUNTIF(H$11:H18,H18)-1),(RANK(H18,H$11:H$368)+COUNTIF(H$11:H18,H18)-1)))</f>
        <v/>
      </c>
      <c r="J18" s="35"/>
      <c r="K18" s="28">
        <f t="shared" si="7"/>
        <v>8</v>
      </c>
      <c r="L18" s="36" t="str">
        <f t="shared" si="2"/>
        <v>North Yorkshire</v>
      </c>
      <c r="M18" s="102">
        <f t="shared" si="22"/>
        <v>83.963842489910377</v>
      </c>
      <c r="N18" s="101">
        <f t="shared" si="23"/>
        <v>83.963842489910377</v>
      </c>
      <c r="O18" s="94" t="str">
        <f t="shared" si="8"/>
        <v/>
      </c>
      <c r="P18" s="94">
        <f t="shared" si="18"/>
        <v>83.963842489910377</v>
      </c>
      <c r="Q18" s="94" t="str">
        <f t="shared" si="19"/>
        <v/>
      </c>
      <c r="R18" s="90" t="str">
        <f t="shared" si="20"/>
        <v/>
      </c>
      <c r="S18" s="37" t="str">
        <f t="shared" si="9"/>
        <v/>
      </c>
      <c r="T18" s="176" t="str">
        <f>IF(L18="","",VLOOKUP(L18,classifications!C:K,9,FALSE))</f>
        <v>Sparse</v>
      </c>
      <c r="U18" s="183">
        <f t="shared" si="10"/>
        <v>83.963842489910377</v>
      </c>
      <c r="V18" s="184">
        <f>IF(U18="","",IF($I$8="A",(RANK(U18,U$11:U$368)+COUNTIF(U$11:U18,U18)-1),(RANK(U18,U$11:U$368,1)+COUNTIF(U$11:U18,U18)-1)))</f>
        <v>15</v>
      </c>
      <c r="W18" s="185"/>
      <c r="X18" s="38" t="str">
        <f>IF(L18="","",VLOOKUP($L18,classifications!$C:$J,6,FALSE))</f>
        <v>Predominantly Rural</v>
      </c>
      <c r="Y18" s="26" t="b">
        <f t="shared" si="3"/>
        <v>0</v>
      </c>
      <c r="Z18" s="34" t="e">
        <f>IF(Y18="","",IF(I$8="A",(RANK(Y18,Y$11:Y$368,1)+COUNTIF(Y$11:Y18,Y18)-1),(RANK(Y18,Y$11:Y$368)+COUNTIF(Y$11:Y18,Y18)-1)))</f>
        <v>#N/A</v>
      </c>
      <c r="AA18" s="188" t="str">
        <f>IF(L18="","",VLOOKUP($L18,classifications!C:I,7,FALSE))</f>
        <v>Predominantly Rural</v>
      </c>
      <c r="AB18" s="184">
        <f t="shared" si="11"/>
        <v>83.963842489910377</v>
      </c>
      <c r="AC18" s="184">
        <f>IF(AB18="","",IF($I$8="A",(RANK(AB18,AB$11:AB$368)+COUNTIF(AB$11:AB18,AB18)-1),(RANK(AB18,AB$11:AB$368,1)+COUNTIF(AB$11:AB18,AB18)-1)))</f>
        <v>8</v>
      </c>
      <c r="AD18" s="184"/>
      <c r="AE18" s="45">
        <f>IF(I$8="A",(RANK(AG18,AG$11:AG$368,1)+COUNTIF(AG$11:AG18,AG18)-1),(RANK(AG18,AG$11:AG$368)+COUNTIF(AG$11:AG18,AG18)-1))</f>
        <v>4</v>
      </c>
      <c r="AF18" s="1" t="str">
        <f>VLOOKUP(Profile!$J$5,Families!$C:$R,8,FALSE)</f>
        <v>Worcestershire</v>
      </c>
      <c r="AG18" s="96">
        <f t="shared" si="12"/>
        <v>83.530583979642358</v>
      </c>
      <c r="AH18" s="46">
        <f t="shared" si="21"/>
        <v>4</v>
      </c>
      <c r="AI18" s="38" t="str">
        <f>IF(L18="","",VLOOKUP($L18,classifications!$C:$J,8,FALSE))</f>
        <v>North Yorkshire</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Yorkshire &amp; Humberside</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78.89244691922211</v>
      </c>
      <c r="AY18" s="103"/>
      <c r="AZ18" s="21"/>
    </row>
    <row r="19" spans="1:52">
      <c r="A19" s="56" t="str">
        <f>$D$1&amp;9</f>
        <v>SC9</v>
      </c>
      <c r="B19" s="57" t="str">
        <f>IF(ISERROR(VLOOKUP(A19,classifications!A:C,3,FALSE)),0,VLOOKUP(A19,classifications!A:C,3,FALSE))</f>
        <v>Lincolnshire</v>
      </c>
      <c r="C19" s="8" t="s">
        <v>338</v>
      </c>
      <c r="D19" s="26" t="str">
        <f>VLOOKUP($C19,classifications!$C:$J,4,FALSE)</f>
        <v>L</v>
      </c>
      <c r="E19" s="26">
        <f>VLOOKUP(C19,classifications!C:K,9,FALSE)</f>
        <v>0</v>
      </c>
      <c r="F19" s="36">
        <f t="shared" si="0"/>
        <v>65.837289067000057</v>
      </c>
      <c r="G19" s="71"/>
      <c r="H19" s="37" t="str">
        <f t="shared" si="1"/>
        <v/>
      </c>
      <c r="I19" s="77" t="str">
        <f>IF(H19="","",IF($I$8="A",(RANK(H19,H$11:H$368,1)+COUNTIF(H$11:H19,H19)-1),(RANK(H19,H$11:H$368)+COUNTIF(H$11:H19,H19)-1)))</f>
        <v/>
      </c>
      <c r="J19" s="35"/>
      <c r="K19" s="28">
        <f t="shared" si="7"/>
        <v>9</v>
      </c>
      <c r="L19" s="36" t="str">
        <f t="shared" si="2"/>
        <v>Worcestershire</v>
      </c>
      <c r="M19" s="102">
        <f t="shared" si="22"/>
        <v>83.530583979642358</v>
      </c>
      <c r="N19" s="101">
        <f t="shared" si="23"/>
        <v>83.530583979642358</v>
      </c>
      <c r="O19" s="94" t="str">
        <f t="shared" si="8"/>
        <v/>
      </c>
      <c r="P19" s="94">
        <f t="shared" si="18"/>
        <v>83.530583979642358</v>
      </c>
      <c r="Q19" s="94" t="str">
        <f t="shared" si="19"/>
        <v/>
      </c>
      <c r="R19" s="90" t="str">
        <f t="shared" si="20"/>
        <v/>
      </c>
      <c r="S19" s="37" t="str">
        <f t="shared" si="9"/>
        <v/>
      </c>
      <c r="T19" s="176" t="str">
        <f>IF(L19="","",VLOOKUP(L19,classifications!C:K,9,FALSE))</f>
        <v>Sparse</v>
      </c>
      <c r="U19" s="183">
        <f t="shared" si="10"/>
        <v>83.530583979642358</v>
      </c>
      <c r="V19" s="184">
        <f>IF(U19="","",IF($I$8="A",(RANK(U19,U$11:U$368)+COUNTIF(U$11:U19,U19)-1),(RANK(U19,U$11:U$368,1)+COUNTIF(U$11:U19,U19)-1)))</f>
        <v>14</v>
      </c>
      <c r="W19" s="185"/>
      <c r="X19" s="38" t="str">
        <f>IF(L19="","",VLOOKUP($L19,classifications!$C:$J,6,FALSE))</f>
        <v>Significant Rural</v>
      </c>
      <c r="Y19" s="26" t="b">
        <f t="shared" si="3"/>
        <v>0</v>
      </c>
      <c r="Z19" s="34" t="e">
        <f>IF(Y19="","",IF(I$8="A",(RANK(Y19,Y$11:Y$368,1)+COUNTIF(Y$11:Y19,Y19)-1),(RANK(Y19,Y$11:Y$368)+COUNTIF(Y$11:Y19,Y19)-1)))</f>
        <v>#N/A</v>
      </c>
      <c r="AA19" s="188" t="str">
        <f>IF(L19="","",VLOOKUP($L19,classifications!C:I,7,FALSE))</f>
        <v>Significant Rural</v>
      </c>
      <c r="AB19" s="184" t="str">
        <f t="shared" si="11"/>
        <v/>
      </c>
      <c r="AC19" s="184" t="str">
        <f>IF(AB19="","",IF($I$8="A",(RANK(AB19,AB$11:AB$368)+COUNTIF(AB$11:AB19,AB19)-1),(RANK(AB19,AB$11:AB$368,1)+COUNTIF(AB$11:AB19,AB19)-1)))</f>
        <v/>
      </c>
      <c r="AD19" s="184"/>
      <c r="AE19" s="45">
        <f>IF(I$8="A",(RANK(AG19,AG$11:AG$368,1)+COUNTIF(AG$11:AG19,AG19)-1),(RANK(AG19,AG$11:AG$368)+COUNTIF(AG$11:AG19,AG19)-1))</f>
        <v>9</v>
      </c>
      <c r="AF19" s="1" t="str">
        <f>VLOOKUP(Profile!$J$5,Families!$C:$R,9,FALSE)</f>
        <v>Norfolk</v>
      </c>
      <c r="AG19" s="96">
        <f t="shared" si="12"/>
        <v>81.75538355622308</v>
      </c>
      <c r="AH19" s="46">
        <f t="shared" si="21"/>
        <v>9</v>
      </c>
      <c r="AI19" s="38" t="str">
        <f>IF(L19="","",VLOOKUP($L19,classifications!$C:$J,8,FALSE))</f>
        <v>Worcestershire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West Midlands</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65.837289067000057</v>
      </c>
      <c r="AY19" s="103"/>
      <c r="AZ19" s="21"/>
    </row>
    <row r="20" spans="1:52">
      <c r="A20" s="56" t="str">
        <f>$D$1&amp;10</f>
        <v>SC10</v>
      </c>
      <c r="B20" s="57" t="str">
        <f>IF(ISERROR(VLOOKUP(A20,classifications!A:C,3,FALSE)),0,VLOOKUP(A20,classifications!A:C,3,FALSE))</f>
        <v>Norfolk</v>
      </c>
      <c r="C20" s="8" t="s">
        <v>196</v>
      </c>
      <c r="D20" s="26" t="str">
        <f>VLOOKUP($C20,classifications!$C:$J,4,FALSE)</f>
        <v>L</v>
      </c>
      <c r="E20" s="26">
        <f>VLOOKUP(C20,classifications!C:K,9,FALSE)</f>
        <v>0</v>
      </c>
      <c r="F20" s="36">
        <f t="shared" si="0"/>
        <v>80.428551002401136</v>
      </c>
      <c r="G20" s="71"/>
      <c r="H20" s="37" t="str">
        <f t="shared" si="1"/>
        <v/>
      </c>
      <c r="I20" s="77" t="str">
        <f>IF(H20="","",IF($I$8="A",(RANK(H20,H$11:H$368,1)+COUNTIF(H$11:H20,H20)-1),(RANK(H20,H$11:H$368)+COUNTIF(H$11:H20,H20)-1)))</f>
        <v/>
      </c>
      <c r="J20" s="35"/>
      <c r="K20" s="28">
        <f t="shared" si="7"/>
        <v>10</v>
      </c>
      <c r="L20" s="36" t="str">
        <f t="shared" si="2"/>
        <v>Cambridgeshire</v>
      </c>
      <c r="M20" s="102">
        <f t="shared" si="22"/>
        <v>83.358927119604033</v>
      </c>
      <c r="N20" s="101">
        <f t="shared" si="23"/>
        <v>83.358927119604033</v>
      </c>
      <c r="O20" s="94" t="str">
        <f t="shared" si="8"/>
        <v/>
      </c>
      <c r="P20" s="94">
        <f t="shared" si="18"/>
        <v>83.358927119604033</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Predominantly Rural</v>
      </c>
      <c r="Y20" s="26" t="b">
        <f t="shared" si="3"/>
        <v>0</v>
      </c>
      <c r="Z20" s="34" t="e">
        <f>IF(Y20="","",IF(I$8="A",(RANK(Y20,Y$11:Y$368,1)+COUNTIF(Y$11:Y20,Y20)-1),(RANK(Y20,Y$11:Y$368)+COUNTIF(Y$11:Y20,Y20)-1)))</f>
        <v>#N/A</v>
      </c>
      <c r="AA20" s="188" t="str">
        <f>IF(L20="","",VLOOKUP($L20,classifications!C:I,7,FALSE))</f>
        <v>Predominantly Rural</v>
      </c>
      <c r="AB20" s="184">
        <f t="shared" si="11"/>
        <v>83.358927119604033</v>
      </c>
      <c r="AC20" s="184">
        <f>IF(AB20="","",IF($I$8="A",(RANK(AB20,AB$11:AB$368)+COUNTIF(AB$11:AB20,AB20)-1),(RANK(AB20,AB$11:AB$368,1)+COUNTIF(AB$11:AB20,AB20)-1)))</f>
        <v>7</v>
      </c>
      <c r="AD20" s="184"/>
      <c r="AE20" s="45">
        <f>IF(I$8="A",(RANK(AG20,AG$11:AG$368,1)+COUNTIF(AG$11:AG20,AG20)-1),(RANK(AG20,AG$11:AG$368)+COUNTIF(AG$11:AG20,AG20)-1))</f>
        <v>5</v>
      </c>
      <c r="AF20" s="1" t="str">
        <f>VLOOKUP(Profile!$J$5,Families!$C:$R,10,FALSE)</f>
        <v>Somerset</v>
      </c>
      <c r="AG20" s="96">
        <f t="shared" si="12"/>
        <v>83.236095220846323</v>
      </c>
      <c r="AH20" s="46">
        <f t="shared" si="21"/>
        <v>5</v>
      </c>
      <c r="AI20" s="38" t="str">
        <f>IF(L20="","",VLOOKUP($L20,classifications!$C:$J,8,FALSE))</f>
        <v>Cambridgeshire</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East of England</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80.428551002401136</v>
      </c>
      <c r="AY20" s="103"/>
      <c r="AZ20" s="21"/>
    </row>
    <row r="21" spans="1:52">
      <c r="A21" s="56" t="str">
        <f>$D$1&amp;11</f>
        <v>SC11</v>
      </c>
      <c r="B21" s="57" t="str">
        <f>IF(ISERROR(VLOOKUP(A21,classifications!A:C,3,FALSE)),0,VLOOKUP(A21,classifications!A:C,3,FALSE))</f>
        <v>North Yorkshire</v>
      </c>
      <c r="C21" s="8" t="s">
        <v>222</v>
      </c>
      <c r="D21" s="26" t="str">
        <f>VLOOKUP($C21,classifications!$C:$J,4,FALSE)</f>
        <v>MD</v>
      </c>
      <c r="E21" s="26">
        <f>VLOOKUP(C21,classifications!C:K,9,FALSE)</f>
        <v>0</v>
      </c>
      <c r="F21" s="36">
        <f t="shared" si="0"/>
        <v>78.336351209328939</v>
      </c>
      <c r="G21" s="71"/>
      <c r="H21" s="37" t="str">
        <f t="shared" si="1"/>
        <v/>
      </c>
      <c r="I21" s="77" t="str">
        <f>IF(H21="","",IF($I$8="A",(RANK(H21,H$11:H$368,1)+COUNTIF(H$11:H21,H21)-1),(RANK(H21,H$11:H$368)+COUNTIF(H$11:H21,H21)-1)))</f>
        <v/>
      </c>
      <c r="J21" s="35"/>
      <c r="K21" s="28">
        <f t="shared" si="7"/>
        <v>11</v>
      </c>
      <c r="L21" s="36" t="str">
        <f t="shared" si="2"/>
        <v>Somerset</v>
      </c>
      <c r="M21" s="102">
        <f t="shared" si="22"/>
        <v>83.236095220846323</v>
      </c>
      <c r="N21" s="101">
        <f t="shared" si="23"/>
        <v>83.236095220846323</v>
      </c>
      <c r="O21" s="94" t="str">
        <f t="shared" si="8"/>
        <v/>
      </c>
      <c r="P21" s="94">
        <f t="shared" si="18"/>
        <v>83.236095220846323</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Predominantly Rural</v>
      </c>
      <c r="Y21" s="26" t="b">
        <f t="shared" si="3"/>
        <v>0</v>
      </c>
      <c r="Z21" s="34" t="e">
        <f>IF(Y21="","",IF(I$8="A",(RANK(Y21,Y$11:Y$368,1)+COUNTIF(Y$11:Y21,Y21)-1),(RANK(Y21,Y$11:Y$368)+COUNTIF(Y$11:Y21,Y21)-1)))</f>
        <v>#N/A</v>
      </c>
      <c r="AA21" s="188" t="str">
        <f>IF(L21="","",VLOOKUP($L21,classifications!C:I,7,FALSE))</f>
        <v>Predominantly Rural</v>
      </c>
      <c r="AB21" s="184">
        <f t="shared" si="11"/>
        <v>83.236095220846323</v>
      </c>
      <c r="AC21" s="184">
        <f>IF(AB21="","",IF($I$8="A",(RANK(AB21,AB$11:AB$368)+COUNTIF(AB$11:AB21,AB21)-1),(RANK(AB21,AB$11:AB$368,1)+COUNTIF(AB$11:AB21,AB21)-1)))</f>
        <v>6</v>
      </c>
      <c r="AD21" s="184"/>
      <c r="AE21" s="45">
        <f>IF(I$8="A",(RANK(AG21,AG$11:AG$368,1)+COUNTIF(AG$11:AG21,AG21)-1),(RANK(AG21,AG$11:AG$368)+COUNTIF(AG$11:AG21,AG21)-1))</f>
        <v>15</v>
      </c>
      <c r="AF21" s="1" t="str">
        <f>VLOOKUP(Profile!$J$5,Families!$C:$R,11,FALSE)</f>
        <v>Warwickshire</v>
      </c>
      <c r="AG21" s="96">
        <f t="shared" si="12"/>
        <v>77.957041174917606</v>
      </c>
      <c r="AH21" s="46">
        <f t="shared" si="21"/>
        <v>15</v>
      </c>
      <c r="AI21" s="38" t="str">
        <f>IF(L21="","",VLOOKUP($L21,classifications!$C:$J,8,FALSE))</f>
        <v>Somerset</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West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78.336351209328939</v>
      </c>
      <c r="AY21" s="103"/>
      <c r="AZ21" s="21"/>
    </row>
    <row r="22" spans="1:52">
      <c r="A22" s="56" t="str">
        <f>$D$1&amp;12</f>
        <v>SC12</v>
      </c>
      <c r="B22" s="57" t="str">
        <f>IF(ISERROR(VLOOKUP(A22,classifications!A:C,3,FALSE)),0,VLOOKUP(A22,classifications!A:C,3,FALSE))</f>
        <v>Nottinghamshire</v>
      </c>
      <c r="C22" s="8" t="s">
        <v>13</v>
      </c>
      <c r="D22" s="26" t="str">
        <f>VLOOKUP($C22,classifications!$C:$J,4,FALSE)</f>
        <v>SD</v>
      </c>
      <c r="E22" s="26">
        <f>VLOOKUP(C22,classifications!C:K,9,FALSE)</f>
        <v>0</v>
      </c>
      <c r="F22" s="36">
        <f t="shared" si="0"/>
        <v>82.166266846252938</v>
      </c>
      <c r="G22" s="71"/>
      <c r="H22" s="37" t="str">
        <f t="shared" si="1"/>
        <v/>
      </c>
      <c r="I22" s="77" t="str">
        <f>IF(H22="","",IF($I$8="A",(RANK(H22,H$11:H$368,1)+COUNTIF(H$11:H22,H22)-1),(RANK(H22,H$11:H$368)+COUNTIF(H$11:H22,H22)-1)))</f>
        <v/>
      </c>
      <c r="J22" s="35"/>
      <c r="K22" s="28">
        <f t="shared" si="7"/>
        <v>12</v>
      </c>
      <c r="L22" s="36" t="str">
        <f t="shared" si="2"/>
        <v>Hampshire</v>
      </c>
      <c r="M22" s="102">
        <f t="shared" si="22"/>
        <v>83.09730584074228</v>
      </c>
      <c r="N22" s="101">
        <f t="shared" si="23"/>
        <v>83.09730584074228</v>
      </c>
      <c r="O22" s="94" t="str">
        <f t="shared" si="8"/>
        <v/>
      </c>
      <c r="P22" s="94">
        <f t="shared" si="18"/>
        <v>83.09730584074228</v>
      </c>
      <c r="Q22" s="94" t="str">
        <f t="shared" si="19"/>
        <v/>
      </c>
      <c r="R22" s="90" t="str">
        <f t="shared" si="20"/>
        <v/>
      </c>
      <c r="S22" s="37" t="str">
        <f t="shared" si="9"/>
        <v/>
      </c>
      <c r="T22" s="176" t="str">
        <f>IF(L22="","",VLOOKUP(L22,classifications!C:K,9,FALSE))</f>
        <v>Sparse</v>
      </c>
      <c r="U22" s="183">
        <f t="shared" si="10"/>
        <v>83.09730584074228</v>
      </c>
      <c r="V22" s="184">
        <f>IF(U22="","",IF($I$8="A",(RANK(U22,U$11:U$368)+COUNTIF(U$11:U22,U22)-1),(RANK(U22,U$11:U$368,1)+COUNTIF(U$11:U22,U22)-1)))</f>
        <v>13</v>
      </c>
      <c r="W22" s="185"/>
      <c r="X22" s="38" t="str">
        <f>IF(L22="","",VLOOKUP($L22,classifications!$C:$J,6,FALSE))</f>
        <v>Significant Rural</v>
      </c>
      <c r="Y22" s="26" t="b">
        <f t="shared" si="3"/>
        <v>0</v>
      </c>
      <c r="Z22" s="34" t="e">
        <f>IF(Y22="","",IF(I$8="A",(RANK(Y22,Y$11:Y$368,1)+COUNTIF(Y$11:Y22,Y22)-1),(RANK(Y22,Y$11:Y$368)+COUNTIF(Y$11:Y22,Y22)-1)))</f>
        <v>#N/A</v>
      </c>
      <c r="AA22" s="188" t="str">
        <f>IF(L22="","",VLOOKUP($L22,classifications!C:I,7,FALSE))</f>
        <v>Significant Rural</v>
      </c>
      <c r="AB22" s="184" t="str">
        <f t="shared" si="11"/>
        <v/>
      </c>
      <c r="AC22" s="184" t="str">
        <f>IF(AB22="","",IF($I$8="A",(RANK(AB22,AB$11:AB$368)+COUNTIF(AB$11:AB22,AB22)-1),(RANK(AB22,AB$11:AB$368,1)+COUNTIF(AB$11:AB22,AB22)-1)))</f>
        <v/>
      </c>
      <c r="AD22" s="184"/>
      <c r="AE22" s="45">
        <f>IF(I$8="A",(RANK(AG22,AG$11:AG$368,1)+COUNTIF(AG$11:AG22,AG22)-1),(RANK(AG22,AG$11:AG$368)+COUNTIF(AG$11:AG22,AG22)-1))</f>
        <v>2</v>
      </c>
      <c r="AF22" s="1" t="str">
        <f>VLOOKUP(Profile!$J$5,Families!$C:$R,12,FALSE)</f>
        <v>Gloucestershire</v>
      </c>
      <c r="AG22" s="96">
        <f t="shared" si="12"/>
        <v>84.086361451106427</v>
      </c>
      <c r="AH22" s="46">
        <f t="shared" si="21"/>
        <v>2</v>
      </c>
      <c r="AI22" s="38" t="str">
        <f>IF(L22="","",VLOOKUP($L22,classifications!$C:$J,8,FALSE))</f>
        <v>Hampshire</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East</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82.166266846252938</v>
      </c>
      <c r="AY22" s="103"/>
      <c r="AZ22" s="21"/>
    </row>
    <row r="23" spans="1:52">
      <c r="A23" s="56" t="str">
        <f>$D$1&amp;13</f>
        <v>SC13</v>
      </c>
      <c r="B23" s="57" t="str">
        <f>IF(ISERROR(VLOOKUP(A23,classifications!A:C,3,FALSE)),0,VLOOKUP(A23,classifications!A:C,3,FALSE))</f>
        <v>Staffordshire</v>
      </c>
      <c r="C23" s="8" t="s">
        <v>14</v>
      </c>
      <c r="D23" s="26" t="str">
        <f>VLOOKUP($C23,classifications!$C:$J,4,FALSE)</f>
        <v>SD</v>
      </c>
      <c r="E23" s="26">
        <f>VLOOKUP(C23,classifications!C:K,9,FALSE)</f>
        <v>0</v>
      </c>
      <c r="F23" s="36">
        <f t="shared" si="0"/>
        <v>78.582258343408768</v>
      </c>
      <c r="G23" s="71"/>
      <c r="H23" s="37" t="str">
        <f t="shared" si="1"/>
        <v/>
      </c>
      <c r="I23" s="77" t="str">
        <f>IF(H23="","",IF($I$8="A",(RANK(H23,H$11:H$368,1)+COUNTIF(H$11:H23,H23)-1),(RANK(H23,H$11:H$368)+COUNTIF(H$11:H23,H23)-1)))</f>
        <v/>
      </c>
      <c r="J23" s="35"/>
      <c r="K23" s="28">
        <f t="shared" si="7"/>
        <v>13</v>
      </c>
      <c r="L23" s="36" t="str">
        <f t="shared" si="2"/>
        <v>Cumbria</v>
      </c>
      <c r="M23" s="102">
        <f t="shared" si="22"/>
        <v>83.002586119216289</v>
      </c>
      <c r="N23" s="101">
        <f t="shared" si="23"/>
        <v>83.002586119216289</v>
      </c>
      <c r="O23" s="94" t="str">
        <f t="shared" si="8"/>
        <v/>
      </c>
      <c r="P23" s="94">
        <f t="shared" si="18"/>
        <v>83.002586119216289</v>
      </c>
      <c r="Q23" s="94" t="str">
        <f t="shared" si="19"/>
        <v/>
      </c>
      <c r="R23" s="90" t="str">
        <f t="shared" si="20"/>
        <v/>
      </c>
      <c r="S23" s="37" t="str">
        <f t="shared" si="9"/>
        <v>u</v>
      </c>
      <c r="T23" s="176" t="str">
        <f>IF(L23="","",VLOOKUP(L23,classifications!C:K,9,FALSE))</f>
        <v>Sparse</v>
      </c>
      <c r="U23" s="183">
        <f t="shared" si="10"/>
        <v>83.002586119216289</v>
      </c>
      <c r="V23" s="184">
        <f>IF(U23="","",IF($I$8="A",(RANK(U23,U$11:U$368)+COUNTIF(U$11:U23,U23)-1),(RANK(U23,U$11:U$368,1)+COUNTIF(U$11:U23,U23)-1)))</f>
        <v>12</v>
      </c>
      <c r="W23" s="185"/>
      <c r="X23" s="38" t="str">
        <f>IF(L23="","",VLOOKUP($L23,classifications!$C:$J,6,FALSE))</f>
        <v>Predominantly Rural</v>
      </c>
      <c r="Y23" s="26" t="b">
        <f t="shared" si="3"/>
        <v>0</v>
      </c>
      <c r="Z23" s="34" t="e">
        <f>IF(Y23="","",IF(I$8="A",(RANK(Y23,Y$11:Y$368,1)+COUNTIF(Y$11:Y23,Y23)-1),(RANK(Y23,Y$11:Y$368)+COUNTIF(Y$11:Y23,Y23)-1)))</f>
        <v>#N/A</v>
      </c>
      <c r="AA23" s="188" t="str">
        <f>IF(L23="","",VLOOKUP($L23,classifications!C:I,7,FALSE))</f>
        <v>Predominantly Rural</v>
      </c>
      <c r="AB23" s="184">
        <f t="shared" si="11"/>
        <v>83.002586119216289</v>
      </c>
      <c r="AC23" s="184">
        <f>IF(AB23="","",IF($I$8="A",(RANK(AB23,AB$11:AB$368)+COUNTIF(AB$11:AB23,AB23)-1),(RANK(AB23,AB$11:AB$368,1)+COUNTIF(AB$11:AB23,AB23)-1)))</f>
        <v>5</v>
      </c>
      <c r="AD23" s="184"/>
      <c r="AE23" s="45">
        <f>IF(I$8="A",(RANK(AG23,AG$11:AG$368,1)+COUNTIF(AG$11:AG23,AG23)-1),(RANK(AG23,AG$11:AG$368)+COUNTIF(AG$11:AG23,AG23)-1))</f>
        <v>1</v>
      </c>
      <c r="AF23" s="1" t="str">
        <f>VLOOKUP(Profile!$J$5,Families!$C:$R,13,FALSE)</f>
        <v>Devon</v>
      </c>
      <c r="AG23" s="96">
        <f t="shared" si="12"/>
        <v>85.885087274196607</v>
      </c>
      <c r="AH23" s="46">
        <f t="shared" si="21"/>
        <v>1</v>
      </c>
      <c r="AI23" s="38" t="str">
        <f>IF(L23="","",VLOOKUP($L23,classifications!$C:$J,8,FALSE))</f>
        <v>Cumbria</v>
      </c>
      <c r="AJ23" s="39">
        <f t="shared" si="4"/>
        <v>83.002586119216289</v>
      </c>
      <c r="AK23" s="34">
        <f>IF(AJ23="","",IF(I$8="A",(RANK(AJ23,AJ$11:AJ$368,1)+COUNTIF(AJ$11:AJ23,AJ23)-1),(RANK(AJ23,AJ$11:AJ$368)+COUNTIF(AJ$11:AJ23,AJ23)-1)))</f>
        <v>1</v>
      </c>
      <c r="AL23" s="29" t="str">
        <f t="shared" si="13"/>
        <v/>
      </c>
      <c r="AM23" s="8" t="str">
        <f t="shared" si="5"/>
        <v/>
      </c>
      <c r="AN23" s="8" t="str">
        <f t="shared" si="14"/>
        <v/>
      </c>
      <c r="AP23" s="38" t="str">
        <f>IF(L23="","",VLOOKUP($L23,classifications!$C:$E,3,FALSE))</f>
        <v>North West</v>
      </c>
      <c r="AQ23" s="39">
        <f t="shared" si="15"/>
        <v>83.002586119216289</v>
      </c>
      <c r="AR23" s="34">
        <f>IF(AQ23="","",IF(I$8="A",(RANK(AQ23,AQ$11:AQ$368,1)+COUNTIF(AQ$11:AQ23,AQ23)-1),(RANK(AQ23,AQ$11:AQ$368)+COUNTIF(AQ$11:AQ23,AQ23)-1)))</f>
        <v>1</v>
      </c>
      <c r="AS23" s="29" t="str">
        <f t="shared" si="16"/>
        <v/>
      </c>
      <c r="AT23" s="34" t="str">
        <f t="shared" si="6"/>
        <v/>
      </c>
      <c r="AU23" s="39" t="str">
        <f t="shared" si="17"/>
        <v/>
      </c>
      <c r="AX23" s="21">
        <f>HLOOKUP($AX$9&amp;$AX$10,Data!$A$1:$ZZ$2000,(MATCH($C23,Data!$A$1:$A$2000,0)),FALSE)</f>
        <v>78.582258343408768</v>
      </c>
      <c r="AY23" s="103"/>
      <c r="AZ23" s="21"/>
    </row>
    <row r="24" spans="1:52">
      <c r="A24" s="56" t="str">
        <f>$D$1&amp;14</f>
        <v>SC14</v>
      </c>
      <c r="B24" s="57" t="str">
        <f>IF(ISERROR(VLOOKUP(A24,classifications!A:C,3,FALSE)),0,VLOOKUP(A24,classifications!A:C,3,FALSE))</f>
        <v>Suffolk</v>
      </c>
      <c r="C24" s="8" t="s">
        <v>343</v>
      </c>
      <c r="D24" s="26" t="str">
        <f>VLOOKUP($C24,classifications!$C:$J,4,FALSE)</f>
        <v>SD</v>
      </c>
      <c r="E24" s="26">
        <f>VLOOKUP(C24,classifications!C:K,9,FALSE)</f>
        <v>0</v>
      </c>
      <c r="F24" s="36">
        <f t="shared" si="0"/>
        <v>81.321531256910234</v>
      </c>
      <c r="G24" s="71"/>
      <c r="H24" s="37" t="str">
        <f t="shared" si="1"/>
        <v/>
      </c>
      <c r="I24" s="77" t="str">
        <f>IF(H24="","",IF($I$8="A",(RANK(H24,H$11:H$368,1)+COUNTIF(H$11:H24,H24)-1),(RANK(H24,H$11:H$368)+COUNTIF(H$11:H24,H24)-1)))</f>
        <v/>
      </c>
      <c r="J24" s="35"/>
      <c r="K24" s="28">
        <f t="shared" si="7"/>
        <v>14</v>
      </c>
      <c r="L24" s="36" t="str">
        <f t="shared" si="2"/>
        <v>East Sussex</v>
      </c>
      <c r="M24" s="102">
        <f t="shared" si="22"/>
        <v>82.994301123979568</v>
      </c>
      <c r="N24" s="101">
        <f t="shared" si="23"/>
        <v>82.994301123979568</v>
      </c>
      <c r="O24" s="94" t="str">
        <f t="shared" si="8"/>
        <v/>
      </c>
      <c r="P24" s="94">
        <f t="shared" si="18"/>
        <v>82.994301123979568</v>
      </c>
      <c r="Q24" s="94" t="str">
        <f t="shared" si="19"/>
        <v/>
      </c>
      <c r="R24" s="90" t="str">
        <f t="shared" si="20"/>
        <v/>
      </c>
      <c r="S24" s="37" t="str">
        <f t="shared" si="9"/>
        <v/>
      </c>
      <c r="T24" s="176" t="str">
        <f>IF(L24="","",VLOOKUP(L24,classifications!C:K,9,FALSE))</f>
        <v>Sparse</v>
      </c>
      <c r="U24" s="183">
        <f t="shared" si="10"/>
        <v>82.994301123979568</v>
      </c>
      <c r="V24" s="184">
        <f>IF(U24="","",IF($I$8="A",(RANK(U24,U$11:U$368)+COUNTIF(U$11:U24,U24)-1),(RANK(U24,U$11:U$368,1)+COUNTIF(U$11:U24,U24)-1)))</f>
        <v>11</v>
      </c>
      <c r="W24" s="185"/>
      <c r="X24" s="38" t="str">
        <f>IF(L24="","",VLOOKUP($L24,classifications!$C:$J,6,FALSE))</f>
        <v>Significant Rural</v>
      </c>
      <c r="Y24" s="26" t="b">
        <f t="shared" si="3"/>
        <v>0</v>
      </c>
      <c r="Z24" s="34" t="e">
        <f>IF(Y24="","",IF(I$8="A",(RANK(Y24,Y$11:Y$368,1)+COUNTIF(Y$11:Y24,Y24)-1),(RANK(Y24,Y$11:Y$368)+COUNTIF(Y$11:Y24,Y24)-1)))</f>
        <v>#N/A</v>
      </c>
      <c r="AA24" s="188" t="str">
        <f>IF(L24="","",VLOOKUP($L24,classifications!C:I,7,FALSE))</f>
        <v>Significant Rural</v>
      </c>
      <c r="AB24" s="184" t="str">
        <f t="shared" si="11"/>
        <v/>
      </c>
      <c r="AC24" s="184" t="str">
        <f>IF(AB24="","",IF($I$8="A",(RANK(AB24,AB$11:AB$368)+COUNTIF(AB$11:AB24,AB24)-1),(RANK(AB24,AB$11:AB$368,1)+COUNTIF(AB$11:AB24,AB24)-1)))</f>
        <v/>
      </c>
      <c r="AD24" s="184"/>
      <c r="AE24" s="45">
        <f>IF(I$8="A",(RANK(AG24,AG$11:AG$368,1)+COUNTIF(AG$11:AG24,AG24)-1),(RANK(AG24,AG$11:AG$368)+COUNTIF(AG$11:AG24,AG24)-1))</f>
        <v>12</v>
      </c>
      <c r="AF24" s="1" t="str">
        <f>VLOOKUP(Profile!$J$5,Families!$C:$R,14,FALSE)</f>
        <v>Lancashire</v>
      </c>
      <c r="AG24" s="96">
        <f t="shared" si="12"/>
        <v>80.040045724221116</v>
      </c>
      <c r="AH24" s="46">
        <f t="shared" si="21"/>
        <v>12</v>
      </c>
      <c r="AI24" s="38" t="str">
        <f>IF(L24="","",VLOOKUP($L24,classifications!$C:$J,8,FALSE))</f>
        <v>East Sussex</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South East</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81.321531256910234</v>
      </c>
      <c r="AY24" s="103"/>
      <c r="AZ24" s="21"/>
    </row>
    <row r="25" spans="1:52">
      <c r="A25" s="56" t="str">
        <f>$D$1&amp;15</f>
        <v>SC15</v>
      </c>
      <c r="B25" s="57" t="str">
        <f>IF(ISERROR(VLOOKUP(A25,classifications!A:C,3,FALSE)),0,VLOOKUP(A25,classifications!A:C,3,FALSE))</f>
        <v>Warwickshire</v>
      </c>
      <c r="C25" s="8" t="s">
        <v>15</v>
      </c>
      <c r="D25" s="26" t="str">
        <f>VLOOKUP($C25,classifications!$C:$J,4,FALSE)</f>
        <v>SD</v>
      </c>
      <c r="E25" s="26">
        <f>VLOOKUP(C25,classifications!C:K,9,FALSE)</f>
        <v>0</v>
      </c>
      <c r="F25" s="36">
        <f t="shared" si="0"/>
        <v>79.150372986211494</v>
      </c>
      <c r="G25" s="71"/>
      <c r="H25" s="37" t="str">
        <f t="shared" si="1"/>
        <v/>
      </c>
      <c r="I25" s="77" t="str">
        <f>IF(H25="","",IF($I$8="A",(RANK(H25,H$11:H$368,1)+COUNTIF(H$11:H25,H25)-1),(RANK(H25,H$11:H$368)+COUNTIF(H$11:H25,H25)-1)))</f>
        <v/>
      </c>
      <c r="J25" s="35"/>
      <c r="K25" s="28">
        <f t="shared" si="7"/>
        <v>15</v>
      </c>
      <c r="L25" s="36" t="str">
        <f t="shared" si="2"/>
        <v>Essex</v>
      </c>
      <c r="M25" s="102">
        <f t="shared" si="22"/>
        <v>82.703378459238934</v>
      </c>
      <c r="N25" s="101">
        <f t="shared" si="23"/>
        <v>82.703378459238934</v>
      </c>
      <c r="O25" s="94" t="str">
        <f t="shared" si="8"/>
        <v/>
      </c>
      <c r="P25" s="94" t="str">
        <f t="shared" si="18"/>
        <v/>
      </c>
      <c r="Q25" s="94">
        <f t="shared" si="19"/>
        <v>82.703378459238934</v>
      </c>
      <c r="R25" s="90" t="str">
        <f t="shared" si="20"/>
        <v/>
      </c>
      <c r="S25" s="37" t="str">
        <f t="shared" si="9"/>
        <v/>
      </c>
      <c r="T25" s="176" t="str">
        <f>IF(L25="","",VLOOKUP(L25,classifications!C:K,9,FALSE))</f>
        <v>Sparse</v>
      </c>
      <c r="U25" s="183">
        <f t="shared" si="10"/>
        <v>82.703378459238934</v>
      </c>
      <c r="V25" s="184">
        <f>IF(U25="","",IF($I$8="A",(RANK(U25,U$11:U$368)+COUNTIF(U$11:U25,U25)-1),(RANK(U25,U$11:U$368,1)+COUNTIF(U$11:U25,U25)-1)))</f>
        <v>10</v>
      </c>
      <c r="W25" s="185"/>
      <c r="X25" s="38" t="str">
        <f>IF(L25="","",VLOOKUP($L25,classifications!$C:$J,6,FALSE))</f>
        <v>Significant Rural</v>
      </c>
      <c r="Y25" s="26" t="b">
        <f t="shared" si="3"/>
        <v>0</v>
      </c>
      <c r="Z25" s="34" t="e">
        <f>IF(Y25="","",IF(I$8="A",(RANK(Y25,Y$11:Y$368,1)+COUNTIF(Y$11:Y25,Y25)-1),(RANK(Y25,Y$11:Y$368)+COUNTIF(Y$11:Y25,Y25)-1)))</f>
        <v>#N/A</v>
      </c>
      <c r="AA25" s="188" t="str">
        <f>IF(L25="","",VLOOKUP($L25,classifications!C:I,7,FALSE))</f>
        <v>Significant Rural</v>
      </c>
      <c r="AB25" s="184" t="str">
        <f t="shared" si="11"/>
        <v/>
      </c>
      <c r="AC25" s="184" t="str">
        <f>IF(AB25="","",IF($I$8="A",(RANK(AB25,AB$11:AB$368)+COUNTIF(AB$11:AB25,AB25)-1),(RANK(AB25,AB$11:AB$368,1)+COUNTIF(AB$11:AB25,AB25)-1)))</f>
        <v/>
      </c>
      <c r="AD25" s="184"/>
      <c r="AE25" s="45">
        <f>IF(I$8="A",(RANK(AG25,AG$11:AG$368,1)+COUNTIF(AG$11:AG25,AG25)-1),(RANK(AG25,AG$11:AG$368)+COUNTIF(AG$11:AG25,AG25)-1))</f>
        <v>7</v>
      </c>
      <c r="AF25" s="1" t="str">
        <f>VLOOKUP(Profile!$J$5,Families!$C:$R,15,FALSE)</f>
        <v>Leicestershire</v>
      </c>
      <c r="AG25" s="96">
        <f t="shared" si="12"/>
        <v>82.463591325799086</v>
      </c>
      <c r="AH25" s="46">
        <f t="shared" si="21"/>
        <v>7</v>
      </c>
      <c r="AI25" s="38" t="str">
        <f>IF(L25="","",VLOOKUP($L25,classifications!$C:$J,8,FALSE))</f>
        <v>Essex</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East of England</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79.150372986211494</v>
      </c>
      <c r="AY25" s="103"/>
      <c r="AZ25" s="21"/>
    </row>
    <row r="26" spans="1:52">
      <c r="A26" s="56" t="str">
        <f>$D$1&amp;16</f>
        <v>SC16</v>
      </c>
      <c r="B26" s="57" t="str">
        <f>IF(ISERROR(VLOOKUP(A26,classifications!A:C,3,FALSE)),0,VLOOKUP(A26,classifications!A:C,3,FALSE))</f>
        <v>Worcestershire</v>
      </c>
      <c r="C26" s="8" t="s">
        <v>258</v>
      </c>
      <c r="D26" s="26" t="str">
        <f>VLOOKUP($C26,classifications!$C:$J,4,FALSE)</f>
        <v>UA</v>
      </c>
      <c r="E26" s="26">
        <f>VLOOKUP(C26,classifications!C:K,9,FALSE)</f>
        <v>0</v>
      </c>
      <c r="F26" s="36">
        <f t="shared" si="0"/>
        <v>85.480091908289921</v>
      </c>
      <c r="G26" s="71"/>
      <c r="H26" s="37" t="str">
        <f t="shared" si="1"/>
        <v/>
      </c>
      <c r="I26" s="77" t="str">
        <f>IF(H26="","",IF($I$8="A",(RANK(H26,H$11:H$368,1)+COUNTIF(H$11:H26,H26)-1),(RANK(H26,H$11:H$368)+COUNTIF(H$11:H26,H26)-1)))</f>
        <v/>
      </c>
      <c r="J26" s="35"/>
      <c r="K26" s="28">
        <f t="shared" si="7"/>
        <v>16</v>
      </c>
      <c r="L26" s="36" t="str">
        <f t="shared" si="2"/>
        <v>Leicestershire</v>
      </c>
      <c r="M26" s="102">
        <f t="shared" si="22"/>
        <v>82.463591325799086</v>
      </c>
      <c r="N26" s="101">
        <f t="shared" si="23"/>
        <v>82.463591325799086</v>
      </c>
      <c r="O26" s="94" t="str">
        <f t="shared" si="8"/>
        <v/>
      </c>
      <c r="P26" s="94" t="str">
        <f t="shared" si="18"/>
        <v/>
      </c>
      <c r="Q26" s="94">
        <f t="shared" si="19"/>
        <v>82.463591325799086</v>
      </c>
      <c r="R26" s="90" t="str">
        <f t="shared" si="20"/>
        <v/>
      </c>
      <c r="S26" s="37" t="str">
        <f t="shared" si="9"/>
        <v/>
      </c>
      <c r="T26" s="176" t="str">
        <f>IF(L26="","",VLOOKUP(L26,classifications!C:K,9,FALSE))</f>
        <v>Sparse</v>
      </c>
      <c r="U26" s="183">
        <f t="shared" si="10"/>
        <v>82.463591325799086</v>
      </c>
      <c r="V26" s="184">
        <f>IF(U26="","",IF($I$8="A",(RANK(U26,U$11:U$368)+COUNTIF(U$11:U26,U26)-1),(RANK(U26,U$11:U$368,1)+COUNTIF(U$11:U26,U26)-1)))</f>
        <v>9</v>
      </c>
      <c r="W26" s="185"/>
      <c r="X26" s="38" t="str">
        <f>IF(L26="","",VLOOKUP($L26,classifications!$C:$J,6,FALSE))</f>
        <v>Significant Rural</v>
      </c>
      <c r="Y26" s="26" t="b">
        <f t="shared" si="3"/>
        <v>0</v>
      </c>
      <c r="Z26" s="34" t="e">
        <f>IF(Y26="","",IF(I$8="A",(RANK(Y26,Y$11:Y$368,1)+COUNTIF(Y$11:Y26,Y26)-1),(RANK(Y26,Y$11:Y$368)+COUNTIF(Y$11:Y26,Y26)-1)))</f>
        <v>#N/A</v>
      </c>
      <c r="AA26" s="188" t="str">
        <f>IF(L26="","",VLOOKUP($L26,classifications!C:I,7,FALSE))</f>
        <v>Significant Rural</v>
      </c>
      <c r="AB26" s="184" t="str">
        <f t="shared" si="11"/>
        <v/>
      </c>
      <c r="AC26" s="184" t="str">
        <f>IF(AB26="","",IF($I$8="A",(RANK(AB26,AB$11:AB$368)+COUNTIF(AB$11:AB26,AB26)-1),(RANK(AB26,AB$11:AB$368,1)+COUNTIF(AB$11:AB26,AB26)-1)))</f>
        <v/>
      </c>
      <c r="AD26" s="184"/>
      <c r="AE26" s="45">
        <f>IF(I$8="A",(RANK(AG26,AG$11:AG$368,1)+COUNTIF(AG$11:AG26,AG26)-1),(RANK(AG26,AG$11:AG$368)+COUNTIF(AG$11:AG26,AG26)-1))</f>
        <v>16</v>
      </c>
      <c r="AF26" s="1" t="str">
        <f>VLOOKUP(Profile!$J$5,Families!$C:$R,16,FALSE)</f>
        <v>Dorset</v>
      </c>
      <c r="AG26" s="96">
        <f t="shared" si="12"/>
        <v>0</v>
      </c>
      <c r="AH26" s="46">
        <f t="shared" si="21"/>
        <v>16</v>
      </c>
      <c r="AI26" s="38" t="str">
        <f>IF(L26="","",VLOOKUP($L26,classifications!$C:$J,8,FALSE))</f>
        <v>Leicestershire</v>
      </c>
      <c r="AJ26" s="39" t="str">
        <f t="shared" si="4"/>
        <v/>
      </c>
      <c r="AK26" s="34" t="str">
        <f>IF(AJ26="","",IF(I$8="A",(RANK(AJ26,AJ$11:AJ$368,1)+COUNTIF(AJ$11:AJ26,AJ26)-1),(RANK(AJ26,AJ$11:AJ$368)+COUNTIF(AJ$11:AJ26,AJ26)-1)))</f>
        <v/>
      </c>
      <c r="AL26" s="29" t="str">
        <f t="shared" si="13"/>
        <v/>
      </c>
      <c r="AM26" s="8" t="str">
        <f t="shared" si="5"/>
        <v/>
      </c>
      <c r="AN26" s="8" t="str">
        <f t="shared" si="14"/>
        <v/>
      </c>
      <c r="AP26" s="38" t="str">
        <f>IF(L26="","",VLOOKUP($L26,classifications!$C:$E,3,FALSE))</f>
        <v>East Midlands</v>
      </c>
      <c r="AQ26" s="39" t="str">
        <f t="shared" si="15"/>
        <v/>
      </c>
      <c r="AR26" s="34" t="str">
        <f>IF(AQ26="","",IF(I$8="A",(RANK(AQ26,AQ$11:AQ$368,1)+COUNTIF(AQ$11:AQ26,AQ26)-1),(RANK(AQ26,AQ$11:AQ$368)+COUNTIF(AQ$11:AQ26,AQ26)-1)))</f>
        <v/>
      </c>
      <c r="AS26" s="29" t="str">
        <f t="shared" si="16"/>
        <v/>
      </c>
      <c r="AT26" s="34" t="str">
        <f t="shared" si="6"/>
        <v/>
      </c>
      <c r="AU26" s="39" t="str">
        <f t="shared" si="17"/>
        <v/>
      </c>
      <c r="AX26" s="21">
        <f>HLOOKUP($AX$9&amp;$AX$10,Data!$A$1:$ZZ$2000,(MATCH($C26,Data!$A$1:$A$2000,0)),FALSE)</f>
        <v>85.480091908289921</v>
      </c>
      <c r="AY26" s="103"/>
      <c r="AZ26" s="21"/>
    </row>
    <row r="27" spans="1:52">
      <c r="A27" s="56" t="str">
        <f>$D$1&amp;17</f>
        <v>SC17</v>
      </c>
      <c r="B27" s="57">
        <f>IF(ISERROR(VLOOKUP(A27,classifications!A:C,3,FALSE)),0,VLOOKUP(A27,classifications!A:C,3,FALSE))</f>
        <v>0</v>
      </c>
      <c r="C27" s="8" t="s">
        <v>259</v>
      </c>
      <c r="D27" s="26" t="str">
        <f>VLOOKUP($C27,classifications!$C:$J,4,FALSE)</f>
        <v>UA</v>
      </c>
      <c r="E27" s="26">
        <f>VLOOKUP(C27,classifications!C:K,9,FALSE)</f>
        <v>0</v>
      </c>
      <c r="F27" s="36">
        <f t="shared" si="0"/>
        <v>78.479133299122552</v>
      </c>
      <c r="G27" s="71"/>
      <c r="H27" s="37" t="str">
        <f t="shared" si="1"/>
        <v/>
      </c>
      <c r="I27" s="77" t="str">
        <f>IF(H27="","",IF($I$8="A",(RANK(H27,H$11:H$368,1)+COUNTIF(H$11:H27,H27)-1),(RANK(H27,H$11:H$368)+COUNTIF(H$11:H27,H27)-1)))</f>
        <v/>
      </c>
      <c r="J27" s="35"/>
      <c r="K27" s="28">
        <f t="shared" si="7"/>
        <v>17</v>
      </c>
      <c r="L27" s="36" t="str">
        <f t="shared" si="2"/>
        <v>Suffolk</v>
      </c>
      <c r="M27" s="102">
        <f t="shared" si="22"/>
        <v>82.364696744200316</v>
      </c>
      <c r="N27" s="101">
        <f t="shared" si="23"/>
        <v>82.364696744200316</v>
      </c>
      <c r="O27" s="94" t="str">
        <f t="shared" si="8"/>
        <v/>
      </c>
      <c r="P27" s="94" t="str">
        <f t="shared" si="18"/>
        <v/>
      </c>
      <c r="Q27" s="94">
        <f t="shared" si="19"/>
        <v>82.364696744200316</v>
      </c>
      <c r="R27" s="90" t="str">
        <f t="shared" si="20"/>
        <v/>
      </c>
      <c r="S27" s="37" t="str">
        <f t="shared" si="9"/>
        <v/>
      </c>
      <c r="T27" s="176" t="str">
        <f>IF(L27="","",VLOOKUP(L27,classifications!C:K,9,FALSE))</f>
        <v>Sparse</v>
      </c>
      <c r="U27" s="183">
        <f t="shared" si="10"/>
        <v>82.364696744200316</v>
      </c>
      <c r="V27" s="184">
        <f>IF(U27="","",IF($I$8="A",(RANK(U27,U$11:U$368)+COUNTIF(U$11:U27,U27)-1),(RANK(U27,U$11:U$368,1)+COUNTIF(U$11:U27,U27)-1)))</f>
        <v>8</v>
      </c>
      <c r="W27" s="185"/>
      <c r="X27" s="38" t="str">
        <f>IF(L27="","",VLOOKUP($L27,classifications!$C:$J,6,FALSE))</f>
        <v>Predominantly Rural</v>
      </c>
      <c r="Y27" s="26" t="b">
        <f t="shared" si="3"/>
        <v>0</v>
      </c>
      <c r="Z27" s="34" t="e">
        <f>IF(Y27="","",IF(I$8="A",(RANK(Y27,Y$11:Y$368,1)+COUNTIF(Y$11:Y27,Y27)-1),(RANK(Y27,Y$11:Y$368)+COUNTIF(Y$11:Y27,Y27)-1)))</f>
        <v>#N/A</v>
      </c>
      <c r="AA27" s="188" t="str">
        <f>IF(L27="","",VLOOKUP($L27,classifications!C:I,7,FALSE))</f>
        <v>Predominantly Rural</v>
      </c>
      <c r="AB27" s="184">
        <f t="shared" si="11"/>
        <v>82.364696744200316</v>
      </c>
      <c r="AC27" s="184">
        <f>IF(AB27="","",IF($I$8="A",(RANK(AB27,AB$11:AB$368)+COUNTIF(AB$11:AB27,AB27)-1),(RANK(AB27,AB$11:AB$368,1)+COUNTIF(AB$11:AB27,AB27)-1)))</f>
        <v>4</v>
      </c>
      <c r="AD27" s="184"/>
      <c r="AE27" s="28"/>
      <c r="AF27" s="1"/>
      <c r="AG27" s="96"/>
      <c r="AH27" s="29"/>
      <c r="AI27" s="38" t="str">
        <f>IF(L27="","",VLOOKUP($L27,classifications!$C:$J,8,FALSE))</f>
        <v>Suffolk</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East of England</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78.479133299122552</v>
      </c>
      <c r="AY27" s="103"/>
      <c r="AZ27" s="21"/>
    </row>
    <row r="28" spans="1:52">
      <c r="A28" s="56" t="str">
        <f>$D$1&amp;18</f>
        <v>SC18</v>
      </c>
      <c r="B28" s="57">
        <f>IF(ISERROR(VLOOKUP(A28,classifications!A:C,3,FALSE)),0,VLOOKUP(A28,classifications!A:C,3,FALSE))</f>
        <v>0</v>
      </c>
      <c r="C28" s="8" t="s">
        <v>197</v>
      </c>
      <c r="D28" s="26" t="str">
        <f>VLOOKUP($C28,classifications!$C:$J,4,FALSE)</f>
        <v>L</v>
      </c>
      <c r="E28" s="26">
        <f>VLOOKUP(C28,classifications!C:K,9,FALSE)</f>
        <v>0</v>
      </c>
      <c r="F28" s="36">
        <f t="shared" si="0"/>
        <v>79.654329840891364</v>
      </c>
      <c r="G28" s="71"/>
      <c r="H28" s="37" t="str">
        <f t="shared" si="1"/>
        <v/>
      </c>
      <c r="I28" s="77" t="str">
        <f>IF(H28="","",IF($I$8="A",(RANK(H28,H$11:H$368,1)+COUNTIF(H$11:H28,H28)-1),(RANK(H28,H$11:H$368)+COUNTIF(H$11:H28,H28)-1)))</f>
        <v/>
      </c>
      <c r="J28" s="35"/>
      <c r="K28" s="28">
        <f t="shared" si="7"/>
        <v>18</v>
      </c>
      <c r="L28" s="36" t="str">
        <f t="shared" si="2"/>
        <v>Kent</v>
      </c>
      <c r="M28" s="102">
        <f t="shared" si="22"/>
        <v>81.97475543901848</v>
      </c>
      <c r="N28" s="101">
        <f t="shared" si="23"/>
        <v>81.97475543901848</v>
      </c>
      <c r="O28" s="94" t="str">
        <f t="shared" si="8"/>
        <v/>
      </c>
      <c r="P28" s="94" t="str">
        <f t="shared" si="18"/>
        <v/>
      </c>
      <c r="Q28" s="94">
        <f t="shared" si="19"/>
        <v>81.97475543901848</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Significant Rural</v>
      </c>
      <c r="Y28" s="26" t="b">
        <f t="shared" si="3"/>
        <v>0</v>
      </c>
      <c r="Z28" s="34" t="e">
        <f>IF(Y28="","",IF(I$8="A",(RANK(Y28,Y$11:Y$368,1)+COUNTIF(Y$11:Y28,Y28)-1),(RANK(Y28,Y$11:Y$368)+COUNTIF(Y$11:Y28,Y28)-1)))</f>
        <v>#N/A</v>
      </c>
      <c r="AA28" s="188" t="str">
        <f>IF(L28="","",VLOOKUP($L28,classifications!C:I,7,FALSE))</f>
        <v>Significant Rural</v>
      </c>
      <c r="AB28" s="184" t="str">
        <f t="shared" si="11"/>
        <v/>
      </c>
      <c r="AC28" s="184" t="str">
        <f>IF(AB28="","",IF($I$8="A",(RANK(AB28,AB$11:AB$368)+COUNTIF(AB$11:AB28,AB28)-1),(RANK(AB28,AB$11:AB$368,1)+COUNTIF(AB$11:AB28,AB28)-1)))</f>
        <v/>
      </c>
      <c r="AD28" s="184"/>
      <c r="AE28" s="28"/>
      <c r="AF28" s="1"/>
      <c r="AG28" s="96"/>
      <c r="AH28" s="29"/>
      <c r="AI28" s="38" t="str">
        <f>IF(L28="","",VLOOKUP($L28,classifications!$C:$J,8,FALSE))</f>
        <v>Kent</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East of England</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79.654329840891364</v>
      </c>
      <c r="AY28" s="103"/>
      <c r="AZ28" s="21"/>
    </row>
    <row r="29" spans="1:52">
      <c r="A29" s="56" t="str">
        <f>$D$1&amp;19</f>
        <v>SC19</v>
      </c>
      <c r="B29" s="57">
        <f>IF(ISERROR(VLOOKUP(A29,classifications!A:C,3,FALSE)),0,VLOOKUP(A29,classifications!A:C,3,FALSE))</f>
        <v>0</v>
      </c>
      <c r="C29" s="8" t="s">
        <v>223</v>
      </c>
      <c r="D29" s="26" t="str">
        <f>VLOOKUP($C29,classifications!$C:$J,4,FALSE)</f>
        <v>MD</v>
      </c>
      <c r="E29" s="26">
        <f>VLOOKUP(C29,classifications!C:K,9,FALSE)</f>
        <v>0</v>
      </c>
      <c r="F29" s="36">
        <f t="shared" si="0"/>
        <v>76.78860140422789</v>
      </c>
      <c r="G29" s="71"/>
      <c r="H29" s="37" t="str">
        <f t="shared" si="1"/>
        <v/>
      </c>
      <c r="I29" s="77" t="str">
        <f>IF(H29="","",IF($I$8="A",(RANK(H29,H$11:H$368,1)+COUNTIF(H$11:H29,H29)-1),(RANK(H29,H$11:H$368)+COUNTIF(H$11:H29,H29)-1)))</f>
        <v/>
      </c>
      <c r="J29" s="35"/>
      <c r="K29" s="28">
        <f t="shared" si="7"/>
        <v>19</v>
      </c>
      <c r="L29" s="36" t="str">
        <f t="shared" si="2"/>
        <v>Norfolk</v>
      </c>
      <c r="M29" s="102">
        <f t="shared" si="22"/>
        <v>81.75538355622308</v>
      </c>
      <c r="N29" s="101">
        <f t="shared" si="23"/>
        <v>81.75538355622308</v>
      </c>
      <c r="O29" s="94" t="str">
        <f t="shared" si="8"/>
        <v/>
      </c>
      <c r="P29" s="94" t="str">
        <f t="shared" si="18"/>
        <v/>
      </c>
      <c r="Q29" s="94">
        <f t="shared" si="19"/>
        <v>81.75538355622308</v>
      </c>
      <c r="R29" s="90" t="str">
        <f t="shared" si="20"/>
        <v/>
      </c>
      <c r="S29" s="37" t="str">
        <f t="shared" si="9"/>
        <v/>
      </c>
      <c r="T29" s="176" t="str">
        <f>IF(L29="","",VLOOKUP(L29,classifications!C:K,9,FALSE))</f>
        <v>Sparse</v>
      </c>
      <c r="U29" s="183">
        <f t="shared" si="10"/>
        <v>81.75538355622308</v>
      </c>
      <c r="V29" s="184">
        <f>IF(U29="","",IF($I$8="A",(RANK(U29,U$11:U$368)+COUNTIF(U$11:U29,U29)-1),(RANK(U29,U$11:U$368,1)+COUNTIF(U$11:U29,U29)-1)))</f>
        <v>7</v>
      </c>
      <c r="W29" s="185"/>
      <c r="X29" s="38" t="str">
        <f>IF(L29="","",VLOOKUP($L29,classifications!$C:$J,6,FALSE))</f>
        <v>Predominantly Rural</v>
      </c>
      <c r="Y29" s="26" t="b">
        <f t="shared" si="3"/>
        <v>0</v>
      </c>
      <c r="Z29" s="34" t="e">
        <f>IF(Y29="","",IF(I$8="A",(RANK(Y29,Y$11:Y$368,1)+COUNTIF(Y$11:Y29,Y29)-1),(RANK(Y29,Y$11:Y$368)+COUNTIF(Y$11:Y29,Y29)-1)))</f>
        <v>#N/A</v>
      </c>
      <c r="AA29" s="188" t="str">
        <f>IF(L29="","",VLOOKUP($L29,classifications!C:I,7,FALSE))</f>
        <v>Predominantly Rural</v>
      </c>
      <c r="AB29" s="184">
        <f t="shared" si="11"/>
        <v>81.75538355622308</v>
      </c>
      <c r="AC29" s="184">
        <f>IF(AB29="","",IF($I$8="A",(RANK(AB29,AB$11:AB$368)+COUNTIF(AB$11:AB29,AB29)-1),(RANK(AB29,AB$11:AB$368,1)+COUNTIF(AB$11:AB29,AB29)-1)))</f>
        <v>3</v>
      </c>
      <c r="AD29" s="184"/>
      <c r="AE29" s="28"/>
      <c r="AF29" s="1"/>
      <c r="AG29" s="96"/>
      <c r="AH29" s="29"/>
      <c r="AI29" s="38" t="str">
        <f>IF(L29="","",VLOOKUP($L29,classifications!$C:$J,8,FALSE))</f>
        <v>Norfolk</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East of England</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76.78860140422789</v>
      </c>
      <c r="AY29" s="103"/>
      <c r="AZ29" s="21"/>
    </row>
    <row r="30" spans="1:52">
      <c r="A30" s="56" t="str">
        <f>$D$1&amp;20</f>
        <v>SC20</v>
      </c>
      <c r="B30" s="57">
        <f>IF(ISERROR(VLOOKUP(A30,classifications!A:C,3,FALSE)),0,VLOOKUP(A30,classifications!A:C,3,FALSE))</f>
        <v>0</v>
      </c>
      <c r="C30" s="8" t="s">
        <v>16</v>
      </c>
      <c r="D30" s="26" t="str">
        <f>VLOOKUP($C30,classifications!$C:$J,4,FALSE)</f>
        <v>SD</v>
      </c>
      <c r="E30" s="26">
        <f>VLOOKUP(C30,classifications!C:K,9,FALSE)</f>
        <v>0</v>
      </c>
      <c r="F30" s="36">
        <f t="shared" si="0"/>
        <v>80.526976949454593</v>
      </c>
      <c r="G30" s="71"/>
      <c r="H30" s="37" t="str">
        <f t="shared" si="1"/>
        <v/>
      </c>
      <c r="I30" s="77" t="str">
        <f>IF(H30="","",IF($I$8="A",(RANK(H30,H$11:H$368,1)+COUNTIF(H$11:H30,H30)-1),(RANK(H30,H$11:H$368)+COUNTIF(H$11:H30,H30)-1)))</f>
        <v/>
      </c>
      <c r="J30" s="35"/>
      <c r="K30" s="28">
        <f t="shared" si="7"/>
        <v>20</v>
      </c>
      <c r="L30" s="36" t="str">
        <f t="shared" si="2"/>
        <v>Derbyshire</v>
      </c>
      <c r="M30" s="102">
        <f t="shared" si="22"/>
        <v>81.217592590947703</v>
      </c>
      <c r="N30" s="101">
        <f t="shared" si="23"/>
        <v>81.217592590947703</v>
      </c>
      <c r="O30" s="94" t="str">
        <f t="shared" si="8"/>
        <v/>
      </c>
      <c r="P30" s="94" t="str">
        <f t="shared" si="18"/>
        <v/>
      </c>
      <c r="Q30" s="94">
        <f t="shared" si="19"/>
        <v>81.217592590947703</v>
      </c>
      <c r="R30" s="90" t="str">
        <f t="shared" si="20"/>
        <v/>
      </c>
      <c r="S30" s="37" t="str">
        <f t="shared" si="9"/>
        <v/>
      </c>
      <c r="T30" s="176" t="str">
        <f>IF(L30="","",VLOOKUP(L30,classifications!C:K,9,FALSE))</f>
        <v>Sparse</v>
      </c>
      <c r="U30" s="183">
        <f t="shared" si="10"/>
        <v>81.217592590947703</v>
      </c>
      <c r="V30" s="184">
        <f>IF(U30="","",IF($I$8="A",(RANK(U30,U$11:U$368)+COUNTIF(U$11:U30,U30)-1),(RANK(U30,U$11:U$368,1)+COUNTIF(U$11:U30,U30)-1)))</f>
        <v>6</v>
      </c>
      <c r="W30" s="185"/>
      <c r="X30" s="38" t="str">
        <f>IF(L30="","",VLOOKUP($L30,classifications!$C:$J,6,FALSE))</f>
        <v>Significant Rural</v>
      </c>
      <c r="Y30" s="26" t="b">
        <f t="shared" si="3"/>
        <v>0</v>
      </c>
      <c r="Z30" s="34" t="e">
        <f>IF(Y30="","",IF(I$8="A",(RANK(Y30,Y$11:Y$368,1)+COUNTIF(Y$11:Y30,Y30)-1),(RANK(Y30,Y$11:Y$368)+COUNTIF(Y$11:Y30,Y30)-1)))</f>
        <v>#N/A</v>
      </c>
      <c r="AA30" s="188" t="str">
        <f>IF(L30="","",VLOOKUP($L30,classifications!C:I,7,FALSE))</f>
        <v>Significant Rural</v>
      </c>
      <c r="AB30" s="184" t="str">
        <f t="shared" si="11"/>
        <v/>
      </c>
      <c r="AC30" s="184" t="str">
        <f>IF(AB30="","",IF($I$8="A",(RANK(AB30,AB$11:AB$368)+COUNTIF(AB$11:AB30,AB30)-1),(RANK(AB30,AB$11:AB$368,1)+COUNTIF(AB$11:AB30,AB30)-1)))</f>
        <v/>
      </c>
      <c r="AD30" s="184"/>
      <c r="AE30" s="28"/>
      <c r="AF30" s="1"/>
      <c r="AG30" s="96"/>
      <c r="AH30" s="29"/>
      <c r="AI30" s="38" t="str">
        <f>IF(L30="","",VLOOKUP($L30,classifications!$C:$J,8,FALSE))</f>
        <v>Derbyshire</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East Midlands</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80.526976949454593</v>
      </c>
      <c r="AY30" s="103"/>
      <c r="AZ30" s="21"/>
    </row>
    <row r="31" spans="1:52">
      <c r="A31" s="56" t="str">
        <f>$D$1&amp;21</f>
        <v>SC21</v>
      </c>
      <c r="B31" s="57">
        <f>IF(ISERROR(VLOOKUP(A31,classifications!A:C,3,FALSE)),0,VLOOKUP(A31,classifications!A:C,3,FALSE))</f>
        <v>0</v>
      </c>
      <c r="C31" s="8" t="s">
        <v>260</v>
      </c>
      <c r="D31" s="26" t="str">
        <f>VLOOKUP($C31,classifications!$C:$J,4,FALSE)</f>
        <v>UA</v>
      </c>
      <c r="E31" s="26">
        <f>VLOOKUP(C31,classifications!C:K,9,FALSE)</f>
        <v>0</v>
      </c>
      <c r="F31" s="36">
        <f t="shared" si="0"/>
        <v>71.910386159482883</v>
      </c>
      <c r="G31" s="71"/>
      <c r="H31" s="37" t="str">
        <f t="shared" si="1"/>
        <v/>
      </c>
      <c r="I31" s="77" t="str">
        <f>IF(H31="","",IF($I$8="A",(RANK(H31,H$11:H$368,1)+COUNTIF(H$11:H31,H31)-1),(RANK(H31,H$11:H$368)+COUNTIF(H$11:H31,H31)-1)))</f>
        <v/>
      </c>
      <c r="J31" s="35"/>
      <c r="K31" s="28">
        <f t="shared" si="7"/>
        <v>21</v>
      </c>
      <c r="L31" s="36" t="str">
        <f t="shared" si="2"/>
        <v>Nottinghamshire</v>
      </c>
      <c r="M31" s="102">
        <f t="shared" si="22"/>
        <v>80.365637953863711</v>
      </c>
      <c r="N31" s="101">
        <f t="shared" si="23"/>
        <v>80.365637953863711</v>
      </c>
      <c r="O31" s="94" t="str">
        <f t="shared" si="8"/>
        <v/>
      </c>
      <c r="P31" s="94" t="str">
        <f t="shared" si="18"/>
        <v/>
      </c>
      <c r="Q31" s="94" t="str">
        <f t="shared" si="19"/>
        <v/>
      </c>
      <c r="R31" s="90">
        <f t="shared" si="20"/>
        <v>80.365637953863711</v>
      </c>
      <c r="S31" s="37" t="str">
        <f t="shared" si="9"/>
        <v/>
      </c>
      <c r="T31" s="176" t="str">
        <f>IF(L31="","",VLOOKUP(L31,classifications!C:K,9,FALSE))</f>
        <v>Sparse</v>
      </c>
      <c r="U31" s="183">
        <f t="shared" si="10"/>
        <v>80.365637953863711</v>
      </c>
      <c r="V31" s="184">
        <f>IF(U31="","",IF($I$8="A",(RANK(U31,U$11:U$368)+COUNTIF(U$11:U31,U31)-1),(RANK(U31,U$11:U$368,1)+COUNTIF(U$11:U31,U31)-1)))</f>
        <v>5</v>
      </c>
      <c r="W31" s="185"/>
      <c r="X31" s="38" t="str">
        <f>IF(L31="","",VLOOKUP($L31,classifications!$C:$J,6,FALSE))</f>
        <v>Significant Rural</v>
      </c>
      <c r="Y31" s="26" t="b">
        <f t="shared" si="3"/>
        <v>0</v>
      </c>
      <c r="Z31" s="34" t="e">
        <f>IF(Y31="","",IF(I$8="A",(RANK(Y31,Y$11:Y$368,1)+COUNTIF(Y$11:Y31,Y31)-1),(RANK(Y31,Y$11:Y$368)+COUNTIF(Y$11:Y31,Y31)-1)))</f>
        <v>#N/A</v>
      </c>
      <c r="AA31" s="188" t="str">
        <f>IF(L31="","",VLOOKUP($L31,classifications!C:I,7,FALSE))</f>
        <v>Significant Rural</v>
      </c>
      <c r="AB31" s="184" t="str">
        <f t="shared" si="11"/>
        <v/>
      </c>
      <c r="AC31" s="184" t="str">
        <f>IF(AB31="","",IF($I$8="A",(RANK(AB31,AB$11:AB$368)+COUNTIF(AB$11:AB31,AB31)-1),(RANK(AB31,AB$11:AB$368,1)+COUNTIF(AB$11:AB31,AB31)-1)))</f>
        <v/>
      </c>
      <c r="AD31" s="184"/>
      <c r="AE31" s="28"/>
      <c r="AF31" s="1"/>
      <c r="AG31" s="96"/>
      <c r="AH31" s="29"/>
      <c r="AI31" s="38" t="str">
        <f>IF(L31="","",VLOOKUP($L31,classifications!$C:$J,8,FALSE))</f>
        <v>Nottinghamshire</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East Midlands</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71.910386159482883</v>
      </c>
      <c r="AY31" s="103"/>
      <c r="AZ31" s="21"/>
    </row>
    <row r="32" spans="1:52">
      <c r="A32" s="56" t="str">
        <f>$D$1&amp;22</f>
        <v>SC22</v>
      </c>
      <c r="B32" s="57">
        <f>IF(ISERROR(VLOOKUP(A32,classifications!A:C,3,FALSE)),0,VLOOKUP(A32,classifications!A:C,3,FALSE))</f>
        <v>0</v>
      </c>
      <c r="C32" s="8" t="s">
        <v>261</v>
      </c>
      <c r="D32" s="26" t="str">
        <f>VLOOKUP($C32,classifications!$C:$J,4,FALSE)</f>
        <v>UA</v>
      </c>
      <c r="E32" s="26">
        <f>VLOOKUP(C32,classifications!C:K,9,FALSE)</f>
        <v>0</v>
      </c>
      <c r="F32" s="36">
        <f t="shared" si="0"/>
        <v>76.207456845799953</v>
      </c>
      <c r="G32" s="71"/>
      <c r="H32" s="37" t="str">
        <f t="shared" si="1"/>
        <v/>
      </c>
      <c r="I32" s="77" t="str">
        <f>IF(H32="","",IF($I$8="A",(RANK(H32,H$11:H$368,1)+COUNTIF(H$11:H32,H32)-1),(RANK(H32,H$11:H$368)+COUNTIF(H$11:H32,H32)-1)))</f>
        <v/>
      </c>
      <c r="J32" s="35"/>
      <c r="K32" s="28">
        <f t="shared" si="7"/>
        <v>22</v>
      </c>
      <c r="L32" s="36" t="str">
        <f t="shared" si="2"/>
        <v>Lancashire</v>
      </c>
      <c r="M32" s="102">
        <f t="shared" si="22"/>
        <v>80.040045724221116</v>
      </c>
      <c r="N32" s="101">
        <f t="shared" si="23"/>
        <v>80.040045724221116</v>
      </c>
      <c r="O32" s="94" t="str">
        <f t="shared" si="8"/>
        <v/>
      </c>
      <c r="P32" s="94" t="str">
        <f t="shared" si="18"/>
        <v/>
      </c>
      <c r="Q32" s="94" t="str">
        <f t="shared" si="19"/>
        <v/>
      </c>
      <c r="R32" s="90">
        <f t="shared" si="20"/>
        <v>80.040045724221116</v>
      </c>
      <c r="S32" s="37" t="str">
        <f t="shared" si="9"/>
        <v/>
      </c>
      <c r="T32" s="176" t="str">
        <f>IF(L32="","",VLOOKUP(L32,classifications!C:K,9,FALSE))</f>
        <v>Sparse</v>
      </c>
      <c r="U32" s="183">
        <f t="shared" si="10"/>
        <v>80.040045724221116</v>
      </c>
      <c r="V32" s="184">
        <f>IF(U32="","",IF($I$8="A",(RANK(U32,U$11:U$368)+COUNTIF(U$11:U32,U32)-1),(RANK(U32,U$11:U$368,1)+COUNTIF(U$11:U32,U32)-1)))</f>
        <v>4</v>
      </c>
      <c r="W32" s="185"/>
      <c r="X32" s="38" t="str">
        <f>IF(L32="","",VLOOKUP($L32,classifications!$C:$J,6,FALSE))</f>
        <v>Significant Rural</v>
      </c>
      <c r="Y32" s="26" t="b">
        <f t="shared" si="3"/>
        <v>0</v>
      </c>
      <c r="Z32" s="34" t="e">
        <f>IF(Y32="","",IF(I$8="A",(RANK(Y32,Y$11:Y$368,1)+COUNTIF(Y$11:Y32,Y32)-1),(RANK(Y32,Y$11:Y$368)+COUNTIF(Y$11:Y32,Y32)-1)))</f>
        <v>#N/A</v>
      </c>
      <c r="AA32" s="188" t="str">
        <f>IF(L32="","",VLOOKUP($L32,classifications!C:I,7,FALSE))</f>
        <v>Significant Rural</v>
      </c>
      <c r="AB32" s="184" t="str">
        <f t="shared" si="11"/>
        <v/>
      </c>
      <c r="AC32" s="184" t="str">
        <f>IF(AB32="","",IF($I$8="A",(RANK(AB32,AB$11:AB$368)+COUNTIF(AB$11:AB32,AB32)-1),(RANK(AB32,AB$11:AB$368,1)+COUNTIF(AB$11:AB32,AB32)-1)))</f>
        <v/>
      </c>
      <c r="AD32" s="184"/>
      <c r="AE32" s="28"/>
      <c r="AG32" s="96"/>
      <c r="AH32" s="29"/>
      <c r="AI32" s="38" t="str">
        <f>IF(L32="","",VLOOKUP($L32,classifications!$C:$J,8,FALSE))</f>
        <v>Lancashire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North West</v>
      </c>
      <c r="AQ32" s="39">
        <f t="shared" si="15"/>
        <v>80.040045724221116</v>
      </c>
      <c r="AR32" s="34">
        <f>IF(AQ32="","",IF(I$8="A",(RANK(AQ32,AQ$11:AQ$368,1)+COUNTIF(AQ$11:AQ32,AQ32)-1),(RANK(AQ32,AQ$11:AQ$368)+COUNTIF(AQ$11:AQ32,AQ32)-1)))</f>
        <v>2</v>
      </c>
      <c r="AS32" s="29" t="str">
        <f t="shared" si="16"/>
        <v/>
      </c>
      <c r="AT32" s="34" t="str">
        <f t="shared" si="6"/>
        <v/>
      </c>
      <c r="AU32" s="39" t="str">
        <f t="shared" si="17"/>
        <v/>
      </c>
      <c r="AX32" s="21">
        <f>HLOOKUP($AX$9&amp;$AX$10,Data!$A$1:$ZZ$2000,(MATCH($C32,Data!$A$1:$A$2000,0)),FALSE)</f>
        <v>76.207456845799953</v>
      </c>
      <c r="AY32" s="103"/>
      <c r="AZ32" s="21"/>
    </row>
    <row r="33" spans="1:52">
      <c r="A33" s="56" t="str">
        <f>$D$1&amp;23</f>
        <v>SC23</v>
      </c>
      <c r="B33" s="57">
        <f>IF(ISERROR(VLOOKUP(A33,classifications!A:C,3,FALSE)),0,VLOOKUP(A33,classifications!A:C,3,FALSE))</f>
        <v>0</v>
      </c>
      <c r="C33" s="8" t="s">
        <v>17</v>
      </c>
      <c r="D33" s="26" t="str">
        <f>VLOOKUP($C33,classifications!$C:$J,4,FALSE)</f>
        <v>SD</v>
      </c>
      <c r="E33" s="26">
        <f>VLOOKUP(C33,classifications!C:K,9,FALSE)</f>
        <v>0</v>
      </c>
      <c r="F33" s="36">
        <f t="shared" si="0"/>
        <v>81.08571466065861</v>
      </c>
      <c r="G33" s="71"/>
      <c r="H33" s="37" t="str">
        <f t="shared" si="1"/>
        <v/>
      </c>
      <c r="I33" s="77" t="str">
        <f>IF(H33="","",IF($I$8="A",(RANK(H33,H$11:H$368,1)+COUNTIF(H$11:H33,H33)-1),(RANK(H33,H$11:H$368)+COUNTIF(H$11:H33,H33)-1)))</f>
        <v/>
      </c>
      <c r="J33" s="35"/>
      <c r="K33" s="28">
        <f t="shared" si="7"/>
        <v>23</v>
      </c>
      <c r="L33" s="36" t="str">
        <f t="shared" si="2"/>
        <v>Northamptonshire</v>
      </c>
      <c r="M33" s="102">
        <f t="shared" si="22"/>
        <v>79.79867780945284</v>
      </c>
      <c r="N33" s="101">
        <f t="shared" si="23"/>
        <v>79.79867780945284</v>
      </c>
      <c r="O33" s="94" t="str">
        <f t="shared" si="8"/>
        <v/>
      </c>
      <c r="P33" s="94" t="str">
        <f t="shared" si="18"/>
        <v/>
      </c>
      <c r="Q33" s="94" t="str">
        <f t="shared" si="19"/>
        <v/>
      </c>
      <c r="R33" s="90">
        <f t="shared" si="20"/>
        <v>79.79867780945284</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Significant Rural</v>
      </c>
      <c r="Y33" s="26" t="b">
        <f t="shared" si="3"/>
        <v>0</v>
      </c>
      <c r="Z33" s="34" t="e">
        <f>IF(Y33="","",IF(I$8="A",(RANK(Y33,Y$11:Y$368,1)+COUNTIF(Y$11:Y33,Y33)-1),(RANK(Y33,Y$11:Y$368)+COUNTIF(Y$11:Y33,Y33)-1)))</f>
        <v>#N/A</v>
      </c>
      <c r="AA33" s="188" t="str">
        <f>IF(L33="","",VLOOKUP($L33,classifications!C:I,7,FALSE))</f>
        <v>Significant Rural</v>
      </c>
      <c r="AB33" s="184" t="str">
        <f t="shared" si="11"/>
        <v/>
      </c>
      <c r="AC33" s="184" t="str">
        <f>IF(AB33="","",IF($I$8="A",(RANK(AB33,AB$11:AB$368)+COUNTIF(AB$11:AB33,AB33)-1),(RANK(AB33,AB$11:AB$368,1)+COUNTIF(AB$11:AB33,AB33)-1)))</f>
        <v/>
      </c>
      <c r="AD33" s="184"/>
      <c r="AE33" s="28"/>
      <c r="AG33" s="96"/>
      <c r="AH33" s="29"/>
      <c r="AI33" s="38" t="str">
        <f>IF(L33="","",VLOOKUP($L33,classifications!$C:$J,8,FALSE))</f>
        <v>Northamptonshire</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East Midlands</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81.08571466065861</v>
      </c>
      <c r="AY33" s="103"/>
      <c r="AZ33" s="21"/>
    </row>
    <row r="34" spans="1:52">
      <c r="A34" s="56" t="str">
        <f>$D$1&amp;24</f>
        <v>SC24</v>
      </c>
      <c r="B34" s="57">
        <f>IF(ISERROR(VLOOKUP(A34,classifications!A:C,3,FALSE)),0,VLOOKUP(A34,classifications!A:C,3,FALSE))</f>
        <v>0</v>
      </c>
      <c r="C34" s="8" t="s">
        <v>224</v>
      </c>
      <c r="D34" s="26" t="str">
        <f>VLOOKUP($C34,classifications!$C:$J,4,FALSE)</f>
        <v>MD</v>
      </c>
      <c r="E34" s="26">
        <f>VLOOKUP(C34,classifications!C:K,9,FALSE)</f>
        <v>0</v>
      </c>
      <c r="F34" s="36">
        <f t="shared" si="0"/>
        <v>72.807675733968708</v>
      </c>
      <c r="G34" s="71"/>
      <c r="H34" s="37" t="str">
        <f t="shared" si="1"/>
        <v/>
      </c>
      <c r="I34" s="77" t="str">
        <f>IF(H34="","",IF($I$8="A",(RANK(H34,H$11:H$368,1)+COUNTIF(H$11:H34,H34)-1),(RANK(H34,H$11:H$368)+COUNTIF(H$11:H34,H34)-1)))</f>
        <v/>
      </c>
      <c r="J34" s="35"/>
      <c r="K34" s="28">
        <f t="shared" si="7"/>
        <v>24</v>
      </c>
      <c r="L34" s="36" t="str">
        <f t="shared" si="2"/>
        <v>Staffordshire</v>
      </c>
      <c r="M34" s="102">
        <f t="shared" si="22"/>
        <v>78.750029660967968</v>
      </c>
      <c r="N34" s="101">
        <f t="shared" si="23"/>
        <v>78.750029660967968</v>
      </c>
      <c r="O34" s="94" t="str">
        <f t="shared" si="8"/>
        <v/>
      </c>
      <c r="P34" s="94" t="str">
        <f t="shared" si="18"/>
        <v/>
      </c>
      <c r="Q34" s="94" t="str">
        <f t="shared" si="19"/>
        <v/>
      </c>
      <c r="R34" s="90">
        <f t="shared" si="20"/>
        <v>78.750029660967968</v>
      </c>
      <c r="S34" s="37" t="str">
        <f t="shared" si="9"/>
        <v/>
      </c>
      <c r="T34" s="176" t="str">
        <f>IF(L34="","",VLOOKUP(L34,classifications!C:K,9,FALSE))</f>
        <v>Sparse</v>
      </c>
      <c r="U34" s="183">
        <f t="shared" si="10"/>
        <v>78.750029660967968</v>
      </c>
      <c r="V34" s="184">
        <f>IF(U34="","",IF($I$8="A",(RANK(U34,U$11:U$368)+COUNTIF(U$11:U34,U34)-1),(RANK(U34,U$11:U$368,1)+COUNTIF(U$11:U34,U34)-1)))</f>
        <v>3</v>
      </c>
      <c r="W34" s="185"/>
      <c r="X34" s="38" t="str">
        <f>IF(L34="","",VLOOKUP($L34,classifications!$C:$J,6,FALSE))</f>
        <v>Significant Rural</v>
      </c>
      <c r="Y34" s="26" t="b">
        <f t="shared" si="3"/>
        <v>0</v>
      </c>
      <c r="Z34" s="34" t="e">
        <f>IF(Y34="","",IF(I$8="A",(RANK(Y34,Y$11:Y$368,1)+COUNTIF(Y$11:Y34,Y34)-1),(RANK(Y34,Y$11:Y$368)+COUNTIF(Y$11:Y34,Y34)-1)))</f>
        <v>#N/A</v>
      </c>
      <c r="AA34" s="188" t="str">
        <f>IF(L34="","",VLOOKUP($L34,classifications!C:I,7,FALSE))</f>
        <v>Significant Rural</v>
      </c>
      <c r="AB34" s="184" t="str">
        <f t="shared" si="11"/>
        <v/>
      </c>
      <c r="AC34" s="184" t="str">
        <f>IF(AB34="","",IF($I$8="A",(RANK(AB34,AB$11:AB$368)+COUNTIF(AB$11:AB34,AB34)-1),(RANK(AB34,AB$11:AB$368,1)+COUNTIF(AB$11:AB34,AB34)-1)))</f>
        <v/>
      </c>
      <c r="AD34" s="184"/>
      <c r="AE34" s="28"/>
      <c r="AG34" s="96"/>
      <c r="AH34" s="29"/>
      <c r="AI34" s="38" t="str">
        <f>IF(L34="","",VLOOKUP($L34,classifications!$C:$J,8,FALSE))</f>
        <v>Staffordshire</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West Midlands</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72.807675733968708</v>
      </c>
      <c r="AY34" s="103"/>
      <c r="AZ34" s="21"/>
    </row>
    <row r="35" spans="1:52">
      <c r="A35" s="56" t="str">
        <f>$D$1&amp;25</f>
        <v>SC25</v>
      </c>
      <c r="B35" s="57">
        <f>IF(ISERROR(VLOOKUP(A35,classifications!A:C,3,FALSE)),0,VLOOKUP(A35,classifications!A:C,3,FALSE))</f>
        <v>0</v>
      </c>
      <c r="C35" s="8" t="s">
        <v>18</v>
      </c>
      <c r="D35" s="26" t="str">
        <f>VLOOKUP($C35,classifications!$C:$J,4,FALSE)</f>
        <v>SD</v>
      </c>
      <c r="E35" s="26" t="str">
        <f>VLOOKUP(C35,classifications!C:K,9,FALSE)</f>
        <v>Sparse</v>
      </c>
      <c r="F35" s="36">
        <f t="shared" si="0"/>
        <v>77.376417647046452</v>
      </c>
      <c r="G35" s="71"/>
      <c r="H35" s="37" t="str">
        <f t="shared" si="1"/>
        <v/>
      </c>
      <c r="I35" s="77" t="str">
        <f>IF(H35="","",IF($I$8="A",(RANK(H35,H$11:H$368,1)+COUNTIF(H$11:H35,H35)-1),(RANK(H35,H$11:H$368)+COUNTIF(H$11:H35,H35)-1)))</f>
        <v/>
      </c>
      <c r="J35" s="35"/>
      <c r="K35" s="28">
        <f t="shared" si="7"/>
        <v>25</v>
      </c>
      <c r="L35" s="36" t="str">
        <f t="shared" si="2"/>
        <v>Lincolnshire</v>
      </c>
      <c r="M35" s="102">
        <f t="shared" si="22"/>
        <v>78.211534177467797</v>
      </c>
      <c r="N35" s="101">
        <f t="shared" si="23"/>
        <v>78.211534177467797</v>
      </c>
      <c r="O35" s="94" t="str">
        <f t="shared" si="8"/>
        <v/>
      </c>
      <c r="P35" s="94" t="str">
        <f t="shared" si="18"/>
        <v/>
      </c>
      <c r="Q35" s="94" t="str">
        <f t="shared" si="19"/>
        <v/>
      </c>
      <c r="R35" s="90">
        <f t="shared" si="20"/>
        <v>78.211534177467797</v>
      </c>
      <c r="S35" s="37" t="str">
        <f t="shared" si="9"/>
        <v/>
      </c>
      <c r="T35" s="176" t="str">
        <f>IF(L35="","",VLOOKUP(L35,classifications!C:K,9,FALSE))</f>
        <v>Sparse</v>
      </c>
      <c r="U35" s="183">
        <f t="shared" si="10"/>
        <v>78.211534177467797</v>
      </c>
      <c r="V35" s="184">
        <f>IF(U35="","",IF($I$8="A",(RANK(U35,U$11:U$368)+COUNTIF(U$11:U35,U35)-1),(RANK(U35,U$11:U$368,1)+COUNTIF(U$11:U35,U35)-1)))</f>
        <v>2</v>
      </c>
      <c r="W35" s="185"/>
      <c r="X35" s="38" t="str">
        <f>IF(L35="","",VLOOKUP($L35,classifications!$C:$J,6,FALSE))</f>
        <v>Predominantly Rural</v>
      </c>
      <c r="Y35" s="26" t="b">
        <f t="shared" si="3"/>
        <v>0</v>
      </c>
      <c r="Z35" s="34" t="e">
        <f>IF(Y35="","",IF(I$8="A",(RANK(Y35,Y$11:Y$368,1)+COUNTIF(Y$11:Y35,Y35)-1),(RANK(Y35,Y$11:Y$368)+COUNTIF(Y$11:Y35,Y35)-1)))</f>
        <v>#N/A</v>
      </c>
      <c r="AA35" s="188" t="str">
        <f>IF(L35="","",VLOOKUP($L35,classifications!C:I,7,FALSE))</f>
        <v>Predominantly Rural</v>
      </c>
      <c r="AB35" s="184">
        <f t="shared" si="11"/>
        <v>78.211534177467797</v>
      </c>
      <c r="AC35" s="184">
        <f>IF(AB35="","",IF($I$8="A",(RANK(AB35,AB$11:AB$368)+COUNTIF(AB$11:AB35,AB35)-1),(RANK(AB35,AB$11:AB$368,1)+COUNTIF(AB$11:AB35,AB35)-1)))</f>
        <v>2</v>
      </c>
      <c r="AD35" s="184"/>
      <c r="AE35" s="28" t="str">
        <f t="shared" ref="AE35:AE98" si="24">IF(AE34="","",IF(AE34+1&gt;(COUNT(AG:AG)),"",AE34+1))</f>
        <v/>
      </c>
      <c r="AG35" s="96"/>
      <c r="AH35" s="29"/>
      <c r="AI35" s="38" t="str">
        <f>IF(L35="","",VLOOKUP($L35,classifications!$C:$J,8,FALSE))</f>
        <v>Lincolnshire</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East Midlands</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77.376417647046452</v>
      </c>
      <c r="AY35" s="103"/>
      <c r="AZ35" s="21"/>
    </row>
    <row r="36" spans="1:52">
      <c r="A36" s="56" t="str">
        <f>$D$1&amp;26</f>
        <v>SC26</v>
      </c>
      <c r="B36" s="57">
        <f>IF(ISERROR(VLOOKUP(A36,classifications!A:C,3,FALSE)),0,VLOOKUP(A36,classifications!A:C,3,FALSE))</f>
        <v>0</v>
      </c>
      <c r="C36" s="8" t="s">
        <v>262</v>
      </c>
      <c r="D36" s="26" t="str">
        <f>VLOOKUP($C36,classifications!$C:$J,4,FALSE)</f>
        <v>UA</v>
      </c>
      <c r="E36" s="26">
        <f>VLOOKUP(C36,classifications!C:K,9,FALSE)</f>
        <v>0</v>
      </c>
      <c r="F36" s="36">
        <f t="shared" si="0"/>
        <v>0</v>
      </c>
      <c r="G36" s="71"/>
      <c r="H36" s="37" t="str">
        <f t="shared" si="1"/>
        <v/>
      </c>
      <c r="I36" s="77" t="str">
        <f>IF(H36="","",IF($I$8="A",(RANK(H36,H$11:H$368,1)+COUNTIF(H$11:H36,H36)-1),(RANK(H36,H$11:H$368)+COUNTIF(H$11:H36,H36)-1)))</f>
        <v/>
      </c>
      <c r="J36" s="35"/>
      <c r="K36" s="28">
        <f t="shared" si="7"/>
        <v>26</v>
      </c>
      <c r="L36" s="36" t="str">
        <f t="shared" si="2"/>
        <v>Warwickshire</v>
      </c>
      <c r="M36" s="102">
        <f t="shared" si="22"/>
        <v>77.957041174917606</v>
      </c>
      <c r="N36" s="101">
        <f t="shared" si="23"/>
        <v>77.957041174917606</v>
      </c>
      <c r="O36" s="94" t="str">
        <f t="shared" si="8"/>
        <v/>
      </c>
      <c r="P36" s="94" t="str">
        <f t="shared" si="18"/>
        <v/>
      </c>
      <c r="Q36" s="94" t="str">
        <f t="shared" si="19"/>
        <v/>
      </c>
      <c r="R36" s="90">
        <f t="shared" si="20"/>
        <v>77.957041174917606</v>
      </c>
      <c r="S36" s="37" t="str">
        <f t="shared" si="9"/>
        <v/>
      </c>
      <c r="T36" s="176" t="str">
        <f>IF(L36="","",VLOOKUP(L36,classifications!C:K,9,FALSE))</f>
        <v>Sparse</v>
      </c>
      <c r="U36" s="183">
        <f t="shared" si="10"/>
        <v>77.957041174917606</v>
      </c>
      <c r="V36" s="184">
        <f>IF(U36="","",IF($I$8="A",(RANK(U36,U$11:U$368)+COUNTIF(U$11:U36,U36)-1),(RANK(U36,U$11:U$368,1)+COUNTIF(U$11:U36,U36)-1)))</f>
        <v>1</v>
      </c>
      <c r="W36" s="185"/>
      <c r="X36" s="38" t="str">
        <f>IF(L36="","",VLOOKUP($L36,classifications!$C:$J,6,FALSE))</f>
        <v>Significant Rural</v>
      </c>
      <c r="Y36" s="26" t="b">
        <f t="shared" si="3"/>
        <v>0</v>
      </c>
      <c r="Z36" s="34" t="e">
        <f>IF(Y36="","",IF(I$8="A",(RANK(Y36,Y$11:Y$368,1)+COUNTIF(Y$11:Y36,Y36)-1),(RANK(Y36,Y$11:Y$368)+COUNTIF(Y$11:Y36,Y36)-1)))</f>
        <v>#N/A</v>
      </c>
      <c r="AA36" s="188" t="str">
        <f>IF(L36="","",VLOOKUP($L36,classifications!C:I,7,FALSE))</f>
        <v>Significant Rural</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Warwickshire</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West Midlands</v>
      </c>
      <c r="AQ36" s="39" t="str">
        <f t="shared" si="15"/>
        <v/>
      </c>
      <c r="AR36" s="34" t="str">
        <f>IF(AQ36="","",IF(I$8="A",(RANK(AQ36,AQ$11:AQ$368,1)+COUNTIF(AQ$11:AQ36,AQ36)-1),(RANK(AQ36,AQ$11:AQ$368)+COUNTIF(AQ$11:AQ36,AQ36)-1)))</f>
        <v/>
      </c>
      <c r="AS36" s="29" t="str">
        <f t="shared" si="16"/>
        <v/>
      </c>
      <c r="AT36" s="34" t="str">
        <f t="shared" si="6"/>
        <v/>
      </c>
      <c r="AU36" s="39" t="str">
        <f t="shared" si="17"/>
        <v/>
      </c>
      <c r="AX36" s="21">
        <f>HLOOKUP($AX$9&amp;$AX$10,Data!$A$1:$ZZ$2000,(MATCH($C36,Data!$A$1:$A$2000,0)),FALSE)</f>
        <v>0</v>
      </c>
      <c r="AY36" s="103"/>
      <c r="AZ36" s="21"/>
    </row>
    <row r="37" spans="1:52">
      <c r="A37" s="56" t="str">
        <f>$D$1&amp;27</f>
        <v>SC27</v>
      </c>
      <c r="B37" s="57">
        <f>IF(ISERROR(VLOOKUP(A37,classifications!A:C,3,FALSE)),0,VLOOKUP(A37,classifications!A:C,3,FALSE))</f>
        <v>0</v>
      </c>
      <c r="C37" s="8" t="s">
        <v>909</v>
      </c>
      <c r="D37" s="26" t="str">
        <f>VLOOKUP($C37,classifications!$C:$J,4,FALSE)</f>
        <v>UA</v>
      </c>
      <c r="E37" s="26">
        <f>VLOOKUP(C37,classifications!C:K,9,FALSE)</f>
        <v>0</v>
      </c>
      <c r="F37" s="36" t="e">
        <f t="shared" si="0"/>
        <v>#N/A</v>
      </c>
      <c r="G37" s="71"/>
      <c r="H37" s="37" t="str">
        <f t="shared" si="1"/>
        <v/>
      </c>
      <c r="I37" s="77" t="str">
        <f>IF(H37="","",IF($I$8="A",(RANK(H37,H$11:H$368,1)+COUNTIF(H$11:H37,H37)-1),(RANK(H37,H$11:H$368)+COUNTIF(H$11:H37,H37)-1)))</f>
        <v/>
      </c>
      <c r="J37" s="35"/>
      <c r="K37" s="28">
        <f t="shared" si="7"/>
        <v>27</v>
      </c>
      <c r="L37" s="36" t="str">
        <f t="shared" si="2"/>
        <v>Dorset</v>
      </c>
      <c r="M37" s="102">
        <f t="shared" si="22"/>
        <v>0</v>
      </c>
      <c r="N37" s="101">
        <f t="shared" si="23"/>
        <v>0</v>
      </c>
      <c r="O37" s="94" t="str">
        <f t="shared" si="8"/>
        <v/>
      </c>
      <c r="P37" s="94" t="str">
        <f t="shared" si="18"/>
        <v/>
      </c>
      <c r="Q37" s="94" t="str">
        <f t="shared" si="19"/>
        <v/>
      </c>
      <c r="R37" s="90">
        <f t="shared" si="20"/>
        <v>0</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Predominantly Rural</v>
      </c>
      <c r="Y37" s="26" t="b">
        <f t="shared" si="3"/>
        <v>0</v>
      </c>
      <c r="Z37" s="34" t="e">
        <f>IF(Y37="","",IF(I$8="A",(RANK(Y37,Y$11:Y$368,1)+COUNTIF(Y$11:Y37,Y37)-1),(RANK(Y37,Y$11:Y$368)+COUNTIF(Y$11:Y37,Y37)-1)))</f>
        <v>#N/A</v>
      </c>
      <c r="AA37" s="188" t="str">
        <f>IF(L37="","",VLOOKUP($L37,classifications!C:I,7,FALSE))</f>
        <v>Predominantly Rural</v>
      </c>
      <c r="AB37" s="184">
        <f t="shared" si="11"/>
        <v>0</v>
      </c>
      <c r="AC37" s="184">
        <f>IF(AB37="","",IF($I$8="A",(RANK(AB37,AB$11:AB$368)+COUNTIF(AB$11:AB37,AB37)-1),(RANK(AB37,AB$11:AB$368,1)+COUNTIF(AB$11:AB37,AB37)-1)))</f>
        <v>1</v>
      </c>
      <c r="AD37" s="184"/>
      <c r="AE37" s="28" t="str">
        <f t="shared" si="24"/>
        <v/>
      </c>
      <c r="AG37" s="96"/>
      <c r="AH37" s="29"/>
      <c r="AI37" s="38" t="str">
        <f>IF(L37="","",VLOOKUP($L37,classifications!$C:$J,8,FALSE))</f>
        <v>Dorset</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West</v>
      </c>
      <c r="AQ37" s="39" t="str">
        <f t="shared" si="15"/>
        <v/>
      </c>
      <c r="AR37" s="34" t="str">
        <f>IF(AQ37="","",IF(I$8="A",(RANK(AQ37,AQ$11:AQ$368,1)+COUNTIF(AQ$11:AQ37,AQ37)-1),(RANK(AQ37,AQ$11:AQ$368)+COUNTIF(AQ$11:AQ37,AQ37)-1)))</f>
        <v/>
      </c>
      <c r="AS37" s="29" t="str">
        <f t="shared" si="16"/>
        <v/>
      </c>
      <c r="AT37" s="34" t="str">
        <f t="shared" si="6"/>
        <v/>
      </c>
      <c r="AU37" s="39" t="str">
        <f t="shared" si="17"/>
        <v/>
      </c>
      <c r="AX37" s="21" t="e">
        <f>HLOOKUP($AX$9&amp;$AX$10,Data!$A$1:$ZZ$2000,(MATCH($C37,Data!$A$1:$A$2000,0)),FALSE)</f>
        <v>#N/A</v>
      </c>
      <c r="AY37" s="103"/>
      <c r="AZ37" s="21"/>
    </row>
    <row r="38" spans="1:52">
      <c r="A38" s="56" t="str">
        <f>$D$1&amp;28</f>
        <v>SC28</v>
      </c>
      <c r="B38" s="57">
        <f>IF(ISERROR(VLOOKUP(A38,classifications!A:C,3,FALSE)),0,VLOOKUP(A38,classifications!A:C,3,FALSE))</f>
        <v>0</v>
      </c>
      <c r="C38" s="8" t="s">
        <v>263</v>
      </c>
      <c r="D38" s="26" t="str">
        <f>VLOOKUP($C38,classifications!$C:$J,4,FALSE)</f>
        <v>UA</v>
      </c>
      <c r="E38" s="26">
        <f>VLOOKUP(C38,classifications!C:K,9,FALSE)</f>
        <v>0</v>
      </c>
      <c r="F38" s="36">
        <f t="shared" si="0"/>
        <v>83.5646772483192</v>
      </c>
      <c r="G38" s="71"/>
      <c r="H38" s="37" t="str">
        <f t="shared" si="1"/>
        <v/>
      </c>
      <c r="I38" s="77" t="str">
        <f>IF(H38="","",IF($I$8="A",(RANK(H38,H$11:H$368,1)+COUNTIF(H$11:H38,H38)-1),(RANK(H38,H$11:H$368)+COUNTIF(H$11:H38,H38)-1)))</f>
        <v/>
      </c>
      <c r="J38" s="35"/>
      <c r="K38" s="28" t="str">
        <f t="shared" si="7"/>
        <v/>
      </c>
      <c r="L38" s="36" t="str">
        <f t="shared" si="2"/>
        <v/>
      </c>
      <c r="M38" s="102" t="str">
        <f t="shared" si="22"/>
        <v/>
      </c>
      <c r="N38" s="101" t="str">
        <f t="shared" si="23"/>
        <v/>
      </c>
      <c r="O38" s="94" t="str">
        <f t="shared" si="8"/>
        <v/>
      </c>
      <c r="P38" s="94" t="str">
        <f t="shared" si="18"/>
        <v/>
      </c>
      <c r="Q38" s="94" t="str">
        <f t="shared" si="19"/>
        <v/>
      </c>
      <c r="R38" s="90" t="str">
        <f t="shared" si="20"/>
        <v/>
      </c>
      <c r="S38" s="37" t="str">
        <f t="shared" si="9"/>
        <v/>
      </c>
      <c r="T38" s="176" t="str">
        <f>IF(L38="","",VLOOKUP(L38,classifications!C:K,9,FALSE))</f>
        <v/>
      </c>
      <c r="U38" s="183" t="str">
        <f t="shared" si="10"/>
        <v/>
      </c>
      <c r="V38" s="184" t="str">
        <f>IF(U38="","",IF($I$8="A",(RANK(U38,U$11:U$368)+COUNTIF(U$11:U38,U38)-1),(RANK(U38,U$11:U$368,1)+COUNTIF(U$11:U38,U38)-1)))</f>
        <v/>
      </c>
      <c r="W38" s="185"/>
      <c r="X38" s="38" t="str">
        <f>IF(L38="","",VLOOKUP($L38,classifications!$C:$J,6,FALSE))</f>
        <v/>
      </c>
      <c r="Y38" s="26" t="b">
        <f t="shared" si="3"/>
        <v>0</v>
      </c>
      <c r="Z38" s="34" t="e">
        <f>IF(Y38="","",IF(I$8="A",(RANK(Y38,Y$11:Y$368,1)+COUNTIF(Y$11:Y38,Y38)-1),(RANK(Y38,Y$11:Y$368)+COUNTIF(Y$11:Y38,Y38)-1)))</f>
        <v>#N/A</v>
      </c>
      <c r="AA38" s="188" t="str">
        <f>IF(L38="","",VLOOKUP($L38,classifications!C:I,7,FALSE))</f>
        <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83.5646772483192</v>
      </c>
      <c r="AY38" s="103"/>
      <c r="AZ38" s="21"/>
    </row>
    <row r="39" spans="1:52">
      <c r="A39" s="56" t="str">
        <f>$D$1&amp;29</f>
        <v>SC29</v>
      </c>
      <c r="B39" s="57">
        <f>IF(ISERROR(VLOOKUP(A39,classifications!A:C,3,FALSE)),0,VLOOKUP(A39,classifications!A:C,3,FALSE))</f>
        <v>0</v>
      </c>
      <c r="C39" s="8" t="s">
        <v>225</v>
      </c>
      <c r="D39" s="26" t="str">
        <f>VLOOKUP($C39,classifications!$C:$J,4,FALSE)</f>
        <v>MD</v>
      </c>
      <c r="E39" s="26">
        <f>VLOOKUP(C39,classifications!C:K,9,FALSE)</f>
        <v>0</v>
      </c>
      <c r="F39" s="36">
        <f t="shared" si="0"/>
        <v>76.875370276582558</v>
      </c>
      <c r="G39" s="71"/>
      <c r="H39" s="37" t="str">
        <f t="shared" si="1"/>
        <v/>
      </c>
      <c r="I39" s="77" t="str">
        <f>IF(H39="","",IF($I$8="A",(RANK(H39,H$11:H$368,1)+COUNTIF(H$11:H39,H39)-1),(RANK(H39,H$11:H$368)+COUNTIF(H$11:H39,H39)-1)))</f>
        <v/>
      </c>
      <c r="J39" s="35"/>
      <c r="K39" s="28" t="str">
        <f t="shared" si="7"/>
        <v/>
      </c>
      <c r="L39" s="36" t="str">
        <f t="shared" si="2"/>
        <v/>
      </c>
      <c r="M39" s="102" t="str">
        <f t="shared" si="22"/>
        <v/>
      </c>
      <c r="N39" s="101" t="str">
        <f t="shared" si="23"/>
        <v/>
      </c>
      <c r="O39" s="94" t="str">
        <f t="shared" si="8"/>
        <v/>
      </c>
      <c r="P39" s="94" t="str">
        <f t="shared" si="18"/>
        <v/>
      </c>
      <c r="Q39" s="94" t="str">
        <f t="shared" si="19"/>
        <v/>
      </c>
      <c r="R39" s="90" t="str">
        <f t="shared" si="20"/>
        <v/>
      </c>
      <c r="S39" s="37" t="str">
        <f t="shared" si="9"/>
        <v/>
      </c>
      <c r="T39" s="176" t="str">
        <f>IF(L39="","",VLOOKUP(L39,classifications!C:K,9,FALSE))</f>
        <v/>
      </c>
      <c r="U39" s="183" t="str">
        <f t="shared" si="10"/>
        <v/>
      </c>
      <c r="V39" s="184" t="str">
        <f>IF(U39="","",IF($I$8="A",(RANK(U39,U$11:U$368)+COUNTIF(U$11:U39,U39)-1),(RANK(U39,U$11:U$368,1)+COUNTIF(U$11:U39,U39)-1)))</f>
        <v/>
      </c>
      <c r="W39" s="185"/>
      <c r="X39" s="38" t="str">
        <f>IF(L39="","",VLOOKUP($L39,classifications!$C:$J,6,FALSE))</f>
        <v/>
      </c>
      <c r="Y39" s="26" t="b">
        <f t="shared" si="3"/>
        <v>0</v>
      </c>
      <c r="Z39" s="34" t="e">
        <f>IF(Y39="","",IF(I$8="A",(RANK(Y39,Y$11:Y$368,1)+COUNTIF(Y$11:Y39,Y39)-1),(RANK(Y39,Y$11:Y$368)+COUNTIF(Y$11:Y39,Y39)-1)))</f>
        <v>#N/A</v>
      </c>
      <c r="AA39" s="188" t="str">
        <f>IF(L39="","",VLOOKUP($L39,classifications!C:I,7,FALSE))</f>
        <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76.875370276582558</v>
      </c>
      <c r="AY39" s="103"/>
      <c r="AZ39" s="21"/>
    </row>
    <row r="40" spans="1:52">
      <c r="A40" s="56" t="str">
        <f>$D$1&amp;30</f>
        <v>SC30</v>
      </c>
      <c r="B40" s="57">
        <f>IF(ISERROR(VLOOKUP(A40,classifications!A:C,3,FALSE)),0,VLOOKUP(A40,classifications!A:C,3,FALSE))</f>
        <v>0</v>
      </c>
      <c r="C40" s="8" t="s">
        <v>19</v>
      </c>
      <c r="D40" s="26" t="str">
        <f>VLOOKUP($C40,classifications!$C:$J,4,FALSE)</f>
        <v>SD</v>
      </c>
      <c r="E40" s="26" t="str">
        <f>VLOOKUP(C40,classifications!C:K,9,FALSE)</f>
        <v>Sparse</v>
      </c>
      <c r="F40" s="36">
        <f t="shared" si="0"/>
        <v>83.504014848256801</v>
      </c>
      <c r="G40" s="71"/>
      <c r="H40" s="37" t="str">
        <f t="shared" si="1"/>
        <v/>
      </c>
      <c r="I40" s="77" t="str">
        <f>IF(H40="","",IF($I$8="A",(RANK(H40,H$11:H$368,1)+COUNTIF(H$11:H40,H40)-1),(RANK(H40,H$11:H$368)+COUNTIF(H$11:H40,H40)-1)))</f>
        <v/>
      </c>
      <c r="J40" s="35"/>
      <c r="K40" s="28" t="str">
        <f t="shared" si="7"/>
        <v/>
      </c>
      <c r="L40" s="36" t="str">
        <f t="shared" si="2"/>
        <v/>
      </c>
      <c r="M40" s="102" t="str">
        <f t="shared" si="22"/>
        <v/>
      </c>
      <c r="N40" s="101" t="str">
        <f t="shared" si="23"/>
        <v/>
      </c>
      <c r="O40" s="94" t="str">
        <f t="shared" si="8"/>
        <v/>
      </c>
      <c r="P40" s="94" t="str">
        <f t="shared" si="18"/>
        <v/>
      </c>
      <c r="Q40" s="94" t="str">
        <f t="shared" si="19"/>
        <v/>
      </c>
      <c r="R40" s="90" t="str">
        <f t="shared" si="20"/>
        <v/>
      </c>
      <c r="S40" s="37" t="str">
        <f t="shared" si="9"/>
        <v/>
      </c>
      <c r="T40" s="176" t="str">
        <f>IF(L40="","",VLOOKUP(L40,classifications!C:K,9,FALSE))</f>
        <v/>
      </c>
      <c r="U40" s="183" t="str">
        <f t="shared" si="10"/>
        <v/>
      </c>
      <c r="V40" s="184" t="str">
        <f>IF(U40="","",IF($I$8="A",(RANK(U40,U$11:U$368)+COUNTIF(U$11:U40,U40)-1),(RANK(U40,U$11:U$368,1)+COUNTIF(U$11:U40,U40)-1)))</f>
        <v/>
      </c>
      <c r="W40" s="185"/>
      <c r="X40" s="38" t="str">
        <f>IF(L40="","",VLOOKUP($L40,classifications!$C:$J,6,FALSE))</f>
        <v/>
      </c>
      <c r="Y40" s="26" t="b">
        <f t="shared" si="3"/>
        <v>0</v>
      </c>
      <c r="Z40" s="34" t="e">
        <f>IF(Y40="","",IF(I$8="A",(RANK(Y40,Y$11:Y$368,1)+COUNTIF(Y$11:Y40,Y40)-1),(RANK(Y40,Y$11:Y$368)+COUNTIF(Y$11:Y40,Y40)-1)))</f>
        <v>#N/A</v>
      </c>
      <c r="AA40" s="188" t="str">
        <f>IF(L40="","",VLOOKUP($L40,classifications!C:I,7,FALSE))</f>
        <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83.504014848256801</v>
      </c>
      <c r="AY40" s="103"/>
      <c r="AZ40" s="21"/>
    </row>
    <row r="41" spans="1:52">
      <c r="A41" s="56" t="str">
        <f>$D$1&amp;31</f>
        <v>SC31</v>
      </c>
      <c r="B41" s="57">
        <f>IF(ISERROR(VLOOKUP(A41,classifications!A:C,3,FALSE)),0,VLOOKUP(A41,classifications!A:C,3,FALSE))</f>
        <v>0</v>
      </c>
      <c r="C41" s="8" t="s">
        <v>20</v>
      </c>
      <c r="D41" s="26" t="str">
        <f>VLOOKUP($C41,classifications!$C:$J,4,FALSE)</f>
        <v>SD</v>
      </c>
      <c r="E41" s="26" t="str">
        <f>VLOOKUP(C41,classifications!C:K,9,FALSE)</f>
        <v>Sparse</v>
      </c>
      <c r="F41" s="36">
        <f t="shared" si="0"/>
        <v>78.495439019773201</v>
      </c>
      <c r="G41" s="71"/>
      <c r="H41" s="37" t="str">
        <f t="shared" si="1"/>
        <v/>
      </c>
      <c r="I41" s="77" t="str">
        <f>IF(H41="","",IF($I$8="A",(RANK(H41,H$11:H$368,1)+COUNTIF(H$11:H41,H41)-1),(RANK(H41,H$11:H$368)+COUNTIF(H$11:H41,H41)-1)))</f>
        <v/>
      </c>
      <c r="J41" s="35"/>
      <c r="K41" s="28" t="str">
        <f t="shared" si="7"/>
        <v/>
      </c>
      <c r="L41" s="36" t="str">
        <f t="shared" si="2"/>
        <v/>
      </c>
      <c r="M41" s="102" t="str">
        <f t="shared" si="22"/>
        <v/>
      </c>
      <c r="N41" s="101" t="str">
        <f t="shared" si="23"/>
        <v/>
      </c>
      <c r="O41" s="94" t="str">
        <f t="shared" si="8"/>
        <v/>
      </c>
      <c r="P41" s="94" t="str">
        <f t="shared" si="18"/>
        <v/>
      </c>
      <c r="Q41" s="94" t="str">
        <f t="shared" si="19"/>
        <v/>
      </c>
      <c r="R41" s="90" t="str">
        <f t="shared" si="20"/>
        <v/>
      </c>
      <c r="S41" s="37" t="str">
        <f t="shared" si="9"/>
        <v/>
      </c>
      <c r="T41" s="176" t="str">
        <f>IF(L41="","",VLOOKUP(L41,classifications!C:K,9,FALSE))</f>
        <v/>
      </c>
      <c r="U41" s="183" t="str">
        <f t="shared" si="10"/>
        <v/>
      </c>
      <c r="V41" s="184" t="str">
        <f>IF(U41="","",IF($I$8="A",(RANK(U41,U$11:U$368)+COUNTIF(U$11:U41,U41)-1),(RANK(U41,U$11:U$368,1)+COUNTIF(U$11:U41,U41)-1)))</f>
        <v/>
      </c>
      <c r="W41" s="185"/>
      <c r="X41" s="38" t="str">
        <f>IF(L41="","",VLOOKUP($L41,classifications!$C:$J,6,FALSE))</f>
        <v/>
      </c>
      <c r="Y41" s="26" t="b">
        <f t="shared" si="3"/>
        <v>0</v>
      </c>
      <c r="Z41" s="34" t="e">
        <f>IF(Y41="","",IF(I$8="A",(RANK(Y41,Y$11:Y$368,1)+COUNTIF(Y$11:Y41,Y41)-1),(RANK(Y41,Y$11:Y$368)+COUNTIF(Y$11:Y41,Y41)-1)))</f>
        <v>#N/A</v>
      </c>
      <c r="AA41" s="188" t="str">
        <f>IF(L41="","",VLOOKUP($L41,classifications!C:I,7,FALSE))</f>
        <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78.495439019773201</v>
      </c>
      <c r="AY41" s="103"/>
      <c r="AZ41" s="21"/>
    </row>
    <row r="42" spans="1:52">
      <c r="A42" s="56" t="str">
        <f>$D$1&amp;32</f>
        <v>SC32</v>
      </c>
      <c r="B42" s="57">
        <f>IF(ISERROR(VLOOKUP(A42,classifications!A:C,3,FALSE)),0,VLOOKUP(A42,classifications!A:C,3,FALSE))</f>
        <v>0</v>
      </c>
      <c r="C42" s="8" t="s">
        <v>198</v>
      </c>
      <c r="D42" s="26" t="str">
        <f>VLOOKUP($C42,classifications!$C:$J,4,FALSE)</f>
        <v>L</v>
      </c>
      <c r="E42" s="26">
        <f>VLOOKUP(C42,classifications!C:K,9,FALSE)</f>
        <v>0</v>
      </c>
      <c r="F42" s="36">
        <f t="shared" si="0"/>
        <v>75.401504393934218</v>
      </c>
      <c r="G42" s="71"/>
      <c r="H42" s="37" t="str">
        <f t="shared" si="1"/>
        <v/>
      </c>
      <c r="I42" s="77" t="str">
        <f>IF(H42="","",IF($I$8="A",(RANK(H42,H$11:H$368,1)+COUNTIF(H$11:H42,H42)-1),(RANK(H42,H$11:H$368)+COUNTIF(H$11:H42,H42)-1)))</f>
        <v/>
      </c>
      <c r="J42" s="35"/>
      <c r="K42" s="28" t="str">
        <f t="shared" si="7"/>
        <v/>
      </c>
      <c r="L42" s="36" t="str">
        <f t="shared" si="2"/>
        <v/>
      </c>
      <c r="M42" s="102" t="str">
        <f t="shared" si="22"/>
        <v/>
      </c>
      <c r="N42" s="101" t="str">
        <f t="shared" si="23"/>
        <v/>
      </c>
      <c r="O42" s="94" t="str">
        <f t="shared" si="8"/>
        <v/>
      </c>
      <c r="P42" s="94" t="str">
        <f t="shared" si="18"/>
        <v/>
      </c>
      <c r="Q42" s="94" t="str">
        <f t="shared" si="19"/>
        <v/>
      </c>
      <c r="R42" s="90" t="str">
        <f t="shared" si="20"/>
        <v/>
      </c>
      <c r="S42" s="37" t="str">
        <f t="shared" si="9"/>
        <v/>
      </c>
      <c r="T42" s="176" t="str">
        <f>IF(L42="","",VLOOKUP(L42,classifications!C:K,9,FALSE))</f>
        <v/>
      </c>
      <c r="U42" s="183" t="str">
        <f t="shared" si="10"/>
        <v/>
      </c>
      <c r="V42" s="184" t="str">
        <f>IF(U42="","",IF($I$8="A",(RANK(U42,U$11:U$368)+COUNTIF(U$11:U42,U42)-1),(RANK(U42,U$11:U$368,1)+COUNTIF(U$11:U42,U42)-1)))</f>
        <v/>
      </c>
      <c r="W42" s="185"/>
      <c r="X42" s="38" t="str">
        <f>IF(L42="","",VLOOKUP($L42,classifications!$C:$J,6,FALSE))</f>
        <v/>
      </c>
      <c r="Y42" s="26" t="b">
        <f t="shared" si="3"/>
        <v>0</v>
      </c>
      <c r="Z42" s="34" t="e">
        <f>IF(Y42="","",IF(I$8="A",(RANK(Y42,Y$11:Y$368,1)+COUNTIF(Y$11:Y42,Y42)-1),(RANK(Y42,Y$11:Y$368)+COUNTIF(Y$11:Y42,Y42)-1)))</f>
        <v>#N/A</v>
      </c>
      <c r="AA42" s="188" t="str">
        <f>IF(L42="","",VLOOKUP($L42,classifications!C:I,7,FALSE))</f>
        <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75.401504393934218</v>
      </c>
      <c r="AY42" s="103"/>
      <c r="AZ42" s="21"/>
    </row>
    <row r="43" spans="1:52">
      <c r="A43" s="56" t="str">
        <f>$D$1&amp;33</f>
        <v>SC33</v>
      </c>
      <c r="B43" s="57">
        <f>IF(ISERROR(VLOOKUP(A43,classifications!A:C,3,FALSE)),0,VLOOKUP(A43,classifications!A:C,3,FALSE))</f>
        <v>0</v>
      </c>
      <c r="C43" s="8" t="s">
        <v>21</v>
      </c>
      <c r="D43" s="26" t="str">
        <f>VLOOKUP($C43,classifications!$C:$J,4,FALSE)</f>
        <v>SD</v>
      </c>
      <c r="E43" s="26">
        <f>VLOOKUP(C43,classifications!C:K,9,FALSE)</f>
        <v>0</v>
      </c>
      <c r="F43" s="36">
        <f t="shared" si="0"/>
        <v>82.399382815606671</v>
      </c>
      <c r="G43" s="71"/>
      <c r="H43" s="37" t="str">
        <f t="shared" si="1"/>
        <v/>
      </c>
      <c r="I43" s="77" t="str">
        <f>IF(H43="","",IF($I$8="A",(RANK(H43,H$11:H$368,1)+COUNTIF(H$11:H43,H43)-1),(RANK(H43,H$11:H$368)+COUNTIF(H$11:H43,H43)-1)))</f>
        <v/>
      </c>
      <c r="J43" s="35"/>
      <c r="K43" s="28" t="str">
        <f t="shared" si="7"/>
        <v/>
      </c>
      <c r="L43" s="36" t="str">
        <f t="shared" si="2"/>
        <v/>
      </c>
      <c r="M43" s="102" t="str">
        <f t="shared" si="22"/>
        <v/>
      </c>
      <c r="N43" s="101" t="str">
        <f t="shared" si="23"/>
        <v/>
      </c>
      <c r="O43" s="94" t="str">
        <f t="shared" si="8"/>
        <v/>
      </c>
      <c r="P43" s="94" t="str">
        <f t="shared" si="18"/>
        <v/>
      </c>
      <c r="Q43" s="94" t="str">
        <f t="shared" si="19"/>
        <v/>
      </c>
      <c r="R43" s="90" t="str">
        <f t="shared" si="20"/>
        <v/>
      </c>
      <c r="S43" s="37" t="str">
        <f t="shared" si="9"/>
        <v/>
      </c>
      <c r="T43" s="176" t="str">
        <f>IF(L43="","",VLOOKUP(L43,classifications!C:K,9,FALSE))</f>
        <v/>
      </c>
      <c r="U43" s="183" t="str">
        <f t="shared" ref="U43:U74" si="25">IF(T43="Sparse",M43,"")</f>
        <v/>
      </c>
      <c r="V43" s="184" t="str">
        <f>IF(U43="","",IF($I$8="A",(RANK(U43,U$11:U$368)+COUNTIF(U$11:U43,U43)-1),(RANK(U43,U$11:U$368,1)+COUNTIF(U$11:U43,U43)-1)))</f>
        <v/>
      </c>
      <c r="W43" s="185"/>
      <c r="X43" s="38" t="str">
        <f>IF(L43="","",VLOOKUP($L43,classifications!$C:$J,6,FALSE))</f>
        <v/>
      </c>
      <c r="Y43" s="26" t="b">
        <f t="shared" si="3"/>
        <v>0</v>
      </c>
      <c r="Z43" s="34" t="e">
        <f>IF(Y43="","",IF(I$8="A",(RANK(Y43,Y$11:Y$368,1)+COUNTIF(Y$11:Y43,Y43)-1),(RANK(Y43,Y$11:Y$368)+COUNTIF(Y$11:Y43,Y43)-1)))</f>
        <v>#N/A</v>
      </c>
      <c r="AA43" s="188" t="str">
        <f>IF(L43="","",VLOOKUP($L43,classifications!C:I,7,FALSE))</f>
        <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82.399382815606671</v>
      </c>
      <c r="AY43" s="103"/>
      <c r="AZ43" s="21"/>
    </row>
    <row r="44" spans="1:52">
      <c r="A44" s="56" t="str">
        <f>$D$1&amp;34</f>
        <v>SC34</v>
      </c>
      <c r="B44" s="57">
        <f>IF(ISERROR(VLOOKUP(A44,classifications!A:C,3,FALSE)),0,VLOOKUP(A44,classifications!A:C,3,FALSE))</f>
        <v>0</v>
      </c>
      <c r="C44" s="8" t="s">
        <v>811</v>
      </c>
      <c r="D44" s="26" t="str">
        <f>VLOOKUP($C44,classifications!$C:$J,4,FALSE)</f>
        <v>UA</v>
      </c>
      <c r="E44" s="26">
        <f>VLOOKUP(C44,classifications!C:K,9,FALSE)</f>
        <v>0</v>
      </c>
      <c r="F44" s="36">
        <f t="shared" si="0"/>
        <v>89.284444791016085</v>
      </c>
      <c r="G44" s="71"/>
      <c r="H44" s="37" t="str">
        <f t="shared" si="1"/>
        <v/>
      </c>
      <c r="I44" s="77" t="str">
        <f>IF(H44="","",IF($I$8="A",(RANK(H44,H$11:H$368,1)+COUNTIF(H$11:H44,H44)-1),(RANK(H44,H$11:H$368)+COUNTIF(H$11:H44,H44)-1)))</f>
        <v/>
      </c>
      <c r="J44" s="35"/>
      <c r="K44" s="28" t="str">
        <f t="shared" si="7"/>
        <v/>
      </c>
      <c r="L44" s="36" t="str">
        <f t="shared" si="2"/>
        <v/>
      </c>
      <c r="M44" s="102" t="str">
        <f t="shared" si="22"/>
        <v/>
      </c>
      <c r="N44" s="101" t="str">
        <f t="shared" si="23"/>
        <v/>
      </c>
      <c r="O44" s="94" t="str">
        <f t="shared" si="8"/>
        <v/>
      </c>
      <c r="P44" s="94" t="str">
        <f t="shared" si="18"/>
        <v/>
      </c>
      <c r="Q44" s="94" t="str">
        <f t="shared" si="19"/>
        <v/>
      </c>
      <c r="R44" s="90" t="str">
        <f t="shared" si="20"/>
        <v/>
      </c>
      <c r="S44" s="37" t="str">
        <f t="shared" si="9"/>
        <v/>
      </c>
      <c r="T44" s="176" t="str">
        <f>IF(L44="","",VLOOKUP(L44,classifications!C:K,9,FALSE))</f>
        <v/>
      </c>
      <c r="U44" s="183" t="str">
        <f t="shared" si="25"/>
        <v/>
      </c>
      <c r="V44" s="184" t="str">
        <f>IF(U44="","",IF($I$8="A",(RANK(U44,U$11:U$368)+COUNTIF(U$11:U44,U44)-1),(RANK(U44,U$11:U$368,1)+COUNTIF(U$11:U44,U44)-1)))</f>
        <v/>
      </c>
      <c r="W44" s="185"/>
      <c r="X44" s="38" t="str">
        <f>IF(L44="","",VLOOKUP($L44,classifications!$C:$J,6,FALSE))</f>
        <v/>
      </c>
      <c r="Y44" s="26" t="b">
        <f t="shared" si="3"/>
        <v>0</v>
      </c>
      <c r="Z44" s="34" t="e">
        <f>IF(Y44="","",IF(I$8="A",(RANK(Y44,Y$11:Y$368,1)+COUNTIF(Y$11:Y44,Y44)-1),(RANK(Y44,Y$11:Y$368)+COUNTIF(Y$11:Y44,Y44)-1)))</f>
        <v>#N/A</v>
      </c>
      <c r="AA44" s="188" t="str">
        <f>IF(L44="","",VLOOKUP($L44,classifications!C:I,7,FALSE))</f>
        <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89.284444791016085</v>
      </c>
      <c r="AY44" s="103"/>
      <c r="AZ44" s="21"/>
    </row>
    <row r="45" spans="1:52">
      <c r="A45" s="56" t="str">
        <f>$D$1&amp;35</f>
        <v>SC35</v>
      </c>
      <c r="B45" s="57">
        <f>IF(ISERROR(VLOOKUP(A45,classifications!A:C,3,FALSE)),0,VLOOKUP(A45,classifications!A:C,3,FALSE))</f>
        <v>0</v>
      </c>
      <c r="C45" s="8" t="s">
        <v>815</v>
      </c>
      <c r="D45" s="26" t="str">
        <f>VLOOKUP($C45,classifications!$C:$J,4,FALSE)</f>
        <v>UA</v>
      </c>
      <c r="E45" s="26">
        <f>VLOOKUP(C45,classifications!C:K,9,FALSE)</f>
        <v>0</v>
      </c>
      <c r="F45" s="36">
        <f t="shared" si="0"/>
        <v>85.827032869119492</v>
      </c>
      <c r="G45" s="71"/>
      <c r="H45" s="37" t="str">
        <f t="shared" si="1"/>
        <v/>
      </c>
      <c r="I45" s="77" t="str">
        <f>IF(H45="","",IF($I$8="A",(RANK(H45,H$11:H$368,1)+COUNTIF(H$11:H45,H45)-1),(RANK(H45,H$11:H$368)+COUNTIF(H$11:H45,H45)-1)))</f>
        <v/>
      </c>
      <c r="J45" s="35"/>
      <c r="K45" s="28" t="str">
        <f t="shared" si="7"/>
        <v/>
      </c>
      <c r="L45" s="36" t="str">
        <f t="shared" si="2"/>
        <v/>
      </c>
      <c r="M45" s="102" t="str">
        <f t="shared" si="22"/>
        <v/>
      </c>
      <c r="N45" s="101" t="str">
        <f t="shared" si="23"/>
        <v/>
      </c>
      <c r="O45" s="94" t="str">
        <f t="shared" si="8"/>
        <v/>
      </c>
      <c r="P45" s="94" t="str">
        <f t="shared" si="18"/>
        <v/>
      </c>
      <c r="Q45" s="94" t="str">
        <f t="shared" si="19"/>
        <v/>
      </c>
      <c r="R45" s="90" t="str">
        <f t="shared" si="20"/>
        <v/>
      </c>
      <c r="S45" s="37" t="str">
        <f t="shared" si="9"/>
        <v/>
      </c>
      <c r="T45" s="176" t="str">
        <f>IF(L45="","",VLOOKUP(L45,classifications!C:K,9,FALSE))</f>
        <v/>
      </c>
      <c r="U45" s="183" t="str">
        <f t="shared" si="25"/>
        <v/>
      </c>
      <c r="V45" s="184" t="str">
        <f>IF(U45="","",IF($I$8="A",(RANK(U45,U$11:U$368)+COUNTIF(U$11:U45,U45)-1),(RANK(U45,U$11:U$368,1)+COUNTIF(U$11:U45,U45)-1)))</f>
        <v/>
      </c>
      <c r="W45" s="185"/>
      <c r="X45" s="38" t="str">
        <f>IF(L45="","",VLOOKUP($L45,classifications!$C:$J,6,FALSE))</f>
        <v/>
      </c>
      <c r="Y45" s="26" t="b">
        <f t="shared" si="3"/>
        <v>0</v>
      </c>
      <c r="Z45" s="34" t="e">
        <f>IF(Y45="","",IF(I$8="A",(RANK(Y45,Y$11:Y$368,1)+COUNTIF(Y$11:Y45,Y45)-1),(RANK(Y45,Y$11:Y$368)+COUNTIF(Y$11:Y45,Y45)-1)))</f>
        <v>#N/A</v>
      </c>
      <c r="AA45" s="188" t="str">
        <f>IF(L45="","",VLOOKUP($L45,classifications!C:I,7,FALSE))</f>
        <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
      </c>
      <c r="AJ45" s="39" t="str">
        <f t="shared" si="4"/>
        <v/>
      </c>
      <c r="AK45" s="34" t="str">
        <f>IF(AJ45="","",IF(I$8="A",(RANK(AJ45,AJ$11:AJ$368,1)+COUNTIF(AJ$11:AJ45,AJ45)-1),(RANK(AJ45,AJ$11:AJ$368)+COUNTIF(AJ$11:AJ45,AJ45)-1)))</f>
        <v/>
      </c>
      <c r="AL45" s="29" t="str">
        <f t="shared" si="13"/>
        <v/>
      </c>
      <c r="AM45" s="8" t="str">
        <f t="shared" si="5"/>
        <v/>
      </c>
      <c r="AN45" s="8" t="str">
        <f t="shared" si="14"/>
        <v/>
      </c>
      <c r="AP45" s="38" t="str">
        <f>IF(L45="","",VLOOKUP($L45,classifications!$C:$E,3,FALSE))</f>
        <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85.827032869119492</v>
      </c>
      <c r="AY45" s="103"/>
      <c r="AZ45" s="21"/>
    </row>
    <row r="46" spans="1:52">
      <c r="A46" s="56" t="str">
        <f>$D$1&amp;36</f>
        <v>SC36</v>
      </c>
      <c r="B46" s="57">
        <f>IF(ISERROR(VLOOKUP(A46,classifications!A:C,3,FALSE)),0,VLOOKUP(A46,classifications!A:C,3,FALSE))</f>
        <v>0</v>
      </c>
      <c r="C46" s="8" t="s">
        <v>22</v>
      </c>
      <c r="D46" s="26" t="str">
        <f>VLOOKUP($C46,classifications!$C:$J,4,FALSE)</f>
        <v>SD</v>
      </c>
      <c r="E46" s="26">
        <f>VLOOKUP(C46,classifications!C:K,9,FALSE)</f>
        <v>0</v>
      </c>
      <c r="F46" s="36">
        <f t="shared" si="0"/>
        <v>79.033513267818861</v>
      </c>
      <c r="G46" s="71"/>
      <c r="H46" s="37" t="str">
        <f t="shared" si="1"/>
        <v/>
      </c>
      <c r="I46" s="77" t="str">
        <f>IF(H46="","",IF($I$8="A",(RANK(H46,H$11:H$368,1)+COUNTIF(H$11:H46,H46)-1),(RANK(H46,H$11:H$368)+COUNTIF(H$11:H46,H46)-1)))</f>
        <v/>
      </c>
      <c r="J46" s="35"/>
      <c r="K46" s="28" t="str">
        <f t="shared" si="7"/>
        <v/>
      </c>
      <c r="L46" s="36" t="str">
        <f t="shared" si="2"/>
        <v/>
      </c>
      <c r="M46" s="102" t="str">
        <f t="shared" si="22"/>
        <v/>
      </c>
      <c r="N46" s="101" t="str">
        <f t="shared" si="23"/>
        <v/>
      </c>
      <c r="O46" s="94" t="str">
        <f t="shared" si="8"/>
        <v/>
      </c>
      <c r="P46" s="94" t="str">
        <f t="shared" si="18"/>
        <v/>
      </c>
      <c r="Q46" s="94" t="str">
        <f t="shared" si="19"/>
        <v/>
      </c>
      <c r="R46" s="90" t="str">
        <f t="shared" si="20"/>
        <v/>
      </c>
      <c r="S46" s="37" t="str">
        <f t="shared" si="9"/>
        <v/>
      </c>
      <c r="T46" s="176" t="str">
        <f>IF(L46="","",VLOOKUP(L46,classifications!C:K,9,FALSE))</f>
        <v/>
      </c>
      <c r="U46" s="183" t="str">
        <f t="shared" si="25"/>
        <v/>
      </c>
      <c r="V46" s="184" t="str">
        <f>IF(U46="","",IF($I$8="A",(RANK(U46,U$11:U$368)+COUNTIF(U$11:U46,U46)-1),(RANK(U46,U$11:U$368,1)+COUNTIF(U$11:U46,U46)-1)))</f>
        <v/>
      </c>
      <c r="W46" s="185"/>
      <c r="X46" s="38" t="str">
        <f>IF(L46="","",VLOOKUP($L46,classifications!$C:$J,6,FALSE))</f>
        <v/>
      </c>
      <c r="Y46" s="26" t="b">
        <f t="shared" si="3"/>
        <v>0</v>
      </c>
      <c r="Z46" s="34" t="e">
        <f>IF(Y46="","",IF(I$8="A",(RANK(Y46,Y$11:Y$368,1)+COUNTIF(Y$11:Y46,Y46)-1),(RANK(Y46,Y$11:Y$368)+COUNTIF(Y$11:Y46,Y46)-1)))</f>
        <v>#N/A</v>
      </c>
      <c r="AA46" s="188" t="str">
        <f>IF(L46="","",VLOOKUP($L46,classifications!C:I,7,FALSE))</f>
        <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79.033513267818861</v>
      </c>
      <c r="AY46" s="103"/>
      <c r="AZ46" s="21"/>
    </row>
    <row r="47" spans="1:52">
      <c r="A47" s="56" t="str">
        <f>$D$1&amp;37</f>
        <v>SC37</v>
      </c>
      <c r="B47" s="57">
        <f>IF(ISERROR(VLOOKUP(A47,classifications!A:C,3,FALSE)),0,VLOOKUP(A47,classifications!A:C,3,FALSE))</f>
        <v>0</v>
      </c>
      <c r="C47" s="8" t="s">
        <v>199</v>
      </c>
      <c r="D47" s="26" t="str">
        <f>VLOOKUP($C47,classifications!$C:$J,4,FALSE)</f>
        <v>L</v>
      </c>
      <c r="E47" s="26">
        <f>VLOOKUP(C47,classifications!C:K,9,FALSE)</f>
        <v>0</v>
      </c>
      <c r="F47" s="36">
        <f t="shared" si="0"/>
        <v>85.563844367493658</v>
      </c>
      <c r="G47" s="71"/>
      <c r="H47" s="37" t="str">
        <f t="shared" si="1"/>
        <v/>
      </c>
      <c r="I47" s="77" t="str">
        <f>IF(H47="","",IF($I$8="A",(RANK(H47,H$11:H$368,1)+COUNTIF(H$11:H47,H47)-1),(RANK(H47,H$11:H$368)+COUNTIF(H$11:H47,H47)-1)))</f>
        <v/>
      </c>
      <c r="J47" s="35"/>
      <c r="K47" s="28" t="str">
        <f t="shared" si="7"/>
        <v/>
      </c>
      <c r="L47" s="36" t="str">
        <f t="shared" si="2"/>
        <v/>
      </c>
      <c r="M47" s="102" t="str">
        <f t="shared" si="22"/>
        <v/>
      </c>
      <c r="N47" s="101" t="str">
        <f t="shared" si="23"/>
        <v/>
      </c>
      <c r="O47" s="94" t="str">
        <f t="shared" si="8"/>
        <v/>
      </c>
      <c r="P47" s="94" t="str">
        <f t="shared" si="18"/>
        <v/>
      </c>
      <c r="Q47" s="94" t="str">
        <f t="shared" si="19"/>
        <v/>
      </c>
      <c r="R47" s="90" t="str">
        <f t="shared" si="20"/>
        <v/>
      </c>
      <c r="S47" s="37" t="str">
        <f t="shared" si="9"/>
        <v/>
      </c>
      <c r="T47" s="176" t="str">
        <f>IF(L47="","",VLOOKUP(L47,classifications!C:K,9,FALSE))</f>
        <v/>
      </c>
      <c r="U47" s="183" t="str">
        <f t="shared" si="25"/>
        <v/>
      </c>
      <c r="V47" s="184" t="str">
        <f>IF(U47="","",IF($I$8="A",(RANK(U47,U$11:U$368)+COUNTIF(U$11:U47,U47)-1),(RANK(U47,U$11:U$368,1)+COUNTIF(U$11:U47,U47)-1)))</f>
        <v/>
      </c>
      <c r="W47" s="185"/>
      <c r="X47" s="38" t="str">
        <f>IF(L47="","",VLOOKUP($L47,classifications!$C:$J,6,FALSE))</f>
        <v/>
      </c>
      <c r="Y47" s="26" t="b">
        <f t="shared" si="3"/>
        <v>0</v>
      </c>
      <c r="Z47" s="34" t="e">
        <f>IF(Y47="","",IF(I$8="A",(RANK(Y47,Y$11:Y$368,1)+COUNTIF(Y$11:Y47,Y47)-1),(RANK(Y47,Y$11:Y$368)+COUNTIF(Y$11:Y47,Y47)-1)))</f>
        <v>#N/A</v>
      </c>
      <c r="AA47" s="188" t="str">
        <f>IF(L47="","",VLOOKUP($L47,classifications!C:I,7,FALSE))</f>
        <v/>
      </c>
      <c r="AB47" s="184" t="str">
        <f t="shared" si="11"/>
        <v/>
      </c>
      <c r="AC47" s="184" t="str">
        <f>IF(AB47="","",IF($I$8="A",(RANK(AB47,AB$11:AB$368)+COUNTIF(AB$11:AB47,AB47)-1),(RANK(AB47,AB$11:AB$368,1)+COUNTIF(AB$11:AB47,AB47)-1)))</f>
        <v/>
      </c>
      <c r="AD47" s="184"/>
      <c r="AE47" s="28" t="str">
        <f t="shared" si="24"/>
        <v/>
      </c>
      <c r="AG47" s="96"/>
      <c r="AH47" s="29"/>
      <c r="AI47" s="38" t="str">
        <f>IF(L47="","",VLOOKUP($L47,classifications!$C:$J,8,FALSE))</f>
        <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85.563844367493658</v>
      </c>
      <c r="AY47" s="103"/>
      <c r="AZ47" s="21"/>
    </row>
    <row r="48" spans="1:52">
      <c r="A48" s="56" t="str">
        <f>$D$1&amp;38</f>
        <v>SC38</v>
      </c>
      <c r="B48" s="57">
        <f>IF(ISERROR(VLOOKUP(A48,classifications!A:C,3,FALSE)),0,VLOOKUP(A48,classifications!A:C,3,FALSE))</f>
        <v>0</v>
      </c>
      <c r="C48" s="8" t="s">
        <v>23</v>
      </c>
      <c r="D48" s="26" t="str">
        <f>VLOOKUP($C48,classifications!$C:$J,4,FALSE)</f>
        <v>SD</v>
      </c>
      <c r="E48" s="26">
        <f>VLOOKUP(C48,classifications!C:K,9,FALSE)</f>
        <v>0</v>
      </c>
      <c r="F48" s="36">
        <f t="shared" si="0"/>
        <v>84.809410038344751</v>
      </c>
      <c r="G48" s="71"/>
      <c r="H48" s="37" t="str">
        <f t="shared" si="1"/>
        <v/>
      </c>
      <c r="I48" s="77" t="str">
        <f>IF(H48="","",IF($I$8="A",(RANK(H48,H$11:H$368,1)+COUNTIF(H$11:H48,H48)-1),(RANK(H48,H$11:H$368)+COUNTIF(H$11:H48,H48)-1)))</f>
        <v/>
      </c>
      <c r="J48" s="35"/>
      <c r="K48" s="28" t="str">
        <f t="shared" si="7"/>
        <v/>
      </c>
      <c r="L48" s="36" t="str">
        <f t="shared" si="2"/>
        <v/>
      </c>
      <c r="M48" s="102" t="str">
        <f t="shared" si="22"/>
        <v/>
      </c>
      <c r="N48" s="101" t="str">
        <f t="shared" si="23"/>
        <v/>
      </c>
      <c r="O48" s="94" t="str">
        <f t="shared" si="8"/>
        <v/>
      </c>
      <c r="P48" s="94" t="str">
        <f t="shared" si="18"/>
        <v/>
      </c>
      <c r="Q48" s="94" t="str">
        <f t="shared" si="19"/>
        <v/>
      </c>
      <c r="R48" s="90" t="str">
        <f t="shared" si="20"/>
        <v/>
      </c>
      <c r="S48" s="37" t="str">
        <f t="shared" si="9"/>
        <v/>
      </c>
      <c r="T48" s="176" t="str">
        <f>IF(L48="","",VLOOKUP(L48,classifications!C:K,9,FALSE))</f>
        <v/>
      </c>
      <c r="U48" s="183" t="str">
        <f t="shared" si="25"/>
        <v/>
      </c>
      <c r="V48" s="184" t="str">
        <f>IF(U48="","",IF($I$8="A",(RANK(U48,U$11:U$368)+COUNTIF(U$11:U48,U48)-1),(RANK(U48,U$11:U$368,1)+COUNTIF(U$11:U48,U48)-1)))</f>
        <v/>
      </c>
      <c r="W48" s="185"/>
      <c r="X48" s="38" t="str">
        <f>IF(L48="","",VLOOKUP($L48,classifications!$C:$J,6,FALSE))</f>
        <v/>
      </c>
      <c r="Y48" s="26" t="b">
        <f t="shared" si="3"/>
        <v>0</v>
      </c>
      <c r="Z48" s="34" t="e">
        <f>IF(Y48="","",IF(I$8="A",(RANK(Y48,Y$11:Y$368,1)+COUNTIF(Y$11:Y48,Y48)-1),(RANK(Y48,Y$11:Y$368)+COUNTIF(Y$11:Y48,Y48)-1)))</f>
        <v>#N/A</v>
      </c>
      <c r="AA48" s="188" t="str">
        <f>IF(L48="","",VLOOKUP($L48,classifications!C:I,7,FALSE))</f>
        <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84.809410038344751</v>
      </c>
      <c r="AY48" s="103"/>
      <c r="AZ48" s="21"/>
    </row>
    <row r="49" spans="1:52">
      <c r="A49" s="56" t="str">
        <f>$D$1&amp;39</f>
        <v>SC39</v>
      </c>
      <c r="B49" s="57">
        <f>IF(ISERROR(VLOOKUP(A49,classifications!A:C,3,FALSE)),0,VLOOKUP(A49,classifications!A:C,3,FALSE))</f>
        <v>0</v>
      </c>
      <c r="C49" s="8" t="s">
        <v>24</v>
      </c>
      <c r="D49" s="26" t="str">
        <f>VLOOKUP($C49,classifications!$C:$J,4,FALSE)</f>
        <v>SD</v>
      </c>
      <c r="E49" s="26">
        <f>VLOOKUP(C49,classifications!C:K,9,FALSE)</f>
        <v>0</v>
      </c>
      <c r="F49" s="36">
        <f t="shared" si="0"/>
        <v>81.262824445002224</v>
      </c>
      <c r="G49" s="71"/>
      <c r="H49" s="37" t="str">
        <f t="shared" si="1"/>
        <v/>
      </c>
      <c r="I49" s="77" t="str">
        <f>IF(H49="","",IF($I$8="A",(RANK(H49,H$11:H$368,1)+COUNTIF(H$11:H49,H49)-1),(RANK(H49,H$11:H$368)+COUNTIF(H$11:H49,H49)-1)))</f>
        <v/>
      </c>
      <c r="J49" s="35"/>
      <c r="K49" s="28" t="str">
        <f t="shared" si="7"/>
        <v/>
      </c>
      <c r="L49" s="36" t="str">
        <f t="shared" si="2"/>
        <v/>
      </c>
      <c r="M49" s="102" t="str">
        <f t="shared" si="22"/>
        <v/>
      </c>
      <c r="N49" s="101" t="str">
        <f t="shared" si="23"/>
        <v/>
      </c>
      <c r="O49" s="94" t="str">
        <f t="shared" si="8"/>
        <v/>
      </c>
      <c r="P49" s="94" t="str">
        <f t="shared" si="18"/>
        <v/>
      </c>
      <c r="Q49" s="94" t="str">
        <f t="shared" si="19"/>
        <v/>
      </c>
      <c r="R49" s="90" t="str">
        <f t="shared" si="20"/>
        <v/>
      </c>
      <c r="S49" s="37" t="str">
        <f t="shared" si="9"/>
        <v/>
      </c>
      <c r="T49" s="176" t="str">
        <f>IF(L49="","",VLOOKUP(L49,classifications!C:K,9,FALSE))</f>
        <v/>
      </c>
      <c r="U49" s="183" t="str">
        <f t="shared" si="25"/>
        <v/>
      </c>
      <c r="V49" s="184" t="str">
        <f>IF(U49="","",IF($I$8="A",(RANK(U49,U$11:U$368)+COUNTIF(U$11:U49,U49)-1),(RANK(U49,U$11:U$368,1)+COUNTIF(U$11:U49,U49)-1)))</f>
        <v/>
      </c>
      <c r="W49" s="185"/>
      <c r="X49" s="38" t="str">
        <f>IF(L49="","",VLOOKUP($L49,classifications!$C:$J,6,FALSE))</f>
        <v/>
      </c>
      <c r="Y49" s="26" t="b">
        <f t="shared" si="3"/>
        <v>0</v>
      </c>
      <c r="Z49" s="34" t="e">
        <f>IF(Y49="","",IF(I$8="A",(RANK(Y49,Y$11:Y$368,1)+COUNTIF(Y$11:Y49,Y49)-1),(RANK(Y49,Y$11:Y$368)+COUNTIF(Y$11:Y49,Y49)-1)))</f>
        <v>#N/A</v>
      </c>
      <c r="AA49" s="188" t="str">
        <f>IF(L49="","",VLOOKUP($L49,classifications!C:I,7,FALSE))</f>
        <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81.262824445002224</v>
      </c>
      <c r="AY49" s="103"/>
      <c r="AZ49" s="21"/>
    </row>
    <row r="50" spans="1:52">
      <c r="A50" s="56" t="str">
        <f>$D$1&amp;40</f>
        <v>SC40</v>
      </c>
      <c r="B50" s="57">
        <f>IF(ISERROR(VLOOKUP(A50,classifications!A:C,3,FALSE)),0,VLOOKUP(A50,classifications!A:C,3,FALSE))</f>
        <v>0</v>
      </c>
      <c r="C50" s="8" t="s">
        <v>25</v>
      </c>
      <c r="D50" s="26" t="str">
        <f>VLOOKUP($C50,classifications!$C:$J,4,FALSE)</f>
        <v>SD</v>
      </c>
      <c r="E50" s="26">
        <f>VLOOKUP(C50,classifications!C:K,9,FALSE)</f>
        <v>0</v>
      </c>
      <c r="F50" s="36">
        <f t="shared" si="0"/>
        <v>83.63407904013485</v>
      </c>
      <c r="G50" s="71"/>
      <c r="H50" s="37" t="str">
        <f t="shared" si="1"/>
        <v/>
      </c>
      <c r="I50" s="77" t="str">
        <f>IF(H50="","",IF($I$8="A",(RANK(H50,H$11:H$368,1)+COUNTIF(H$11:H50,H50)-1),(RANK(H50,H$11:H$368)+COUNTIF(H$11:H50,H50)-1)))</f>
        <v/>
      </c>
      <c r="J50" s="35"/>
      <c r="K50" s="28" t="str">
        <f t="shared" si="7"/>
        <v/>
      </c>
      <c r="L50" s="36" t="str">
        <f t="shared" si="2"/>
        <v/>
      </c>
      <c r="M50" s="102" t="str">
        <f t="shared" si="22"/>
        <v/>
      </c>
      <c r="N50" s="101" t="str">
        <f t="shared" si="23"/>
        <v/>
      </c>
      <c r="O50" s="94" t="str">
        <f t="shared" si="8"/>
        <v/>
      </c>
      <c r="P50" s="94" t="str">
        <f t="shared" si="18"/>
        <v/>
      </c>
      <c r="Q50" s="94" t="str">
        <f t="shared" si="19"/>
        <v/>
      </c>
      <c r="R50" s="90" t="str">
        <f t="shared" si="20"/>
        <v/>
      </c>
      <c r="S50" s="37" t="str">
        <f t="shared" si="9"/>
        <v/>
      </c>
      <c r="T50" s="176" t="str">
        <f>IF(L50="","",VLOOKUP(L50,classifications!C:K,9,FALSE))</f>
        <v/>
      </c>
      <c r="U50" s="183" t="str">
        <f t="shared" si="25"/>
        <v/>
      </c>
      <c r="V50" s="184" t="str">
        <f>IF(U50="","",IF($I$8="A",(RANK(U50,U$11:U$368)+COUNTIF(U$11:U50,U50)-1),(RANK(U50,U$11:U$368,1)+COUNTIF(U$11:U50,U50)-1)))</f>
        <v/>
      </c>
      <c r="W50" s="185"/>
      <c r="X50" s="38" t="str">
        <f>IF(L50="","",VLOOKUP($L50,classifications!$C:$J,6,FALSE))</f>
        <v/>
      </c>
      <c r="Y50" s="26" t="b">
        <f t="shared" si="3"/>
        <v>0</v>
      </c>
      <c r="Z50" s="34" t="e">
        <f>IF(Y50="","",IF(I$8="A",(RANK(Y50,Y$11:Y$368,1)+COUNTIF(Y$11:Y50,Y50)-1),(RANK(Y50,Y$11:Y$368)+COUNTIF(Y$11:Y50,Y50)-1)))</f>
        <v>#N/A</v>
      </c>
      <c r="AA50" s="188" t="str">
        <f>IF(L50="","",VLOOKUP($L50,classifications!C:I,7,FALSE))</f>
        <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83.63407904013485</v>
      </c>
      <c r="AY50" s="103"/>
      <c r="AZ50" s="21"/>
    </row>
    <row r="51" spans="1:52">
      <c r="A51" s="56" t="str">
        <f>$D$1&amp;41</f>
        <v>SC41</v>
      </c>
      <c r="B51" s="57">
        <f>IF(ISERROR(VLOOKUP(A51,classifications!A:C,3,FALSE)),0,VLOOKUP(A51,classifications!A:C,3,FALSE))</f>
        <v>0</v>
      </c>
      <c r="C51" s="8" t="s">
        <v>300</v>
      </c>
      <c r="D51" s="26" t="str">
        <f>VLOOKUP($C51,classifications!$C:$J,4,FALSE)</f>
        <v>SC</v>
      </c>
      <c r="E51" s="26">
        <f>VLOOKUP(C51,classifications!C:K,9,FALSE)</f>
        <v>0</v>
      </c>
      <c r="F51" s="36">
        <f t="shared" si="0"/>
        <v>84.320660879168372</v>
      </c>
      <c r="G51" s="71"/>
      <c r="H51" s="37">
        <f t="shared" si="1"/>
        <v>84.320660879168372</v>
      </c>
      <c r="I51" s="77">
        <f>IF(H51="","",IF($I$8="A",(RANK(H51,H$11:H$368,1)+COUNTIF(H$11:H51,H51)-1),(RANK(H51,H$11:H$368)+COUNTIF(H$11:H51,H51)-1)))</f>
        <v>6</v>
      </c>
      <c r="J51" s="35"/>
      <c r="K51" s="28" t="str">
        <f t="shared" si="7"/>
        <v/>
      </c>
      <c r="L51" s="36" t="str">
        <f t="shared" si="2"/>
        <v/>
      </c>
      <c r="M51" s="102" t="str">
        <f t="shared" si="22"/>
        <v/>
      </c>
      <c r="N51" s="101" t="str">
        <f t="shared" si="23"/>
        <v/>
      </c>
      <c r="O51" s="94" t="str">
        <f t="shared" si="8"/>
        <v/>
      </c>
      <c r="P51" s="94" t="str">
        <f t="shared" si="18"/>
        <v/>
      </c>
      <c r="Q51" s="94" t="str">
        <f t="shared" si="19"/>
        <v/>
      </c>
      <c r="R51" s="90" t="str">
        <f t="shared" si="20"/>
        <v/>
      </c>
      <c r="S51" s="37" t="str">
        <f t="shared" si="9"/>
        <v/>
      </c>
      <c r="T51" s="176" t="str">
        <f>IF(L51="","",VLOOKUP(L51,classifications!C:K,9,FALSE))</f>
        <v/>
      </c>
      <c r="U51" s="183" t="str">
        <f t="shared" si="25"/>
        <v/>
      </c>
      <c r="V51" s="184" t="str">
        <f>IF(U51="","",IF($I$8="A",(RANK(U51,U$11:U$368)+COUNTIF(U$11:U51,U51)-1),(RANK(U51,U$11:U$368,1)+COUNTIF(U$11:U51,U51)-1)))</f>
        <v/>
      </c>
      <c r="W51" s="185"/>
      <c r="X51" s="38" t="str">
        <f>IF(L51="","",VLOOKUP($L51,classifications!$C:$J,6,FALSE))</f>
        <v/>
      </c>
      <c r="Y51" s="26" t="b">
        <f t="shared" si="3"/>
        <v>0</v>
      </c>
      <c r="Z51" s="34" t="e">
        <f>IF(Y51="","",IF(I$8="A",(RANK(Y51,Y$11:Y$368,1)+COUNTIF(Y$11:Y51,Y51)-1),(RANK(Y51,Y$11:Y$368)+COUNTIF(Y$11:Y51,Y51)-1)))</f>
        <v>#N/A</v>
      </c>
      <c r="AA51" s="188" t="str">
        <f>IF(L51="","",VLOOKUP($L51,classifications!C:I,7,FALSE))</f>
        <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84.320660879168372</v>
      </c>
      <c r="AY51" s="103"/>
      <c r="AZ51" s="21"/>
    </row>
    <row r="52" spans="1:52">
      <c r="A52" s="56" t="str">
        <f>$D$1&amp;42</f>
        <v>SC42</v>
      </c>
      <c r="B52" s="57">
        <f>IF(ISERROR(VLOOKUP(A52,classifications!A:C,3,FALSE)),0,VLOOKUP(A52,classifications!A:C,3,FALSE))</f>
        <v>0</v>
      </c>
      <c r="C52" s="8" t="s">
        <v>26</v>
      </c>
      <c r="D52" s="26" t="str">
        <f>VLOOKUP($C52,classifications!$C:$J,4,FALSE)</f>
        <v>SD</v>
      </c>
      <c r="E52" s="26">
        <f>VLOOKUP(C52,classifications!C:K,9,FALSE)</f>
        <v>0</v>
      </c>
      <c r="F52" s="36">
        <f t="shared" si="0"/>
        <v>75.166170890927546</v>
      </c>
      <c r="G52" s="71"/>
      <c r="H52" s="37" t="str">
        <f t="shared" si="1"/>
        <v/>
      </c>
      <c r="I52" s="77" t="str">
        <f>IF(H52="","",IF($I$8="A",(RANK(H52,H$11:H$368,1)+COUNTIF(H$11:H52,H52)-1),(RANK(H52,H$11:H$368)+COUNTIF(H$11:H52,H52)-1)))</f>
        <v/>
      </c>
      <c r="J52" s="35"/>
      <c r="K52" s="28" t="str">
        <f t="shared" si="7"/>
        <v/>
      </c>
      <c r="L52" s="36" t="str">
        <f t="shared" si="2"/>
        <v/>
      </c>
      <c r="M52" s="102" t="str">
        <f t="shared" si="22"/>
        <v/>
      </c>
      <c r="N52" s="101" t="str">
        <f t="shared" si="23"/>
        <v/>
      </c>
      <c r="O52" s="94" t="str">
        <f t="shared" si="8"/>
        <v/>
      </c>
      <c r="P52" s="94" t="str">
        <f t="shared" si="18"/>
        <v/>
      </c>
      <c r="Q52" s="94" t="str">
        <f t="shared" si="19"/>
        <v/>
      </c>
      <c r="R52" s="90" t="str">
        <f t="shared" si="20"/>
        <v/>
      </c>
      <c r="S52" s="37" t="str">
        <f t="shared" si="9"/>
        <v/>
      </c>
      <c r="T52" s="176" t="str">
        <f>IF(L52="","",VLOOKUP(L52,classifications!C:K,9,FALSE))</f>
        <v/>
      </c>
      <c r="U52" s="183" t="str">
        <f t="shared" si="25"/>
        <v/>
      </c>
      <c r="V52" s="184" t="str">
        <f>IF(U52="","",IF($I$8="A",(RANK(U52,U$11:U$368)+COUNTIF(U$11:U52,U52)-1),(RANK(U52,U$11:U$368,1)+COUNTIF(U$11:U52,U52)-1)))</f>
        <v/>
      </c>
      <c r="W52" s="185"/>
      <c r="X52" s="38" t="str">
        <f>IF(L52="","",VLOOKUP($L52,classifications!$C:$J,6,FALSE))</f>
        <v/>
      </c>
      <c r="Y52" s="26" t="b">
        <f t="shared" si="3"/>
        <v>0</v>
      </c>
      <c r="Z52" s="34" t="e">
        <f>IF(Y52="","",IF(I$8="A",(RANK(Y52,Y$11:Y$368,1)+COUNTIF(Y$11:Y52,Y52)-1),(RANK(Y52,Y$11:Y$368)+COUNTIF(Y$11:Y52,Y52)-1)))</f>
        <v>#N/A</v>
      </c>
      <c r="AA52" s="188" t="str">
        <f>IF(L52="","",VLOOKUP($L52,classifications!C:I,7,FALSE))</f>
        <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75.166170890927546</v>
      </c>
      <c r="AY52" s="103"/>
      <c r="AZ52" s="21"/>
    </row>
    <row r="53" spans="1:52">
      <c r="A53" s="56" t="str">
        <f>$D$1&amp;43</f>
        <v>SC43</v>
      </c>
      <c r="B53" s="57">
        <f>IF(ISERROR(VLOOKUP(A53,classifications!A:C,3,FALSE)),0,VLOOKUP(A53,classifications!A:C,3,FALSE))</f>
        <v>0</v>
      </c>
      <c r="C53" s="8" t="s">
        <v>226</v>
      </c>
      <c r="D53" s="26" t="str">
        <f>VLOOKUP($C53,classifications!$C:$J,4,FALSE)</f>
        <v>MD</v>
      </c>
      <c r="E53" s="26">
        <f>VLOOKUP(C53,classifications!C:K,9,FALSE)</f>
        <v>0</v>
      </c>
      <c r="F53" s="36">
        <f t="shared" si="0"/>
        <v>80.212657598660925</v>
      </c>
      <c r="G53" s="71"/>
      <c r="H53" s="37" t="str">
        <f t="shared" si="1"/>
        <v/>
      </c>
      <c r="I53" s="77" t="str">
        <f>IF(H53="","",IF($I$8="A",(RANK(H53,H$11:H$368,1)+COUNTIF(H$11:H53,H53)-1),(RANK(H53,H$11:H$368)+COUNTIF(H$11:H53,H53)-1)))</f>
        <v/>
      </c>
      <c r="J53" s="35"/>
      <c r="K53" s="28" t="str">
        <f t="shared" si="7"/>
        <v/>
      </c>
      <c r="L53" s="36" t="str">
        <f t="shared" si="2"/>
        <v/>
      </c>
      <c r="M53" s="102" t="str">
        <f t="shared" si="22"/>
        <v/>
      </c>
      <c r="N53" s="101" t="str">
        <f t="shared" si="23"/>
        <v/>
      </c>
      <c r="O53" s="94" t="str">
        <f t="shared" si="8"/>
        <v/>
      </c>
      <c r="P53" s="94" t="str">
        <f t="shared" si="18"/>
        <v/>
      </c>
      <c r="Q53" s="94" t="str">
        <f t="shared" si="19"/>
        <v/>
      </c>
      <c r="R53" s="90" t="str">
        <f t="shared" si="20"/>
        <v/>
      </c>
      <c r="S53" s="37" t="str">
        <f t="shared" si="9"/>
        <v/>
      </c>
      <c r="T53" s="176" t="str">
        <f>IF(L53="","",VLOOKUP(L53,classifications!C:K,9,FALSE))</f>
        <v/>
      </c>
      <c r="U53" s="183" t="str">
        <f t="shared" si="25"/>
        <v/>
      </c>
      <c r="V53" s="184" t="str">
        <f>IF(U53="","",IF($I$8="A",(RANK(U53,U$11:U$368)+COUNTIF(U$11:U53,U53)-1),(RANK(U53,U$11:U$368,1)+COUNTIF(U$11:U53,U53)-1)))</f>
        <v/>
      </c>
      <c r="W53" s="185"/>
      <c r="X53" s="38" t="str">
        <f>IF(L53="","",VLOOKUP($L53,classifications!$C:$J,6,FALSE))</f>
        <v/>
      </c>
      <c r="Y53" s="26" t="b">
        <f t="shared" si="3"/>
        <v>0</v>
      </c>
      <c r="Z53" s="34" t="e">
        <f>IF(Y53="","",IF(I$8="A",(RANK(Y53,Y$11:Y$368,1)+COUNTIF(Y$11:Y53,Y53)-1),(RANK(Y53,Y$11:Y$368)+COUNTIF(Y$11:Y53,Y53)-1)))</f>
        <v>#N/A</v>
      </c>
      <c r="AA53" s="188" t="str">
        <f>IF(L53="","",VLOOKUP($L53,classifications!C:I,7,FALSE))</f>
        <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80.212657598660925</v>
      </c>
      <c r="AY53" s="103"/>
      <c r="AZ53" s="21"/>
    </row>
    <row r="54" spans="1:52">
      <c r="A54" s="56" t="str">
        <f>$D$1&amp;44</f>
        <v>SC44</v>
      </c>
      <c r="B54" s="57">
        <f>IF(ISERROR(VLOOKUP(A54,classifications!A:C,3,FALSE)),0,VLOOKUP(A54,classifications!A:C,3,FALSE))</f>
        <v>0</v>
      </c>
      <c r="C54" s="8" t="s">
        <v>227</v>
      </c>
      <c r="D54" s="26" t="str">
        <f>VLOOKUP($C54,classifications!$C:$J,4,FALSE)</f>
        <v>MD</v>
      </c>
      <c r="E54" s="26">
        <f>VLOOKUP(C54,classifications!C:K,9,FALSE)</f>
        <v>0</v>
      </c>
      <c r="F54" s="36">
        <f t="shared" si="0"/>
        <v>81.515399100401225</v>
      </c>
      <c r="G54" s="71"/>
      <c r="H54" s="37" t="str">
        <f t="shared" si="1"/>
        <v/>
      </c>
      <c r="I54" s="77" t="str">
        <f>IF(H54="","",IF($I$8="A",(RANK(H54,H$11:H$368,1)+COUNTIF(H$11:H54,H54)-1),(RANK(H54,H$11:H$368)+COUNTIF(H$11:H54,H54)-1)))</f>
        <v/>
      </c>
      <c r="J54" s="35"/>
      <c r="K54" s="28" t="str">
        <f t="shared" si="7"/>
        <v/>
      </c>
      <c r="L54" s="36" t="str">
        <f t="shared" si="2"/>
        <v/>
      </c>
      <c r="M54" s="102" t="str">
        <f t="shared" si="22"/>
        <v/>
      </c>
      <c r="N54" s="101" t="str">
        <f t="shared" si="23"/>
        <v/>
      </c>
      <c r="O54" s="94" t="str">
        <f t="shared" si="8"/>
        <v/>
      </c>
      <c r="P54" s="94" t="str">
        <f t="shared" si="18"/>
        <v/>
      </c>
      <c r="Q54" s="94" t="str">
        <f t="shared" si="19"/>
        <v/>
      </c>
      <c r="R54" s="90" t="str">
        <f t="shared" si="20"/>
        <v/>
      </c>
      <c r="S54" s="37" t="str">
        <f t="shared" si="9"/>
        <v/>
      </c>
      <c r="T54" s="176" t="str">
        <f>IF(L54="","",VLOOKUP(L54,classifications!C:K,9,FALSE))</f>
        <v/>
      </c>
      <c r="U54" s="183" t="str">
        <f t="shared" si="25"/>
        <v/>
      </c>
      <c r="V54" s="184" t="str">
        <f>IF(U54="","",IF($I$8="A",(RANK(U54,U$11:U$368)+COUNTIF(U$11:U54,U54)-1),(RANK(U54,U$11:U$368,1)+COUNTIF(U$11:U54,U54)-1)))</f>
        <v/>
      </c>
      <c r="W54" s="185"/>
      <c r="X54" s="38" t="str">
        <f>IF(L54="","",VLOOKUP($L54,classifications!$C:$J,6,FALSE))</f>
        <v/>
      </c>
      <c r="Y54" s="26" t="b">
        <f t="shared" si="3"/>
        <v>0</v>
      </c>
      <c r="Z54" s="34" t="e">
        <f>IF(Y54="","",IF(I$8="A",(RANK(Y54,Y$11:Y$368,1)+COUNTIF(Y$11:Y54,Y54)-1),(RANK(Y54,Y$11:Y$368)+COUNTIF(Y$11:Y54,Y54)-1)))</f>
        <v>#N/A</v>
      </c>
      <c r="AA54" s="188" t="str">
        <f>IF(L54="","",VLOOKUP($L54,classifications!C:I,7,FALSE))</f>
        <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81.515399100401225</v>
      </c>
      <c r="AY54" s="103"/>
      <c r="AZ54" s="21"/>
    </row>
    <row r="55" spans="1:52">
      <c r="A55" s="56" t="str">
        <f>$D$1&amp;45</f>
        <v>SC45</v>
      </c>
      <c r="B55" s="57">
        <f>IF(ISERROR(VLOOKUP(A55,classifications!A:C,3,FALSE)),0,VLOOKUP(A55,classifications!A:C,3,FALSE))</f>
        <v>0</v>
      </c>
      <c r="C55" s="8" t="s">
        <v>27</v>
      </c>
      <c r="D55" s="26" t="str">
        <f>VLOOKUP($C55,classifications!$C:$J,4,FALSE)</f>
        <v>SD</v>
      </c>
      <c r="E55" s="26">
        <f>VLOOKUP(C55,classifications!C:K,9,FALSE)</f>
        <v>0</v>
      </c>
      <c r="F55" s="36">
        <f t="shared" si="0"/>
        <v>89.877725719925976</v>
      </c>
      <c r="G55" s="71"/>
      <c r="H55" s="37" t="str">
        <f t="shared" si="1"/>
        <v/>
      </c>
      <c r="I55" s="77" t="str">
        <f>IF(H55="","",IF($I$8="A",(RANK(H55,H$11:H$368,1)+COUNTIF(H$11:H55,H55)-1),(RANK(H55,H$11:H$368)+COUNTIF(H$11:H55,H55)-1)))</f>
        <v/>
      </c>
      <c r="J55" s="35"/>
      <c r="K55" s="28" t="str">
        <f t="shared" si="7"/>
        <v/>
      </c>
      <c r="L55" s="36" t="str">
        <f t="shared" si="2"/>
        <v/>
      </c>
      <c r="M55" s="102" t="str">
        <f t="shared" si="22"/>
        <v/>
      </c>
      <c r="N55" s="101" t="str">
        <f t="shared" si="23"/>
        <v/>
      </c>
      <c r="O55" s="94" t="str">
        <f t="shared" si="8"/>
        <v/>
      </c>
      <c r="P55" s="94" t="str">
        <f t="shared" si="18"/>
        <v/>
      </c>
      <c r="Q55" s="94" t="str">
        <f t="shared" si="19"/>
        <v/>
      </c>
      <c r="R55" s="90" t="str">
        <f t="shared" si="20"/>
        <v/>
      </c>
      <c r="S55" s="37" t="str">
        <f t="shared" si="9"/>
        <v/>
      </c>
      <c r="T55" s="176" t="str">
        <f>IF(L55="","",VLOOKUP(L55,classifications!C:K,9,FALSE))</f>
        <v/>
      </c>
      <c r="U55" s="183" t="str">
        <f t="shared" si="25"/>
        <v/>
      </c>
      <c r="V55" s="184" t="str">
        <f>IF(U55="","",IF($I$8="A",(RANK(U55,U$11:U$368)+COUNTIF(U$11:U55,U55)-1),(RANK(U55,U$11:U$368,1)+COUNTIF(U$11:U55,U55)-1)))</f>
        <v/>
      </c>
      <c r="W55" s="185"/>
      <c r="X55" s="38" t="str">
        <f>IF(L55="","",VLOOKUP($L55,classifications!$C:$J,6,FALSE))</f>
        <v/>
      </c>
      <c r="Y55" s="26" t="b">
        <f t="shared" si="3"/>
        <v>0</v>
      </c>
      <c r="Z55" s="34" t="e">
        <f>IF(Y55="","",IF(I$8="A",(RANK(Y55,Y$11:Y$368,1)+COUNTIF(Y$11:Y55,Y55)-1),(RANK(Y55,Y$11:Y$368)+COUNTIF(Y$11:Y55,Y55)-1)))</f>
        <v>#N/A</v>
      </c>
      <c r="AA55" s="188" t="str">
        <f>IF(L55="","",VLOOKUP($L55,classifications!C:I,7,FALSE))</f>
        <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89.877725719925976</v>
      </c>
      <c r="AY55" s="103"/>
      <c r="AZ55" s="21"/>
    </row>
    <row r="56" spans="1:52">
      <c r="A56" s="56" t="str">
        <f>$D$1&amp;46</f>
        <v>SC46</v>
      </c>
      <c r="B56" s="57">
        <f>IF(ISERROR(VLOOKUP(A56,classifications!A:C,3,FALSE)),0,VLOOKUP(A56,classifications!A:C,3,FALSE))</f>
        <v>0</v>
      </c>
      <c r="C56" s="8" t="s">
        <v>302</v>
      </c>
      <c r="D56" s="26" t="str">
        <f>VLOOKUP($C56,classifications!$C:$J,4,FALSE)</f>
        <v>SC</v>
      </c>
      <c r="E56" s="26">
        <f>VLOOKUP(C56,classifications!C:K,9,FALSE)</f>
        <v>0</v>
      </c>
      <c r="F56" s="36">
        <f t="shared" si="0"/>
        <v>83.358927119604033</v>
      </c>
      <c r="G56" s="71"/>
      <c r="H56" s="37">
        <f t="shared" si="1"/>
        <v>83.358927119604033</v>
      </c>
      <c r="I56" s="77">
        <f>IF(H56="","",IF($I$8="A",(RANK(H56,H$11:H$368,1)+COUNTIF(H$11:H56,H56)-1),(RANK(H56,H$11:H$368)+COUNTIF(H$11:H56,H56)-1)))</f>
        <v>10</v>
      </c>
      <c r="J56" s="35"/>
      <c r="K56" s="28" t="str">
        <f t="shared" si="7"/>
        <v/>
      </c>
      <c r="L56" s="36" t="str">
        <f t="shared" si="2"/>
        <v/>
      </c>
      <c r="M56" s="102" t="str">
        <f t="shared" si="22"/>
        <v/>
      </c>
      <c r="N56" s="101" t="str">
        <f t="shared" si="23"/>
        <v/>
      </c>
      <c r="O56" s="94" t="str">
        <f t="shared" si="8"/>
        <v/>
      </c>
      <c r="P56" s="94" t="str">
        <f t="shared" si="18"/>
        <v/>
      </c>
      <c r="Q56" s="94" t="str">
        <f t="shared" si="19"/>
        <v/>
      </c>
      <c r="R56" s="90" t="str">
        <f t="shared" si="20"/>
        <v/>
      </c>
      <c r="S56" s="37" t="str">
        <f t="shared" si="9"/>
        <v/>
      </c>
      <c r="T56" s="176" t="str">
        <f>IF(L56="","",VLOOKUP(L56,classifications!C:K,9,FALSE))</f>
        <v/>
      </c>
      <c r="U56" s="183" t="str">
        <f t="shared" si="25"/>
        <v/>
      </c>
      <c r="V56" s="184" t="str">
        <f>IF(U56="","",IF($I$8="A",(RANK(U56,U$11:U$368)+COUNTIF(U$11:U56,U56)-1),(RANK(U56,U$11:U$368,1)+COUNTIF(U$11:U56,U56)-1)))</f>
        <v/>
      </c>
      <c r="W56" s="185"/>
      <c r="X56" s="38" t="str">
        <f>IF(L56="","",VLOOKUP($L56,classifications!$C:$J,6,FALSE))</f>
        <v/>
      </c>
      <c r="Y56" s="26" t="b">
        <f t="shared" si="3"/>
        <v>0</v>
      </c>
      <c r="Z56" s="34" t="e">
        <f>IF(Y56="","",IF(I$8="A",(RANK(Y56,Y$11:Y$368,1)+COUNTIF(Y$11:Y56,Y56)-1),(RANK(Y56,Y$11:Y$368)+COUNTIF(Y$11:Y56,Y56)-1)))</f>
        <v>#N/A</v>
      </c>
      <c r="AA56" s="188" t="str">
        <f>IF(L56="","",VLOOKUP($L56,classifications!C:I,7,FALSE))</f>
        <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83.358927119604033</v>
      </c>
      <c r="AY56" s="103"/>
      <c r="AZ56" s="21"/>
    </row>
    <row r="57" spans="1:52">
      <c r="A57" s="56" t="str">
        <f>$D$1&amp;47</f>
        <v>SC47</v>
      </c>
      <c r="B57" s="57">
        <f>IF(ISERROR(VLOOKUP(A57,classifications!A:C,3,FALSE)),0,VLOOKUP(A57,classifications!A:C,3,FALSE))</f>
        <v>0</v>
      </c>
      <c r="C57" s="8" t="s">
        <v>200</v>
      </c>
      <c r="D57" s="26" t="str">
        <f>VLOOKUP($C57,classifications!$C:$J,4,FALSE)</f>
        <v>L</v>
      </c>
      <c r="E57" s="26">
        <f>VLOOKUP(C57,classifications!C:K,9,FALSE)</f>
        <v>0</v>
      </c>
      <c r="F57" s="36">
        <f t="shared" si="0"/>
        <v>86.759166813977501</v>
      </c>
      <c r="G57" s="71"/>
      <c r="H57" s="37" t="str">
        <f t="shared" si="1"/>
        <v/>
      </c>
      <c r="I57" s="77" t="str">
        <f>IF(H57="","",IF($I$8="A",(RANK(H57,H$11:H$368,1)+COUNTIF(H$11:H57,H57)-1),(RANK(H57,H$11:H$368)+COUNTIF(H$11:H57,H57)-1)))</f>
        <v/>
      </c>
      <c r="J57" s="35"/>
      <c r="K57" s="28" t="str">
        <f t="shared" si="7"/>
        <v/>
      </c>
      <c r="L57" s="36" t="str">
        <f t="shared" si="2"/>
        <v/>
      </c>
      <c r="M57" s="102" t="str">
        <f t="shared" si="22"/>
        <v/>
      </c>
      <c r="N57" s="101" t="str">
        <f t="shared" si="23"/>
        <v/>
      </c>
      <c r="O57" s="94" t="str">
        <f t="shared" si="8"/>
        <v/>
      </c>
      <c r="P57" s="94" t="str">
        <f t="shared" si="18"/>
        <v/>
      </c>
      <c r="Q57" s="94" t="str">
        <f t="shared" si="19"/>
        <v/>
      </c>
      <c r="R57" s="90" t="str">
        <f t="shared" si="20"/>
        <v/>
      </c>
      <c r="S57" s="37" t="str">
        <f t="shared" si="9"/>
        <v/>
      </c>
      <c r="T57" s="176" t="str">
        <f>IF(L57="","",VLOOKUP(L57,classifications!C:K,9,FALSE))</f>
        <v/>
      </c>
      <c r="U57" s="183" t="str">
        <f t="shared" si="25"/>
        <v/>
      </c>
      <c r="V57" s="184" t="str">
        <f>IF(U57="","",IF($I$8="A",(RANK(U57,U$11:U$368)+COUNTIF(U$11:U57,U57)-1),(RANK(U57,U$11:U$368,1)+COUNTIF(U$11:U57,U57)-1)))</f>
        <v/>
      </c>
      <c r="W57" s="185"/>
      <c r="X57" s="38" t="str">
        <f>IF(L57="","",VLOOKUP($L57,classifications!$C:$J,6,FALSE))</f>
        <v/>
      </c>
      <c r="Y57" s="26" t="b">
        <f t="shared" si="3"/>
        <v>0</v>
      </c>
      <c r="Z57" s="34" t="e">
        <f>IF(Y57="","",IF(I$8="A",(RANK(Y57,Y$11:Y$368,1)+COUNTIF(Y$11:Y57,Y57)-1),(RANK(Y57,Y$11:Y$368)+COUNTIF(Y$11:Y57,Y57)-1)))</f>
        <v>#N/A</v>
      </c>
      <c r="AA57" s="188" t="str">
        <f>IF(L57="","",VLOOKUP($L57,classifications!C:I,7,FALSE))</f>
        <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86.759166813977501</v>
      </c>
      <c r="AY57" s="103"/>
      <c r="AZ57" s="21"/>
    </row>
    <row r="58" spans="1:52">
      <c r="A58" s="56" t="str">
        <f>$D$1&amp;48</f>
        <v>SC48</v>
      </c>
      <c r="B58" s="57">
        <f>IF(ISERROR(VLOOKUP(A58,classifications!A:C,3,FALSE)),0,VLOOKUP(A58,classifications!A:C,3,FALSE))</f>
        <v>0</v>
      </c>
      <c r="C58" s="8" t="s">
        <v>28</v>
      </c>
      <c r="D58" s="26" t="str">
        <f>VLOOKUP($C58,classifications!$C:$J,4,FALSE)</f>
        <v>SD</v>
      </c>
      <c r="E58" s="26">
        <f>VLOOKUP(C58,classifications!C:K,9,FALSE)</f>
        <v>0</v>
      </c>
      <c r="F58" s="36">
        <f t="shared" si="0"/>
        <v>76.033457429563455</v>
      </c>
      <c r="G58" s="71"/>
      <c r="H58" s="37" t="str">
        <f t="shared" si="1"/>
        <v/>
      </c>
      <c r="I58" s="77" t="str">
        <f>IF(H58="","",IF($I$8="A",(RANK(H58,H$11:H$368,1)+COUNTIF(H$11:H58,H58)-1),(RANK(H58,H$11:H$368)+COUNTIF(H$11:H58,H58)-1)))</f>
        <v/>
      </c>
      <c r="J58" s="35"/>
      <c r="K58" s="28" t="str">
        <f t="shared" si="7"/>
        <v/>
      </c>
      <c r="L58" s="36" t="str">
        <f t="shared" si="2"/>
        <v/>
      </c>
      <c r="M58" s="102" t="str">
        <f t="shared" si="22"/>
        <v/>
      </c>
      <c r="N58" s="101" t="str">
        <f t="shared" si="23"/>
        <v/>
      </c>
      <c r="O58" s="94" t="str">
        <f t="shared" si="8"/>
        <v/>
      </c>
      <c r="P58" s="94" t="str">
        <f t="shared" si="18"/>
        <v/>
      </c>
      <c r="Q58" s="94" t="str">
        <f t="shared" si="19"/>
        <v/>
      </c>
      <c r="R58" s="90" t="str">
        <f t="shared" si="20"/>
        <v/>
      </c>
      <c r="S58" s="37" t="str">
        <f t="shared" si="9"/>
        <v/>
      </c>
      <c r="T58" s="176" t="str">
        <f>IF(L58="","",VLOOKUP(L58,classifications!C:K,9,FALSE))</f>
        <v/>
      </c>
      <c r="U58" s="183" t="str">
        <f t="shared" si="25"/>
        <v/>
      </c>
      <c r="V58" s="184" t="str">
        <f>IF(U58="","",IF($I$8="A",(RANK(U58,U$11:U$368)+COUNTIF(U$11:U58,U58)-1),(RANK(U58,U$11:U$368,1)+COUNTIF(U$11:U58,U58)-1)))</f>
        <v/>
      </c>
      <c r="W58" s="185"/>
      <c r="X58" s="38" t="str">
        <f>IF(L58="","",VLOOKUP($L58,classifications!$C:$J,6,FALSE))</f>
        <v/>
      </c>
      <c r="Y58" s="26" t="b">
        <f t="shared" si="3"/>
        <v>0</v>
      </c>
      <c r="Z58" s="34" t="e">
        <f>IF(Y58="","",IF(I$8="A",(RANK(Y58,Y$11:Y$368,1)+COUNTIF(Y$11:Y58,Y58)-1),(RANK(Y58,Y$11:Y$368)+COUNTIF(Y$11:Y58,Y58)-1)))</f>
        <v>#N/A</v>
      </c>
      <c r="AA58" s="188" t="str">
        <f>IF(L58="","",VLOOKUP($L58,classifications!C:I,7,FALSE))</f>
        <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76.033457429563455</v>
      </c>
      <c r="AY58" s="103"/>
      <c r="AZ58" s="21"/>
    </row>
    <row r="59" spans="1:52">
      <c r="A59" s="56" t="str">
        <f>$D$1&amp;49</f>
        <v>SC49</v>
      </c>
      <c r="B59" s="57">
        <f>IF(ISERROR(VLOOKUP(A59,classifications!A:C,3,FALSE)),0,VLOOKUP(A59,classifications!A:C,3,FALSE))</f>
        <v>0</v>
      </c>
      <c r="C59" s="8" t="s">
        <v>29</v>
      </c>
      <c r="D59" s="26" t="str">
        <f>VLOOKUP($C59,classifications!$C:$J,4,FALSE)</f>
        <v>SD</v>
      </c>
      <c r="E59" s="26">
        <f>VLOOKUP(C59,classifications!C:K,9,FALSE)</f>
        <v>0</v>
      </c>
      <c r="F59" s="36">
        <f t="shared" si="0"/>
        <v>84.721098664588297</v>
      </c>
      <c r="G59" s="71"/>
      <c r="H59" s="37" t="str">
        <f t="shared" si="1"/>
        <v/>
      </c>
      <c r="I59" s="77" t="str">
        <f>IF(H59="","",IF($I$8="A",(RANK(H59,H$11:H$368,1)+COUNTIF(H$11:H59,H59)-1),(RANK(H59,H$11:H$368)+COUNTIF(H$11:H59,H59)-1)))</f>
        <v/>
      </c>
      <c r="J59" s="35"/>
      <c r="K59" s="28" t="str">
        <f t="shared" si="7"/>
        <v/>
      </c>
      <c r="L59" s="36" t="str">
        <f t="shared" si="2"/>
        <v/>
      </c>
      <c r="M59" s="102" t="str">
        <f t="shared" si="22"/>
        <v/>
      </c>
      <c r="N59" s="101" t="str">
        <f t="shared" si="23"/>
        <v/>
      </c>
      <c r="O59" s="94" t="str">
        <f t="shared" si="8"/>
        <v/>
      </c>
      <c r="P59" s="94" t="str">
        <f t="shared" si="18"/>
        <v/>
      </c>
      <c r="Q59" s="94" t="str">
        <f t="shared" si="19"/>
        <v/>
      </c>
      <c r="R59" s="90" t="str">
        <f t="shared" si="20"/>
        <v/>
      </c>
      <c r="S59" s="37" t="str">
        <f t="shared" si="9"/>
        <v/>
      </c>
      <c r="T59" s="176" t="str">
        <f>IF(L59="","",VLOOKUP(L59,classifications!C:K,9,FALSE))</f>
        <v/>
      </c>
      <c r="U59" s="183" t="str">
        <f t="shared" si="25"/>
        <v/>
      </c>
      <c r="V59" s="184" t="str">
        <f>IF(U59="","",IF($I$8="A",(RANK(U59,U$11:U$368)+COUNTIF(U$11:U59,U59)-1),(RANK(U59,U$11:U$368,1)+COUNTIF(U$11:U59,U59)-1)))</f>
        <v/>
      </c>
      <c r="W59" s="185"/>
      <c r="X59" s="38" t="str">
        <f>IF(L59="","",VLOOKUP($L59,classifications!$C:$J,6,FALSE))</f>
        <v/>
      </c>
      <c r="Y59" s="26" t="b">
        <f t="shared" si="3"/>
        <v>0</v>
      </c>
      <c r="Z59" s="34" t="e">
        <f>IF(Y59="","",IF(I$8="A",(RANK(Y59,Y$11:Y$368,1)+COUNTIF(Y$11:Y59,Y59)-1),(RANK(Y59,Y$11:Y$368)+COUNTIF(Y$11:Y59,Y59)-1)))</f>
        <v>#N/A</v>
      </c>
      <c r="AA59" s="188" t="str">
        <f>IF(L59="","",VLOOKUP($L59,classifications!C:I,7,FALSE))</f>
        <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84.721098664588297</v>
      </c>
      <c r="AY59" s="103"/>
      <c r="AZ59" s="21"/>
    </row>
    <row r="60" spans="1:52">
      <c r="A60" s="56" t="str">
        <f>$D$1&amp;50</f>
        <v>SC50</v>
      </c>
      <c r="B60" s="57">
        <f>IF(ISERROR(VLOOKUP(A60,classifications!A:C,3,FALSE)),0,VLOOKUP(A60,classifications!A:C,3,FALSE))</f>
        <v>0</v>
      </c>
      <c r="C60" s="8" t="s">
        <v>30</v>
      </c>
      <c r="D60" s="26" t="str">
        <f>VLOOKUP($C60,classifications!$C:$J,4,FALSE)</f>
        <v>SD</v>
      </c>
      <c r="E60" s="26">
        <f>VLOOKUP(C60,classifications!C:K,9,FALSE)</f>
        <v>0</v>
      </c>
      <c r="F60" s="36">
        <f t="shared" si="0"/>
        <v>81.09538839596307</v>
      </c>
      <c r="G60" s="71"/>
      <c r="H60" s="37" t="str">
        <f t="shared" si="1"/>
        <v/>
      </c>
      <c r="I60" s="77" t="str">
        <f>IF(H60="","",IF($I$8="A",(RANK(H60,H$11:H$368,1)+COUNTIF(H$11:H60,H60)-1),(RANK(H60,H$11:H$368)+COUNTIF(H$11:H60,H60)-1)))</f>
        <v/>
      </c>
      <c r="J60" s="35"/>
      <c r="K60" s="28" t="str">
        <f t="shared" si="7"/>
        <v/>
      </c>
      <c r="L60" s="36" t="str">
        <f t="shared" si="2"/>
        <v/>
      </c>
      <c r="M60" s="102" t="str">
        <f t="shared" si="22"/>
        <v/>
      </c>
      <c r="N60" s="101" t="str">
        <f t="shared" si="23"/>
        <v/>
      </c>
      <c r="O60" s="94" t="str">
        <f t="shared" si="8"/>
        <v/>
      </c>
      <c r="P60" s="94" t="str">
        <f t="shared" si="18"/>
        <v/>
      </c>
      <c r="Q60" s="94" t="str">
        <f t="shared" si="19"/>
        <v/>
      </c>
      <c r="R60" s="90" t="str">
        <f t="shared" si="20"/>
        <v/>
      </c>
      <c r="S60" s="37" t="str">
        <f t="shared" si="9"/>
        <v/>
      </c>
      <c r="T60" s="176" t="str">
        <f>IF(L60="","",VLOOKUP(L60,classifications!C:K,9,FALSE))</f>
        <v/>
      </c>
      <c r="U60" s="183" t="str">
        <f t="shared" si="25"/>
        <v/>
      </c>
      <c r="V60" s="184" t="str">
        <f>IF(U60="","",IF($I$8="A",(RANK(U60,U$11:U$368)+COUNTIF(U$11:U60,U60)-1),(RANK(U60,U$11:U$368,1)+COUNTIF(U$11:U60,U60)-1)))</f>
        <v/>
      </c>
      <c r="W60" s="185"/>
      <c r="X60" s="38" t="str">
        <f>IF(L60="","",VLOOKUP($L60,classifications!$C:$J,6,FALSE))</f>
        <v/>
      </c>
      <c r="Y60" s="26" t="b">
        <f t="shared" si="3"/>
        <v>0</v>
      </c>
      <c r="Z60" s="34" t="e">
        <f>IF(Y60="","",IF(I$8="A",(RANK(Y60,Y$11:Y$368,1)+COUNTIF(Y$11:Y60,Y60)-1),(RANK(Y60,Y$11:Y$368)+COUNTIF(Y$11:Y60,Y60)-1)))</f>
        <v>#N/A</v>
      </c>
      <c r="AA60" s="188" t="str">
        <f>IF(L60="","",VLOOKUP($L60,classifications!C:I,7,FALSE))</f>
        <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81.09538839596307</v>
      </c>
      <c r="AY60" s="103"/>
      <c r="AZ60" s="21"/>
    </row>
    <row r="61" spans="1:52">
      <c r="A61" s="56" t="str">
        <f>$D$1&amp;51</f>
        <v>SC51</v>
      </c>
      <c r="B61" s="57">
        <f>IF(ISERROR(VLOOKUP(A61,classifications!A:C,3,FALSE)),0,VLOOKUP(A61,classifications!A:C,3,FALSE))</f>
        <v>0</v>
      </c>
      <c r="C61" s="8" t="s">
        <v>31</v>
      </c>
      <c r="D61" s="26" t="str">
        <f>VLOOKUP($C61,classifications!$C:$J,4,FALSE)</f>
        <v>SD</v>
      </c>
      <c r="E61" s="26">
        <f>VLOOKUP(C61,classifications!C:K,9,FALSE)</f>
        <v>0</v>
      </c>
      <c r="F61" s="36">
        <f t="shared" si="0"/>
        <v>82.144881546139516</v>
      </c>
      <c r="G61" s="71"/>
      <c r="H61" s="37" t="str">
        <f t="shared" si="1"/>
        <v/>
      </c>
      <c r="I61" s="77" t="str">
        <f>IF(H61="","",IF($I$8="A",(RANK(H61,H$11:H$368,1)+COUNTIF(H$11:H61,H61)-1),(RANK(H61,H$11:H$368)+COUNTIF(H$11:H61,H61)-1)))</f>
        <v/>
      </c>
      <c r="J61" s="35"/>
      <c r="K61" s="28" t="str">
        <f t="shared" si="7"/>
        <v/>
      </c>
      <c r="L61" s="36" t="str">
        <f t="shared" si="2"/>
        <v/>
      </c>
      <c r="M61" s="102" t="str">
        <f t="shared" si="22"/>
        <v/>
      </c>
      <c r="N61" s="101" t="str">
        <f t="shared" si="23"/>
        <v/>
      </c>
      <c r="O61" s="94" t="str">
        <f t="shared" si="8"/>
        <v/>
      </c>
      <c r="P61" s="94" t="str">
        <f t="shared" si="18"/>
        <v/>
      </c>
      <c r="Q61" s="94" t="str">
        <f t="shared" si="19"/>
        <v/>
      </c>
      <c r="R61" s="90" t="str">
        <f t="shared" si="20"/>
        <v/>
      </c>
      <c r="S61" s="37" t="str">
        <f t="shared" si="9"/>
        <v/>
      </c>
      <c r="T61" s="176" t="str">
        <f>IF(L61="","",VLOOKUP(L61,classifications!C:K,9,FALSE))</f>
        <v/>
      </c>
      <c r="U61" s="183" t="str">
        <f t="shared" si="25"/>
        <v/>
      </c>
      <c r="V61" s="184" t="str">
        <f>IF(U61="","",IF($I$8="A",(RANK(U61,U$11:U$368)+COUNTIF(U$11:U61,U61)-1),(RANK(U61,U$11:U$368,1)+COUNTIF(U$11:U61,U61)-1)))</f>
        <v/>
      </c>
      <c r="W61" s="185"/>
      <c r="X61" s="38" t="str">
        <f>IF(L61="","",VLOOKUP($L61,classifications!$C:$J,6,FALSE))</f>
        <v/>
      </c>
      <c r="Y61" s="26" t="b">
        <f t="shared" si="3"/>
        <v>0</v>
      </c>
      <c r="Z61" s="34" t="e">
        <f>IF(Y61="","",IF(I$8="A",(RANK(Y61,Y$11:Y$368,1)+COUNTIF(Y$11:Y61,Y61)-1),(RANK(Y61,Y$11:Y$368)+COUNTIF(Y$11:Y61,Y61)-1)))</f>
        <v>#N/A</v>
      </c>
      <c r="AA61" s="188" t="str">
        <f>IF(L61="","",VLOOKUP($L61,classifications!C:I,7,FALSE))</f>
        <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82.144881546139516</v>
      </c>
      <c r="AY61" s="103"/>
      <c r="AZ61" s="21"/>
    </row>
    <row r="62" spans="1:52">
      <c r="A62" s="56" t="str">
        <f>$D$1&amp;52</f>
        <v>SC52</v>
      </c>
      <c r="B62" s="57">
        <f>IF(ISERROR(VLOOKUP(A62,classifications!A:C,3,FALSE)),0,VLOOKUP(A62,classifications!A:C,3,FALSE))</f>
        <v>0</v>
      </c>
      <c r="C62" s="8" t="s">
        <v>303</v>
      </c>
      <c r="D62" s="26" t="str">
        <f>VLOOKUP($C62,classifications!$C:$J,4,FALSE)</f>
        <v>UA</v>
      </c>
      <c r="E62" s="26">
        <f>VLOOKUP(C62,classifications!C:K,9,FALSE)</f>
        <v>0</v>
      </c>
      <c r="F62" s="36">
        <f t="shared" si="0"/>
        <v>81.745966822663377</v>
      </c>
      <c r="G62" s="71"/>
      <c r="H62" s="37" t="str">
        <f t="shared" si="1"/>
        <v/>
      </c>
      <c r="I62" s="77" t="str">
        <f>IF(H62="","",IF($I$8="A",(RANK(H62,H$11:H$368,1)+COUNTIF(H$11:H62,H62)-1),(RANK(H62,H$11:H$368)+COUNTIF(H$11:H62,H62)-1)))</f>
        <v/>
      </c>
      <c r="J62" s="35"/>
      <c r="K62" s="28" t="str">
        <f t="shared" si="7"/>
        <v/>
      </c>
      <c r="L62" s="36" t="str">
        <f t="shared" si="2"/>
        <v/>
      </c>
      <c r="M62" s="102" t="str">
        <f t="shared" si="22"/>
        <v/>
      </c>
      <c r="N62" s="101" t="str">
        <f t="shared" si="23"/>
        <v/>
      </c>
      <c r="O62" s="94" t="str">
        <f t="shared" si="8"/>
        <v/>
      </c>
      <c r="P62" s="94" t="str">
        <f t="shared" si="18"/>
        <v/>
      </c>
      <c r="Q62" s="94" t="str">
        <f t="shared" si="19"/>
        <v/>
      </c>
      <c r="R62" s="90" t="str">
        <f t="shared" si="20"/>
        <v/>
      </c>
      <c r="S62" s="37" t="str">
        <f t="shared" si="9"/>
        <v/>
      </c>
      <c r="T62" s="176" t="str">
        <f>IF(L62="","",VLOOKUP(L62,classifications!C:K,9,FALSE))</f>
        <v/>
      </c>
      <c r="U62" s="183" t="str">
        <f t="shared" si="25"/>
        <v/>
      </c>
      <c r="V62" s="184" t="str">
        <f>IF(U62="","",IF($I$8="A",(RANK(U62,U$11:U$368)+COUNTIF(U$11:U62,U62)-1),(RANK(U62,U$11:U$368,1)+COUNTIF(U$11:U62,U62)-1)))</f>
        <v/>
      </c>
      <c r="W62" s="185"/>
      <c r="X62" s="38" t="str">
        <f>IF(L62="","",VLOOKUP($L62,classifications!$C:$J,6,FALSE))</f>
        <v/>
      </c>
      <c r="Y62" s="26" t="b">
        <f t="shared" si="3"/>
        <v>0</v>
      </c>
      <c r="Z62" s="34" t="e">
        <f>IF(Y62="","",IF(I$8="A",(RANK(Y62,Y$11:Y$368,1)+COUNTIF(Y$11:Y62,Y62)-1),(RANK(Y62,Y$11:Y$368)+COUNTIF(Y$11:Y62,Y62)-1)))</f>
        <v>#N/A</v>
      </c>
      <c r="AA62" s="188" t="str">
        <f>IF(L62="","",VLOOKUP($L62,classifications!C:I,7,FALSE))</f>
        <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81.745966822663377</v>
      </c>
      <c r="AY62" s="103"/>
      <c r="AZ62" s="21"/>
    </row>
    <row r="63" spans="1:52">
      <c r="A63" s="56" t="str">
        <f>$D$1&amp;53</f>
        <v>SC53</v>
      </c>
      <c r="B63" s="57">
        <f>IF(ISERROR(VLOOKUP(A63,classifications!A:C,3,FALSE)),0,VLOOKUP(A63,classifications!A:C,3,FALSE))</f>
        <v>0</v>
      </c>
      <c r="C63" s="8" t="s">
        <v>32</v>
      </c>
      <c r="D63" s="26" t="str">
        <f>VLOOKUP($C63,classifications!$C:$J,4,FALSE)</f>
        <v>SD</v>
      </c>
      <c r="E63" s="26">
        <f>VLOOKUP(C63,classifications!C:K,9,FALSE)</f>
        <v>0</v>
      </c>
      <c r="F63" s="36">
        <f t="shared" si="0"/>
        <v>84.648901808129352</v>
      </c>
      <c r="G63" s="71"/>
      <c r="H63" s="37" t="str">
        <f t="shared" si="1"/>
        <v/>
      </c>
      <c r="I63" s="77" t="str">
        <f>IF(H63="","",IF($I$8="A",(RANK(H63,H$11:H$368,1)+COUNTIF(H$11:H63,H63)-1),(RANK(H63,H$11:H$368)+COUNTIF(H$11:H63,H63)-1)))</f>
        <v/>
      </c>
      <c r="J63" s="35"/>
      <c r="K63" s="28" t="str">
        <f t="shared" si="7"/>
        <v/>
      </c>
      <c r="L63" s="36" t="str">
        <f t="shared" si="2"/>
        <v/>
      </c>
      <c r="M63" s="102" t="str">
        <f t="shared" si="22"/>
        <v/>
      </c>
      <c r="N63" s="101" t="str">
        <f t="shared" si="23"/>
        <v/>
      </c>
      <c r="O63" s="94" t="str">
        <f t="shared" si="8"/>
        <v/>
      </c>
      <c r="P63" s="94" t="str">
        <f t="shared" si="18"/>
        <v/>
      </c>
      <c r="Q63" s="94" t="str">
        <f t="shared" si="19"/>
        <v/>
      </c>
      <c r="R63" s="90" t="str">
        <f t="shared" si="20"/>
        <v/>
      </c>
      <c r="S63" s="37" t="str">
        <f t="shared" si="9"/>
        <v/>
      </c>
      <c r="T63" s="176" t="str">
        <f>IF(L63="","",VLOOKUP(L63,classifications!C:K,9,FALSE))</f>
        <v/>
      </c>
      <c r="U63" s="183" t="str">
        <f t="shared" si="25"/>
        <v/>
      </c>
      <c r="V63" s="184" t="str">
        <f>IF(U63="","",IF($I$8="A",(RANK(U63,U$11:U$368)+COUNTIF(U$11:U63,U63)-1),(RANK(U63,U$11:U$368,1)+COUNTIF(U$11:U63,U63)-1)))</f>
        <v/>
      </c>
      <c r="W63" s="185"/>
      <c r="X63" s="38" t="str">
        <f>IF(L63="","",VLOOKUP($L63,classifications!$C:$J,6,FALSE))</f>
        <v/>
      </c>
      <c r="Y63" s="26" t="b">
        <f t="shared" si="3"/>
        <v>0</v>
      </c>
      <c r="Z63" s="34" t="e">
        <f>IF(Y63="","",IF(I$8="A",(RANK(Y63,Y$11:Y$368,1)+COUNTIF(Y$11:Y63,Y63)-1),(RANK(Y63,Y$11:Y$368)+COUNTIF(Y$11:Y63,Y63)-1)))</f>
        <v>#N/A</v>
      </c>
      <c r="AA63" s="188" t="str">
        <f>IF(L63="","",VLOOKUP($L63,classifications!C:I,7,FALSE))</f>
        <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84.648901808129352</v>
      </c>
      <c r="AY63" s="103"/>
      <c r="AZ63" s="21"/>
    </row>
    <row r="64" spans="1:52">
      <c r="A64" s="56" t="str">
        <f>$D$1&amp;54</f>
        <v>SC54</v>
      </c>
      <c r="B64" s="57">
        <f>IF(ISERROR(VLOOKUP(A64,classifications!A:C,3,FALSE)),0,VLOOKUP(A64,classifications!A:C,3,FALSE))</f>
        <v>0</v>
      </c>
      <c r="C64" s="8" t="s">
        <v>33</v>
      </c>
      <c r="D64" s="26" t="str">
        <f>VLOOKUP($C64,classifications!$C:$J,4,FALSE)</f>
        <v>SD</v>
      </c>
      <c r="E64" s="26">
        <f>VLOOKUP(C64,classifications!C:K,9,FALSE)</f>
        <v>0</v>
      </c>
      <c r="F64" s="36">
        <f t="shared" si="0"/>
        <v>85.676013232494512</v>
      </c>
      <c r="G64" s="71"/>
      <c r="H64" s="37" t="str">
        <f t="shared" si="1"/>
        <v/>
      </c>
      <c r="I64" s="77" t="str">
        <f>IF(H64="","",IF($I$8="A",(RANK(H64,H$11:H$368,1)+COUNTIF(H$11:H64,H64)-1),(RANK(H64,H$11:H$368)+COUNTIF(H$11:H64,H64)-1)))</f>
        <v/>
      </c>
      <c r="J64" s="35"/>
      <c r="K64" s="28" t="str">
        <f t="shared" si="7"/>
        <v/>
      </c>
      <c r="L64" s="36" t="str">
        <f t="shared" si="2"/>
        <v/>
      </c>
      <c r="M64" s="102" t="str">
        <f t="shared" si="22"/>
        <v/>
      </c>
      <c r="N64" s="101" t="str">
        <f t="shared" si="23"/>
        <v/>
      </c>
      <c r="O64" s="94" t="str">
        <f t="shared" si="8"/>
        <v/>
      </c>
      <c r="P64" s="94" t="str">
        <f t="shared" si="18"/>
        <v/>
      </c>
      <c r="Q64" s="94" t="str">
        <f t="shared" si="19"/>
        <v/>
      </c>
      <c r="R64" s="90" t="str">
        <f t="shared" si="20"/>
        <v/>
      </c>
      <c r="S64" s="37" t="str">
        <f t="shared" si="9"/>
        <v/>
      </c>
      <c r="T64" s="176" t="str">
        <f>IF(L64="","",VLOOKUP(L64,classifications!C:K,9,FALSE))</f>
        <v/>
      </c>
      <c r="U64" s="183" t="str">
        <f t="shared" si="25"/>
        <v/>
      </c>
      <c r="V64" s="184" t="str">
        <f>IF(U64="","",IF($I$8="A",(RANK(U64,U$11:U$368)+COUNTIF(U$11:U64,U64)-1),(RANK(U64,U$11:U$368,1)+COUNTIF(U$11:U64,U64)-1)))</f>
        <v/>
      </c>
      <c r="W64" s="185"/>
      <c r="X64" s="38" t="str">
        <f>IF(L64="","",VLOOKUP($L64,classifications!$C:$J,6,FALSE))</f>
        <v/>
      </c>
      <c r="Y64" s="26" t="b">
        <f t="shared" si="3"/>
        <v>0</v>
      </c>
      <c r="Z64" s="34" t="e">
        <f>IF(Y64="","",IF(I$8="A",(RANK(Y64,Y$11:Y$368,1)+COUNTIF(Y$11:Y64,Y64)-1),(RANK(Y64,Y$11:Y$368)+COUNTIF(Y$11:Y64,Y64)-1)))</f>
        <v>#N/A</v>
      </c>
      <c r="AA64" s="188" t="str">
        <f>IF(L64="","",VLOOKUP($L64,classifications!C:I,7,FALSE))</f>
        <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85.676013232494512</v>
      </c>
      <c r="AY64" s="103"/>
      <c r="AZ64" s="21"/>
    </row>
    <row r="65" spans="1:52">
      <c r="A65" s="56" t="str">
        <f>$D$1&amp;55</f>
        <v>SC55</v>
      </c>
      <c r="B65" s="57">
        <f>IF(ISERROR(VLOOKUP(A65,classifications!A:C,3,FALSE)),0,VLOOKUP(A65,classifications!A:C,3,FALSE))</f>
        <v>0</v>
      </c>
      <c r="C65" s="8" t="s">
        <v>34</v>
      </c>
      <c r="D65" s="26" t="str">
        <f>VLOOKUP($C65,classifications!$C:$J,4,FALSE)</f>
        <v>SD</v>
      </c>
      <c r="E65" s="26">
        <f>VLOOKUP(C65,classifications!C:K,9,FALSE)</f>
        <v>0</v>
      </c>
      <c r="F65" s="36">
        <f t="shared" si="0"/>
        <v>85.247999326678922</v>
      </c>
      <c r="G65" s="71"/>
      <c r="H65" s="37" t="str">
        <f t="shared" si="1"/>
        <v/>
      </c>
      <c r="I65" s="77" t="str">
        <f>IF(H65="","",IF($I$8="A",(RANK(H65,H$11:H$368,1)+COUNTIF(H$11:H65,H65)-1),(RANK(H65,H$11:H$368)+COUNTIF(H$11:H65,H65)-1)))</f>
        <v/>
      </c>
      <c r="J65" s="35"/>
      <c r="K65" s="28" t="str">
        <f t="shared" si="7"/>
        <v/>
      </c>
      <c r="L65" s="36" t="str">
        <f t="shared" si="2"/>
        <v/>
      </c>
      <c r="M65" s="102" t="str">
        <f t="shared" si="22"/>
        <v/>
      </c>
      <c r="N65" s="101" t="str">
        <f t="shared" si="23"/>
        <v/>
      </c>
      <c r="O65" s="94" t="str">
        <f t="shared" si="8"/>
        <v/>
      </c>
      <c r="P65" s="94" t="str">
        <f t="shared" si="18"/>
        <v/>
      </c>
      <c r="Q65" s="94" t="str">
        <f t="shared" si="19"/>
        <v/>
      </c>
      <c r="R65" s="90" t="str">
        <f t="shared" si="20"/>
        <v/>
      </c>
      <c r="S65" s="37" t="str">
        <f t="shared" si="9"/>
        <v/>
      </c>
      <c r="T65" s="176" t="str">
        <f>IF(L65="","",VLOOKUP(L65,classifications!C:K,9,FALSE))</f>
        <v/>
      </c>
      <c r="U65" s="183" t="str">
        <f t="shared" si="25"/>
        <v/>
      </c>
      <c r="V65" s="184" t="str">
        <f>IF(U65="","",IF($I$8="A",(RANK(U65,U$11:U$368)+COUNTIF(U$11:U65,U65)-1),(RANK(U65,U$11:U$368,1)+COUNTIF(U$11:U65,U65)-1)))</f>
        <v/>
      </c>
      <c r="W65" s="185"/>
      <c r="X65" s="38" t="str">
        <f>IF(L65="","",VLOOKUP($L65,classifications!$C:$J,6,FALSE))</f>
        <v/>
      </c>
      <c r="Y65" s="26" t="b">
        <f t="shared" si="3"/>
        <v>0</v>
      </c>
      <c r="Z65" s="34" t="e">
        <f>IF(Y65="","",IF(I$8="A",(RANK(Y65,Y$11:Y$368,1)+COUNTIF(Y$11:Y65,Y65)-1),(RANK(Y65,Y$11:Y$368)+COUNTIF(Y$11:Y65,Y65)-1)))</f>
        <v>#N/A</v>
      </c>
      <c r="AA65" s="188" t="str">
        <f>IF(L65="","",VLOOKUP($L65,classifications!C:I,7,FALSE))</f>
        <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85.247999326678922</v>
      </c>
      <c r="AY65" s="103"/>
      <c r="AZ65" s="21"/>
    </row>
    <row r="66" spans="1:52">
      <c r="A66" s="56" t="str">
        <f>$D$1&amp;56</f>
        <v>SC56</v>
      </c>
      <c r="B66" s="57">
        <f>IF(ISERROR(VLOOKUP(A66,classifications!A:C,3,FALSE)),0,VLOOKUP(A66,classifications!A:C,3,FALSE))</f>
        <v>0</v>
      </c>
      <c r="C66" s="8" t="s">
        <v>35</v>
      </c>
      <c r="D66" s="26" t="str">
        <f>VLOOKUP($C66,classifications!$C:$J,4,FALSE)</f>
        <v>SD</v>
      </c>
      <c r="E66" s="26" t="str">
        <f>VLOOKUP(C66,classifications!C:K,9,FALSE)</f>
        <v>Sparse</v>
      </c>
      <c r="F66" s="36">
        <f t="shared" si="0"/>
        <v>86.690590013021321</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b">
        <f t="shared" si="3"/>
        <v>0</v>
      </c>
      <c r="Z66" s="34" t="e">
        <f>IF(Y66="","",IF(I$8="A",(RANK(Y66,Y$11:Y$368,1)+COUNTIF(Y$11:Y66,Y66)-1),(RANK(Y66,Y$11:Y$368)+COUNTIF(Y$11:Y66,Y66)-1)))</f>
        <v>#N/A</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86.690590013021321</v>
      </c>
      <c r="AY66" s="103"/>
      <c r="AZ66" s="21"/>
    </row>
    <row r="67" spans="1:52">
      <c r="A67" s="56" t="str">
        <f>$D$1&amp;57</f>
        <v>SC57</v>
      </c>
      <c r="B67" s="57">
        <f>IF(ISERROR(VLOOKUP(A67,classifications!A:C,3,FALSE)),0,VLOOKUP(A67,classifications!A:C,3,FALSE))</f>
        <v>0</v>
      </c>
      <c r="C67" s="8" t="s">
        <v>304</v>
      </c>
      <c r="D67" s="26" t="str">
        <f>VLOOKUP($C67,classifications!$C:$J,4,FALSE)</f>
        <v>UA</v>
      </c>
      <c r="E67" s="26" t="str">
        <f>VLOOKUP(C67,classifications!C:K,9,FALSE)</f>
        <v>Sparse</v>
      </c>
      <c r="F67" s="36">
        <f t="shared" si="0"/>
        <v>79.173129878636303</v>
      </c>
      <c r="G67" s="71"/>
      <c r="H67" s="37" t="str">
        <f t="shared" si="1"/>
        <v/>
      </c>
      <c r="I67" s="77" t="str">
        <f>IF(H67="","",IF($I$8="A",(RANK(H67,H$11:H$368,1)+COUNTIF(H$11:H67,H67)-1),(RANK(H67,H$11:H$368)+COUNTIF(H$11:H67,H67)-1)))</f>
        <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b">
        <f t="shared" si="3"/>
        <v>0</v>
      </c>
      <c r="Z67" s="34" t="e">
        <f>IF(Y67="","",IF(I$8="A",(RANK(Y67,Y$11:Y$368,1)+COUNTIF(Y$11:Y67,Y67)-1),(RANK(Y67,Y$11:Y$368)+COUNTIF(Y$11:Y67,Y67)-1)))</f>
        <v>#N/A</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79.173129878636303</v>
      </c>
      <c r="AY67" s="103"/>
      <c r="AZ67" s="21"/>
    </row>
    <row r="68" spans="1:52">
      <c r="A68" s="56" t="str">
        <f>$D$1&amp;58</f>
        <v>SC58</v>
      </c>
      <c r="B68" s="57">
        <f>IF(ISERROR(VLOOKUP(A68,classifications!A:C,3,FALSE)),0,VLOOKUP(A68,classifications!A:C,3,FALSE))</f>
        <v>0</v>
      </c>
      <c r="C68" s="8" t="s">
        <v>812</v>
      </c>
      <c r="D68" s="26" t="str">
        <f>VLOOKUP($C68,classifications!$C:$J,4,FALSE)</f>
        <v>UA</v>
      </c>
      <c r="E68" s="26">
        <f>VLOOKUP(C68,classifications!C:K,9,FALSE)</f>
        <v>0</v>
      </c>
      <c r="F68" s="36">
        <f t="shared" si="0"/>
        <v>80.543364865119997</v>
      </c>
      <c r="G68" s="71"/>
      <c r="H68" s="37" t="str">
        <f t="shared" si="1"/>
        <v/>
      </c>
      <c r="I68" s="77" t="str">
        <f>IF(H68="","",IF($I$8="A",(RANK(H68,H$11:H$368,1)+COUNTIF(H$11:H68,H68)-1),(RANK(H68,H$11:H$368)+COUNTIF(H$11:H68,H68)-1)))</f>
        <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b">
        <f t="shared" si="3"/>
        <v>0</v>
      </c>
      <c r="Z68" s="34" t="e">
        <f>IF(Y68="","",IF(I$8="A",(RANK(Y68,Y$11:Y$368,1)+COUNTIF(Y$11:Y68,Y68)-1),(RANK(Y68,Y$11:Y$368)+COUNTIF(Y$11:Y68,Y68)-1)))</f>
        <v>#N/A</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80.543364865119997</v>
      </c>
      <c r="AY68" s="103"/>
      <c r="AZ68" s="21"/>
    </row>
    <row r="69" spans="1:52">
      <c r="A69" s="56" t="str">
        <f>$D$1&amp;59</f>
        <v>SC59</v>
      </c>
      <c r="B69" s="57">
        <f>IF(ISERROR(VLOOKUP(A69,classifications!A:C,3,FALSE)),0,VLOOKUP(A69,classifications!A:C,3,FALSE))</f>
        <v>0</v>
      </c>
      <c r="C69" s="8" t="s">
        <v>36</v>
      </c>
      <c r="D69" s="26" t="str">
        <f>VLOOKUP($C69,classifications!$C:$J,4,FALSE)</f>
        <v>SD</v>
      </c>
      <c r="E69" s="26">
        <f>VLOOKUP(C69,classifications!C:K,9,FALSE)</f>
        <v>0</v>
      </c>
      <c r="F69" s="36">
        <f t="shared" si="0"/>
        <v>77.893606900581304</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b">
        <f t="shared" si="3"/>
        <v>0</v>
      </c>
      <c r="Z69" s="34" t="e">
        <f>IF(Y69="","",IF(I$8="A",(RANK(Y69,Y$11:Y$368,1)+COUNTIF(Y$11:Y69,Y69)-1),(RANK(Y69,Y$11:Y$368)+COUNTIF(Y$11:Y69,Y69)-1)))</f>
        <v>#N/A</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77.893606900581304</v>
      </c>
      <c r="AY69" s="103"/>
      <c r="AZ69" s="21"/>
    </row>
    <row r="70" spans="1:52">
      <c r="A70" s="56" t="str">
        <f>$D$1&amp;60</f>
        <v>SC60</v>
      </c>
      <c r="B70" s="57">
        <f>IF(ISERROR(VLOOKUP(A70,classifications!A:C,3,FALSE)),0,VLOOKUP(A70,classifications!A:C,3,FALSE))</f>
        <v>0</v>
      </c>
      <c r="C70" s="8" t="s">
        <v>37</v>
      </c>
      <c r="D70" s="26" t="str">
        <f>VLOOKUP($C70,classifications!$C:$J,4,FALSE)</f>
        <v>SD</v>
      </c>
      <c r="E70" s="26" t="str">
        <f>VLOOKUP(C70,classifications!C:K,9,FALSE)</f>
        <v>Sparse</v>
      </c>
      <c r="F70" s="36">
        <f t="shared" si="0"/>
        <v>86.676283490967094</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b">
        <f t="shared" si="3"/>
        <v>0</v>
      </c>
      <c r="Z70" s="34" t="e">
        <f>IF(Y70="","",IF(I$8="A",(RANK(Y70,Y$11:Y$368,1)+COUNTIF(Y$11:Y70,Y70)-1),(RANK(Y70,Y$11:Y$368)+COUNTIF(Y$11:Y70,Y70)-1)))</f>
        <v>#N/A</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86.676283490967094</v>
      </c>
      <c r="AY70" s="103"/>
      <c r="AZ70" s="21"/>
    </row>
    <row r="71" spans="1:52">
      <c r="A71" s="56" t="str">
        <f>$D$1&amp;61</f>
        <v>SC61</v>
      </c>
      <c r="B71" s="57">
        <f>IF(ISERROR(VLOOKUP(A71,classifications!A:C,3,FALSE)),0,VLOOKUP(A71,classifications!A:C,3,FALSE))</f>
        <v>0</v>
      </c>
      <c r="C71" s="8" t="s">
        <v>38</v>
      </c>
      <c r="D71" s="26" t="str">
        <f>VLOOKUP($C71,classifications!$C:$J,4,FALSE)</f>
        <v>SD</v>
      </c>
      <c r="E71" s="26">
        <f>VLOOKUP(C71,classifications!C:K,9,FALSE)</f>
        <v>0</v>
      </c>
      <c r="F71" s="36">
        <f t="shared" si="0"/>
        <v>87.493941229861846</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b">
        <f t="shared" si="3"/>
        <v>0</v>
      </c>
      <c r="Z71" s="34" t="e">
        <f>IF(Y71="","",IF(I$8="A",(RANK(Y71,Y$11:Y$368,1)+COUNTIF(Y$11:Y71,Y71)-1),(RANK(Y71,Y$11:Y$368)+COUNTIF(Y$11:Y71,Y71)-1)))</f>
        <v>#N/A</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87.493941229861846</v>
      </c>
      <c r="AY71" s="103"/>
      <c r="AZ71" s="21"/>
    </row>
    <row r="72" spans="1:52">
      <c r="A72" s="56" t="str">
        <f>$D$1&amp;62</f>
        <v>SC62</v>
      </c>
      <c r="B72" s="57">
        <f>IF(ISERROR(VLOOKUP(A72,classifications!A:C,3,FALSE)),0,VLOOKUP(A72,classifications!A:C,3,FALSE))</f>
        <v>0</v>
      </c>
      <c r="C72" s="8" t="s">
        <v>39</v>
      </c>
      <c r="D72" s="26" t="str">
        <f>VLOOKUP($C72,classifications!$C:$J,4,FALSE)</f>
        <v>SD</v>
      </c>
      <c r="E72" s="26">
        <f>VLOOKUP(C72,classifications!C:K,9,FALSE)</f>
        <v>0</v>
      </c>
      <c r="F72" s="36">
        <f t="shared" si="0"/>
        <v>80.404348716541534</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b">
        <f t="shared" si="3"/>
        <v>0</v>
      </c>
      <c r="Z72" s="34" t="e">
        <f>IF(Y72="","",IF(I$8="A",(RANK(Y72,Y$11:Y$368,1)+COUNTIF(Y$11:Y72,Y72)-1),(RANK(Y72,Y$11:Y$368)+COUNTIF(Y$11:Y72,Y72)-1)))</f>
        <v>#N/A</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80.404348716541534</v>
      </c>
      <c r="AY72" s="103"/>
      <c r="AZ72" s="21"/>
    </row>
    <row r="73" spans="1:52">
      <c r="A73" s="56" t="str">
        <f>$D$1&amp;63</f>
        <v>SC63</v>
      </c>
      <c r="B73" s="57">
        <f>IF(ISERROR(VLOOKUP(A73,classifications!A:C,3,FALSE)),0,VLOOKUP(A73,classifications!A:C,3,FALSE))</f>
        <v>0</v>
      </c>
      <c r="C73" s="8" t="s">
        <v>40</v>
      </c>
      <c r="D73" s="26" t="str">
        <f>VLOOKUP($C73,classifications!$C:$J,4,FALSE)</f>
        <v>SD</v>
      </c>
      <c r="E73" s="26">
        <f>VLOOKUP(C73,classifications!C:K,9,FALSE)</f>
        <v>0</v>
      </c>
      <c r="F73" s="36">
        <f t="shared" si="0"/>
        <v>0</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b">
        <f t="shared" si="3"/>
        <v>0</v>
      </c>
      <c r="Z73" s="34" t="e">
        <f>IF(Y73="","",IF(I$8="A",(RANK(Y73,Y$11:Y$368,1)+COUNTIF(Y$11:Y73,Y73)-1),(RANK(Y73,Y$11:Y$368)+COUNTIF(Y$11:Y73,Y73)-1)))</f>
        <v>#N/A</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f>HLOOKUP($AX$9&amp;$AX$10,Data!$A$1:$ZZ$2000,(MATCH($C73,Data!$A$1:$A$2000,0)),FALSE)</f>
        <v>0</v>
      </c>
      <c r="AY73" s="103"/>
      <c r="AZ73" s="21"/>
    </row>
    <row r="74" spans="1:52">
      <c r="A74" s="56" t="str">
        <f>$D$1&amp;64</f>
        <v>SC64</v>
      </c>
      <c r="B74" s="57">
        <f>IF(ISERROR(VLOOKUP(A74,classifications!A:C,3,FALSE)),0,VLOOKUP(A74,classifications!A:C,3,FALSE))</f>
        <v>0</v>
      </c>
      <c r="C74" s="8" t="s">
        <v>370</v>
      </c>
      <c r="D74" s="26" t="str">
        <f>VLOOKUP($C74,classifications!$C:$J,4,FALSE)</f>
        <v>L</v>
      </c>
      <c r="E74" s="26">
        <f>VLOOKUP(C74,classifications!C:K,9,FALSE)</f>
        <v>0</v>
      </c>
      <c r="F74" s="36">
        <f t="shared" si="0"/>
        <v>91.488208139644371</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b">
        <f t="shared" si="3"/>
        <v>0</v>
      </c>
      <c r="Z74" s="34" t="e">
        <f>IF(Y74="","",IF(I$8="A",(RANK(Y74,Y$11:Y$368,1)+COUNTIF(Y$11:Y74,Y74)-1),(RANK(Y74,Y$11:Y$368)+COUNTIF(Y$11:Y74,Y74)-1)))</f>
        <v>#N/A</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91.488208139644371</v>
      </c>
      <c r="AY74" s="103"/>
      <c r="AZ74" s="21"/>
    </row>
    <row r="75" spans="1:52">
      <c r="A75" s="56" t="str">
        <f>$D$1&amp;65</f>
        <v>SC65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87.528570676960697</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b">
        <f t="shared" ref="Y75:Y138" si="31">IF($D$1="UA",IF(X75="Largely Rural (rural including hub towns 50-79%) ",M75,IF(X75="Mainly Rural (rural including hub towns &gt;=80%) ",M75,IF(X75="Urban with Significant Rural (rural including hub towns 26-49%)",M75,""))),IF($D$1="SD",IF(X75=$H$3,M75,"")))</f>
        <v>0</v>
      </c>
      <c r="Z75" s="34" t="e">
        <f>IF(Y75="","",IF(I$8="A",(RANK(Y75,Y$11:Y$368,1)+COUNTIF(Y$11:Y75,Y75)-1),(RANK(Y75,Y$11:Y$368)+COUNTIF(Y$11:Y75,Y75)-1)))</f>
        <v>#N/A</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87.528570676960697</v>
      </c>
      <c r="AY75" s="103"/>
      <c r="AZ75" s="21"/>
    </row>
    <row r="76" spans="1:52">
      <c r="A76" s="56" t="str">
        <f>$D$1&amp;66</f>
        <v>SC66</v>
      </c>
      <c r="B76" s="57">
        <f>IF(ISERROR(VLOOKUP(A76,classifications!A:C,3,FALSE)),0,VLOOKUP(A76,classifications!A:C,3,FALSE))</f>
        <v>0</v>
      </c>
      <c r="C76" s="8" t="s">
        <v>42</v>
      </c>
      <c r="D76" s="26" t="str">
        <f>VLOOKUP($C76,classifications!$C:$J,4,FALSE)</f>
        <v>SD</v>
      </c>
      <c r="E76" s="26" t="str">
        <f>VLOOKUP(C76,classifications!C:K,9,FALSE)</f>
        <v>Sparse</v>
      </c>
      <c r="F76" s="36">
        <f t="shared" si="26"/>
        <v>81.67035568373511</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b">
        <f t="shared" si="31"/>
        <v>0</v>
      </c>
      <c r="Z76" s="34" t="e">
        <f>IF(Y76="","",IF(I$8="A",(RANK(Y76,Y$11:Y$368,1)+COUNTIF(Y$11:Y76,Y76)-1),(RANK(Y76,Y$11:Y$368)+COUNTIF(Y$11:Y76,Y76)-1)))</f>
        <v>#N/A</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81.67035568373511</v>
      </c>
      <c r="AY76" s="103"/>
      <c r="AZ76" s="21"/>
    </row>
    <row r="77" spans="1:52">
      <c r="A77" s="56" t="str">
        <f>$D$1&amp;67</f>
        <v>SC67</v>
      </c>
      <c r="B77" s="57">
        <f>IF(ISERROR(VLOOKUP(A77,classifications!A:C,3,FALSE)),0,VLOOKUP(A77,classifications!A:C,3,FALSE))</f>
        <v>0</v>
      </c>
      <c r="C77" s="8" t="s">
        <v>43</v>
      </c>
      <c r="D77" s="26" t="str">
        <f>VLOOKUP($C77,classifications!$C:$J,4,FALSE)</f>
        <v>SD</v>
      </c>
      <c r="E77" s="26">
        <f>VLOOKUP(C77,classifications!C:K,9,FALSE)</f>
        <v>0</v>
      </c>
      <c r="F77" s="36">
        <f t="shared" si="26"/>
        <v>74.465846906570832</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b">
        <f t="shared" si="31"/>
        <v>0</v>
      </c>
      <c r="Z77" s="34" t="e">
        <f>IF(Y77="","",IF(I$8="A",(RANK(Y77,Y$11:Y$368,1)+COUNTIF(Y$11:Y77,Y77)-1),(RANK(Y77,Y$11:Y$368)+COUNTIF(Y$11:Y77,Y77)-1)))</f>
        <v>#N/A</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74.465846906570832</v>
      </c>
      <c r="AY77" s="103"/>
      <c r="AZ77" s="21"/>
    </row>
    <row r="78" spans="1:52">
      <c r="A78" s="56" t="str">
        <f>$D$1&amp;68</f>
        <v>SC68</v>
      </c>
      <c r="B78" s="57">
        <f>IF(ISERROR(VLOOKUP(A78,classifications!A:C,3,FALSE)),0,VLOOKUP(A78,classifications!A:C,3,FALSE))</f>
        <v>0</v>
      </c>
      <c r="C78" s="8" t="s">
        <v>305</v>
      </c>
      <c r="D78" s="26" t="str">
        <f>VLOOKUP($C78,classifications!$C:$J,4,FALSE)</f>
        <v>UA</v>
      </c>
      <c r="E78" s="26" t="str">
        <f>VLOOKUP(C78,classifications!C:K,9,FALSE)</f>
        <v>Sparse</v>
      </c>
      <c r="F78" s="36">
        <f t="shared" si="26"/>
        <v>84.395319552433818</v>
      </c>
      <c r="G78" s="71"/>
      <c r="H78" s="37" t="str">
        <f t="shared" si="27"/>
        <v/>
      </c>
      <c r="I78" s="77" t="str">
        <f>IF(H78="","",IF($I$8="A",(RANK(H78,H$11:H$368,1)+COUNTIF(H$11:H78,H78)-1),(RANK(H78,H$11:H$368)+COUNTIF(H$11:H78,H78)-1)))</f>
        <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b">
        <f t="shared" si="31"/>
        <v>0</v>
      </c>
      <c r="Z78" s="34" t="e">
        <f>IF(Y78="","",IF(I$8="A",(RANK(Y78,Y$11:Y$368,1)+COUNTIF(Y$11:Y78,Y78)-1),(RANK(Y78,Y$11:Y$368)+COUNTIF(Y$11:Y78,Y78)-1)))</f>
        <v>#N/A</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84.395319552433818</v>
      </c>
      <c r="AY78" s="103"/>
      <c r="AZ78" s="21"/>
    </row>
    <row r="79" spans="1:52">
      <c r="A79" s="56" t="str">
        <f>$D$1&amp;69</f>
        <v>SC69</v>
      </c>
      <c r="B79" s="57">
        <f>IF(ISERROR(VLOOKUP(A79,classifications!A:C,3,FALSE)),0,VLOOKUP(A79,classifications!A:C,3,FALSE))</f>
        <v>0</v>
      </c>
      <c r="C79" s="8" t="s">
        <v>44</v>
      </c>
      <c r="D79" s="26" t="str">
        <f>VLOOKUP($C79,classifications!$C:$J,4,FALSE)</f>
        <v>SD</v>
      </c>
      <c r="E79" s="26" t="str">
        <f>VLOOKUP(C79,classifications!C:K,9,FALSE)</f>
        <v>Sparse</v>
      </c>
      <c r="F79" s="36">
        <f t="shared" si="26"/>
        <v>87.647615077230469</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b">
        <f t="shared" si="31"/>
        <v>0</v>
      </c>
      <c r="Z79" s="34" t="e">
        <f>IF(Y79="","",IF(I$8="A",(RANK(Y79,Y$11:Y$368,1)+COUNTIF(Y$11:Y79,Y79)-1),(RANK(Y79,Y$11:Y$368)+COUNTIF(Y$11:Y79,Y79)-1)))</f>
        <v>#N/A</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87.647615077230469</v>
      </c>
      <c r="AY79" s="103"/>
      <c r="AZ79" s="21"/>
    </row>
    <row r="80" spans="1:52">
      <c r="A80" s="56" t="str">
        <f>$D$1&amp;70</f>
        <v>SC70</v>
      </c>
      <c r="B80" s="57">
        <f>IF(ISERROR(VLOOKUP(A80,classifications!A:C,3,FALSE)),0,VLOOKUP(A80,classifications!A:C,3,FALSE))</f>
        <v>0</v>
      </c>
      <c r="C80" s="8" t="s">
        <v>228</v>
      </c>
      <c r="D80" s="26" t="str">
        <f>VLOOKUP($C80,classifications!$C:$J,4,FALSE)</f>
        <v>MD</v>
      </c>
      <c r="E80" s="26">
        <f>VLOOKUP(C80,classifications!C:K,9,FALSE)</f>
        <v>0</v>
      </c>
      <c r="F80" s="36">
        <f t="shared" si="26"/>
        <v>72.367936631448146</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b">
        <f t="shared" si="31"/>
        <v>0</v>
      </c>
      <c r="Z80" s="34" t="e">
        <f>IF(Y80="","",IF(I$8="A",(RANK(Y80,Y$11:Y$368,1)+COUNTIF(Y$11:Y80,Y80)-1),(RANK(Y80,Y$11:Y$368)+COUNTIF(Y$11:Y80,Y80)-1)))</f>
        <v>#N/A</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72.367936631448146</v>
      </c>
      <c r="AY80" s="103"/>
      <c r="AZ80" s="21"/>
    </row>
    <row r="81" spans="1:52">
      <c r="A81" s="56" t="str">
        <f>$D$1&amp;71</f>
        <v>SC71</v>
      </c>
      <c r="B81" s="57">
        <f>IF(ISERROR(VLOOKUP(A81,classifications!A:C,3,FALSE)),0,VLOOKUP(A81,classifications!A:C,3,FALSE))</f>
        <v>0</v>
      </c>
      <c r="C81" s="8" t="s">
        <v>45</v>
      </c>
      <c r="D81" s="26" t="str">
        <f>VLOOKUP($C81,classifications!$C:$J,4,FALSE)</f>
        <v>SD</v>
      </c>
      <c r="E81" s="26" t="str">
        <f>VLOOKUP(C81,classifications!C:K,9,FALSE)</f>
        <v>Sparse</v>
      </c>
      <c r="F81" s="36">
        <f t="shared" si="26"/>
        <v>82.232358007265006</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b">
        <f t="shared" si="31"/>
        <v>0</v>
      </c>
      <c r="Z81" s="34" t="e">
        <f>IF(Y81="","",IF(I$8="A",(RANK(Y81,Y$11:Y$368,1)+COUNTIF(Y$11:Y81,Y81)-1),(RANK(Y81,Y$11:Y$368)+COUNTIF(Y$11:Y81,Y81)-1)))</f>
        <v>#N/A</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82.232358007265006</v>
      </c>
      <c r="AY81" s="103"/>
      <c r="AZ81" s="21"/>
    </row>
    <row r="82" spans="1:52">
      <c r="A82" s="56" t="str">
        <f>$D$1&amp;72</f>
        <v>SC72</v>
      </c>
      <c r="B82" s="57">
        <f>IF(ISERROR(VLOOKUP(A82,classifications!A:C,3,FALSE)),0,VLOOKUP(A82,classifications!A:C,3,FALSE))</f>
        <v>0</v>
      </c>
      <c r="C82" s="8" t="s">
        <v>46</v>
      </c>
      <c r="D82" s="26" t="str">
        <f>VLOOKUP($C82,classifications!$C:$J,4,FALSE)</f>
        <v>SD</v>
      </c>
      <c r="E82" s="26">
        <f>VLOOKUP(C82,classifications!C:K,9,FALSE)</f>
        <v>0</v>
      </c>
      <c r="F82" s="36">
        <f t="shared" si="26"/>
        <v>73.409718940341691</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b">
        <f t="shared" si="31"/>
        <v>0</v>
      </c>
      <c r="Z82" s="34" t="e">
        <f>IF(Y82="","",IF(I$8="A",(RANK(Y82,Y$11:Y$368,1)+COUNTIF(Y$11:Y82,Y82)-1),(RANK(Y82,Y$11:Y$368)+COUNTIF(Y$11:Y82,Y82)-1)))</f>
        <v>#N/A</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73.409718940341691</v>
      </c>
      <c r="AY82" s="103"/>
      <c r="AZ82" s="21"/>
    </row>
    <row r="83" spans="1:52">
      <c r="A83" s="56" t="str">
        <f>$D$1&amp;73</f>
        <v>SC73</v>
      </c>
      <c r="B83" s="57">
        <f>IF(ISERROR(VLOOKUP(A83,classifications!A:C,3,FALSE)),0,VLOOKUP(A83,classifications!A:C,3,FALSE))</f>
        <v>0</v>
      </c>
      <c r="C83" s="8" t="s">
        <v>201</v>
      </c>
      <c r="D83" s="26" t="str">
        <f>VLOOKUP($C83,classifications!$C:$J,4,FALSE)</f>
        <v>L</v>
      </c>
      <c r="E83" s="26">
        <f>VLOOKUP(C83,classifications!C:K,9,FALSE)</f>
        <v>0</v>
      </c>
      <c r="F83" s="36">
        <f t="shared" si="26"/>
        <v>73.52554324109137</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b">
        <f t="shared" si="31"/>
        <v>0</v>
      </c>
      <c r="Z83" s="34" t="e">
        <f>IF(Y83="","",IF(I$8="A",(RANK(Y83,Y$11:Y$368,1)+COUNTIF(Y$11:Y83,Y83)-1),(RANK(Y83,Y$11:Y$368)+COUNTIF(Y$11:Y83,Y83)-1)))</f>
        <v>#N/A</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73.52554324109137</v>
      </c>
      <c r="AY83" s="103"/>
      <c r="AZ83" s="21"/>
    </row>
    <row r="84" spans="1:52">
      <c r="A84" s="56" t="str">
        <f>$D$1&amp;74</f>
        <v>SC74</v>
      </c>
      <c r="B84" s="57">
        <f>IF(ISERROR(VLOOKUP(A84,classifications!A:C,3,FALSE)),0,VLOOKUP(A84,classifications!A:C,3,FALSE))</f>
        <v>0</v>
      </c>
      <c r="C84" s="8" t="s">
        <v>306</v>
      </c>
      <c r="D84" s="26" t="str">
        <f>VLOOKUP($C84,classifications!$C:$J,4,FALSE)</f>
        <v>SC</v>
      </c>
      <c r="E84" s="26" t="str">
        <f>VLOOKUP(C84,classifications!C:K,9,FALSE)</f>
        <v>Sparse</v>
      </c>
      <c r="F84" s="36">
        <f t="shared" si="26"/>
        <v>83.002586119216289</v>
      </c>
      <c r="G84" s="71"/>
      <c r="H84" s="37">
        <f t="shared" si="27"/>
        <v>83.002586119216289</v>
      </c>
      <c r="I84" s="77">
        <f>IF(H84="","",IF($I$8="A",(RANK(H84,H$11:H$368,1)+COUNTIF(H$11:H84,H84)-1),(RANK(H84,H$11:H$368)+COUNTIF(H$11:H84,H84)-1)))</f>
        <v>13</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b">
        <f t="shared" si="31"/>
        <v>0</v>
      </c>
      <c r="Z84" s="34" t="e">
        <f>IF(Y84="","",IF(I$8="A",(RANK(Y84,Y$11:Y$368,1)+COUNTIF(Y$11:Y84,Y84)-1),(RANK(Y84,Y$11:Y$368)+COUNTIF(Y$11:Y84,Y84)-1)))</f>
        <v>#N/A</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83.002586119216289</v>
      </c>
      <c r="AY84" s="103"/>
      <c r="AZ84" s="21"/>
    </row>
    <row r="85" spans="1:52">
      <c r="A85" s="56" t="str">
        <f>$D$1&amp;75</f>
        <v>SC75</v>
      </c>
      <c r="B85" s="57">
        <f>IF(ISERROR(VLOOKUP(A85,classifications!A:C,3,FALSE)),0,VLOOKUP(A85,classifications!A:C,3,FALSE))</f>
        <v>0</v>
      </c>
      <c r="C85" s="8" t="s">
        <v>47</v>
      </c>
      <c r="D85" s="26" t="str">
        <f>VLOOKUP($C85,classifications!$C:$J,4,FALSE)</f>
        <v>SD</v>
      </c>
      <c r="E85" s="26">
        <f>VLOOKUP(C85,classifications!C:K,9,FALSE)</f>
        <v>0</v>
      </c>
      <c r="F85" s="36">
        <f t="shared" si="26"/>
        <v>83.733643776664906</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b">
        <f t="shared" si="31"/>
        <v>0</v>
      </c>
      <c r="Z85" s="34" t="e">
        <f>IF(Y85="","",IF(I$8="A",(RANK(Y85,Y$11:Y$368,1)+COUNTIF(Y$11:Y85,Y85)-1),(RANK(Y85,Y$11:Y$368)+COUNTIF(Y$11:Y85,Y85)-1)))</f>
        <v>#N/A</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83.733643776664906</v>
      </c>
      <c r="AY85" s="103"/>
      <c r="AZ85" s="21"/>
    </row>
    <row r="86" spans="1:52">
      <c r="A86" s="56" t="str">
        <f>$D$1&amp;76</f>
        <v>SC76</v>
      </c>
      <c r="B86" s="57">
        <f>IF(ISERROR(VLOOKUP(A86,classifications!A:C,3,FALSE)),0,VLOOKUP(A86,classifications!A:C,3,FALSE))</f>
        <v>0</v>
      </c>
      <c r="C86" s="8" t="s">
        <v>264</v>
      </c>
      <c r="D86" s="26" t="str">
        <f>VLOOKUP($C86,classifications!$C:$J,4,FALSE)</f>
        <v>UA</v>
      </c>
      <c r="E86" s="26">
        <f>VLOOKUP(C86,classifications!C:K,9,FALSE)</f>
        <v>0</v>
      </c>
      <c r="F86" s="36">
        <f t="shared" si="26"/>
        <v>86.265217312289678</v>
      </c>
      <c r="G86" s="71"/>
      <c r="H86" s="37" t="str">
        <f t="shared" si="27"/>
        <v/>
      </c>
      <c r="I86" s="77" t="str">
        <f>IF(H86="","",IF($I$8="A",(RANK(H86,H$11:H$368,1)+COUNTIF(H$11:H86,H86)-1),(RANK(H86,H$11:H$368)+COUNTIF(H$11:H86,H86)-1)))</f>
        <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b">
        <f t="shared" si="31"/>
        <v>0</v>
      </c>
      <c r="Z86" s="34" t="e">
        <f>IF(Y86="","",IF(I$8="A",(RANK(Y86,Y$11:Y$368,1)+COUNTIF(Y$11:Y86,Y86)-1),(RANK(Y86,Y$11:Y$368)+COUNTIF(Y$11:Y86,Y86)-1)))</f>
        <v>#N/A</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86.265217312289678</v>
      </c>
      <c r="AY86" s="103"/>
      <c r="AZ86" s="21"/>
    </row>
    <row r="87" spans="1:52">
      <c r="A87" s="56" t="str">
        <f>$D$1&amp;77</f>
        <v>SC77</v>
      </c>
      <c r="B87" s="57">
        <f>IF(ISERROR(VLOOKUP(A87,classifications!A:C,3,FALSE)),0,VLOOKUP(A87,classifications!A:C,3,FALSE))</f>
        <v>0</v>
      </c>
      <c r="C87" s="8" t="s">
        <v>48</v>
      </c>
      <c r="D87" s="26" t="str">
        <f>VLOOKUP($C87,classifications!$C:$J,4,FALSE)</f>
        <v>SD</v>
      </c>
      <c r="E87" s="26">
        <f>VLOOKUP(C87,classifications!C:K,9,FALSE)</f>
        <v>0</v>
      </c>
      <c r="F87" s="36">
        <f t="shared" si="26"/>
        <v>82.262658428886581</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b">
        <f t="shared" si="31"/>
        <v>0</v>
      </c>
      <c r="Z87" s="34" t="e">
        <f>IF(Y87="","",IF(I$8="A",(RANK(Y87,Y$11:Y$368,1)+COUNTIF(Y$11:Y87,Y87)-1),(RANK(Y87,Y$11:Y$368)+COUNTIF(Y$11:Y87,Y87)-1)))</f>
        <v>#N/A</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82.262658428886581</v>
      </c>
      <c r="AY87" s="103"/>
      <c r="AZ87" s="21"/>
    </row>
    <row r="88" spans="1:52">
      <c r="A88" s="56" t="str">
        <f>$D$1&amp;78</f>
        <v>SC78</v>
      </c>
      <c r="B88" s="57">
        <f>IF(ISERROR(VLOOKUP(A88,classifications!A:C,3,FALSE)),0,VLOOKUP(A88,classifications!A:C,3,FALSE))</f>
        <v>0</v>
      </c>
      <c r="C88" s="8" t="s">
        <v>49</v>
      </c>
      <c r="D88" s="26" t="str">
        <f>VLOOKUP($C88,classifications!$C:$J,4,FALSE)</f>
        <v>SD</v>
      </c>
      <c r="E88" s="26" t="str">
        <f>VLOOKUP(C88,classifications!C:K,9,FALSE)</f>
        <v>Sparse</v>
      </c>
      <c r="F88" s="36">
        <f t="shared" si="26"/>
        <v>81.156135136736367</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b">
        <f t="shared" si="31"/>
        <v>0</v>
      </c>
      <c r="Z88" s="34" t="e">
        <f>IF(Y88="","",IF(I$8="A",(RANK(Y88,Y$11:Y$368,1)+COUNTIF(Y$11:Y88,Y88)-1),(RANK(Y88,Y$11:Y$368)+COUNTIF(Y$11:Y88,Y88)-1)))</f>
        <v>#N/A</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81.156135136736367</v>
      </c>
      <c r="AY88" s="103"/>
      <c r="AZ88" s="21"/>
    </row>
    <row r="89" spans="1:52">
      <c r="A89" s="56" t="str">
        <f>$D$1&amp;79</f>
        <v>SC79</v>
      </c>
      <c r="B89" s="57">
        <f>IF(ISERROR(VLOOKUP(A89,classifications!A:C,3,FALSE)),0,VLOOKUP(A89,classifications!A:C,3,FALSE))</f>
        <v>0</v>
      </c>
      <c r="C89" s="8" t="s">
        <v>265</v>
      </c>
      <c r="D89" s="26" t="str">
        <f>VLOOKUP($C89,classifications!$C:$J,4,FALSE)</f>
        <v>UA</v>
      </c>
      <c r="E89" s="26">
        <f>VLOOKUP(C89,classifications!C:K,9,FALSE)</f>
        <v>0</v>
      </c>
      <c r="F89" s="36">
        <f t="shared" si="26"/>
        <v>77.763363947409331</v>
      </c>
      <c r="G89" s="71"/>
      <c r="H89" s="37" t="str">
        <f t="shared" si="27"/>
        <v/>
      </c>
      <c r="I89" s="77" t="str">
        <f>IF(H89="","",IF($I$8="A",(RANK(H89,H$11:H$368,1)+COUNTIF(H$11:H89,H89)-1),(RANK(H89,H$11:H$368)+COUNTIF(H$11:H89,H89)-1)))</f>
        <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b">
        <f t="shared" si="31"/>
        <v>0</v>
      </c>
      <c r="Z89" s="34" t="e">
        <f>IF(Y89="","",IF(I$8="A",(RANK(Y89,Y$11:Y$368,1)+COUNTIF(Y$11:Y89,Y89)-1),(RANK(Y89,Y$11:Y$368)+COUNTIF(Y$11:Y89,Y89)-1)))</f>
        <v>#N/A</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77.763363947409331</v>
      </c>
      <c r="AY89" s="103"/>
      <c r="AZ89" s="21"/>
    </row>
    <row r="90" spans="1:52">
      <c r="A90" s="56" t="str">
        <f>$D$1&amp;80</f>
        <v>SC80</v>
      </c>
      <c r="B90" s="57">
        <f>IF(ISERROR(VLOOKUP(A90,classifications!A:C,3,FALSE)),0,VLOOKUP(A90,classifications!A:C,3,FALSE))</f>
        <v>0</v>
      </c>
      <c r="C90" s="8" t="s">
        <v>307</v>
      </c>
      <c r="D90" s="26" t="str">
        <f>VLOOKUP($C90,classifications!$C:$J,4,FALSE)</f>
        <v>SC</v>
      </c>
      <c r="E90" s="26" t="str">
        <f>VLOOKUP(C90,classifications!C:K,9,FALSE)</f>
        <v>Sparse</v>
      </c>
      <c r="F90" s="36">
        <f t="shared" si="26"/>
        <v>81.217592590947703</v>
      </c>
      <c r="G90" s="71"/>
      <c r="H90" s="37">
        <f t="shared" si="27"/>
        <v>81.217592590947703</v>
      </c>
      <c r="I90" s="77">
        <f>IF(H90="","",IF($I$8="A",(RANK(H90,H$11:H$368,1)+COUNTIF(H$11:H90,H90)-1),(RANK(H90,H$11:H$368)+COUNTIF(H$11:H90,H90)-1)))</f>
        <v>20</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b">
        <f t="shared" si="31"/>
        <v>0</v>
      </c>
      <c r="Z90" s="34" t="e">
        <f>IF(Y90="","",IF(I$8="A",(RANK(Y90,Y$11:Y$368,1)+COUNTIF(Y$11:Y90,Y90)-1),(RANK(Y90,Y$11:Y$368)+COUNTIF(Y$11:Y90,Y90)-1)))</f>
        <v>#N/A</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81.217592590947703</v>
      </c>
      <c r="AY90" s="103"/>
      <c r="AZ90" s="21"/>
    </row>
    <row r="91" spans="1:52">
      <c r="A91" s="56" t="str">
        <f>$D$1&amp;81</f>
        <v>SC81</v>
      </c>
      <c r="B91" s="57">
        <f>IF(ISERROR(VLOOKUP(A91,classifications!A:C,3,FALSE)),0,VLOOKUP(A91,classifications!A:C,3,FALSE))</f>
        <v>0</v>
      </c>
      <c r="C91" s="8" t="s">
        <v>50</v>
      </c>
      <c r="D91" s="26" t="str">
        <f>VLOOKUP($C91,classifications!$C:$J,4,FALSE)</f>
        <v>SD</v>
      </c>
      <c r="E91" s="26" t="str">
        <f>VLOOKUP(C91,classifications!C:K,9,FALSE)</f>
        <v>Sparse</v>
      </c>
      <c r="F91" s="36">
        <f t="shared" si="26"/>
        <v>87.156969497663397</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b">
        <f t="shared" si="31"/>
        <v>0</v>
      </c>
      <c r="Z91" s="34" t="e">
        <f>IF(Y91="","",IF(I$8="A",(RANK(Y91,Y$11:Y$368,1)+COUNTIF(Y$11:Y91,Y91)-1),(RANK(Y91,Y$11:Y$368)+COUNTIF(Y$11:Y91,Y91)-1)))</f>
        <v>#N/A</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87.156969497663397</v>
      </c>
      <c r="AY91" s="103"/>
      <c r="AZ91" s="21"/>
    </row>
    <row r="92" spans="1:52">
      <c r="A92" s="56" t="str">
        <f>$D$1&amp;82</f>
        <v>SC82</v>
      </c>
      <c r="B92" s="57">
        <f>IF(ISERROR(VLOOKUP(A92,classifications!A:C,3,FALSE)),0,VLOOKUP(A92,classifications!A:C,3,FALSE))</f>
        <v>0</v>
      </c>
      <c r="C92" s="8" t="s">
        <v>308</v>
      </c>
      <c r="D92" s="26" t="str">
        <f>VLOOKUP($C92,classifications!$C:$J,4,FALSE)</f>
        <v>SC</v>
      </c>
      <c r="E92" s="26" t="str">
        <f>VLOOKUP(C92,classifications!C:K,9,FALSE)</f>
        <v>Sparse</v>
      </c>
      <c r="F92" s="36">
        <f t="shared" si="26"/>
        <v>85.885087274196607</v>
      </c>
      <c r="G92" s="71"/>
      <c r="H92" s="37">
        <f t="shared" si="27"/>
        <v>85.885087274196607</v>
      </c>
      <c r="I92" s="77">
        <f>IF(H92="","",IF($I$8="A",(RANK(H92,H$11:H$368,1)+COUNTIF(H$11:H92,H92)-1),(RANK(H92,H$11:H$368)+COUNTIF(H$11:H92,H92)-1)))</f>
        <v>2</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b">
        <f t="shared" si="31"/>
        <v>0</v>
      </c>
      <c r="Z92" s="34" t="e">
        <f>IF(Y92="","",IF(I$8="A",(RANK(Y92,Y$11:Y$368,1)+COUNTIF(Y$11:Y92,Y92)-1),(RANK(Y92,Y$11:Y$368)+COUNTIF(Y$11:Y92,Y92)-1)))</f>
        <v>#N/A</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85.885087274196607</v>
      </c>
      <c r="AY92" s="103"/>
      <c r="AZ92" s="21"/>
    </row>
    <row r="93" spans="1:52">
      <c r="A93" s="56" t="str">
        <f>$D$1&amp;83</f>
        <v>SC83</v>
      </c>
      <c r="B93" s="57">
        <f>IF(ISERROR(VLOOKUP(A93,classifications!A:C,3,FALSE)),0,VLOOKUP(A93,classifications!A:C,3,FALSE))</f>
        <v>0</v>
      </c>
      <c r="C93" s="8" t="s">
        <v>229</v>
      </c>
      <c r="D93" s="26" t="str">
        <f>VLOOKUP($C93,classifications!$C:$J,4,FALSE)</f>
        <v>MD</v>
      </c>
      <c r="E93" s="26">
        <f>VLOOKUP(C93,classifications!C:K,9,FALSE)</f>
        <v>0</v>
      </c>
      <c r="F93" s="36">
        <f t="shared" si="26"/>
        <v>78.405178401891789</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b">
        <f t="shared" si="31"/>
        <v>0</v>
      </c>
      <c r="Z93" s="34" t="e">
        <f>IF(Y93="","",IF(I$8="A",(RANK(Y93,Y$11:Y$368,1)+COUNTIF(Y$11:Y93,Y93)-1),(RANK(Y93,Y$11:Y$368)+COUNTIF(Y$11:Y93,Y93)-1)))</f>
        <v>#N/A</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78.405178401891789</v>
      </c>
      <c r="AY93" s="103"/>
      <c r="AZ93" s="21"/>
    </row>
    <row r="94" spans="1:52">
      <c r="A94" s="56" t="str">
        <f>$D$1&amp;84</f>
        <v>SC84</v>
      </c>
      <c r="B94" s="57">
        <f>IF(ISERROR(VLOOKUP(A94,classifications!A:C,3,FALSE)),0,VLOOKUP(A94,classifications!A:C,3,FALSE))</f>
        <v>0</v>
      </c>
      <c r="C94" s="8" t="s">
        <v>309</v>
      </c>
      <c r="D94" s="26" t="str">
        <f>VLOOKUP($C94,classifications!$C:$J,4,FALSE)</f>
        <v>SC</v>
      </c>
      <c r="E94" s="26">
        <f>VLOOKUP(C94,classifications!C:K,9,FALSE)</f>
        <v>0</v>
      </c>
      <c r="F94" s="36">
        <f t="shared" si="26"/>
        <v>0</v>
      </c>
      <c r="G94" s="71"/>
      <c r="H94" s="37">
        <f t="shared" si="27"/>
        <v>0</v>
      </c>
      <c r="I94" s="77">
        <f>IF(H94="","",IF($I$8="A",(RANK(H94,H$11:H$368,1)+COUNTIF(H$11:H94,H94)-1),(RANK(H94,H$11:H$368)+COUNTIF(H$11:H94,H94)-1)))</f>
        <v>27</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b">
        <f t="shared" si="31"/>
        <v>0</v>
      </c>
      <c r="Z94" s="34" t="e">
        <f>IF(Y94="","",IF(I$8="A",(RANK(Y94,Y$11:Y$368,1)+COUNTIF(Y$11:Y94,Y94)-1),(RANK(Y94,Y$11:Y$368)+COUNTIF(Y$11:Y94,Y94)-1)))</f>
        <v>#N/A</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f>HLOOKUP($AX$9&amp;$AX$10,Data!$A$1:$ZZ$2000,(MATCH($C94,Data!$A$1:$A$2000,0)),FALSE)</f>
        <v>0</v>
      </c>
      <c r="AY94" s="103"/>
      <c r="AZ94" s="21"/>
    </row>
    <row r="95" spans="1:52">
      <c r="A95" s="56" t="str">
        <f>$D$1&amp;85</f>
        <v>SC85</v>
      </c>
      <c r="B95" s="57">
        <f>IF(ISERROR(VLOOKUP(A95,classifications!A:C,3,FALSE)),0,VLOOKUP(A95,classifications!A:C,3,FALSE))</f>
        <v>0</v>
      </c>
      <c r="C95" s="8" t="s">
        <v>904</v>
      </c>
      <c r="D95" s="26" t="str">
        <f>VLOOKUP($C95,classifications!$C:$J,4,FALSE)</f>
        <v>UA</v>
      </c>
      <c r="E95" s="26">
        <f>VLOOKUP(C95,classifications!C:K,9,FALSE)</f>
        <v>0</v>
      </c>
      <c r="F95" s="36">
        <f t="shared" si="26"/>
        <v>84.941125975203988</v>
      </c>
      <c r="G95" s="71"/>
      <c r="H95" s="37" t="str">
        <f t="shared" si="27"/>
        <v/>
      </c>
      <c r="I95" s="77" t="str">
        <f>IF(H95="","",IF($I$8="A",(RANK(H95,H$11:H$368,1)+COUNTIF(H$11:H95,H95)-1),(RANK(H95,H$11:H$368)+COUNTIF(H$11:H95,H95)-1)))</f>
        <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b">
        <f t="shared" si="31"/>
        <v>0</v>
      </c>
      <c r="Z95" s="34" t="e">
        <f>IF(Y95="","",IF(I$8="A",(RANK(Y95,Y$11:Y$368,1)+COUNTIF(Y$11:Y95,Y95)-1),(RANK(Y95,Y$11:Y$368)+COUNTIF(Y$11:Y95,Y95)-1)))</f>
        <v>#N/A</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84.941125975203988</v>
      </c>
      <c r="AY95" s="103"/>
      <c r="AZ95" s="21"/>
    </row>
    <row r="96" spans="1:52">
      <c r="A96" s="56" t="str">
        <f>$D$1&amp;86</f>
        <v>SC86</v>
      </c>
      <c r="B96" s="57">
        <f>IF(ISERROR(VLOOKUP(A96,classifications!A:C,3,FALSE)),0,VLOOKUP(A96,classifications!A:C,3,FALSE))</f>
        <v>0</v>
      </c>
      <c r="C96" s="8" t="s">
        <v>51</v>
      </c>
      <c r="D96" s="26" t="str">
        <f>VLOOKUP($C96,classifications!$C:$J,4,FALSE)</f>
        <v>SD</v>
      </c>
      <c r="E96" s="26">
        <f>VLOOKUP(C96,classifications!C:K,9,FALSE)</f>
        <v>0</v>
      </c>
      <c r="F96" s="36">
        <f t="shared" si="26"/>
        <v>83.82997141888039</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b">
        <f t="shared" si="31"/>
        <v>0</v>
      </c>
      <c r="Z96" s="34" t="e">
        <f>IF(Y96="","",IF(I$8="A",(RANK(Y96,Y$11:Y$368,1)+COUNTIF(Y$11:Y96,Y96)-1),(RANK(Y96,Y$11:Y$368)+COUNTIF(Y$11:Y96,Y96)-1)))</f>
        <v>#N/A</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83.82997141888039</v>
      </c>
      <c r="AY96" s="103"/>
      <c r="AZ96" s="21"/>
    </row>
    <row r="97" spans="1:52">
      <c r="A97" s="56" t="str">
        <f>$D$1&amp;87</f>
        <v>SC87</v>
      </c>
      <c r="B97" s="57">
        <f>IF(ISERROR(VLOOKUP(A97,classifications!A:C,3,FALSE)),0,VLOOKUP(A97,classifications!A:C,3,FALSE))</f>
        <v>0</v>
      </c>
      <c r="C97" s="8" t="s">
        <v>266</v>
      </c>
      <c r="D97" s="26" t="str">
        <f>VLOOKUP($C97,classifications!$C:$J,4,FALSE)</f>
        <v>UA</v>
      </c>
      <c r="E97" s="26" t="str">
        <f>VLOOKUP(C97,classifications!C:K,9,FALSE)</f>
        <v>Sparse</v>
      </c>
      <c r="F97" s="36">
        <f t="shared" si="26"/>
        <v>78.372830341553794</v>
      </c>
      <c r="G97" s="71"/>
      <c r="H97" s="37" t="str">
        <f t="shared" si="27"/>
        <v/>
      </c>
      <c r="I97" s="77" t="str">
        <f>IF(H97="","",IF($I$8="A",(RANK(H97,H$11:H$368,1)+COUNTIF(H$11:H97,H97)-1),(RANK(H97,H$11:H$368)+COUNTIF(H$11:H97,H97)-1)))</f>
        <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b">
        <f t="shared" si="31"/>
        <v>0</v>
      </c>
      <c r="Z97" s="34" t="e">
        <f>IF(Y97="","",IF(I$8="A",(RANK(Y97,Y$11:Y$368,1)+COUNTIF(Y$11:Y97,Y97)-1),(RANK(Y97,Y$11:Y$368)+COUNTIF(Y$11:Y97,Y97)-1)))</f>
        <v>#N/A</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78.372830341553794</v>
      </c>
      <c r="AY97" s="103"/>
      <c r="AZ97" s="21"/>
    </row>
    <row r="98" spans="1:52">
      <c r="A98" s="56" t="str">
        <f>$D$1&amp;88</f>
        <v>SC88</v>
      </c>
      <c r="B98" s="57">
        <f>IF(ISERROR(VLOOKUP(A98,classifications!A:C,3,FALSE)),0,VLOOKUP(A98,classifications!A:C,3,FALSE))</f>
        <v>0</v>
      </c>
      <c r="C98" s="8" t="s">
        <v>230</v>
      </c>
      <c r="D98" s="26" t="str">
        <f>VLOOKUP($C98,classifications!$C:$J,4,FALSE)</f>
        <v>MD</v>
      </c>
      <c r="E98" s="26">
        <f>VLOOKUP(C98,classifications!C:K,9,FALSE)</f>
        <v>0</v>
      </c>
      <c r="F98" s="36">
        <f t="shared" si="26"/>
        <v>71.655617270360679</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b">
        <f t="shared" si="31"/>
        <v>0</v>
      </c>
      <c r="Z98" s="34" t="e">
        <f>IF(Y98="","",IF(I$8="A",(RANK(Y98,Y$11:Y$368,1)+COUNTIF(Y$11:Y98,Y98)-1),(RANK(Y98,Y$11:Y$368)+COUNTIF(Y$11:Y98,Y98)-1)))</f>
        <v>#N/A</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71.655617270360679</v>
      </c>
      <c r="AY98" s="103"/>
      <c r="AZ98" s="21"/>
    </row>
    <row r="99" spans="1:52">
      <c r="A99" s="56" t="str">
        <f>$D$1&amp;89</f>
        <v>SC89</v>
      </c>
      <c r="B99" s="57">
        <f>IF(ISERROR(VLOOKUP(A99,classifications!A:C,3,FALSE)),0,VLOOKUP(A99,classifications!A:C,3,FALSE))</f>
        <v>0</v>
      </c>
      <c r="C99" s="8" t="s">
        <v>202</v>
      </c>
      <c r="D99" s="26" t="str">
        <f>VLOOKUP($C99,classifications!$C:$J,4,FALSE)</f>
        <v>L</v>
      </c>
      <c r="E99" s="26">
        <f>VLOOKUP(C99,classifications!C:K,9,FALSE)</f>
        <v>0</v>
      </c>
      <c r="F99" s="36">
        <f t="shared" si="26"/>
        <v>77.227842088079896</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b">
        <f t="shared" si="31"/>
        <v>0</v>
      </c>
      <c r="Z99" s="34" t="e">
        <f>IF(Y99="","",IF(I$8="A",(RANK(Y99,Y$11:Y$368,1)+COUNTIF(Y$11:Y99,Y99)-1),(RANK(Y99,Y$11:Y$368)+COUNTIF(Y$11:Y99,Y99)-1)))</f>
        <v>#N/A</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77.227842088079896</v>
      </c>
      <c r="AY99" s="103"/>
      <c r="AZ99" s="21"/>
    </row>
    <row r="100" spans="1:52">
      <c r="A100" s="56" t="str">
        <f>$D$1&amp;90</f>
        <v>SC90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83.547297464267089</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b">
        <f t="shared" si="31"/>
        <v>0</v>
      </c>
      <c r="Z100" s="34" t="e">
        <f>IF(Y100="","",IF(I$8="A",(RANK(Y100,Y$11:Y$368,1)+COUNTIF(Y$11:Y100,Y100)-1),(RANK(Y100,Y$11:Y$368)+COUNTIF(Y$11:Y100,Y100)-1)))</f>
        <v>#N/A</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83.547297464267089</v>
      </c>
      <c r="AY100" s="103"/>
      <c r="AZ100" s="21"/>
    </row>
    <row r="101" spans="1:52">
      <c r="A101" s="56" t="str">
        <f>$D$1&amp;91</f>
        <v>SC91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86.084775203522014</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b">
        <f t="shared" si="31"/>
        <v>0</v>
      </c>
      <c r="Z101" s="34" t="e">
        <f>IF(Y101="","",IF(I$8="A",(RANK(Y101,Y$11:Y$368,1)+COUNTIF(Y$11:Y101,Y101)-1),(RANK(Y101,Y$11:Y$368)+COUNTIF(Y$11:Y101,Y101)-1)))</f>
        <v>#N/A</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86.084775203522014</v>
      </c>
      <c r="AY101" s="103"/>
      <c r="AZ101" s="21"/>
    </row>
    <row r="102" spans="1:52">
      <c r="A102" s="56" t="str">
        <f>$D$1&amp;92</f>
        <v>SC92</v>
      </c>
      <c r="B102" s="57">
        <f>IF(ISERROR(VLOOKUP(A102,classifications!A:C,3,FALSE)),0,VLOOKUP(A102,classifications!A:C,3,FALSE))</f>
        <v>0</v>
      </c>
      <c r="C102" s="8" t="s">
        <v>54</v>
      </c>
      <c r="D102" s="26" t="str">
        <f>VLOOKUP($C102,classifications!$C:$J,4,FALSE)</f>
        <v>SD</v>
      </c>
      <c r="E102" s="26">
        <f>VLOOKUP(C102,classifications!C:K,9,FALSE)</f>
        <v>0</v>
      </c>
      <c r="F102" s="36">
        <f t="shared" si="26"/>
        <v>0</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b">
        <f t="shared" si="31"/>
        <v>0</v>
      </c>
      <c r="Z102" s="34" t="e">
        <f>IF(Y102="","",IF(I$8="A",(RANK(Y102,Y$11:Y$368,1)+COUNTIF(Y$11:Y102,Y102)-1),(RANK(Y102,Y$11:Y$368)+COUNTIF(Y$11:Y102,Y102)-1)))</f>
        <v>#N/A</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f>HLOOKUP($AX$9&amp;$AX$10,Data!$A$1:$ZZ$2000,(MATCH($C102,Data!$A$1:$A$2000,0)),FALSE)</f>
        <v>0</v>
      </c>
      <c r="AY102" s="103"/>
      <c r="AZ102" s="21"/>
    </row>
    <row r="103" spans="1:52">
      <c r="A103" s="56" t="str">
        <f>$D$1&amp;93</f>
        <v>SC93</v>
      </c>
      <c r="B103" s="57">
        <f>IF(ISERROR(VLOOKUP(A103,classifications!A:C,3,FALSE)),0,VLOOKUP(A103,classifications!A:C,3,FALSE))</f>
        <v>0</v>
      </c>
      <c r="C103" s="8" t="s">
        <v>55</v>
      </c>
      <c r="D103" s="26" t="str">
        <f>VLOOKUP($C103,classifications!$C:$J,4,FALSE)</f>
        <v>SD</v>
      </c>
      <c r="E103" s="26">
        <f>VLOOKUP(C103,classifications!C:K,9,FALSE)</f>
        <v>0</v>
      </c>
      <c r="F103" s="36">
        <f t="shared" si="26"/>
        <v>84.086894313342043</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b">
        <f t="shared" si="31"/>
        <v>0</v>
      </c>
      <c r="Z103" s="34" t="e">
        <f>IF(Y103="","",IF(I$8="A",(RANK(Y103,Y$11:Y$368,1)+COUNTIF(Y$11:Y103,Y103)-1),(RANK(Y103,Y$11:Y$368)+COUNTIF(Y$11:Y103,Y103)-1)))</f>
        <v>#N/A</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84.086894313342043</v>
      </c>
      <c r="AY103" s="103"/>
      <c r="AZ103" s="21"/>
    </row>
    <row r="104" spans="1:52">
      <c r="A104" s="56" t="str">
        <f>$D$1&amp;94</f>
        <v>SC94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89.749905538045041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b">
        <f t="shared" si="31"/>
        <v>0</v>
      </c>
      <c r="Z104" s="34" t="e">
        <f>IF(Y104="","",IF(I$8="A",(RANK(Y104,Y$11:Y$368,1)+COUNTIF(Y$11:Y104,Y104)-1),(RANK(Y104,Y$11:Y$368)+COUNTIF(Y$11:Y104,Y104)-1)))</f>
        <v>#N/A</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89.749905538045041</v>
      </c>
      <c r="AY104" s="103"/>
      <c r="AZ104" s="21"/>
    </row>
    <row r="105" spans="1:52">
      <c r="A105" s="56" t="str">
        <f>$D$1&amp;95</f>
        <v>SC95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81.439089525575824</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b">
        <f t="shared" si="31"/>
        <v>0</v>
      </c>
      <c r="Z105" s="34" t="e">
        <f>IF(Y105="","",IF(I$8="A",(RANK(Y105,Y$11:Y$368,1)+COUNTIF(Y$11:Y105,Y105)-1),(RANK(Y105,Y$11:Y$368)+COUNTIF(Y$11:Y105,Y105)-1)))</f>
        <v>#N/A</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81.439089525575824</v>
      </c>
      <c r="AY105" s="103"/>
      <c r="AZ105" s="21"/>
    </row>
    <row r="106" spans="1:52">
      <c r="A106" s="56" t="str">
        <f>$D$1&amp;96</f>
        <v>SC96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85.076646291930146</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b">
        <f t="shared" si="31"/>
        <v>0</v>
      </c>
      <c r="Z106" s="34" t="e">
        <f>IF(Y106="","",IF(I$8="A",(RANK(Y106,Y$11:Y$368,1)+COUNTIF(Y$11:Y106,Y106)-1),(RANK(Y106,Y$11:Y$368)+COUNTIF(Y$11:Y106,Y106)-1)))</f>
        <v>#N/A</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85.076646291930146</v>
      </c>
      <c r="AY106" s="103"/>
      <c r="AZ106" s="21"/>
    </row>
    <row r="107" spans="1:52">
      <c r="A107" s="56" t="str">
        <f>$D$1&amp;97</f>
        <v>SC97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83.375669894356193</v>
      </c>
      <c r="G107" s="71"/>
      <c r="H107" s="37" t="str">
        <f t="shared" si="27"/>
        <v/>
      </c>
      <c r="I107" s="77" t="str">
        <f>IF(H107="","",IF($I$8="A",(RANK(H107,H$11:H$368,1)+COUNTIF(H$11:H107,H107)-1),(RANK(H107,H$11:H$368)+COUNTIF(H$11:H107,H107)-1)))</f>
        <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b">
        <f t="shared" si="31"/>
        <v>0</v>
      </c>
      <c r="Z107" s="34" t="e">
        <f>IF(Y107="","",IF(I$8="A",(RANK(Y107,Y$11:Y$368,1)+COUNTIF(Y$11:Y107,Y107)-1),(RANK(Y107,Y$11:Y$368)+COUNTIF(Y$11:Y107,Y107)-1)))</f>
        <v>#N/A</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83.375669894356193</v>
      </c>
      <c r="AY107" s="103"/>
      <c r="AZ107" s="21"/>
    </row>
    <row r="108" spans="1:52">
      <c r="A108" s="56" t="str">
        <f>$D$1&amp;98</f>
        <v>SC98</v>
      </c>
      <c r="B108" s="57">
        <f>IF(ISERROR(VLOOKUP(A108,classifications!A:C,3,FALSE)),0,VLOOKUP(A108,classifications!A:C,3,FALSE))</f>
        <v>0</v>
      </c>
      <c r="C108" s="8" t="s">
        <v>59</v>
      </c>
      <c r="D108" s="26" t="str">
        <f>VLOOKUP($C108,classifications!$C:$J,4,FALSE)</f>
        <v>SD</v>
      </c>
      <c r="E108" s="26">
        <f>VLOOKUP(C108,classifications!C:K,9,FALSE)</f>
        <v>0</v>
      </c>
      <c r="F108" s="36">
        <f t="shared" si="26"/>
        <v>76.757911292992603</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b">
        <f t="shared" si="31"/>
        <v>0</v>
      </c>
      <c r="Z108" s="34" t="e">
        <f>IF(Y108="","",IF(I$8="A",(RANK(Y108,Y$11:Y$368,1)+COUNTIF(Y$11:Y108,Y108)-1),(RANK(Y108,Y$11:Y$368)+COUNTIF(Y$11:Y108,Y108)-1)))</f>
        <v>#N/A</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76.757911292992603</v>
      </c>
      <c r="AY108" s="103"/>
      <c r="AZ108" s="21"/>
    </row>
    <row r="109" spans="1:52">
      <c r="A109" s="56" t="str">
        <f>$D$1&amp;99</f>
        <v>SC99</v>
      </c>
      <c r="B109" s="57">
        <f>IF(ISERROR(VLOOKUP(A109,classifications!A:C,3,FALSE)),0,VLOOKUP(A109,classifications!A:C,3,FALSE))</f>
        <v>0</v>
      </c>
      <c r="C109" s="8" t="s">
        <v>905</v>
      </c>
      <c r="D109" s="26" t="str">
        <f>VLOOKUP($C109,classifications!$C:$J,4,FALSE)</f>
        <v>SD</v>
      </c>
      <c r="E109" s="26" t="str">
        <f>VLOOKUP(C109,classifications!C:K,9,FALSE)</f>
        <v>Sparse</v>
      </c>
      <c r="F109" s="36">
        <f t="shared" si="26"/>
        <v>81.688187142593478</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b">
        <f t="shared" si="31"/>
        <v>0</v>
      </c>
      <c r="Z109" s="34" t="e">
        <f>IF(Y109="","",IF(I$8="A",(RANK(Y109,Y$11:Y$368,1)+COUNTIF(Y$11:Y109,Y109)-1),(RANK(Y109,Y$11:Y$368)+COUNTIF(Y$11:Y109,Y109)-1)))</f>
        <v>#N/A</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81.688187142593478</v>
      </c>
      <c r="AY109" s="103"/>
      <c r="AZ109" s="21"/>
    </row>
    <row r="110" spans="1:52">
      <c r="A110" s="56" t="str">
        <f>$D$1&amp;100</f>
        <v>SC100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82.994301123979568</v>
      </c>
      <c r="G110" s="71"/>
      <c r="H110" s="37">
        <f t="shared" si="27"/>
        <v>82.994301123979568</v>
      </c>
      <c r="I110" s="77">
        <f>IF(H110="","",IF($I$8="A",(RANK(H110,H$11:H$368,1)+COUNTIF(H$11:H110,H110)-1),(RANK(H110,H$11:H$368)+COUNTIF(H$11:H110,H110)-1)))</f>
        <v>14</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b">
        <f t="shared" si="31"/>
        <v>0</v>
      </c>
      <c r="Z110" s="34" t="e">
        <f>IF(Y110="","",IF(I$8="A",(RANK(Y110,Y$11:Y$368,1)+COUNTIF(Y$11:Y110,Y110)-1),(RANK(Y110,Y$11:Y$368)+COUNTIF(Y$11:Y110,Y110)-1)))</f>
        <v>#N/A</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82.994301123979568</v>
      </c>
      <c r="AY110" s="103"/>
      <c r="AZ110" s="21"/>
    </row>
    <row r="111" spans="1:52">
      <c r="A111" s="56" t="str">
        <f>$D$1&amp;101</f>
        <v>SC101</v>
      </c>
      <c r="B111" s="57">
        <f>IF(ISERROR(VLOOKUP(A111,classifications!A:C,3,FALSE)),0,VLOOKUP(A111,classifications!A:C,3,FALSE))</f>
        <v>0</v>
      </c>
      <c r="C111" s="8" t="s">
        <v>60</v>
      </c>
      <c r="D111" s="26" t="str">
        <f>VLOOKUP($C111,classifications!$C:$J,4,FALSE)</f>
        <v>SD</v>
      </c>
      <c r="E111" s="26">
        <f>VLOOKUP(C111,classifications!C:K,9,FALSE)</f>
        <v>0</v>
      </c>
      <c r="F111" s="36">
        <f t="shared" si="26"/>
        <v>84.59649502432238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b">
        <f t="shared" si="31"/>
        <v>0</v>
      </c>
      <c r="Z111" s="34" t="e">
        <f>IF(Y111="","",IF(I$8="A",(RANK(Y111,Y$11:Y$368,1)+COUNTIF(Y$11:Y111,Y111)-1),(RANK(Y111,Y$11:Y$368)+COUNTIF(Y$11:Y111,Y111)-1)))</f>
        <v>#N/A</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84.59649502432238</v>
      </c>
      <c r="AY111" s="103"/>
      <c r="AZ111" s="21"/>
    </row>
    <row r="112" spans="1:52">
      <c r="A112" s="56" t="str">
        <f>$D$1&amp;102</f>
        <v>SC102</v>
      </c>
      <c r="B112" s="57">
        <f>IF(ISERROR(VLOOKUP(A112,classifications!A:C,3,FALSE)),0,VLOOKUP(A112,classifications!A:C,3,FALSE))</f>
        <v>0</v>
      </c>
      <c r="C112" s="8" t="s">
        <v>61</v>
      </c>
      <c r="D112" s="26" t="str">
        <f>VLOOKUP($C112,classifications!$C:$J,4,FALSE)</f>
        <v>SD</v>
      </c>
      <c r="E112" s="26">
        <f>VLOOKUP(C112,classifications!C:K,9,FALSE)</f>
        <v>0</v>
      </c>
      <c r="F112" s="36">
        <f t="shared" si="26"/>
        <v>83.542192231378465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b">
        <f t="shared" si="31"/>
        <v>0</v>
      </c>
      <c r="Z112" s="34" t="e">
        <f>IF(Y112="","",IF(I$8="A",(RANK(Y112,Y$11:Y$368,1)+COUNTIF(Y$11:Y112,Y112)-1),(RANK(Y112,Y$11:Y$368)+COUNTIF(Y$11:Y112,Y112)-1)))</f>
        <v>#N/A</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83.542192231378465</v>
      </c>
      <c r="AY112" s="103"/>
      <c r="AZ112" s="21"/>
    </row>
    <row r="113" spans="1:52">
      <c r="A113" s="56" t="str">
        <f>$D$1&amp;103</f>
        <v>SC103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85.470285287194898</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b">
        <f t="shared" si="31"/>
        <v>0</v>
      </c>
      <c r="Z113" s="34" t="e">
        <f>IF(Y113="","",IF(I$8="A",(RANK(Y113,Y$11:Y$368,1)+COUNTIF(Y$11:Y113,Y113)-1),(RANK(Y113,Y$11:Y$368)+COUNTIF(Y$11:Y113,Y113)-1)))</f>
        <v>#N/A</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85.470285287194898</v>
      </c>
      <c r="AY113" s="103"/>
      <c r="AZ113" s="21"/>
    </row>
    <row r="114" spans="1:52">
      <c r="A114" s="56" t="str">
        <f>$D$1&amp;104</f>
        <v>SC104</v>
      </c>
      <c r="B114" s="57">
        <f>IF(ISERROR(VLOOKUP(A114,classifications!A:C,3,FALSE)),0,VLOOKUP(A114,classifications!A:C,3,FALSE))</f>
        <v>0</v>
      </c>
      <c r="C114" s="8" t="s">
        <v>63</v>
      </c>
      <c r="D114" s="26" t="str">
        <f>VLOOKUP($C114,classifications!$C:$J,4,FALSE)</f>
        <v>SD</v>
      </c>
      <c r="E114" s="26">
        <f>VLOOKUP(C114,classifications!C:K,9,FALSE)</f>
        <v>0</v>
      </c>
      <c r="F114" s="36">
        <f t="shared" si="26"/>
        <v>88.850306199577062</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b">
        <f t="shared" si="31"/>
        <v>0</v>
      </c>
      <c r="Z114" s="34" t="e">
        <f>IF(Y114="","",IF(I$8="A",(RANK(Y114,Y$11:Y$368,1)+COUNTIF(Y$11:Y114,Y114)-1),(RANK(Y114,Y$11:Y$368)+COUNTIF(Y$11:Y114,Y114)-1)))</f>
        <v>#N/A</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88.850306199577062</v>
      </c>
      <c r="AY114" s="103"/>
      <c r="AZ114" s="21"/>
    </row>
    <row r="115" spans="1:52">
      <c r="A115" s="56" t="str">
        <f>$D$1&amp;105</f>
        <v>SC105</v>
      </c>
      <c r="B115" s="57">
        <f>IF(ISERROR(VLOOKUP(A115,classifications!A:C,3,FALSE)),0,VLOOKUP(A115,classifications!A:C,3,FALSE))</f>
        <v>0</v>
      </c>
      <c r="C115" s="8" t="s">
        <v>203</v>
      </c>
      <c r="D115" s="26" t="str">
        <f>VLOOKUP($C115,classifications!$C:$J,4,FALSE)</f>
        <v>L</v>
      </c>
      <c r="E115" s="26">
        <f>VLOOKUP(C115,classifications!C:K,9,FALSE)</f>
        <v>0</v>
      </c>
      <c r="F115" s="36">
        <f t="shared" si="26"/>
        <v>79.600137046892854</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b">
        <f t="shared" si="31"/>
        <v>0</v>
      </c>
      <c r="Z115" s="34" t="e">
        <f>IF(Y115="","",IF(I$8="A",(RANK(Y115,Y$11:Y$368,1)+COUNTIF(Y$11:Y115,Y115)-1),(RANK(Y115,Y$11:Y$368)+COUNTIF(Y$11:Y115,Y115)-1)))</f>
        <v>#N/A</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79.600137046892854</v>
      </c>
      <c r="AY115" s="103"/>
      <c r="AZ115" s="21"/>
    </row>
    <row r="116" spans="1:52">
      <c r="A116" s="56" t="str">
        <f>$D$1&amp;106</f>
        <v>SC106</v>
      </c>
      <c r="B116" s="57">
        <f>IF(ISERROR(VLOOKUP(A116,classifications!A:C,3,FALSE)),0,VLOOKUP(A116,classifications!A:C,3,FALSE))</f>
        <v>0</v>
      </c>
      <c r="C116" s="8" t="s">
        <v>64</v>
      </c>
      <c r="D116" s="26" t="str">
        <f>VLOOKUP($C116,classifications!$C:$J,4,FALSE)</f>
        <v>SD</v>
      </c>
      <c r="E116" s="26">
        <f>VLOOKUP(C116,classifications!C:K,9,FALSE)</f>
        <v>0</v>
      </c>
      <c r="F116" s="36">
        <f t="shared" si="26"/>
        <v>82.61342625664426</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b">
        <f t="shared" si="31"/>
        <v>0</v>
      </c>
      <c r="Z116" s="34" t="e">
        <f>IF(Y116="","",IF(I$8="A",(RANK(Y116,Y$11:Y$368,1)+COUNTIF(Y$11:Y116,Y116)-1),(RANK(Y116,Y$11:Y$368)+COUNTIF(Y$11:Y116,Y116)-1)))</f>
        <v>#N/A</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82.61342625664426</v>
      </c>
      <c r="AY116" s="103"/>
      <c r="AZ116" s="21"/>
    </row>
    <row r="117" spans="1:52">
      <c r="A117" s="56" t="str">
        <f>$D$1&amp;107</f>
        <v>SC107</v>
      </c>
      <c r="B117" s="57">
        <f>IF(ISERROR(VLOOKUP(A117,classifications!A:C,3,FALSE)),0,VLOOKUP(A117,classifications!A:C,3,FALSE))</f>
        <v>0</v>
      </c>
      <c r="C117" s="8" t="s">
        <v>344</v>
      </c>
      <c r="D117" s="26" t="str">
        <f>VLOOKUP($C117,classifications!$C:$J,4,FALSE)</f>
        <v>SD</v>
      </c>
      <c r="E117" s="26">
        <f>VLOOKUP(C117,classifications!C:K,9,FALSE)</f>
        <v>0</v>
      </c>
      <c r="F117" s="36">
        <f t="shared" si="26"/>
        <v>86.93318830237007</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b">
        <f t="shared" si="31"/>
        <v>0</v>
      </c>
      <c r="Z117" s="34" t="e">
        <f>IF(Y117="","",IF(I$8="A",(RANK(Y117,Y$11:Y$368,1)+COUNTIF(Y$11:Y117,Y117)-1),(RANK(Y117,Y$11:Y$368)+COUNTIF(Y$11:Y117,Y117)-1)))</f>
        <v>#N/A</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86.93318830237007</v>
      </c>
      <c r="AY117" s="103"/>
      <c r="AZ117" s="21"/>
    </row>
    <row r="118" spans="1:52">
      <c r="A118" s="56" t="str">
        <f>$D$1&amp;108</f>
        <v>SC108</v>
      </c>
      <c r="B118" s="57">
        <f>IF(ISERROR(VLOOKUP(A118,classifications!A:C,3,FALSE)),0,VLOOKUP(A118,classifications!A:C,3,FALSE))</f>
        <v>0</v>
      </c>
      <c r="C118" s="8" t="s">
        <v>65</v>
      </c>
      <c r="D118" s="26" t="str">
        <f>VLOOKUP($C118,classifications!$C:$J,4,FALSE)</f>
        <v>SD</v>
      </c>
      <c r="E118" s="26">
        <f>VLOOKUP(C118,classifications!C:K,9,FALSE)</f>
        <v>0</v>
      </c>
      <c r="F118" s="36">
        <f t="shared" si="26"/>
        <v>78.473297784856797</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b">
        <f t="shared" si="31"/>
        <v>0</v>
      </c>
      <c r="Z118" s="34" t="e">
        <f>IF(Y118="","",IF(I$8="A",(RANK(Y118,Y$11:Y$368,1)+COUNTIF(Y$11:Y118,Y118)-1),(RANK(Y118,Y$11:Y$368)+COUNTIF(Y$11:Y118,Y118)-1)))</f>
        <v>#N/A</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78.473297784856797</v>
      </c>
      <c r="AY118" s="103"/>
      <c r="AZ118" s="21"/>
    </row>
    <row r="119" spans="1:52">
      <c r="A119" s="56" t="str">
        <f>$D$1&amp;109</f>
        <v>SC109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82.703378459238934</v>
      </c>
      <c r="G119" s="71"/>
      <c r="H119" s="37">
        <f t="shared" si="27"/>
        <v>82.703378459238934</v>
      </c>
      <c r="I119" s="77">
        <f>IF(H119="","",IF($I$8="A",(RANK(H119,H$11:H$368,1)+COUNTIF(H$11:H119,H119)-1),(RANK(H119,H$11:H$368)+COUNTIF(H$11:H119,H119)-1)))</f>
        <v>15</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b">
        <f t="shared" si="31"/>
        <v>0</v>
      </c>
      <c r="Z119" s="34" t="e">
        <f>IF(Y119="","",IF(I$8="A",(RANK(Y119,Y$11:Y$368,1)+COUNTIF(Y$11:Y119,Y119)-1),(RANK(Y119,Y$11:Y$368)+COUNTIF(Y$11:Y119,Y119)-1)))</f>
        <v>#N/A</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82.703378459238934</v>
      </c>
      <c r="AY119" s="103"/>
      <c r="AZ119" s="21"/>
    </row>
    <row r="120" spans="1:52">
      <c r="A120" s="56" t="str">
        <f>$D$1&amp;110</f>
        <v>SC110</v>
      </c>
      <c r="B120" s="57">
        <f>IF(ISERROR(VLOOKUP(A120,classifications!A:C,3,FALSE)),0,VLOOKUP(A120,classifications!A:C,3,FALSE))</f>
        <v>0</v>
      </c>
      <c r="C120" s="8" t="s">
        <v>66</v>
      </c>
      <c r="D120" s="26" t="str">
        <f>VLOOKUP($C120,classifications!$C:$J,4,FALSE)</f>
        <v>SD</v>
      </c>
      <c r="E120" s="26">
        <f>VLOOKUP(C120,classifications!C:K,9,FALSE)</f>
        <v>0</v>
      </c>
      <c r="F120" s="36">
        <f t="shared" si="26"/>
        <v>89.804259171588328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b">
        <f t="shared" si="31"/>
        <v>0</v>
      </c>
      <c r="Z120" s="34" t="e">
        <f>IF(Y120="","",IF(I$8="A",(RANK(Y120,Y$11:Y$368,1)+COUNTIF(Y$11:Y120,Y120)-1),(RANK(Y120,Y$11:Y$368)+COUNTIF(Y$11:Y120,Y120)-1)))</f>
        <v>#N/A</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89.804259171588328</v>
      </c>
      <c r="AY120" s="103"/>
      <c r="AZ120" s="21"/>
    </row>
    <row r="121" spans="1:52">
      <c r="A121" s="56" t="str">
        <f>$D$1&amp;111</f>
        <v>SC111</v>
      </c>
      <c r="B121" s="57">
        <f>IF(ISERROR(VLOOKUP(A121,classifications!A:C,3,FALSE)),0,VLOOKUP(A121,classifications!A:C,3,FALSE))</f>
        <v>0</v>
      </c>
      <c r="C121" s="8" t="s">
        <v>67</v>
      </c>
      <c r="D121" s="26" t="str">
        <f>VLOOKUP($C121,classifications!$C:$J,4,FALSE)</f>
        <v>SD</v>
      </c>
      <c r="E121" s="26">
        <f>VLOOKUP(C121,classifications!C:K,9,FALSE)</f>
        <v>0</v>
      </c>
      <c r="F121" s="36">
        <f t="shared" si="26"/>
        <v>83.875838794352973</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b">
        <f t="shared" si="31"/>
        <v>0</v>
      </c>
      <c r="Z121" s="34" t="e">
        <f>IF(Y121="","",IF(I$8="A",(RANK(Y121,Y$11:Y$368,1)+COUNTIF(Y$11:Y121,Y121)-1),(RANK(Y121,Y$11:Y$368)+COUNTIF(Y$11:Y121,Y121)-1)))</f>
        <v>#N/A</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83.875838794352973</v>
      </c>
      <c r="AY121" s="103"/>
      <c r="AZ121" s="21"/>
    </row>
    <row r="122" spans="1:52">
      <c r="A122" s="56" t="str">
        <f>$D$1&amp;112</f>
        <v>SC112</v>
      </c>
      <c r="B122" s="57">
        <f>IF(ISERROR(VLOOKUP(A122,classifications!A:C,3,FALSE)),0,VLOOKUP(A122,classifications!A:C,3,FALSE))</f>
        <v>0</v>
      </c>
      <c r="C122" s="8" t="s">
        <v>68</v>
      </c>
      <c r="D122" s="26" t="str">
        <f>VLOOKUP($C122,classifications!$C:$J,4,FALSE)</f>
        <v>SD</v>
      </c>
      <c r="E122" s="26">
        <f>VLOOKUP(C122,classifications!C:K,9,FALSE)</f>
        <v>0</v>
      </c>
      <c r="F122" s="36">
        <f t="shared" si="26"/>
        <v>76.132935045242377</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b">
        <f t="shared" si="31"/>
        <v>0</v>
      </c>
      <c r="Z122" s="34" t="e">
        <f>IF(Y122="","",IF(I$8="A",(RANK(Y122,Y$11:Y$368,1)+COUNTIF(Y$11:Y122,Y122)-1),(RANK(Y122,Y$11:Y$368)+COUNTIF(Y$11:Y122,Y122)-1)))</f>
        <v>#N/A</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76.132935045242377</v>
      </c>
      <c r="AY122" s="103"/>
      <c r="AZ122" s="21"/>
    </row>
    <row r="123" spans="1:52">
      <c r="A123" s="56" t="str">
        <f>$D$1&amp;113</f>
        <v>SC113</v>
      </c>
      <c r="B123" s="57">
        <f>IF(ISERROR(VLOOKUP(A123,classifications!A:C,3,FALSE)),0,VLOOKUP(A123,classifications!A:C,3,FALSE))</f>
        <v>0</v>
      </c>
      <c r="C123" s="8" t="s">
        <v>69</v>
      </c>
      <c r="D123" s="26" t="str">
        <f>VLOOKUP($C123,classifications!$C:$J,4,FALSE)</f>
        <v>SD</v>
      </c>
      <c r="E123" s="26" t="str">
        <f>VLOOKUP(C123,classifications!C:K,9,FALSE)</f>
        <v>Sparse</v>
      </c>
      <c r="F123" s="36">
        <f t="shared" si="26"/>
        <v>0</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b">
        <f t="shared" si="31"/>
        <v>0</v>
      </c>
      <c r="Z123" s="34" t="e">
        <f>IF(Y123="","",IF(I$8="A",(RANK(Y123,Y$11:Y$368,1)+COUNTIF(Y$11:Y123,Y123)-1),(RANK(Y123,Y$11:Y$368)+COUNTIF(Y$11:Y123,Y123)-1)))</f>
        <v>#N/A</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f>HLOOKUP($AX$9&amp;$AX$10,Data!$A$1:$ZZ$2000,(MATCH($C123,Data!$A$1:$A$2000,0)),FALSE)</f>
        <v>0</v>
      </c>
      <c r="AY123" s="103"/>
      <c r="AZ123" s="21"/>
    </row>
    <row r="124" spans="1:52">
      <c r="A124" s="56" t="str">
        <f>$D$1&amp;114</f>
        <v>SC114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78.360742506828757</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b">
        <f t="shared" si="31"/>
        <v>0</v>
      </c>
      <c r="Z124" s="34" t="e">
        <f>IF(Y124="","",IF(I$8="A",(RANK(Y124,Y$11:Y$368,1)+COUNTIF(Y$11:Y124,Y124)-1),(RANK(Y124,Y$11:Y$368)+COUNTIF(Y$11:Y124,Y124)-1)))</f>
        <v>#N/A</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78.360742506828757</v>
      </c>
      <c r="AY124" s="103"/>
      <c r="AZ124" s="21"/>
    </row>
    <row r="125" spans="1:52">
      <c r="A125" s="56" t="str">
        <f>$D$1&amp;115</f>
        <v>SC115</v>
      </c>
      <c r="B125" s="57">
        <f>IF(ISERROR(VLOOKUP(A125,classifications!A:C,3,FALSE)),0,VLOOKUP(A125,classifications!A:C,3,FALSE))</f>
        <v>0</v>
      </c>
      <c r="C125" s="8" t="s">
        <v>71</v>
      </c>
      <c r="D125" s="26" t="str">
        <f>VLOOKUP($C125,classifications!$C:$J,4,FALSE)</f>
        <v>SD</v>
      </c>
      <c r="E125" s="26">
        <f>VLOOKUP(C125,classifications!C:K,9,FALSE)</f>
        <v>0</v>
      </c>
      <c r="F125" s="36">
        <f t="shared" si="26"/>
        <v>80.353941162409996</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b">
        <f t="shared" si="31"/>
        <v>0</v>
      </c>
      <c r="Z125" s="34" t="e">
        <f>IF(Y125="","",IF(I$8="A",(RANK(Y125,Y$11:Y$368,1)+COUNTIF(Y$11:Y125,Y125)-1),(RANK(Y125,Y$11:Y$368)+COUNTIF(Y$11:Y125,Y125)-1)))</f>
        <v>#N/A</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80.353941162409996</v>
      </c>
      <c r="AY125" s="103"/>
      <c r="AZ125" s="21"/>
    </row>
    <row r="126" spans="1:52">
      <c r="A126" s="56" t="str">
        <f>$D$1&amp;116</f>
        <v>SC116</v>
      </c>
      <c r="B126" s="57">
        <f>IF(ISERROR(VLOOKUP(A126,classifications!A:C,3,FALSE)),0,VLOOKUP(A126,classifications!A:C,3,FALSE))</f>
        <v>0</v>
      </c>
      <c r="C126" s="8" t="s">
        <v>231</v>
      </c>
      <c r="D126" s="26" t="str">
        <f>VLOOKUP($C126,classifications!$C:$J,4,FALSE)</f>
        <v>MD</v>
      </c>
      <c r="E126" s="26">
        <f>VLOOKUP(C126,classifications!C:K,9,FALSE)</f>
        <v>0</v>
      </c>
      <c r="F126" s="36">
        <f t="shared" si="26"/>
        <v>75.050977808893194</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b">
        <f t="shared" si="31"/>
        <v>0</v>
      </c>
      <c r="Z126" s="34" t="e">
        <f>IF(Y126="","",IF(I$8="A",(RANK(Y126,Y$11:Y$368,1)+COUNTIF(Y$11:Y126,Y126)-1),(RANK(Y126,Y$11:Y$368)+COUNTIF(Y$11:Y126,Y126)-1)))</f>
        <v>#N/A</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75.050977808893194</v>
      </c>
      <c r="AY126" s="103"/>
      <c r="AZ126" s="21"/>
    </row>
    <row r="127" spans="1:52">
      <c r="A127" s="56" t="str">
        <f>$D$1&amp;117</f>
        <v>SC117</v>
      </c>
      <c r="B127" s="57">
        <f>IF(ISERROR(VLOOKUP(A127,classifications!A:C,3,FALSE)),0,VLOOKUP(A127,classifications!A:C,3,FALSE))</f>
        <v>0</v>
      </c>
      <c r="C127" s="8" t="s">
        <v>72</v>
      </c>
      <c r="D127" s="26" t="str">
        <f>VLOOKUP($C127,classifications!$C:$J,4,FALSE)</f>
        <v>SD</v>
      </c>
      <c r="E127" s="26">
        <f>VLOOKUP(C127,classifications!C:K,9,FALSE)</f>
        <v>0</v>
      </c>
      <c r="F127" s="36">
        <f t="shared" si="26"/>
        <v>83.532113859185614</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b">
        <f t="shared" si="31"/>
        <v>0</v>
      </c>
      <c r="Z127" s="34" t="e">
        <f>IF(Y127="","",IF(I$8="A",(RANK(Y127,Y$11:Y$368,1)+COUNTIF(Y$11:Y127,Y127)-1),(RANK(Y127,Y$11:Y$368)+COUNTIF(Y$11:Y127,Y127)-1)))</f>
        <v>#N/A</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83.532113859185614</v>
      </c>
      <c r="AY127" s="103"/>
      <c r="AZ127" s="21"/>
    </row>
    <row r="128" spans="1:52">
      <c r="A128" s="56" t="str">
        <f>$D$1&amp;118</f>
        <v>SC118</v>
      </c>
      <c r="B128" s="57">
        <f>IF(ISERROR(VLOOKUP(A128,classifications!A:C,3,FALSE)),0,VLOOKUP(A128,classifications!A:C,3,FALSE))</f>
        <v>0</v>
      </c>
      <c r="C128" s="8" t="s">
        <v>73</v>
      </c>
      <c r="D128" s="26" t="str">
        <f>VLOOKUP($C128,classifications!$C:$J,4,FALSE)</f>
        <v>SD</v>
      </c>
      <c r="E128" s="26">
        <f>VLOOKUP(C128,classifications!C:K,9,FALSE)</f>
        <v>0</v>
      </c>
      <c r="F128" s="36">
        <f t="shared" si="26"/>
        <v>81.854505504974455</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b">
        <f t="shared" si="31"/>
        <v>0</v>
      </c>
      <c r="Z128" s="34" t="e">
        <f>IF(Y128="","",IF(I$8="A",(RANK(Y128,Y$11:Y$368,1)+COUNTIF(Y$11:Y128,Y128)-1),(RANK(Y128,Y$11:Y$368)+COUNTIF(Y$11:Y128,Y128)-1)))</f>
        <v>#N/A</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81.854505504974455</v>
      </c>
      <c r="AY128" s="103"/>
      <c r="AZ128" s="21"/>
    </row>
    <row r="129" spans="1:52">
      <c r="A129" s="56" t="str">
        <f>$D$1&amp;119</f>
        <v>SC119</v>
      </c>
      <c r="B129" s="57">
        <f>IF(ISERROR(VLOOKUP(A129,classifications!A:C,3,FALSE)),0,VLOOKUP(A129,classifications!A:C,3,FALSE))</f>
        <v>0</v>
      </c>
      <c r="C129" s="8" t="s">
        <v>312</v>
      </c>
      <c r="D129" s="26" t="str">
        <f>VLOOKUP($C129,classifications!$C:$J,4,FALSE)</f>
        <v>SC</v>
      </c>
      <c r="E129" s="26">
        <f>VLOOKUP(C129,classifications!C:K,9,FALSE)</f>
        <v>0</v>
      </c>
      <c r="F129" s="36">
        <f t="shared" si="26"/>
        <v>84.086361451106427</v>
      </c>
      <c r="G129" s="71"/>
      <c r="H129" s="37">
        <f t="shared" si="27"/>
        <v>84.086361451106427</v>
      </c>
      <c r="I129" s="77">
        <f>IF(H129="","",IF($I$8="A",(RANK(H129,H$11:H$368,1)+COUNTIF(H$11:H129,H129)-1),(RANK(H129,H$11:H$368)+COUNTIF(H$11:H129,H129)-1)))</f>
        <v>7</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b">
        <f t="shared" si="31"/>
        <v>0</v>
      </c>
      <c r="Z129" s="34" t="e">
        <f>IF(Y129="","",IF(I$8="A",(RANK(Y129,Y$11:Y$368,1)+COUNTIF(Y$11:Y129,Y129)-1),(RANK(Y129,Y$11:Y$368)+COUNTIF(Y$11:Y129,Y129)-1)))</f>
        <v>#N/A</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84.086361451106427</v>
      </c>
      <c r="AY129" s="103"/>
      <c r="AZ129" s="21"/>
    </row>
    <row r="130" spans="1:52">
      <c r="A130" s="56" t="str">
        <f>$D$1&amp;120</f>
        <v>SC120</v>
      </c>
      <c r="B130" s="57">
        <f>IF(ISERROR(VLOOKUP(A130,classifications!A:C,3,FALSE)),0,VLOOKUP(A130,classifications!A:C,3,FALSE))</f>
        <v>0</v>
      </c>
      <c r="C130" s="8" t="s">
        <v>74</v>
      </c>
      <c r="D130" s="26" t="str">
        <f>VLOOKUP($C130,classifications!$C:$J,4,FALSE)</f>
        <v>SD</v>
      </c>
      <c r="E130" s="26">
        <f>VLOOKUP(C130,classifications!C:K,9,FALSE)</f>
        <v>0</v>
      </c>
      <c r="F130" s="36">
        <f t="shared" si="26"/>
        <v>76.413114292483286</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b">
        <f t="shared" si="31"/>
        <v>0</v>
      </c>
      <c r="Z130" s="34" t="e">
        <f>IF(Y130="","",IF(I$8="A",(RANK(Y130,Y$11:Y$368,1)+COUNTIF(Y$11:Y130,Y130)-1),(RANK(Y130,Y$11:Y$368)+COUNTIF(Y$11:Y130,Y130)-1)))</f>
        <v>#N/A</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76.413114292483286</v>
      </c>
      <c r="AY130" s="103"/>
      <c r="AZ130" s="21"/>
    </row>
    <row r="131" spans="1:52">
      <c r="A131" s="56" t="str">
        <f>$D$1&amp;121</f>
        <v>SC121</v>
      </c>
      <c r="B131" s="57">
        <f>IF(ISERROR(VLOOKUP(A131,classifications!A:C,3,FALSE)),0,VLOOKUP(A131,classifications!A:C,3,FALSE))</f>
        <v>0</v>
      </c>
      <c r="C131" s="8" t="s">
        <v>75</v>
      </c>
      <c r="D131" s="26" t="str">
        <f>VLOOKUP($C131,classifications!$C:$J,4,FALSE)</f>
        <v>SD</v>
      </c>
      <c r="E131" s="26">
        <f>VLOOKUP(C131,classifications!C:K,9,FALSE)</f>
        <v>0</v>
      </c>
      <c r="F131" s="36">
        <f t="shared" si="26"/>
        <v>76.535403940595032</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b">
        <f t="shared" si="31"/>
        <v>0</v>
      </c>
      <c r="Z131" s="34" t="e">
        <f>IF(Y131="","",IF(I$8="A",(RANK(Y131,Y$11:Y$368,1)+COUNTIF(Y$11:Y131,Y131)-1),(RANK(Y131,Y$11:Y$368)+COUNTIF(Y$11:Y131,Y131)-1)))</f>
        <v>#N/A</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76.535403940595032</v>
      </c>
      <c r="AY131" s="103"/>
      <c r="AZ131" s="21"/>
    </row>
    <row r="132" spans="1:52">
      <c r="A132" s="56" t="str">
        <f>$D$1&amp;122</f>
        <v>SC122</v>
      </c>
      <c r="B132" s="57">
        <f>IF(ISERROR(VLOOKUP(A132,classifications!A:C,3,FALSE)),0,VLOOKUP(A132,classifications!A:C,3,FALSE))</f>
        <v>0</v>
      </c>
      <c r="C132" s="8" t="s">
        <v>76</v>
      </c>
      <c r="D132" s="26" t="str">
        <f>VLOOKUP($C132,classifications!$C:$J,4,FALSE)</f>
        <v>SD</v>
      </c>
      <c r="E132" s="26">
        <f>VLOOKUP(C132,classifications!C:K,9,FALSE)</f>
        <v>0</v>
      </c>
      <c r="F132" s="36">
        <f t="shared" si="26"/>
        <v>78.006482947598514</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b">
        <f t="shared" si="31"/>
        <v>0</v>
      </c>
      <c r="Z132" s="34" t="e">
        <f>IF(Y132="","",IF(I$8="A",(RANK(Y132,Y$11:Y$368,1)+COUNTIF(Y$11:Y132,Y132)-1),(RANK(Y132,Y$11:Y$368)+COUNTIF(Y$11:Y132,Y132)-1)))</f>
        <v>#N/A</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78.006482947598514</v>
      </c>
      <c r="AY132" s="103"/>
      <c r="AZ132" s="21"/>
    </row>
    <row r="133" spans="1:52">
      <c r="A133" s="56" t="str">
        <f>$D$1&amp;123</f>
        <v>SC123</v>
      </c>
      <c r="B133" s="57">
        <f>IF(ISERROR(VLOOKUP(A133,classifications!A:C,3,FALSE)),0,VLOOKUP(A133,classifications!A:C,3,FALSE))</f>
        <v>0</v>
      </c>
      <c r="C133" s="8" t="s">
        <v>204</v>
      </c>
      <c r="D133" s="26" t="str">
        <f>VLOOKUP($C133,classifications!$C:$J,4,FALSE)</f>
        <v>L</v>
      </c>
      <c r="E133" s="26">
        <f>VLOOKUP(C133,classifications!C:K,9,FALSE)</f>
        <v>0</v>
      </c>
      <c r="F133" s="36">
        <f t="shared" si="26"/>
        <v>82.989040271027164</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b">
        <f t="shared" si="31"/>
        <v>0</v>
      </c>
      <c r="Z133" s="34" t="e">
        <f>IF(Y133="","",IF(I$8="A",(RANK(Y133,Y$11:Y$368,1)+COUNTIF(Y$11:Y133,Y133)-1),(RANK(Y133,Y$11:Y$368)+COUNTIF(Y$11:Y133,Y133)-1)))</f>
        <v>#N/A</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82.989040271027164</v>
      </c>
      <c r="AY133" s="103"/>
      <c r="AZ133" s="21"/>
    </row>
    <row r="134" spans="1:52">
      <c r="A134" s="56" t="str">
        <f>$D$1&amp;124</f>
        <v>SC124</v>
      </c>
      <c r="B134" s="57">
        <f>IF(ISERROR(VLOOKUP(A134,classifications!A:C,3,FALSE)),0,VLOOKUP(A134,classifications!A:C,3,FALSE))</f>
        <v>0</v>
      </c>
      <c r="C134" s="8" t="s">
        <v>77</v>
      </c>
      <c r="D134" s="26" t="str">
        <f>VLOOKUP($C134,classifications!$C:$J,4,FALSE)</f>
        <v>SD</v>
      </c>
      <c r="E134" s="26">
        <f>VLOOKUP(C134,classifications!C:K,9,FALSE)</f>
        <v>0</v>
      </c>
      <c r="F134" s="36">
        <f t="shared" si="26"/>
        <v>83.514650079811418</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b">
        <f t="shared" si="31"/>
        <v>0</v>
      </c>
      <c r="Z134" s="34" t="e">
        <f>IF(Y134="","",IF(I$8="A",(RANK(Y134,Y$11:Y$368,1)+COUNTIF(Y$11:Y134,Y134)-1),(RANK(Y134,Y$11:Y$368)+COUNTIF(Y$11:Y134,Y134)-1)))</f>
        <v>#N/A</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83.514650079811418</v>
      </c>
      <c r="AY134" s="103"/>
      <c r="AZ134" s="21"/>
    </row>
    <row r="135" spans="1:52">
      <c r="A135" s="56" t="str">
        <f>$D$1&amp;125</f>
        <v>SC125</v>
      </c>
      <c r="B135" s="57">
        <f>IF(ISERROR(VLOOKUP(A135,classifications!A:C,3,FALSE)),0,VLOOKUP(A135,classifications!A:C,3,FALSE))</f>
        <v>0</v>
      </c>
      <c r="C135" s="8" t="s">
        <v>205</v>
      </c>
      <c r="D135" s="26" t="str">
        <f>VLOOKUP($C135,classifications!$C:$J,4,FALSE)</f>
        <v>L</v>
      </c>
      <c r="E135" s="26">
        <f>VLOOKUP(C135,classifications!C:K,9,FALSE)</f>
        <v>0</v>
      </c>
      <c r="F135" s="36">
        <f t="shared" si="26"/>
        <v>83.009652007225228</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b">
        <f t="shared" si="31"/>
        <v>0</v>
      </c>
      <c r="Z135" s="34" t="e">
        <f>IF(Y135="","",IF(I$8="A",(RANK(Y135,Y$11:Y$368,1)+COUNTIF(Y$11:Y135,Y135)-1),(RANK(Y135,Y$11:Y$368)+COUNTIF(Y$11:Y135,Y135)-1)))</f>
        <v>#N/A</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83.009652007225228</v>
      </c>
      <c r="AY135" s="103"/>
      <c r="AZ135" s="21"/>
    </row>
    <row r="136" spans="1:52">
      <c r="A136" s="56" t="str">
        <f>$D$1&amp;126</f>
        <v>SC126</v>
      </c>
      <c r="B136" s="57">
        <f>IF(ISERROR(VLOOKUP(A136,classifications!A:C,3,FALSE)),0,VLOOKUP(A136,classifications!A:C,3,FALSE))</f>
        <v>0</v>
      </c>
      <c r="C136" s="8" t="s">
        <v>268</v>
      </c>
      <c r="D136" s="26" t="str">
        <f>VLOOKUP($C136,classifications!$C:$J,4,FALSE)</f>
        <v>UA</v>
      </c>
      <c r="E136" s="26">
        <f>VLOOKUP(C136,classifications!C:K,9,FALSE)</f>
        <v>0</v>
      </c>
      <c r="F136" s="36">
        <f t="shared" si="26"/>
        <v>77.184909860063641</v>
      </c>
      <c r="G136" s="71"/>
      <c r="H136" s="37" t="str">
        <f t="shared" si="27"/>
        <v/>
      </c>
      <c r="I136" s="77" t="str">
        <f>IF(H136="","",IF($I$8="A",(RANK(H136,H$11:H$368,1)+COUNTIF(H$11:H136,H136)-1),(RANK(H136,H$11:H$368)+COUNTIF(H$11:H136,H136)-1)))</f>
        <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b">
        <f t="shared" si="31"/>
        <v>0</v>
      </c>
      <c r="Z136" s="34" t="e">
        <f>IF(Y136="","",IF(I$8="A",(RANK(Y136,Y$11:Y$368,1)+COUNTIF(Y$11:Y136,Y136)-1),(RANK(Y136,Y$11:Y$368)+COUNTIF(Y$11:Y136,Y136)-1)))</f>
        <v>#N/A</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77.184909860063641</v>
      </c>
      <c r="AY136" s="103"/>
      <c r="AZ136" s="21"/>
    </row>
    <row r="137" spans="1:52">
      <c r="A137" s="56" t="str">
        <f>$D$1&amp;127</f>
        <v>SC127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84.789792468125</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b">
        <f t="shared" si="31"/>
        <v>0</v>
      </c>
      <c r="Z137" s="34" t="e">
        <f>IF(Y137="","",IF(I$8="A",(RANK(Y137,Y$11:Y$368,1)+COUNTIF(Y$11:Y137,Y137)-1),(RANK(Y137,Y$11:Y$368)+COUNTIF(Y$11:Y137,Y137)-1)))</f>
        <v>#N/A</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84.789792468125</v>
      </c>
      <c r="AY137" s="103"/>
      <c r="AZ137" s="21"/>
    </row>
    <row r="138" spans="1:52">
      <c r="A138" s="56" t="str">
        <f>$D$1&amp;128</f>
        <v>SC128</v>
      </c>
      <c r="B138" s="57">
        <f>IF(ISERROR(VLOOKUP(A138,classifications!A:C,3,FALSE)),0,VLOOKUP(A138,classifications!A:C,3,FALSE))</f>
        <v>0</v>
      </c>
      <c r="C138" s="8" t="s">
        <v>336</v>
      </c>
      <c r="D138" s="26" t="str">
        <f>VLOOKUP($C138,classifications!$C:$J,4,FALSE)</f>
        <v>L</v>
      </c>
      <c r="E138" s="26">
        <f>VLOOKUP(C138,classifications!C:K,9,FALSE)</f>
        <v>0</v>
      </c>
      <c r="F138" s="36">
        <f t="shared" si="26"/>
        <v>88.483627349049343</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b">
        <f t="shared" si="31"/>
        <v>0</v>
      </c>
      <c r="Z138" s="34" t="e">
        <f>IF(Y138="","",IF(I$8="A",(RANK(Y138,Y$11:Y$368,1)+COUNTIF(Y$11:Y138,Y138)-1),(RANK(Y138,Y$11:Y$368)+COUNTIF(Y$11:Y138,Y138)-1)))</f>
        <v>#N/A</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88.483627349049343</v>
      </c>
      <c r="AY138" s="103"/>
      <c r="AZ138" s="21"/>
    </row>
    <row r="139" spans="1:52">
      <c r="A139" s="56" t="str">
        <f>$D$1&amp;129</f>
        <v>SC129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83.09730584074228</v>
      </c>
      <c r="G139" s="71"/>
      <c r="H139" s="37">
        <f t="shared" ref="H139:H202" si="51">IF(D139=$D$1,HLOOKUP($D$6,$AX$10:$ZZ$368,ROW()-9,FALSE),"")</f>
        <v>83.09730584074228</v>
      </c>
      <c r="I139" s="77">
        <f>IF(H139="","",IF($I$8="A",(RANK(H139,H$11:H$368,1)+COUNTIF(H$11:H139,H139)-1),(RANK(H139,H$11:H$368)+COUNTIF(H$11:H139,H139)-1)))</f>
        <v>12</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b">
        <f t="shared" ref="Y139:Y202" si="55">IF($D$1="UA",IF(X139="Largely Rural (rural including hub towns 50-79%) ",M139,IF(X139="Mainly Rural (rural including hub towns &gt;=80%) ",M139,IF(X139="Urban with Significant Rural (rural including hub towns 26-49%)",M139,""))),IF($D$1="SD",IF(X139=$H$3,M139,"")))</f>
        <v>0</v>
      </c>
      <c r="Z139" s="34" t="e">
        <f>IF(Y139="","",IF(I$8="A",(RANK(Y139,Y$11:Y$368,1)+COUNTIF(Y$11:Y139,Y139)-1),(RANK(Y139,Y$11:Y$368)+COUNTIF(Y$11:Y139,Y139)-1)))</f>
        <v>#N/A</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83.09730584074228</v>
      </c>
      <c r="AY139" s="103"/>
      <c r="AZ139" s="21"/>
    </row>
    <row r="140" spans="1:52">
      <c r="A140" s="56" t="str">
        <f>$D$1&amp;130</f>
        <v>SC130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80.733315578469814</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b">
        <f t="shared" si="55"/>
        <v>0</v>
      </c>
      <c r="Z140" s="34" t="e">
        <f>IF(Y140="","",IF(I$8="A",(RANK(Y140,Y$11:Y$368,1)+COUNTIF(Y$11:Y140,Y140)-1),(RANK(Y140,Y$11:Y$368)+COUNTIF(Y$11:Y140,Y140)-1)))</f>
        <v>#N/A</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80.733315578469814</v>
      </c>
      <c r="AY140" s="103"/>
      <c r="AZ140" s="21"/>
    </row>
    <row r="141" spans="1:52">
      <c r="A141" s="56" t="str">
        <f>$D$1&amp;131</f>
        <v>SC131</v>
      </c>
      <c r="B141" s="57">
        <f>IF(ISERROR(VLOOKUP(A141,classifications!A:C,3,FALSE)),0,VLOOKUP(A141,classifications!A:C,3,FALSE))</f>
        <v>0</v>
      </c>
      <c r="C141" s="8" t="s">
        <v>206</v>
      </c>
      <c r="D141" s="26" t="str">
        <f>VLOOKUP($C141,classifications!$C:$J,4,FALSE)</f>
        <v>L</v>
      </c>
      <c r="E141" s="26">
        <f>VLOOKUP(C141,classifications!C:K,9,FALSE)</f>
        <v>0</v>
      </c>
      <c r="F141" s="36">
        <f t="shared" si="50"/>
        <v>84.455801628983579</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b">
        <f t="shared" si="55"/>
        <v>0</v>
      </c>
      <c r="Z141" s="34" t="e">
        <f>IF(Y141="","",IF(I$8="A",(RANK(Y141,Y$11:Y$368,1)+COUNTIF(Y$11:Y141,Y141)-1),(RANK(Y141,Y$11:Y$368)+COUNTIF(Y$11:Y141,Y141)-1)))</f>
        <v>#N/A</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84.455801628983579</v>
      </c>
      <c r="AY141" s="103"/>
      <c r="AZ141" s="21"/>
    </row>
    <row r="142" spans="1:52">
      <c r="A142" s="56" t="str">
        <f>$D$1&amp;132</f>
        <v>SC132</v>
      </c>
      <c r="B142" s="57">
        <f>IF(ISERROR(VLOOKUP(A142,classifications!A:C,3,FALSE)),0,VLOOKUP(A142,classifications!A:C,3,FALSE))</f>
        <v>0</v>
      </c>
      <c r="C142" s="8" t="s">
        <v>80</v>
      </c>
      <c r="D142" s="26" t="str">
        <f>VLOOKUP($C142,classifications!$C:$J,4,FALSE)</f>
        <v>SD</v>
      </c>
      <c r="E142" s="26">
        <f>VLOOKUP(C142,classifications!C:K,9,FALSE)</f>
        <v>0</v>
      </c>
      <c r="F142" s="36">
        <f t="shared" si="50"/>
        <v>73.035481687795397</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b">
        <f t="shared" si="55"/>
        <v>0</v>
      </c>
      <c r="Z142" s="34" t="e">
        <f>IF(Y142="","",IF(I$8="A",(RANK(Y142,Y$11:Y$368,1)+COUNTIF(Y$11:Y142,Y142)-1),(RANK(Y142,Y$11:Y$368)+COUNTIF(Y$11:Y142,Y142)-1)))</f>
        <v>#N/A</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73.035481687795397</v>
      </c>
      <c r="AY142" s="103"/>
      <c r="AZ142" s="21"/>
    </row>
    <row r="143" spans="1:52">
      <c r="A143" s="56" t="str">
        <f>$D$1&amp;133</f>
        <v>SC133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86.368889654737089</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b">
        <f t="shared" si="55"/>
        <v>0</v>
      </c>
      <c r="Z143" s="34" t="e">
        <f>IF(Y143="","",IF(I$8="A",(RANK(Y143,Y$11:Y$368,1)+COUNTIF(Y$11:Y143,Y143)-1),(RANK(Y143,Y$11:Y$368)+COUNTIF(Y$11:Y143,Y143)-1)))</f>
        <v>#N/A</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86.368889654737089</v>
      </c>
      <c r="AY143" s="103"/>
      <c r="AZ143" s="21"/>
    </row>
    <row r="144" spans="1:52">
      <c r="A144" s="56" t="str">
        <f>$D$1&amp;134</f>
        <v>SC134</v>
      </c>
      <c r="B144" s="57">
        <f>IF(ISERROR(VLOOKUP(A144,classifications!A:C,3,FALSE)),0,VLOOKUP(A144,classifications!A:C,3,FALSE))</f>
        <v>0</v>
      </c>
      <c r="C144" s="8" t="s">
        <v>207</v>
      </c>
      <c r="D144" s="26" t="str">
        <f>VLOOKUP($C144,classifications!$C:$J,4,FALSE)</f>
        <v>L</v>
      </c>
      <c r="E144" s="26">
        <f>VLOOKUP(C144,classifications!C:K,9,FALSE)</f>
        <v>0</v>
      </c>
      <c r="F144" s="36">
        <f t="shared" si="50"/>
        <v>78.909587787374761</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b">
        <f t="shared" si="55"/>
        <v>0</v>
      </c>
      <c r="Z144" s="34" t="e">
        <f>IF(Y144="","",IF(I$8="A",(RANK(Y144,Y$11:Y$368,1)+COUNTIF(Y$11:Y144,Y144)-1),(RANK(Y144,Y$11:Y$368)+COUNTIF(Y$11:Y144,Y144)-1)))</f>
        <v>#N/A</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78.909587787374761</v>
      </c>
      <c r="AY144" s="103"/>
      <c r="AZ144" s="21"/>
    </row>
    <row r="145" spans="1:52">
      <c r="A145" s="56" t="str">
        <f>$D$1&amp;135</f>
        <v>SC135</v>
      </c>
      <c r="B145" s="57">
        <f>IF(ISERROR(VLOOKUP(A145,classifications!A:C,3,FALSE)),0,VLOOKUP(A145,classifications!A:C,3,FALSE))</f>
        <v>0</v>
      </c>
      <c r="C145" s="8" t="s">
        <v>82</v>
      </c>
      <c r="D145" s="26" t="str">
        <f>VLOOKUP($C145,classifications!$C:$J,4,FALSE)</f>
        <v>SD</v>
      </c>
      <c r="E145" s="26">
        <f>VLOOKUP(C145,classifications!C:K,9,FALSE)</f>
        <v>0</v>
      </c>
      <c r="F145" s="36">
        <f t="shared" si="50"/>
        <v>83.68457648705197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b">
        <f t="shared" si="55"/>
        <v>0</v>
      </c>
      <c r="Z145" s="34" t="e">
        <f>IF(Y145="","",IF(I$8="A",(RANK(Y145,Y$11:Y$368,1)+COUNTIF(Y$11:Y145,Y145)-1),(RANK(Y145,Y$11:Y$368)+COUNTIF(Y$11:Y145,Y145)-1)))</f>
        <v>#N/A</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83.68457648705197</v>
      </c>
      <c r="AY145" s="103"/>
      <c r="AZ145" s="21"/>
    </row>
    <row r="146" spans="1:52">
      <c r="A146" s="56" t="str">
        <f>$D$1&amp;136</f>
        <v>SC136</v>
      </c>
      <c r="B146" s="57">
        <f>IF(ISERROR(VLOOKUP(A146,classifications!A:C,3,FALSE)),0,VLOOKUP(A146,classifications!A:C,3,FALSE))</f>
        <v>0</v>
      </c>
      <c r="C146" s="8" t="s">
        <v>269</v>
      </c>
      <c r="D146" s="26" t="str">
        <f>VLOOKUP($C146,classifications!$C:$J,4,FALSE)</f>
        <v>UA</v>
      </c>
      <c r="E146" s="26">
        <f>VLOOKUP(C146,classifications!C:K,9,FALSE)</f>
        <v>0</v>
      </c>
      <c r="F146" s="36">
        <f t="shared" si="50"/>
        <v>73.311168097946918</v>
      </c>
      <c r="G146" s="71"/>
      <c r="H146" s="37" t="str">
        <f t="shared" si="51"/>
        <v/>
      </c>
      <c r="I146" s="77" t="str">
        <f>IF(H146="","",IF($I$8="A",(RANK(H146,H$11:H$368,1)+COUNTIF(H$11:H146,H146)-1),(RANK(H146,H$11:H$368)+COUNTIF(H$11:H146,H146)-1)))</f>
        <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b">
        <f t="shared" si="55"/>
        <v>0</v>
      </c>
      <c r="Z146" s="34" t="e">
        <f>IF(Y146="","",IF(I$8="A",(RANK(Y146,Y$11:Y$368,1)+COUNTIF(Y$11:Y146,Y146)-1),(RANK(Y146,Y$11:Y$368)+COUNTIF(Y$11:Y146,Y146)-1)))</f>
        <v>#N/A</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73.311168097946918</v>
      </c>
      <c r="AY146" s="103"/>
      <c r="AZ146" s="21"/>
    </row>
    <row r="147" spans="1:52">
      <c r="A147" s="56" t="str">
        <f>$D$1&amp;137</f>
        <v>SC137</v>
      </c>
      <c r="B147" s="57">
        <f>IF(ISERROR(VLOOKUP(A147,classifications!A:C,3,FALSE)),0,VLOOKUP(A147,classifications!A:C,3,FALSE))</f>
        <v>0</v>
      </c>
      <c r="C147" s="8" t="s">
        <v>83</v>
      </c>
      <c r="D147" s="26" t="str">
        <f>VLOOKUP($C147,classifications!$C:$J,4,FALSE)</f>
        <v>SD</v>
      </c>
      <c r="E147" s="26">
        <f>VLOOKUP(C147,classifications!C:K,9,FALSE)</f>
        <v>0</v>
      </c>
      <c r="F147" s="36">
        <f t="shared" si="50"/>
        <v>80.295471478328167</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b">
        <f t="shared" si="55"/>
        <v>0</v>
      </c>
      <c r="Z147" s="34" t="e">
        <f>IF(Y147="","",IF(I$8="A",(RANK(Y147,Y$11:Y$368,1)+COUNTIF(Y$11:Y147,Y147)-1),(RANK(Y147,Y$11:Y$368)+COUNTIF(Y$11:Y147,Y147)-1)))</f>
        <v>#N/A</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80.295471478328167</v>
      </c>
      <c r="AY147" s="103"/>
      <c r="AZ147" s="21"/>
    </row>
    <row r="148" spans="1:52">
      <c r="A148" s="56" t="str">
        <f>$D$1&amp;138</f>
        <v>SC138</v>
      </c>
      <c r="B148" s="57">
        <f>IF(ISERROR(VLOOKUP(A148,classifications!A:C,3,FALSE)),0,VLOOKUP(A148,classifications!A:C,3,FALSE))</f>
        <v>0</v>
      </c>
      <c r="C148" s="8" t="s">
        <v>84</v>
      </c>
      <c r="D148" s="26" t="str">
        <f>VLOOKUP($C148,classifications!$C:$J,4,FALSE)</f>
        <v>SD</v>
      </c>
      <c r="E148" s="26">
        <f>VLOOKUP(C148,classifications!C:K,9,FALSE)</f>
        <v>0</v>
      </c>
      <c r="F148" s="36">
        <f t="shared" si="50"/>
        <v>83.64737913261456</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b">
        <f t="shared" si="55"/>
        <v>0</v>
      </c>
      <c r="Z148" s="34" t="e">
        <f>IF(Y148="","",IF(I$8="A",(RANK(Y148,Y$11:Y$368,1)+COUNTIF(Y$11:Y148,Y148)-1),(RANK(Y148,Y$11:Y$368)+COUNTIF(Y$11:Y148,Y148)-1)))</f>
        <v>#N/A</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83.64737913261456</v>
      </c>
      <c r="AY148" s="103"/>
      <c r="AZ148" s="21"/>
    </row>
    <row r="149" spans="1:52">
      <c r="A149" s="56" t="str">
        <f>$D$1&amp;139</f>
        <v>SC139</v>
      </c>
      <c r="B149" s="57">
        <f>IF(ISERROR(VLOOKUP(A149,classifications!A:C,3,FALSE)),0,VLOOKUP(A149,classifications!A:C,3,FALSE))</f>
        <v>0</v>
      </c>
      <c r="C149" s="8" t="s">
        <v>208</v>
      </c>
      <c r="D149" s="26" t="str">
        <f>VLOOKUP($C149,classifications!$C:$J,4,FALSE)</f>
        <v>L</v>
      </c>
      <c r="E149" s="26">
        <f>VLOOKUP(C149,classifications!C:K,9,FALSE)</f>
        <v>0</v>
      </c>
      <c r="F149" s="36">
        <f t="shared" si="50"/>
        <v>82.356060430728292</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b">
        <f t="shared" si="55"/>
        <v>0</v>
      </c>
      <c r="Z149" s="34" t="e">
        <f>IF(Y149="","",IF(I$8="A",(RANK(Y149,Y$11:Y$368,1)+COUNTIF(Y$11:Y149,Y149)-1),(RANK(Y149,Y$11:Y$368)+COUNTIF(Y$11:Y149,Y149)-1)))</f>
        <v>#N/A</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82.356060430728292</v>
      </c>
      <c r="AY149" s="103"/>
      <c r="AZ149" s="21"/>
    </row>
    <row r="150" spans="1:52">
      <c r="A150" s="56" t="str">
        <f>$D$1&amp;140</f>
        <v>SC140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79.906297385362919</v>
      </c>
      <c r="G150" s="71"/>
      <c r="H150" s="37" t="str">
        <f t="shared" si="51"/>
        <v/>
      </c>
      <c r="I150" s="77" t="str">
        <f>IF(H150="","",IF($I$8="A",(RANK(H150,H$11:H$368,1)+COUNTIF(H$11:H150,H150)-1),(RANK(H150,H$11:H$368)+COUNTIF(H$11:H150,H150)-1)))</f>
        <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b">
        <f t="shared" si="55"/>
        <v>0</v>
      </c>
      <c r="Z150" s="34" t="e">
        <f>IF(Y150="","",IF(I$8="A",(RANK(Y150,Y$11:Y$368,1)+COUNTIF(Y$11:Y150,Y150)-1),(RANK(Y150,Y$11:Y$368)+COUNTIF(Y$11:Y150,Y150)-1)))</f>
        <v>#N/A</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79.906297385362919</v>
      </c>
      <c r="AY150" s="103"/>
      <c r="AZ150" s="21"/>
    </row>
    <row r="151" spans="1:52">
      <c r="A151" s="56" t="str">
        <f>$D$1&amp;141</f>
        <v>SC141</v>
      </c>
      <c r="B151" s="57">
        <f>IF(ISERROR(VLOOKUP(A151,classifications!A:C,3,FALSE)),0,VLOOKUP(A151,classifications!A:C,3,FALSE))</f>
        <v>0</v>
      </c>
      <c r="C151" s="8" t="s">
        <v>314</v>
      </c>
      <c r="D151" s="26" t="str">
        <f>VLOOKUP($C151,classifications!$C:$J,4,FALSE)</f>
        <v>SC</v>
      </c>
      <c r="E151" s="26">
        <f>VLOOKUP(C151,classifications!C:K,9,FALSE)</f>
        <v>0</v>
      </c>
      <c r="F151" s="36">
        <f t="shared" si="50"/>
        <v>84.546740883384402</v>
      </c>
      <c r="G151" s="71"/>
      <c r="H151" s="37">
        <f t="shared" si="51"/>
        <v>84.546740883384402</v>
      </c>
      <c r="I151" s="77">
        <f>IF(H151="","",IF($I$8="A",(RANK(H151,H$11:H$368,1)+COUNTIF(H$11:H151,H151)-1),(RANK(H151,H$11:H$368)+COUNTIF(H$11:H151,H151)-1)))</f>
        <v>4</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b">
        <f t="shared" si="55"/>
        <v>0</v>
      </c>
      <c r="Z151" s="34" t="e">
        <f>IF(Y151="","",IF(I$8="A",(RANK(Y151,Y$11:Y$368,1)+COUNTIF(Y$11:Y151,Y151)-1),(RANK(Y151,Y$11:Y$368)+COUNTIF(Y$11:Y151,Y151)-1)))</f>
        <v>#N/A</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84.546740883384402</v>
      </c>
      <c r="AY151" s="103"/>
      <c r="AZ151" s="21"/>
    </row>
    <row r="152" spans="1:52">
      <c r="A152" s="56" t="str">
        <f>$D$1&amp;142</f>
        <v>SC142</v>
      </c>
      <c r="B152" s="57">
        <f>IF(ISERROR(VLOOKUP(A152,classifications!A:C,3,FALSE)),0,VLOOKUP(A152,classifications!A:C,3,FALSE))</f>
        <v>0</v>
      </c>
      <c r="C152" s="8" t="s">
        <v>85</v>
      </c>
      <c r="D152" s="26" t="str">
        <f>VLOOKUP($C152,classifications!$C:$J,4,FALSE)</f>
        <v>SD</v>
      </c>
      <c r="E152" s="26">
        <f>VLOOKUP(C152,classifications!C:K,9,FALSE)</f>
        <v>0</v>
      </c>
      <c r="F152" s="36">
        <f t="shared" si="50"/>
        <v>86.767004660693942</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b">
        <f t="shared" si="55"/>
        <v>0</v>
      </c>
      <c r="Z152" s="34" t="e">
        <f>IF(Y152="","",IF(I$8="A",(RANK(Y152,Y$11:Y$368,1)+COUNTIF(Y$11:Y152,Y152)-1),(RANK(Y152,Y$11:Y$368)+COUNTIF(Y$11:Y152,Y152)-1)))</f>
        <v>#N/A</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86.767004660693942</v>
      </c>
      <c r="AY152" s="103"/>
      <c r="AZ152" s="21"/>
    </row>
    <row r="153" spans="1:52">
      <c r="A153" s="56" t="str">
        <f>$D$1&amp;143</f>
        <v>SC143</v>
      </c>
      <c r="B153" s="57">
        <f>IF(ISERROR(VLOOKUP(A153,classifications!A:C,3,FALSE)),0,VLOOKUP(A153,classifications!A:C,3,FALSE))</f>
        <v>0</v>
      </c>
      <c r="C153" s="8" t="s">
        <v>86</v>
      </c>
      <c r="D153" s="26" t="str">
        <f>VLOOKUP($C153,classifications!$C:$J,4,FALSE)</f>
        <v>SD</v>
      </c>
      <c r="E153" s="26">
        <f>VLOOKUP(C153,classifications!C:K,9,FALSE)</f>
        <v>0</v>
      </c>
      <c r="F153" s="36">
        <f t="shared" si="50"/>
        <v>86.790958981324778</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b">
        <f t="shared" si="55"/>
        <v>0</v>
      </c>
      <c r="Z153" s="34" t="e">
        <f>IF(Y153="","",IF(I$8="A",(RANK(Y153,Y$11:Y$368,1)+COUNTIF(Y$11:Y153,Y153)-1),(RANK(Y153,Y$11:Y$368)+COUNTIF(Y$11:Y153,Y153)-1)))</f>
        <v>#N/A</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86.790958981324778</v>
      </c>
      <c r="AY153" s="103"/>
      <c r="AZ153" s="21"/>
    </row>
    <row r="154" spans="1:52">
      <c r="A154" s="56" t="str">
        <f>$D$1&amp;144</f>
        <v>SC144</v>
      </c>
      <c r="B154" s="57">
        <f>IF(ISERROR(VLOOKUP(A154,classifications!A:C,3,FALSE)),0,VLOOKUP(A154,classifications!A:C,3,FALSE))</f>
        <v>0</v>
      </c>
      <c r="C154" s="8" t="s">
        <v>209</v>
      </c>
      <c r="D154" s="26" t="str">
        <f>VLOOKUP($C154,classifications!$C:$J,4,FALSE)</f>
        <v>L</v>
      </c>
      <c r="E154" s="26">
        <f>VLOOKUP(C154,classifications!C:K,9,FALSE)</f>
        <v>0</v>
      </c>
      <c r="F154" s="36">
        <f t="shared" si="50"/>
        <v>78.753158747871865</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b">
        <f t="shared" si="55"/>
        <v>0</v>
      </c>
      <c r="Z154" s="34" t="e">
        <f>IF(Y154="","",IF(I$8="A",(RANK(Y154,Y$11:Y$368,1)+COUNTIF(Y$11:Y154,Y154)-1),(RANK(Y154,Y$11:Y$368)+COUNTIF(Y$11:Y154,Y154)-1)))</f>
        <v>#N/A</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78.753158747871865</v>
      </c>
      <c r="AY154" s="103"/>
      <c r="AZ154" s="21"/>
    </row>
    <row r="155" spans="1:52">
      <c r="A155" s="56" t="str">
        <f>$D$1&amp;145</f>
        <v>SC145</v>
      </c>
      <c r="B155" s="57">
        <f>IF(ISERROR(VLOOKUP(A155,classifications!A:C,3,FALSE)),0,VLOOKUP(A155,classifications!A:C,3,FALSE))</f>
        <v>0</v>
      </c>
      <c r="C155" s="8" t="s">
        <v>345</v>
      </c>
      <c r="D155" s="26" t="str">
        <f>VLOOKUP($C155,classifications!$C:$J,4,FALSE)</f>
        <v>SD</v>
      </c>
      <c r="E155" s="26">
        <f>VLOOKUP(C155,classifications!C:K,9,FALSE)</f>
        <v>0</v>
      </c>
      <c r="F155" s="36">
        <f t="shared" si="50"/>
        <v>83.662806862085901</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b">
        <f t="shared" si="55"/>
        <v>0</v>
      </c>
      <c r="Z155" s="34" t="e">
        <f>IF(Y155="","",IF(I$8="A",(RANK(Y155,Y$11:Y$368,1)+COUNTIF(Y$11:Y155,Y155)-1),(RANK(Y155,Y$11:Y$368)+COUNTIF(Y$11:Y155,Y155)-1)))</f>
        <v>#N/A</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83.662806862085901</v>
      </c>
      <c r="AY155" s="103"/>
      <c r="AZ155" s="21"/>
    </row>
    <row r="156" spans="1:52">
      <c r="A156" s="56" t="str">
        <f>$D$1&amp;146</f>
        <v>SC146</v>
      </c>
      <c r="B156" s="57">
        <f>IF(ISERROR(VLOOKUP(A156,classifications!A:C,3,FALSE)),0,VLOOKUP(A156,classifications!A:C,3,FALSE))</f>
        <v>0</v>
      </c>
      <c r="C156" s="8" t="s">
        <v>87</v>
      </c>
      <c r="D156" s="26" t="str">
        <f>VLOOKUP($C156,classifications!$C:$J,4,FALSE)</f>
        <v>SD</v>
      </c>
      <c r="E156" s="26">
        <f>VLOOKUP(C156,classifications!C:K,9,FALSE)</f>
        <v>0</v>
      </c>
      <c r="F156" s="36">
        <f t="shared" si="50"/>
        <v>85.215066128773415</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b">
        <f t="shared" si="55"/>
        <v>0</v>
      </c>
      <c r="Z156" s="34" t="e">
        <f>IF(Y156="","",IF(I$8="A",(RANK(Y156,Y$11:Y$368,1)+COUNTIF(Y$11:Y156,Y156)-1),(RANK(Y156,Y$11:Y$368)+COUNTIF(Y$11:Y156,Y156)-1)))</f>
        <v>#N/A</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85.215066128773415</v>
      </c>
      <c r="AY156" s="103"/>
      <c r="AZ156" s="21"/>
    </row>
    <row r="157" spans="1:52">
      <c r="A157" s="56" t="str">
        <f>$D$1&amp;147</f>
        <v>SC147</v>
      </c>
      <c r="B157" s="57">
        <f>IF(ISERROR(VLOOKUP(A157,classifications!A:C,3,FALSE)),0,VLOOKUP(A157,classifications!A:C,3,FALSE))</f>
        <v>0</v>
      </c>
      <c r="C157" s="8" t="s">
        <v>210</v>
      </c>
      <c r="D157" s="26" t="str">
        <f>VLOOKUP($C157,classifications!$C:$J,4,FALSE)</f>
        <v>L</v>
      </c>
      <c r="E157" s="26">
        <f>VLOOKUP(C157,classifications!C:K,9,FALSE)</f>
        <v>0</v>
      </c>
      <c r="F157" s="36">
        <f t="shared" si="50"/>
        <v>77.019316613640257</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b">
        <f t="shared" si="55"/>
        <v>0</v>
      </c>
      <c r="Z157" s="34" t="e">
        <f>IF(Y157="","",IF(I$8="A",(RANK(Y157,Y$11:Y$368,1)+COUNTIF(Y$11:Y157,Y157)-1),(RANK(Y157,Y$11:Y$368)+COUNTIF(Y$11:Y157,Y157)-1)))</f>
        <v>#N/A</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77.019316613640257</v>
      </c>
      <c r="AY157" s="103"/>
      <c r="AZ157" s="21"/>
    </row>
    <row r="158" spans="1:52">
      <c r="A158" s="56" t="str">
        <f>$D$1&amp;148</f>
        <v>SC148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80.452729669141519</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b">
        <f t="shared" si="55"/>
        <v>0</v>
      </c>
      <c r="Z158" s="34" t="e">
        <f>IF(Y158="","",IF(I$8="A",(RANK(Y158,Y$11:Y$368,1)+COUNTIF(Y$11:Y158,Y158)-1),(RANK(Y158,Y$11:Y$368)+COUNTIF(Y$11:Y158,Y158)-1)))</f>
        <v>#N/A</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80.452729669141519</v>
      </c>
      <c r="AY158" s="103"/>
      <c r="AZ158" s="21"/>
    </row>
    <row r="159" spans="1:52">
      <c r="A159" s="56" t="str">
        <f>$D$1&amp;149</f>
        <v>SC149</v>
      </c>
      <c r="B159" s="57">
        <f>IF(ISERROR(VLOOKUP(A159,classifications!A:C,3,FALSE)),0,VLOOKUP(A159,classifications!A:C,3,FALSE))</f>
        <v>0</v>
      </c>
      <c r="C159" s="8" t="s">
        <v>89</v>
      </c>
      <c r="D159" s="26" t="str">
        <f>VLOOKUP($C159,classifications!$C:$J,4,FALSE)</f>
        <v>SD</v>
      </c>
      <c r="E159" s="26">
        <f>VLOOKUP(C159,classifications!C:K,9,FALSE)</f>
        <v>0</v>
      </c>
      <c r="F159" s="36">
        <f t="shared" si="50"/>
        <v>77.551421506656155</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b">
        <f t="shared" si="55"/>
        <v>0</v>
      </c>
      <c r="Z159" s="34" t="e">
        <f>IF(Y159="","",IF(I$8="A",(RANK(Y159,Y$11:Y$368,1)+COUNTIF(Y$11:Y159,Y159)-1),(RANK(Y159,Y$11:Y$368)+COUNTIF(Y$11:Y159,Y159)-1)))</f>
        <v>#N/A</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77.551421506656155</v>
      </c>
      <c r="AY159" s="103"/>
      <c r="AZ159" s="21"/>
    </row>
    <row r="160" spans="1:52">
      <c r="A160" s="56" t="str">
        <f>$D$1&amp;150</f>
        <v>SC150</v>
      </c>
      <c r="B160" s="57">
        <f>IF(ISERROR(VLOOKUP(A160,classifications!A:C,3,FALSE)),0,VLOOKUP(A160,classifications!A:C,3,FALSE))</f>
        <v>0</v>
      </c>
      <c r="C160" s="8" t="s">
        <v>90</v>
      </c>
      <c r="D160" s="26" t="str">
        <f>VLOOKUP($C160,classifications!$C:$J,4,FALSE)</f>
        <v>SD</v>
      </c>
      <c r="E160" s="26">
        <f>VLOOKUP(C160,classifications!C:K,9,FALSE)</f>
        <v>0</v>
      </c>
      <c r="F160" s="36">
        <f t="shared" si="50"/>
        <v>80.378583310933735</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b">
        <f t="shared" si="55"/>
        <v>0</v>
      </c>
      <c r="Z160" s="34" t="e">
        <f>IF(Y160="","",IF(I$8="A",(RANK(Y160,Y$11:Y$368,1)+COUNTIF(Y$11:Y160,Y160)-1),(RANK(Y160,Y$11:Y$368)+COUNTIF(Y$11:Y160,Y160)-1)))</f>
        <v>#N/A</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80.378583310933735</v>
      </c>
      <c r="AY160" s="103"/>
      <c r="AZ160" s="21"/>
    </row>
    <row r="161" spans="1:52">
      <c r="A161" s="56" t="str">
        <f>$D$1&amp;151</f>
        <v>SC151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83.833558960633951</v>
      </c>
      <c r="G161" s="71"/>
      <c r="H161" s="37" t="str">
        <f t="shared" si="51"/>
        <v/>
      </c>
      <c r="I161" s="77" t="str">
        <f>IF(H161="","",IF($I$8="A",(RANK(H161,H$11:H$368,1)+COUNTIF(H$11:H161,H161)-1),(RANK(H161,H$11:H$368)+COUNTIF(H$11:H161,H161)-1)))</f>
        <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b">
        <f t="shared" si="55"/>
        <v>0</v>
      </c>
      <c r="Z161" s="34" t="e">
        <f>IF(Y161="","",IF(I$8="A",(RANK(Y161,Y$11:Y$368,1)+COUNTIF(Y$11:Y161,Y161)-1),(RANK(Y161,Y$11:Y$368)+COUNTIF(Y$11:Y161,Y161)-1)))</f>
        <v>#N/A</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83.833558960633951</v>
      </c>
      <c r="AY161" s="103"/>
      <c r="AZ161" s="21"/>
    </row>
    <row r="162" spans="1:52">
      <c r="A162" s="56" t="str">
        <f>$D$1&amp;152</f>
        <v>SC152</v>
      </c>
      <c r="B162" s="57">
        <f>IF(ISERROR(VLOOKUP(A162,classifications!A:C,3,FALSE)),0,VLOOKUP(A162,classifications!A:C,3,FALSE))</f>
        <v>0</v>
      </c>
      <c r="C162" s="8" t="s">
        <v>2</v>
      </c>
      <c r="D162" s="26">
        <f>VLOOKUP($C162,classifications!$C:$J,4,FALSE)</f>
        <v>0</v>
      </c>
      <c r="E162" s="26">
        <f>VLOOKUP(C162,classifications!C:K,9,FALSE)</f>
        <v>0</v>
      </c>
      <c r="F162" s="36">
        <f t="shared" si="50"/>
        <v>88.756613242205489</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b">
        <f t="shared" si="55"/>
        <v>0</v>
      </c>
      <c r="Z162" s="34" t="e">
        <f>IF(Y162="","",IF(I$8="A",(RANK(Y162,Y$11:Y$368,1)+COUNTIF(Y$11:Y162,Y162)-1),(RANK(Y162,Y$11:Y$368)+COUNTIF(Y$11:Y162,Y162)-1)))</f>
        <v>#N/A</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88.756613242205489</v>
      </c>
      <c r="AY162" s="103"/>
      <c r="AZ162" s="21"/>
    </row>
    <row r="163" spans="1:52">
      <c r="A163" s="56" t="str">
        <f>$D$1&amp;153</f>
        <v>SC153</v>
      </c>
      <c r="B163" s="57">
        <f>IF(ISERROR(VLOOKUP(A163,classifications!A:C,3,FALSE)),0,VLOOKUP(A163,classifications!A:C,3,FALSE))</f>
        <v>0</v>
      </c>
      <c r="C163" s="8" t="s">
        <v>211</v>
      </c>
      <c r="D163" s="26" t="str">
        <f>VLOOKUP($C163,classifications!$C:$J,4,FALSE)</f>
        <v>L</v>
      </c>
      <c r="E163" s="26">
        <f>VLOOKUP(C163,classifications!C:K,9,FALSE)</f>
        <v>0</v>
      </c>
      <c r="F163" s="36">
        <f t="shared" si="50"/>
        <v>86.484786413352055</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b">
        <f t="shared" si="55"/>
        <v>0</v>
      </c>
      <c r="Z163" s="34" t="e">
        <f>IF(Y163="","",IF(I$8="A",(RANK(Y163,Y$11:Y$368,1)+COUNTIF(Y$11:Y163,Y163)-1),(RANK(Y163,Y$11:Y$368)+COUNTIF(Y$11:Y163,Y163)-1)))</f>
        <v>#N/A</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86.484786413352055</v>
      </c>
      <c r="AY163" s="103"/>
      <c r="AZ163" s="21"/>
    </row>
    <row r="164" spans="1:52">
      <c r="A164" s="56" t="str">
        <f>$D$1&amp;154</f>
        <v>SC154</v>
      </c>
      <c r="B164" s="57">
        <f>IF(ISERROR(VLOOKUP(A164,classifications!A:C,3,FALSE)),0,VLOOKUP(A164,classifications!A:C,3,FALSE))</f>
        <v>0</v>
      </c>
      <c r="C164" s="8" t="s">
        <v>337</v>
      </c>
      <c r="D164" s="26" t="str">
        <f>VLOOKUP($C164,classifications!$C:$J,4,FALSE)</f>
        <v>L</v>
      </c>
      <c r="E164" s="26">
        <f>VLOOKUP(C164,classifications!C:K,9,FALSE)</f>
        <v>0</v>
      </c>
      <c r="F164" s="36">
        <f t="shared" si="50"/>
        <v>86.928464667885976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b">
        <f t="shared" si="55"/>
        <v>0</v>
      </c>
      <c r="Z164" s="34" t="e">
        <f>IF(Y164="","",IF(I$8="A",(RANK(Y164,Y$11:Y$368,1)+COUNTIF(Y$11:Y164,Y164)-1),(RANK(Y164,Y$11:Y$368)+COUNTIF(Y$11:Y164,Y164)-1)))</f>
        <v>#N/A</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86.928464667885976</v>
      </c>
      <c r="AY164" s="103"/>
      <c r="AZ164" s="21"/>
    </row>
    <row r="165" spans="1:52">
      <c r="A165" s="56" t="str">
        <f>$D$1&amp;155</f>
        <v>SC155</v>
      </c>
      <c r="B165" s="57">
        <f>IF(ISERROR(VLOOKUP(A165,classifications!A:C,3,FALSE)),0,VLOOKUP(A165,classifications!A:C,3,FALSE))</f>
        <v>0</v>
      </c>
      <c r="C165" s="8" t="s">
        <v>315</v>
      </c>
      <c r="D165" s="26" t="str">
        <f>VLOOKUP($C165,classifications!$C:$J,4,FALSE)</f>
        <v>SC</v>
      </c>
      <c r="E165" s="26">
        <f>VLOOKUP(C165,classifications!C:K,9,FALSE)</f>
        <v>0</v>
      </c>
      <c r="F165" s="36">
        <f t="shared" si="50"/>
        <v>81.97475543901848</v>
      </c>
      <c r="G165" s="71"/>
      <c r="H165" s="37">
        <f t="shared" si="51"/>
        <v>81.97475543901848</v>
      </c>
      <c r="I165" s="77">
        <f>IF(H165="","",IF($I$8="A",(RANK(H165,H$11:H$368,1)+COUNTIF(H$11:H165,H165)-1),(RANK(H165,H$11:H$368)+COUNTIF(H$11:H165,H165)-1)))</f>
        <v>18</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b">
        <f t="shared" si="55"/>
        <v>0</v>
      </c>
      <c r="Z165" s="34" t="e">
        <f>IF(Y165="","",IF(I$8="A",(RANK(Y165,Y$11:Y$368,1)+COUNTIF(Y$11:Y165,Y165)-1),(RANK(Y165,Y$11:Y$368)+COUNTIF(Y$11:Y165,Y165)-1)))</f>
        <v>#N/A</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81.97475543901848</v>
      </c>
      <c r="AY165" s="103"/>
      <c r="AZ165" s="21"/>
    </row>
    <row r="166" spans="1:52">
      <c r="A166" s="56" t="str">
        <f>$D$1&amp;156</f>
        <v>SC156</v>
      </c>
      <c r="B166" s="57">
        <f>IF(ISERROR(VLOOKUP(A166,classifications!A:C,3,FALSE)),0,VLOOKUP(A166,classifications!A:C,3,FALSE))</f>
        <v>0</v>
      </c>
      <c r="C166" s="8" t="s">
        <v>91</v>
      </c>
      <c r="D166" s="26" t="str">
        <f>VLOOKUP($C166,classifications!$C:$J,4,FALSE)</f>
        <v>SD</v>
      </c>
      <c r="E166" s="26">
        <f>VLOOKUP(C166,classifications!C:K,9,FALSE)</f>
        <v>0</v>
      </c>
      <c r="F166" s="36">
        <f t="shared" si="50"/>
        <v>81.117393248129574</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b">
        <f t="shared" si="55"/>
        <v>0</v>
      </c>
      <c r="Z166" s="34" t="e">
        <f>IF(Y166="","",IF(I$8="A",(RANK(Y166,Y$11:Y$368,1)+COUNTIF(Y$11:Y166,Y166)-1),(RANK(Y166,Y$11:Y$368)+COUNTIF(Y$11:Y166,Y166)-1)))</f>
        <v>#N/A</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81.117393248129574</v>
      </c>
      <c r="AY166" s="103"/>
      <c r="AZ166" s="21"/>
    </row>
    <row r="167" spans="1:52">
      <c r="A167" s="56" t="str">
        <f>$D$1&amp;157</f>
        <v>SC157</v>
      </c>
      <c r="B167" s="57">
        <f>IF(ISERROR(VLOOKUP(A167,classifications!A:C,3,FALSE)),0,VLOOKUP(A167,classifications!A:C,3,FALSE))</f>
        <v>0</v>
      </c>
      <c r="C167" s="8" t="s">
        <v>377</v>
      </c>
      <c r="D167" s="26" t="str">
        <f>VLOOKUP($C167,classifications!$C:$J,4,FALSE)</f>
        <v>SD</v>
      </c>
      <c r="E167" s="26" t="str">
        <f>VLOOKUP(C167,classifications!C:K,9,FALSE)</f>
        <v>Sparse</v>
      </c>
      <c r="F167" s="36">
        <f t="shared" si="50"/>
        <v>80.638596603709118</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b">
        <f t="shared" si="55"/>
        <v>0</v>
      </c>
      <c r="Z167" s="34" t="e">
        <f>IF(Y167="","",IF(I$8="A",(RANK(Y167,Y$11:Y$368,1)+COUNTIF(Y$11:Y167,Y167)-1),(RANK(Y167,Y$11:Y$368)+COUNTIF(Y$11:Y167,Y167)-1)))</f>
        <v>#N/A</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80.638596603709118</v>
      </c>
      <c r="AY167" s="103"/>
      <c r="AZ167" s="21"/>
    </row>
    <row r="168" spans="1:52">
      <c r="A168" s="56" t="str">
        <f>$D$1&amp;158</f>
        <v>SC158</v>
      </c>
      <c r="B168" s="57">
        <f>IF(ISERROR(VLOOKUP(A168,classifications!A:C,3,FALSE)),0,VLOOKUP(A168,classifications!A:C,3,FALSE))</f>
        <v>0</v>
      </c>
      <c r="C168" s="8" t="s">
        <v>817</v>
      </c>
      <c r="D168" s="26" t="str">
        <f>VLOOKUP($C168,classifications!$C:$J,4,FALSE)</f>
        <v>UA</v>
      </c>
      <c r="E168" s="26">
        <f>VLOOKUP(C168,classifications!C:K,9,FALSE)</f>
        <v>0</v>
      </c>
      <c r="F168" s="36">
        <f t="shared" si="50"/>
        <v>77.043167515294073</v>
      </c>
      <c r="G168" s="71"/>
      <c r="H168" s="37" t="str">
        <f t="shared" si="51"/>
        <v/>
      </c>
      <c r="I168" s="77" t="str">
        <f>IF(H168="","",IF($I$8="A",(RANK(H168,H$11:H$368,1)+COUNTIF(H$11:H168,H168)-1),(RANK(H168,H$11:H$368)+COUNTIF(H$11:H168,H168)-1)))</f>
        <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b">
        <f t="shared" si="55"/>
        <v>0</v>
      </c>
      <c r="Z168" s="34" t="e">
        <f>IF(Y168="","",IF(I$8="A",(RANK(Y168,Y$11:Y$368,1)+COUNTIF(Y$11:Y168,Y168)-1),(RANK(Y168,Y$11:Y$368)+COUNTIF(Y$11:Y168,Y168)-1)))</f>
        <v>#N/A</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77.043167515294073</v>
      </c>
      <c r="AY168" s="103"/>
      <c r="AZ168" s="21"/>
    </row>
    <row r="169" spans="1:52">
      <c r="A169" s="56" t="str">
        <f>$D$1&amp;159</f>
        <v>SC159</v>
      </c>
      <c r="B169" s="57">
        <f>IF(ISERROR(VLOOKUP(A169,classifications!A:C,3,FALSE)),0,VLOOKUP(A169,classifications!A:C,3,FALSE))</f>
        <v>0</v>
      </c>
      <c r="C169" s="8" t="s">
        <v>393</v>
      </c>
      <c r="D169" s="26" t="str">
        <f>VLOOKUP($C169,classifications!$C:$J,4,FALSE)</f>
        <v>L</v>
      </c>
      <c r="E169" s="26">
        <f>VLOOKUP(C169,classifications!C:K,9,FALSE)</f>
        <v>0</v>
      </c>
      <c r="F169" s="36">
        <f t="shared" si="50"/>
        <v>87.731085674074009</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b">
        <f t="shared" si="55"/>
        <v>0</v>
      </c>
      <c r="Z169" s="34" t="e">
        <f>IF(Y169="","",IF(I$8="A",(RANK(Y169,Y$11:Y$368,1)+COUNTIF(Y$11:Y169,Y169)-1),(RANK(Y169,Y$11:Y$368)+COUNTIF(Y$11:Y169,Y169)-1)))</f>
        <v>#N/A</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87.731085674074009</v>
      </c>
      <c r="AY169" s="103"/>
      <c r="AZ169" s="21"/>
    </row>
    <row r="170" spans="1:52">
      <c r="A170" s="56" t="str">
        <f>$D$1&amp;160</f>
        <v>SC160</v>
      </c>
      <c r="B170" s="57">
        <f>IF(ISERROR(VLOOKUP(A170,classifications!A:C,3,FALSE)),0,VLOOKUP(A170,classifications!A:C,3,FALSE))</f>
        <v>0</v>
      </c>
      <c r="C170" s="8" t="s">
        <v>232</v>
      </c>
      <c r="D170" s="26" t="str">
        <f>VLOOKUP($C170,classifications!$C:$J,4,FALSE)</f>
        <v>MD</v>
      </c>
      <c r="E170" s="26">
        <f>VLOOKUP(C170,classifications!C:K,9,FALSE)</f>
        <v>0</v>
      </c>
      <c r="F170" s="36">
        <f t="shared" si="50"/>
        <v>75.564248442620439</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b">
        <f t="shared" si="55"/>
        <v>0</v>
      </c>
      <c r="Z170" s="34" t="e">
        <f>IF(Y170="","",IF(I$8="A",(RANK(Y170,Y$11:Y$368,1)+COUNTIF(Y$11:Y170,Y170)-1),(RANK(Y170,Y$11:Y$368)+COUNTIF(Y$11:Y170,Y170)-1)))</f>
        <v>#N/A</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75.564248442620439</v>
      </c>
      <c r="AY170" s="103"/>
      <c r="AZ170" s="21"/>
    </row>
    <row r="171" spans="1:52">
      <c r="A171" s="56" t="str">
        <f>$D$1&amp;161</f>
        <v>SC161</v>
      </c>
      <c r="B171" s="57">
        <f>IF(ISERROR(VLOOKUP(A171,classifications!A:C,3,FALSE)),0,VLOOKUP(A171,classifications!A:C,3,FALSE))</f>
        <v>0</v>
      </c>
      <c r="C171" s="8" t="s">
        <v>233</v>
      </c>
      <c r="D171" s="26" t="str">
        <f>VLOOKUP($C171,classifications!$C:$J,4,FALSE)</f>
        <v>MD</v>
      </c>
      <c r="E171" s="26">
        <f>VLOOKUP(C171,classifications!C:K,9,FALSE)</f>
        <v>0</v>
      </c>
      <c r="F171" s="36">
        <f t="shared" si="50"/>
        <v>75.725846653917898</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b">
        <f t="shared" si="55"/>
        <v>0</v>
      </c>
      <c r="Z171" s="34" t="e">
        <f>IF(Y171="","",IF(I$8="A",(RANK(Y171,Y$11:Y$368,1)+COUNTIF(Y$11:Y171,Y171)-1),(RANK(Y171,Y$11:Y$368)+COUNTIF(Y$11:Y171,Y171)-1)))</f>
        <v>#N/A</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75.725846653917898</v>
      </c>
      <c r="AY171" s="103"/>
      <c r="AZ171" s="21"/>
    </row>
    <row r="172" spans="1:52">
      <c r="A172" s="56" t="str">
        <f>$D$1&amp;162</f>
        <v>SC162</v>
      </c>
      <c r="B172" s="57">
        <f>IF(ISERROR(VLOOKUP(A172,classifications!A:C,3,FALSE)),0,VLOOKUP(A172,classifications!A:C,3,FALSE))</f>
        <v>0</v>
      </c>
      <c r="C172" s="8" t="s">
        <v>212</v>
      </c>
      <c r="D172" s="26" t="str">
        <f>VLOOKUP($C172,classifications!$C:$J,4,FALSE)</f>
        <v>L</v>
      </c>
      <c r="E172" s="26">
        <f>VLOOKUP(C172,classifications!C:K,9,FALSE)</f>
        <v>0</v>
      </c>
      <c r="F172" s="36">
        <f t="shared" si="50"/>
        <v>86.413932687990538</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b">
        <f t="shared" si="55"/>
        <v>0</v>
      </c>
      <c r="Z172" s="34" t="e">
        <f>IF(Y172="","",IF(I$8="A",(RANK(Y172,Y$11:Y$368,1)+COUNTIF(Y$11:Y172,Y172)-1),(RANK(Y172,Y$11:Y$368)+COUNTIF(Y$11:Y172,Y172)-1)))</f>
        <v>#N/A</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86.413932687990538</v>
      </c>
      <c r="AY172" s="103"/>
      <c r="AZ172" s="21"/>
    </row>
    <row r="173" spans="1:52">
      <c r="A173" s="56" t="str">
        <f>$D$1&amp;163</f>
        <v>SC163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80.040045724221116</v>
      </c>
      <c r="G173" s="71"/>
      <c r="H173" s="37">
        <f t="shared" si="51"/>
        <v>80.040045724221116</v>
      </c>
      <c r="I173" s="77">
        <f>IF(H173="","",IF($I$8="A",(RANK(H173,H$11:H$368,1)+COUNTIF(H$11:H173,H173)-1),(RANK(H173,H$11:H$368)+COUNTIF(H$11:H173,H173)-1)))</f>
        <v>22</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b">
        <f t="shared" si="55"/>
        <v>0</v>
      </c>
      <c r="Z173" s="34" t="e">
        <f>IF(Y173="","",IF(I$8="A",(RANK(Y173,Y$11:Y$368,1)+COUNTIF(Y$11:Y173,Y173)-1),(RANK(Y173,Y$11:Y$368)+COUNTIF(Y$11:Y173,Y173)-1)))</f>
        <v>#N/A</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80.040045724221116</v>
      </c>
      <c r="AY173" s="103"/>
      <c r="AZ173" s="21"/>
    </row>
    <row r="174" spans="1:52">
      <c r="A174" s="56" t="str">
        <f>$D$1&amp;164</f>
        <v>SC164</v>
      </c>
      <c r="B174" s="57">
        <f>IF(ISERROR(VLOOKUP(A174,classifications!A:C,3,FALSE)),0,VLOOKUP(A174,classifications!A:C,3,FALSE))</f>
        <v>0</v>
      </c>
      <c r="C174" s="8" t="s">
        <v>92</v>
      </c>
      <c r="D174" s="26" t="str">
        <f>VLOOKUP($C174,classifications!$C:$J,4,FALSE)</f>
        <v>SD</v>
      </c>
      <c r="E174" s="26">
        <f>VLOOKUP(C174,classifications!C:K,9,FALSE)</f>
        <v>0</v>
      </c>
      <c r="F174" s="36">
        <f t="shared" si="50"/>
        <v>86.124289461765642</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b">
        <f t="shared" si="55"/>
        <v>0</v>
      </c>
      <c r="Z174" s="34" t="e">
        <f>IF(Y174="","",IF(I$8="A",(RANK(Y174,Y$11:Y$368,1)+COUNTIF(Y$11:Y174,Y174)-1),(RANK(Y174,Y$11:Y$368)+COUNTIF(Y$11:Y174,Y174)-1)))</f>
        <v>#N/A</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86.124289461765642</v>
      </c>
      <c r="AY174" s="103"/>
      <c r="AZ174" s="21"/>
    </row>
    <row r="175" spans="1:52">
      <c r="A175" s="56" t="str">
        <f>$D$1&amp;165</f>
        <v>SC165</v>
      </c>
      <c r="B175" s="57">
        <f>IF(ISERROR(VLOOKUP(A175,classifications!A:C,3,FALSE)),0,VLOOKUP(A175,classifications!A:C,3,FALSE))</f>
        <v>0</v>
      </c>
      <c r="C175" s="8" t="s">
        <v>234</v>
      </c>
      <c r="D175" s="26" t="str">
        <f>VLOOKUP($C175,classifications!$C:$J,4,FALSE)</f>
        <v>MD</v>
      </c>
      <c r="E175" s="26">
        <f>VLOOKUP(C175,classifications!C:K,9,FALSE)</f>
        <v>0</v>
      </c>
      <c r="F175" s="36">
        <f t="shared" si="50"/>
        <v>82.980296031033774</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b">
        <f t="shared" si="55"/>
        <v>0</v>
      </c>
      <c r="Z175" s="34" t="e">
        <f>IF(Y175="","",IF(I$8="A",(RANK(Y175,Y$11:Y$368,1)+COUNTIF(Y$11:Y175,Y175)-1),(RANK(Y175,Y$11:Y$368)+COUNTIF(Y$11:Y175,Y175)-1)))</f>
        <v>#N/A</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82.980296031033774</v>
      </c>
      <c r="AY175" s="103"/>
      <c r="AZ175" s="21"/>
    </row>
    <row r="176" spans="1:52">
      <c r="A176" s="56" t="str">
        <f>$D$1&amp;166</f>
        <v>SC166</v>
      </c>
      <c r="B176" s="57">
        <f>IF(ISERROR(VLOOKUP(A176,classifications!A:C,3,FALSE)),0,VLOOKUP(A176,classifications!A:C,3,FALSE))</f>
        <v>0</v>
      </c>
      <c r="C176" s="8" t="s">
        <v>271</v>
      </c>
      <c r="D176" s="26" t="str">
        <f>VLOOKUP($C176,classifications!$C:$J,4,FALSE)</f>
        <v>UA</v>
      </c>
      <c r="E176" s="26">
        <f>VLOOKUP(C176,classifications!C:K,9,FALSE)</f>
        <v>0</v>
      </c>
      <c r="F176" s="36">
        <f t="shared" si="50"/>
        <v>75.723490305633817</v>
      </c>
      <c r="G176" s="71"/>
      <c r="H176" s="37" t="str">
        <f t="shared" si="51"/>
        <v/>
      </c>
      <c r="I176" s="77" t="str">
        <f>IF(H176="","",IF($I$8="A",(RANK(H176,H$11:H$368,1)+COUNTIF(H$11:H176,H176)-1),(RANK(H176,H$11:H$368)+COUNTIF(H$11:H176,H176)-1)))</f>
        <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b">
        <f t="shared" si="55"/>
        <v>0</v>
      </c>
      <c r="Z176" s="34" t="e">
        <f>IF(Y176="","",IF(I$8="A",(RANK(Y176,Y$11:Y$368,1)+COUNTIF(Y$11:Y176,Y176)-1),(RANK(Y176,Y$11:Y$368)+COUNTIF(Y$11:Y176,Y176)-1)))</f>
        <v>#N/A</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75.723490305633817</v>
      </c>
      <c r="AY176" s="103"/>
      <c r="AZ176" s="21"/>
    </row>
    <row r="177" spans="1:52">
      <c r="A177" s="56" t="str">
        <f>$D$1&amp;167</f>
        <v>SC167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82.463591325799086</v>
      </c>
      <c r="G177" s="71"/>
      <c r="H177" s="37">
        <f t="shared" si="51"/>
        <v>82.463591325799086</v>
      </c>
      <c r="I177" s="77">
        <f>IF(H177="","",IF($I$8="A",(RANK(H177,H$11:H$368,1)+COUNTIF(H$11:H177,H177)-1),(RANK(H177,H$11:H$368)+COUNTIF(H$11:H177,H177)-1)))</f>
        <v>16</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b">
        <f t="shared" si="55"/>
        <v>0</v>
      </c>
      <c r="Z177" s="34" t="e">
        <f>IF(Y177="","",IF(I$8="A",(RANK(Y177,Y$11:Y$368,1)+COUNTIF(Y$11:Y177,Y177)-1),(RANK(Y177,Y$11:Y$368)+COUNTIF(Y$11:Y177,Y177)-1)))</f>
        <v>#N/A</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82.463591325799086</v>
      </c>
      <c r="AY177" s="103"/>
      <c r="AZ177" s="21"/>
    </row>
    <row r="178" spans="1:52">
      <c r="A178" s="56" t="str">
        <f>$D$1&amp;168</f>
        <v>SC168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85.054382684796764</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b">
        <f t="shared" si="55"/>
        <v>0</v>
      </c>
      <c r="Z178" s="34" t="e">
        <f>IF(Y178="","",IF(I$8="A",(RANK(Y178,Y$11:Y$368,1)+COUNTIF(Y$11:Y178,Y178)-1),(RANK(Y178,Y$11:Y$368)+COUNTIF(Y$11:Y178,Y178)-1)))</f>
        <v>#N/A</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85.054382684796764</v>
      </c>
      <c r="AY178" s="103"/>
      <c r="AZ178" s="21"/>
    </row>
    <row r="179" spans="1:52">
      <c r="A179" s="56" t="str">
        <f>$D$1&amp;169</f>
        <v>SC169</v>
      </c>
      <c r="B179" s="57">
        <f>IF(ISERROR(VLOOKUP(A179,classifications!A:C,3,FALSE)),0,VLOOKUP(A179,classifications!A:C,3,FALSE))</f>
        <v>0</v>
      </c>
      <c r="C179" s="8" t="s">
        <v>213</v>
      </c>
      <c r="D179" s="26" t="str">
        <f>VLOOKUP($C179,classifications!$C:$J,4,FALSE)</f>
        <v>L</v>
      </c>
      <c r="E179" s="26">
        <f>VLOOKUP(C179,classifications!C:K,9,FALSE)</f>
        <v>0</v>
      </c>
      <c r="F179" s="36">
        <f t="shared" si="50"/>
        <v>87.252054655694749</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b">
        <f t="shared" si="55"/>
        <v>0</v>
      </c>
      <c r="Z179" s="34" t="e">
        <f>IF(Y179="","",IF(I$8="A",(RANK(Y179,Y$11:Y$368,1)+COUNTIF(Y$11:Y179,Y179)-1),(RANK(Y179,Y$11:Y$368)+COUNTIF(Y$11:Y179,Y179)-1)))</f>
        <v>#N/A</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87.252054655694749</v>
      </c>
      <c r="AY179" s="103"/>
      <c r="AZ179" s="21"/>
    </row>
    <row r="180" spans="1:52">
      <c r="A180" s="56" t="str">
        <f>$D$1&amp;170</f>
        <v>SC170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81.685036915300657</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b">
        <f t="shared" si="55"/>
        <v>0</v>
      </c>
      <c r="Z180" s="34" t="e">
        <f>IF(Y180="","",IF(I$8="A",(RANK(Y180,Y$11:Y$368,1)+COUNTIF(Y$11:Y180,Y180)-1),(RANK(Y180,Y$11:Y$368)+COUNTIF(Y$11:Y180,Y180)-1)))</f>
        <v>#N/A</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81.685036915300657</v>
      </c>
      <c r="AY180" s="103"/>
      <c r="AZ180" s="21"/>
    </row>
    <row r="181" spans="1:52">
      <c r="A181" s="56" t="str">
        <f>$D$1&amp;171</f>
        <v>SC171</v>
      </c>
      <c r="B181" s="57">
        <f>IF(ISERROR(VLOOKUP(A181,classifications!A:C,3,FALSE)),0,VLOOKUP(A181,classifications!A:C,3,FALSE))</f>
        <v>0</v>
      </c>
      <c r="C181" s="8" t="s">
        <v>95</v>
      </c>
      <c r="D181" s="26" t="str">
        <f>VLOOKUP($C181,classifications!$C:$J,4,FALSE)</f>
        <v>SD</v>
      </c>
      <c r="E181" s="26">
        <f>VLOOKUP(C181,classifications!C:K,9,FALSE)</f>
        <v>0</v>
      </c>
      <c r="F181" s="36">
        <f t="shared" si="50"/>
        <v>81.305855513372521</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b">
        <f t="shared" si="55"/>
        <v>0</v>
      </c>
      <c r="Z181" s="34" t="e">
        <f>IF(Y181="","",IF(I$8="A",(RANK(Y181,Y$11:Y$368,1)+COUNTIF(Y$11:Y181,Y181)-1),(RANK(Y181,Y$11:Y$368)+COUNTIF(Y$11:Y181,Y181)-1)))</f>
        <v>#N/A</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81.305855513372521</v>
      </c>
      <c r="AY181" s="103"/>
      <c r="AZ181" s="21"/>
    </row>
    <row r="182" spans="1:52">
      <c r="A182" s="56" t="str">
        <f>$D$1&amp;172</f>
        <v>SC172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78.211534177467797</v>
      </c>
      <c r="G182" s="71"/>
      <c r="H182" s="37">
        <f t="shared" si="51"/>
        <v>78.211534177467797</v>
      </c>
      <c r="I182" s="77">
        <f>IF(H182="","",IF($I$8="A",(RANK(H182,H$11:H$368,1)+COUNTIF(H$11:H182,H182)-1),(RANK(H182,H$11:H$368)+COUNTIF(H$11:H182,H182)-1)))</f>
        <v>25</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b">
        <f t="shared" si="55"/>
        <v>0</v>
      </c>
      <c r="Z182" s="34" t="e">
        <f>IF(Y182="","",IF(I$8="A",(RANK(Y182,Y$11:Y$368,1)+COUNTIF(Y$11:Y182,Y182)-1),(RANK(Y182,Y$11:Y$368)+COUNTIF(Y$11:Y182,Y182)-1)))</f>
        <v>#N/A</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78.211534177467797</v>
      </c>
      <c r="AY182" s="103"/>
      <c r="AZ182" s="21"/>
    </row>
    <row r="183" spans="1:52">
      <c r="A183" s="56" t="str">
        <f>$D$1&amp;173</f>
        <v>SC173</v>
      </c>
      <c r="B183" s="57">
        <f>IF(ISERROR(VLOOKUP(A183,classifications!A:C,3,FALSE)),0,VLOOKUP(A183,classifications!A:C,3,FALSE))</f>
        <v>0</v>
      </c>
      <c r="C183" s="8" t="s">
        <v>235</v>
      </c>
      <c r="D183" s="26" t="str">
        <f>VLOOKUP($C183,classifications!$C:$J,4,FALSE)</f>
        <v>MD</v>
      </c>
      <c r="E183" s="26">
        <f>VLOOKUP(C183,classifications!C:K,9,FALSE)</f>
        <v>0</v>
      </c>
      <c r="F183" s="36">
        <f t="shared" si="50"/>
        <v>80.332786065105097</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b">
        <f t="shared" si="55"/>
        <v>0</v>
      </c>
      <c r="Z183" s="34" t="e">
        <f>IF(Y183="","",IF(I$8="A",(RANK(Y183,Y$11:Y$368,1)+COUNTIF(Y$11:Y183,Y183)-1),(RANK(Y183,Y$11:Y$368)+COUNTIF(Y$11:Y183,Y183)-1)))</f>
        <v>#N/A</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80.332786065105097</v>
      </c>
      <c r="AY183" s="103"/>
      <c r="AZ183" s="21"/>
    </row>
    <row r="184" spans="1:52">
      <c r="A184" s="56" t="str">
        <f>$D$1&amp;174</f>
        <v>SC174</v>
      </c>
      <c r="B184" s="57">
        <f>IF(ISERROR(VLOOKUP(A184,classifications!A:C,3,FALSE)),0,VLOOKUP(A184,classifications!A:C,3,FALSE))</f>
        <v>0</v>
      </c>
      <c r="C184" s="8" t="s">
        <v>272</v>
      </c>
      <c r="D184" s="26" t="str">
        <f>VLOOKUP($C184,classifications!$C:$J,4,FALSE)</f>
        <v>UA</v>
      </c>
      <c r="E184" s="26">
        <f>VLOOKUP(C184,classifications!C:K,9,FALSE)</f>
        <v>0</v>
      </c>
      <c r="F184" s="36">
        <f t="shared" si="50"/>
        <v>70.445250278475953</v>
      </c>
      <c r="G184" s="71"/>
      <c r="H184" s="37" t="str">
        <f t="shared" si="51"/>
        <v/>
      </c>
      <c r="I184" s="77" t="str">
        <f>IF(H184="","",IF($I$8="A",(RANK(H184,H$11:H$368,1)+COUNTIF(H$11:H184,H184)-1),(RANK(H184,H$11:H$368)+COUNTIF(H$11:H184,H184)-1)))</f>
        <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b">
        <f t="shared" si="55"/>
        <v>0</v>
      </c>
      <c r="Z184" s="34" t="e">
        <f>IF(Y184="","",IF(I$8="A",(RANK(Y184,Y$11:Y$368,1)+COUNTIF(Y$11:Y184,Y184)-1),(RANK(Y184,Y$11:Y$368)+COUNTIF(Y$11:Y184,Y184)-1)))</f>
        <v>#N/A</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70.445250278475953</v>
      </c>
      <c r="AY184" s="103"/>
      <c r="AZ184" s="21"/>
    </row>
    <row r="185" spans="1:52">
      <c r="A185" s="56" t="str">
        <f>$D$1&amp;175</f>
        <v>SC175</v>
      </c>
      <c r="B185" s="57">
        <f>IF(ISERROR(VLOOKUP(A185,classifications!A:C,3,FALSE)),0,VLOOKUP(A185,classifications!A:C,3,FALSE))</f>
        <v>0</v>
      </c>
      <c r="C185" s="8" t="s">
        <v>96</v>
      </c>
      <c r="D185" s="26" t="str">
        <f>VLOOKUP($C185,classifications!$C:$J,4,FALSE)</f>
        <v>SD</v>
      </c>
      <c r="E185" s="26">
        <f>VLOOKUP(C185,classifications!C:K,9,FALSE)</f>
        <v>0</v>
      </c>
      <c r="F185" s="36">
        <f t="shared" si="50"/>
        <v>79.493690785563018</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b">
        <f t="shared" si="55"/>
        <v>0</v>
      </c>
      <c r="Z185" s="34" t="e">
        <f>IF(Y185="","",IF(I$8="A",(RANK(Y185,Y$11:Y$368,1)+COUNTIF(Y$11:Y185,Y185)-1),(RANK(Y185,Y$11:Y$368)+COUNTIF(Y$11:Y185,Y185)-1)))</f>
        <v>#N/A</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79.493690785563018</v>
      </c>
      <c r="AY185" s="103"/>
      <c r="AZ185" s="21"/>
    </row>
    <row r="186" spans="1:52">
      <c r="A186" s="56" t="str">
        <f>$D$1&amp;176</f>
        <v>SC176</v>
      </c>
      <c r="B186" s="57">
        <f>IF(ISERROR(VLOOKUP(A186,classifications!A:C,3,FALSE)),0,VLOOKUP(A186,classifications!A:C,3,FALSE))</f>
        <v>0</v>
      </c>
      <c r="C186" s="8" t="s">
        <v>97</v>
      </c>
      <c r="D186" s="26" t="str">
        <f>VLOOKUP($C186,classifications!$C:$J,4,FALSE)</f>
        <v>SD</v>
      </c>
      <c r="E186" s="26">
        <f>VLOOKUP(C186,classifications!C:K,9,FALSE)</f>
        <v>0</v>
      </c>
      <c r="F186" s="36">
        <f t="shared" si="50"/>
        <v>83.768341906905448</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b">
        <f t="shared" si="55"/>
        <v>0</v>
      </c>
      <c r="Z186" s="34" t="e">
        <f>IF(Y186="","",IF(I$8="A",(RANK(Y186,Y$11:Y$368,1)+COUNTIF(Y$11:Y186,Y186)-1),(RANK(Y186,Y$11:Y$368)+COUNTIF(Y$11:Y186,Y186)-1)))</f>
        <v>#N/A</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83.768341906905448</v>
      </c>
      <c r="AY186" s="103"/>
      <c r="AZ186" s="21"/>
    </row>
    <row r="187" spans="1:52">
      <c r="A187" s="56" t="str">
        <f>$D$1&amp;177</f>
        <v>SC177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86.323077218978213</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b">
        <f t="shared" si="55"/>
        <v>0</v>
      </c>
      <c r="Z187" s="34" t="e">
        <f>IF(Y187="","",IF(I$8="A",(RANK(Y187,Y$11:Y$368,1)+COUNTIF(Y$11:Y187,Y187)-1),(RANK(Y187,Y$11:Y$368)+COUNTIF(Y$11:Y187,Y187)-1)))</f>
        <v>#N/A</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86.323077218978213</v>
      </c>
      <c r="AY187" s="103"/>
      <c r="AZ187" s="21"/>
    </row>
    <row r="188" spans="1:52">
      <c r="A188" s="56" t="str">
        <f>$D$1&amp;178</f>
        <v>SC178</v>
      </c>
      <c r="B188" s="57">
        <f>IF(ISERROR(VLOOKUP(A188,classifications!A:C,3,FALSE)),0,VLOOKUP(A188,classifications!A:C,3,FALSE))</f>
        <v>0</v>
      </c>
      <c r="C188" s="8" t="s">
        <v>236</v>
      </c>
      <c r="D188" s="26" t="str">
        <f>VLOOKUP($C188,classifications!$C:$J,4,FALSE)</f>
        <v>MD</v>
      </c>
      <c r="E188" s="26">
        <f>VLOOKUP(C188,classifications!C:K,9,FALSE)</f>
        <v>0</v>
      </c>
      <c r="F188" s="36">
        <f t="shared" si="50"/>
        <v>78.19634629350422</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b">
        <f t="shared" si="55"/>
        <v>0</v>
      </c>
      <c r="Z188" s="34" t="e">
        <f>IF(Y188="","",IF(I$8="A",(RANK(Y188,Y$11:Y$368,1)+COUNTIF(Y$11:Y188,Y188)-1),(RANK(Y188,Y$11:Y$368)+COUNTIF(Y$11:Y188,Y188)-1)))</f>
        <v>#N/A</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78.19634629350422</v>
      </c>
      <c r="AY188" s="103"/>
      <c r="AZ188" s="21"/>
    </row>
    <row r="189" spans="1:52">
      <c r="A189" s="56" t="str">
        <f>$D$1&amp;179</f>
        <v>SC179</v>
      </c>
      <c r="B189" s="57">
        <f>IF(ISERROR(VLOOKUP(A189,classifications!A:C,3,FALSE)),0,VLOOKUP(A189,classifications!A:C,3,FALSE))</f>
        <v>0</v>
      </c>
      <c r="C189" s="8" t="s">
        <v>99</v>
      </c>
      <c r="D189" s="26" t="str">
        <f>VLOOKUP($C189,classifications!$C:$J,4,FALSE)</f>
        <v>SD</v>
      </c>
      <c r="E189" s="26">
        <f>VLOOKUP(C189,classifications!C:K,9,FALSE)</f>
        <v>0</v>
      </c>
      <c r="F189" s="36">
        <f t="shared" si="50"/>
        <v>74.692429033356589</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b">
        <f t="shared" si="55"/>
        <v>0</v>
      </c>
      <c r="Z189" s="34" t="e">
        <f>IF(Y189="","",IF(I$8="A",(RANK(Y189,Y$11:Y$368,1)+COUNTIF(Y$11:Y189,Y189)-1),(RANK(Y189,Y$11:Y$368)+COUNTIF(Y$11:Y189,Y189)-1)))</f>
        <v>#N/A</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74.692429033356589</v>
      </c>
      <c r="AY189" s="103"/>
      <c r="AZ189" s="21"/>
    </row>
    <row r="190" spans="1:52">
      <c r="A190" s="56" t="str">
        <f>$D$1&amp;180</f>
        <v>SC180</v>
      </c>
      <c r="B190" s="57">
        <f>IF(ISERROR(VLOOKUP(A190,classifications!A:C,3,FALSE)),0,VLOOKUP(A190,classifications!A:C,3,FALSE))</f>
        <v>0</v>
      </c>
      <c r="C190" s="8" t="s">
        <v>273</v>
      </c>
      <c r="D190" s="26" t="str">
        <f>VLOOKUP($C190,classifications!$C:$J,4,FALSE)</f>
        <v>UA</v>
      </c>
      <c r="E190" s="26">
        <f>VLOOKUP(C190,classifications!C:K,9,FALSE)</f>
        <v>0</v>
      </c>
      <c r="F190" s="36">
        <f t="shared" si="50"/>
        <v>77.146657569100753</v>
      </c>
      <c r="G190" s="71"/>
      <c r="H190" s="37" t="str">
        <f t="shared" si="51"/>
        <v/>
      </c>
      <c r="I190" s="77" t="str">
        <f>IF(H190="","",IF($I$8="A",(RANK(H190,H$11:H$368,1)+COUNTIF(H$11:H190,H190)-1),(RANK(H190,H$11:H$368)+COUNTIF(H$11:H190,H190)-1)))</f>
        <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b">
        <f t="shared" si="55"/>
        <v>0</v>
      </c>
      <c r="Z190" s="34" t="e">
        <f>IF(Y190="","",IF(I$8="A",(RANK(Y190,Y$11:Y$368,1)+COUNTIF(Y$11:Y190,Y190)-1),(RANK(Y190,Y$11:Y$368)+COUNTIF(Y$11:Y190,Y190)-1)))</f>
        <v>#N/A</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77.146657569100753</v>
      </c>
      <c r="AY190" s="103"/>
      <c r="AZ190" s="21"/>
    </row>
    <row r="191" spans="1:52">
      <c r="A191" s="56" t="str">
        <f>$D$1&amp;181</f>
        <v>SC181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81.684854523733151</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b">
        <f t="shared" si="55"/>
        <v>0</v>
      </c>
      <c r="Z191" s="34" t="e">
        <f>IF(Y191="","",IF(I$8="A",(RANK(Y191,Y$11:Y$368,1)+COUNTIF(Y$11:Y191,Y191)-1),(RANK(Y191,Y$11:Y$368)+COUNTIF(Y$11:Y191,Y191)-1)))</f>
        <v>#N/A</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81.684854523733151</v>
      </c>
      <c r="AY191" s="103"/>
      <c r="AZ191" s="21"/>
    </row>
    <row r="192" spans="1:52">
      <c r="A192" s="56" t="str">
        <f>$D$1&amp;182</f>
        <v>SC182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86.158562537308995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b">
        <f t="shared" si="55"/>
        <v>0</v>
      </c>
      <c r="Z192" s="34" t="e">
        <f>IF(Y192="","",IF(I$8="A",(RANK(Y192,Y$11:Y$368,1)+COUNTIF(Y$11:Y192,Y192)-1),(RANK(Y192,Y$11:Y$368)+COUNTIF(Y$11:Y192,Y192)-1)))</f>
        <v>#N/A</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86.158562537308995</v>
      </c>
      <c r="AY192" s="103"/>
      <c r="AZ192" s="21"/>
    </row>
    <row r="193" spans="1:52">
      <c r="A193" s="56" t="str">
        <f>$D$1&amp;183</f>
        <v>SC183</v>
      </c>
      <c r="B193" s="57">
        <f>IF(ISERROR(VLOOKUP(A193,classifications!A:C,3,FALSE)),0,VLOOKUP(A193,classifications!A:C,3,FALSE))</f>
        <v>0</v>
      </c>
      <c r="C193" s="8" t="s">
        <v>214</v>
      </c>
      <c r="D193" s="26" t="str">
        <f>VLOOKUP($C193,classifications!$C:$J,4,FALSE)</f>
        <v>L</v>
      </c>
      <c r="E193" s="26">
        <f>VLOOKUP(C193,classifications!C:K,9,FALSE)</f>
        <v>0</v>
      </c>
      <c r="F193" s="36">
        <f t="shared" si="50"/>
        <v>85.828588747647387</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b">
        <f t="shared" si="55"/>
        <v>0</v>
      </c>
      <c r="Z193" s="34" t="e">
        <f>IF(Y193="","",IF(I$8="A",(RANK(Y193,Y$11:Y$368,1)+COUNTIF(Y$11:Y193,Y193)-1),(RANK(Y193,Y$11:Y$368)+COUNTIF(Y$11:Y193,Y193)-1)))</f>
        <v>#N/A</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85.828588747647387</v>
      </c>
      <c r="AY193" s="103"/>
      <c r="AZ193" s="21"/>
    </row>
    <row r="194" spans="1:52">
      <c r="A194" s="56" t="str">
        <f>$D$1&amp;184</f>
        <v>SC184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87.858171031059385</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b">
        <f t="shared" si="55"/>
        <v>0</v>
      </c>
      <c r="Z194" s="34" t="e">
        <f>IF(Y194="","",IF(I$8="A",(RANK(Y194,Y$11:Y$368,1)+COUNTIF(Y$11:Y194,Y194)-1),(RANK(Y194,Y$11:Y$368)+COUNTIF(Y$11:Y194,Y194)-1)))</f>
        <v>#N/A</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87.858171031059385</v>
      </c>
      <c r="AY194" s="103"/>
      <c r="AZ194" s="21"/>
    </row>
    <row r="195" spans="1:52">
      <c r="A195" s="56" t="str">
        <f>$D$1&amp;185</f>
        <v>SC185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86.064138133544859</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b">
        <f t="shared" si="55"/>
        <v>0</v>
      </c>
      <c r="Z195" s="34" t="e">
        <f>IF(Y195="","",IF(I$8="A",(RANK(Y195,Y$11:Y$368,1)+COUNTIF(Y$11:Y195,Y195)-1),(RANK(Y195,Y$11:Y$368)+COUNTIF(Y$11:Y195,Y195)-1)))</f>
        <v>#N/A</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86.064138133544859</v>
      </c>
      <c r="AY195" s="103"/>
      <c r="AZ195" s="21"/>
    </row>
    <row r="196" spans="1:52">
      <c r="A196" s="56" t="str">
        <f>$D$1&amp;186</f>
        <v>SC186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88.090950078857276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b">
        <f t="shared" si="55"/>
        <v>0</v>
      </c>
      <c r="Z196" s="34" t="e">
        <f>IF(Y196="","",IF(I$8="A",(RANK(Y196,Y$11:Y$368,1)+COUNTIF(Y$11:Y196,Y196)-1),(RANK(Y196,Y$11:Y$368)+COUNTIF(Y$11:Y196,Y196)-1)))</f>
        <v>#N/A</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88.090950078857276</v>
      </c>
      <c r="AY196" s="103"/>
      <c r="AZ196" s="21"/>
    </row>
    <row r="197" spans="1:52">
      <c r="A197" s="56" t="str">
        <f>$D$1&amp;187</f>
        <v>SC187</v>
      </c>
      <c r="B197" s="57">
        <f>IF(ISERROR(VLOOKUP(A197,classifications!A:C,3,FALSE)),0,VLOOKUP(A197,classifications!A:C,3,FALSE))</f>
        <v>0</v>
      </c>
      <c r="C197" s="8" t="s">
        <v>274</v>
      </c>
      <c r="D197" s="26" t="str">
        <f>VLOOKUP($C197,classifications!$C:$J,4,FALSE)</f>
        <v>UA</v>
      </c>
      <c r="E197" s="26">
        <f>VLOOKUP(C197,classifications!C:K,9,FALSE)</f>
        <v>0</v>
      </c>
      <c r="F197" s="36">
        <f t="shared" si="50"/>
        <v>71.31898618016173</v>
      </c>
      <c r="G197" s="71"/>
      <c r="H197" s="37" t="str">
        <f t="shared" si="51"/>
        <v/>
      </c>
      <c r="I197" s="77" t="str">
        <f>IF(H197="","",IF($I$8="A",(RANK(H197,H$11:H$368,1)+COUNTIF(H$11:H197,H197)-1),(RANK(H197,H$11:H$368)+COUNTIF(H$11:H197,H197)-1)))</f>
        <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b">
        <f t="shared" si="55"/>
        <v>0</v>
      </c>
      <c r="Z197" s="34" t="e">
        <f>IF(Y197="","",IF(I$8="A",(RANK(Y197,Y$11:Y$368,1)+COUNTIF(Y$11:Y197,Y197)-1),(RANK(Y197,Y$11:Y$368)+COUNTIF(Y$11:Y197,Y197)-1)))</f>
        <v>#N/A</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71.31898618016173</v>
      </c>
      <c r="AY197" s="103"/>
      <c r="AZ197" s="21"/>
    </row>
    <row r="198" spans="1:52">
      <c r="A198" s="56" t="str">
        <f>$D$1&amp;188</f>
        <v>SC188</v>
      </c>
      <c r="B198" s="57">
        <f>IF(ISERROR(VLOOKUP(A198,classifications!A:C,3,FALSE)),0,VLOOKUP(A198,classifications!A:C,3,FALSE))</f>
        <v>0</v>
      </c>
      <c r="C198" s="8" t="s">
        <v>275</v>
      </c>
      <c r="D198" s="26" t="str">
        <f>VLOOKUP($C198,classifications!$C:$J,4,FALSE)</f>
        <v>UA</v>
      </c>
      <c r="E198" s="26">
        <f>VLOOKUP(C198,classifications!C:K,9,FALSE)</f>
        <v>0</v>
      </c>
      <c r="F198" s="36">
        <f t="shared" si="50"/>
        <v>86.259907299488788</v>
      </c>
      <c r="G198" s="71"/>
      <c r="H198" s="37" t="str">
        <f t="shared" si="51"/>
        <v/>
      </c>
      <c r="I198" s="77" t="str">
        <f>IF(H198="","",IF($I$8="A",(RANK(H198,H$11:H$368,1)+COUNTIF(H$11:H198,H198)-1),(RANK(H198,H$11:H$368)+COUNTIF(H$11:H198,H198)-1)))</f>
        <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b">
        <f t="shared" si="55"/>
        <v>0</v>
      </c>
      <c r="Z198" s="34" t="e">
        <f>IF(Y198="","",IF(I$8="A",(RANK(Y198,Y$11:Y$368,1)+COUNTIF(Y$11:Y198,Y198)-1),(RANK(Y198,Y$11:Y$368)+COUNTIF(Y$11:Y198,Y198)-1)))</f>
        <v>#N/A</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86.259907299488788</v>
      </c>
      <c r="AY198" s="103"/>
      <c r="AZ198" s="21"/>
    </row>
    <row r="199" spans="1:52">
      <c r="A199" s="56" t="str">
        <f>$D$1&amp;189</f>
        <v>SC189</v>
      </c>
      <c r="B199" s="57">
        <f>IF(ISERROR(VLOOKUP(A199,classifications!A:C,3,FALSE)),0,VLOOKUP(A199,classifications!A:C,3,FALSE))</f>
        <v>0</v>
      </c>
      <c r="C199" s="8" t="s">
        <v>105</v>
      </c>
      <c r="D199" s="26" t="str">
        <f>VLOOKUP($C199,classifications!$C:$J,4,FALSE)</f>
        <v>SD</v>
      </c>
      <c r="E199" s="26">
        <f>VLOOKUP(C199,classifications!C:K,9,FALSE)</f>
        <v>0</v>
      </c>
      <c r="F199" s="36">
        <f t="shared" si="50"/>
        <v>87.778055448573227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b">
        <f t="shared" si="55"/>
        <v>0</v>
      </c>
      <c r="Z199" s="34" t="e">
        <f>IF(Y199="","",IF(I$8="A",(RANK(Y199,Y$11:Y$368,1)+COUNTIF(Y$11:Y199,Y199)-1),(RANK(Y199,Y$11:Y$368)+COUNTIF(Y$11:Y199,Y199)-1)))</f>
        <v>#N/A</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87.778055448573227</v>
      </c>
      <c r="AY199" s="103"/>
      <c r="AZ199" s="21"/>
    </row>
    <row r="200" spans="1:52">
      <c r="A200" s="56" t="str">
        <f>$D$1&amp;190</f>
        <v>SC190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85.574582674005825</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b">
        <f t="shared" si="55"/>
        <v>0</v>
      </c>
      <c r="Z200" s="34" t="e">
        <f>IF(Y200="","",IF(I$8="A",(RANK(Y200,Y$11:Y$368,1)+COUNTIF(Y$11:Y200,Y200)-1),(RANK(Y200,Y$11:Y$368)+COUNTIF(Y$11:Y200,Y200)-1)))</f>
        <v>#N/A</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85.574582674005825</v>
      </c>
      <c r="AY200" s="103"/>
      <c r="AZ200" s="21"/>
    </row>
    <row r="201" spans="1:52">
      <c r="A201" s="56" t="str">
        <f>$D$1&amp;191</f>
        <v>SC191</v>
      </c>
      <c r="B201" s="57">
        <f>IF(ISERROR(VLOOKUP(A201,classifications!A:C,3,FALSE)),0,VLOOKUP(A201,classifications!A:C,3,FALSE))</f>
        <v>0</v>
      </c>
      <c r="C201" s="8" t="s">
        <v>346</v>
      </c>
      <c r="D201" s="26" t="str">
        <f>VLOOKUP($C201,classifications!$C:$J,4,FALSE)</f>
        <v>SD</v>
      </c>
      <c r="E201" s="26" t="str">
        <f>VLOOKUP(C201,classifications!C:K,9,FALSE)</f>
        <v>Sparse</v>
      </c>
      <c r="F201" s="36">
        <f t="shared" si="50"/>
        <v>80.124545311152787</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b">
        <f t="shared" si="55"/>
        <v>0</v>
      </c>
      <c r="Z201" s="34" t="e">
        <f>IF(Y201="","",IF(I$8="A",(RANK(Y201,Y$11:Y$368,1)+COUNTIF(Y$11:Y201,Y201)-1),(RANK(Y201,Y$11:Y$368)+COUNTIF(Y$11:Y201,Y201)-1)))</f>
        <v>#N/A</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80.124545311152787</v>
      </c>
      <c r="AY201" s="103"/>
      <c r="AZ201" s="21"/>
    </row>
    <row r="202" spans="1:52">
      <c r="A202" s="56" t="str">
        <f>$D$1&amp;192</f>
        <v>SC192</v>
      </c>
      <c r="B202" s="57">
        <f>IF(ISERROR(VLOOKUP(A202,classifications!A:C,3,FALSE)),0,VLOOKUP(A202,classifications!A:C,3,FALSE))</f>
        <v>0</v>
      </c>
      <c r="C202" s="8" t="s">
        <v>237</v>
      </c>
      <c r="D202" s="26" t="str">
        <f>VLOOKUP($C202,classifications!$C:$J,4,FALSE)</f>
        <v>MD</v>
      </c>
      <c r="E202" s="26">
        <f>VLOOKUP(C202,classifications!C:K,9,FALSE)</f>
        <v>0</v>
      </c>
      <c r="F202" s="36">
        <f t="shared" si="50"/>
        <v>80.690088061195226</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b">
        <f t="shared" si="55"/>
        <v>0</v>
      </c>
      <c r="Z202" s="34" t="e">
        <f>IF(Y202="","",IF(I$8="A",(RANK(Y202,Y$11:Y$368,1)+COUNTIF(Y$11:Y202,Y202)-1),(RANK(Y202,Y$11:Y$368)+COUNTIF(Y$11:Y202,Y202)-1)))</f>
        <v>#N/A</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80.690088061195226</v>
      </c>
      <c r="AY202" s="103"/>
      <c r="AZ202" s="21"/>
    </row>
    <row r="203" spans="1:52">
      <c r="A203" s="56" t="str">
        <f>$D$1&amp;193</f>
        <v>SC193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77.970266597016874</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b">
        <f t="shared" ref="Y203:Y266" si="78">IF($D$1="UA",IF(X203="Largely Rural (rural including hub towns 50-79%) ",M203,IF(X203="Mainly Rural (rural including hub towns &gt;=80%) ",M203,IF(X203="Urban with Significant Rural (rural including hub towns 26-49%)",M203,""))),IF($D$1="SD",IF(X203=$H$3,M203,"")))</f>
        <v>0</v>
      </c>
      <c r="Z203" s="34" t="e">
        <f>IF(Y203="","",IF(I$8="A",(RANK(Y203,Y$11:Y$368,1)+COUNTIF(Y$11:Y203,Y203)-1),(RANK(Y203,Y$11:Y$368)+COUNTIF(Y$11:Y203,Y203)-1)))</f>
        <v>#N/A</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77.970266597016874</v>
      </c>
      <c r="AY203" s="103"/>
      <c r="AZ203" s="21"/>
    </row>
    <row r="204" spans="1:52">
      <c r="A204" s="56" t="str">
        <f>$D$1&amp;194</f>
        <v>SC194</v>
      </c>
      <c r="B204" s="57">
        <f>IF(ISERROR(VLOOKUP(A204,classifications!A:C,3,FALSE)),0,VLOOKUP(A204,classifications!A:C,3,FALSE))</f>
        <v>0</v>
      </c>
      <c r="C204" s="8" t="s">
        <v>215</v>
      </c>
      <c r="D204" s="26" t="str">
        <f>VLOOKUP($C204,classifications!$C:$J,4,FALSE)</f>
        <v>L</v>
      </c>
      <c r="E204" s="26">
        <f>VLOOKUP(C204,classifications!C:K,9,FALSE)</f>
        <v>0</v>
      </c>
      <c r="F204" s="36">
        <f t="shared" si="73"/>
        <v>79.226513527376213</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b">
        <f t="shared" si="78"/>
        <v>0</v>
      </c>
      <c r="Z204" s="34" t="e">
        <f>IF(Y204="","",IF(I$8="A",(RANK(Y204,Y$11:Y$368,1)+COUNTIF(Y$11:Y204,Y204)-1),(RANK(Y204,Y$11:Y$368)+COUNTIF(Y$11:Y204,Y204)-1)))</f>
        <v>#N/A</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79.226513527376213</v>
      </c>
      <c r="AY204" s="103"/>
      <c r="AZ204" s="21"/>
    </row>
    <row r="205" spans="1:52">
      <c r="A205" s="56" t="str">
        <f>$D$1&amp;195</f>
        <v>SC195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81.75538355622308</v>
      </c>
      <c r="G205" s="71"/>
      <c r="H205" s="37">
        <f t="shared" si="74"/>
        <v>81.75538355622308</v>
      </c>
      <c r="I205" s="77">
        <f>IF(H205="","",IF($I$8="A",(RANK(H205,H$11:H$368,1)+COUNTIF(H$11:H205,H205)-1),(RANK(H205,H$11:H$368)+COUNTIF(H$11:H205,H205)-1)))</f>
        <v>19</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b">
        <f t="shared" si="78"/>
        <v>0</v>
      </c>
      <c r="Z205" s="34" t="e">
        <f>IF(Y205="","",IF(I$8="A",(RANK(Y205,Y$11:Y$368,1)+COUNTIF(Y$11:Y205,Y205)-1),(RANK(Y205,Y$11:Y$368)+COUNTIF(Y$11:Y205,Y205)-1)))</f>
        <v>#N/A</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81.75538355622308</v>
      </c>
      <c r="AY205" s="103"/>
      <c r="AZ205" s="21"/>
    </row>
    <row r="206" spans="1:52">
      <c r="A206" s="56" t="str">
        <f>$D$1&amp;196</f>
        <v>SC196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81.713744611381074</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b">
        <f t="shared" si="78"/>
        <v>0</v>
      </c>
      <c r="Z206" s="34" t="e">
        <f>IF(Y206="","",IF(I$8="A",(RANK(Y206,Y$11:Y$368,1)+COUNTIF(Y$11:Y206,Y206)-1),(RANK(Y206,Y$11:Y$368)+COUNTIF(Y$11:Y206,Y206)-1)))</f>
        <v>#N/A</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81.713744611381074</v>
      </c>
      <c r="AY206" s="103"/>
      <c r="AZ206" s="21"/>
    </row>
    <row r="207" spans="1:52">
      <c r="A207" s="56" t="str">
        <f>$D$1&amp;197</f>
        <v>SC197</v>
      </c>
      <c r="B207" s="57">
        <f>IF(ISERROR(VLOOKUP(A207,classifications!A:C,3,FALSE)),0,VLOOKUP(A207,classifications!A:C,3,FALSE))</f>
        <v>0</v>
      </c>
      <c r="C207" s="8" t="s">
        <v>109</v>
      </c>
      <c r="D207" s="26" t="str">
        <f>VLOOKUP($C207,classifications!$C:$J,4,FALSE)</f>
        <v>SD</v>
      </c>
      <c r="E207" s="26">
        <f>VLOOKUP(C207,classifications!C:K,9,FALSE)</f>
        <v>0</v>
      </c>
      <c r="F207" s="36">
        <f t="shared" si="73"/>
        <v>0</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b">
        <f t="shared" si="78"/>
        <v>0</v>
      </c>
      <c r="Z207" s="34" t="e">
        <f>IF(Y207="","",IF(I$8="A",(RANK(Y207,Y$11:Y$368,1)+COUNTIF(Y$11:Y207,Y207)-1),(RANK(Y207,Y$11:Y$368)+COUNTIF(Y$11:Y207,Y207)-1)))</f>
        <v>#N/A</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f>HLOOKUP($AX$9&amp;$AX$10,Data!$A$1:$ZZ$2000,(MATCH($C207,Data!$A$1:$A$2000,0)),FALSE)</f>
        <v>0</v>
      </c>
      <c r="AY207" s="103"/>
      <c r="AZ207" s="21"/>
    </row>
    <row r="208" spans="1:52">
      <c r="A208" s="56" t="str">
        <f>$D$1&amp;198</f>
        <v>SC198</v>
      </c>
      <c r="B208" s="57">
        <f>IF(ISERROR(VLOOKUP(A208,classifications!A:C,3,FALSE)),0,VLOOKUP(A208,classifications!A:C,3,FALSE))</f>
        <v>0</v>
      </c>
      <c r="C208" s="8" t="s">
        <v>110</v>
      </c>
      <c r="D208" s="26" t="str">
        <f>VLOOKUP($C208,classifications!$C:$J,4,FALSE)</f>
        <v>SD</v>
      </c>
      <c r="E208" s="26">
        <f>VLOOKUP(C208,classifications!C:K,9,FALSE)</f>
        <v>0</v>
      </c>
      <c r="F208" s="36">
        <f t="shared" si="73"/>
        <v>82.305033352848682</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b">
        <f t="shared" si="78"/>
        <v>0</v>
      </c>
      <c r="Z208" s="34" t="e">
        <f>IF(Y208="","",IF(I$8="A",(RANK(Y208,Y$11:Y$368,1)+COUNTIF(Y$11:Y208,Y208)-1),(RANK(Y208,Y$11:Y$368)+COUNTIF(Y$11:Y208,Y208)-1)))</f>
        <v>#N/A</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82.305033352848682</v>
      </c>
      <c r="AY208" s="103"/>
      <c r="AZ208" s="21"/>
    </row>
    <row r="209" spans="1:52">
      <c r="A209" s="56" t="str">
        <f>$D$1&amp;199</f>
        <v>SC199</v>
      </c>
      <c r="B209" s="57">
        <f>IF(ISERROR(VLOOKUP(A209,classifications!A:C,3,FALSE)),0,VLOOKUP(A209,classifications!A:C,3,FALSE))</f>
        <v>0</v>
      </c>
      <c r="C209" s="8" t="s">
        <v>276</v>
      </c>
      <c r="D209" s="26" t="str">
        <f>VLOOKUP($C209,classifications!$C:$J,4,FALSE)</f>
        <v>UA</v>
      </c>
      <c r="E209" s="26">
        <f>VLOOKUP(C209,classifications!C:K,9,FALSE)</f>
        <v>0</v>
      </c>
      <c r="F209" s="36">
        <f t="shared" si="73"/>
        <v>74.110753457806638</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b">
        <f t="shared" si="78"/>
        <v>0</v>
      </c>
      <c r="Z209" s="34" t="e">
        <f>IF(Y209="","",IF(I$8="A",(RANK(Y209,Y$11:Y$368,1)+COUNTIF(Y$11:Y209,Y209)-1),(RANK(Y209,Y$11:Y$368)+COUNTIF(Y$11:Y209,Y209)-1)))</f>
        <v>#N/A</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74.110753457806638</v>
      </c>
      <c r="AY209" s="103"/>
      <c r="AZ209" s="21"/>
    </row>
    <row r="210" spans="1:52">
      <c r="A210" s="56" t="str">
        <f>$D$1&amp;200</f>
        <v>SC200</v>
      </c>
      <c r="B210" s="57">
        <f>IF(ISERROR(VLOOKUP(A210,classifications!A:C,3,FALSE)),0,VLOOKUP(A210,classifications!A:C,3,FALSE))</f>
        <v>0</v>
      </c>
      <c r="C210" s="8" t="s">
        <v>111</v>
      </c>
      <c r="D210" s="26" t="str">
        <f>VLOOKUP($C210,classifications!$C:$J,4,FALSE)</f>
        <v>SD</v>
      </c>
      <c r="E210" s="26">
        <f>VLOOKUP(C210,classifications!C:K,9,FALSE)</f>
        <v>0</v>
      </c>
      <c r="F210" s="36">
        <f t="shared" si="73"/>
        <v>87.469177998201303</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b">
        <f t="shared" si="78"/>
        <v>0</v>
      </c>
      <c r="Z210" s="34" t="e">
        <f>IF(Y210="","",IF(I$8="A",(RANK(Y210,Y$11:Y$368,1)+COUNTIF(Y$11:Y210,Y210)-1),(RANK(Y210,Y$11:Y$368)+COUNTIF(Y$11:Y210,Y210)-1)))</f>
        <v>#N/A</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87.469177998201303</v>
      </c>
      <c r="AY210" s="103"/>
      <c r="AZ210" s="21"/>
    </row>
    <row r="211" spans="1:52">
      <c r="A211" s="56" t="str">
        <f>$D$1&amp;201</f>
        <v>SC201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81.826191824274247</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b">
        <f t="shared" si="78"/>
        <v>0</v>
      </c>
      <c r="Z211" s="34" t="e">
        <f>IF(Y211="","",IF(I$8="A",(RANK(Y211,Y$11:Y$368,1)+COUNTIF(Y$11:Y211,Y211)-1),(RANK(Y211,Y$11:Y$368)+COUNTIF(Y$11:Y211,Y211)-1)))</f>
        <v>#N/A</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81.826191824274247</v>
      </c>
      <c r="AY211" s="103"/>
      <c r="AZ211" s="21"/>
    </row>
    <row r="212" spans="1:52">
      <c r="A212" s="56" t="str">
        <f>$D$1&amp;202</f>
        <v>SC202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75.210789842839205</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b">
        <f t="shared" si="78"/>
        <v>0</v>
      </c>
      <c r="Z212" s="34" t="e">
        <f>IF(Y212="","",IF(I$8="A",(RANK(Y212,Y$11:Y$368,1)+COUNTIF(Y$11:Y212,Y212)-1),(RANK(Y212,Y$11:Y$368)+COUNTIF(Y$11:Y212,Y212)-1)))</f>
        <v>#N/A</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75.210789842839205</v>
      </c>
      <c r="AY212" s="103"/>
      <c r="AZ212" s="21"/>
    </row>
    <row r="213" spans="1:52">
      <c r="A213" s="56" t="str">
        <f>$D$1&amp;203</f>
        <v>SC203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83.964601414595634</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b">
        <f t="shared" si="78"/>
        <v>0</v>
      </c>
      <c r="Z213" s="34" t="e">
        <f>IF(Y213="","",IF(I$8="A",(RANK(Y213,Y$11:Y$368,1)+COUNTIF(Y$11:Y213,Y213)-1),(RANK(Y213,Y$11:Y$368)+COUNTIF(Y$11:Y213,Y213)-1)))</f>
        <v>#N/A</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83.964601414595634</v>
      </c>
      <c r="AY213" s="103"/>
      <c r="AZ213" s="21"/>
    </row>
    <row r="214" spans="1:52">
      <c r="A214" s="56" t="str">
        <f>$D$1&amp;204</f>
        <v>SC204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84.047015474190218</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b">
        <f t="shared" si="78"/>
        <v>0</v>
      </c>
      <c r="Z214" s="34" t="e">
        <f>IF(Y214="","",IF(I$8="A",(RANK(Y214,Y$11:Y$368,1)+COUNTIF(Y$11:Y214,Y214)-1),(RANK(Y214,Y$11:Y$368)+COUNTIF(Y$11:Y214,Y214)-1)))</f>
        <v>#N/A</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84.047015474190218</v>
      </c>
      <c r="AY214" s="103"/>
      <c r="AZ214" s="21"/>
    </row>
    <row r="215" spans="1:52">
      <c r="A215" s="56" t="str">
        <f>$D$1&amp;205</f>
        <v>SC205</v>
      </c>
      <c r="B215" s="57">
        <f>IF(ISERROR(VLOOKUP(A215,classifications!A:C,3,FALSE)),0,VLOOKUP(A215,classifications!A:C,3,FALSE))</f>
        <v>0</v>
      </c>
      <c r="C215" s="8" t="s">
        <v>238</v>
      </c>
      <c r="D215" s="26" t="str">
        <f>VLOOKUP($C215,classifications!$C:$J,4,FALSE)</f>
        <v>MD</v>
      </c>
      <c r="E215" s="26">
        <f>VLOOKUP(C215,classifications!C:K,9,FALSE)</f>
        <v>0</v>
      </c>
      <c r="F215" s="36">
        <f t="shared" si="73"/>
        <v>77.428046096756603</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b">
        <f t="shared" si="78"/>
        <v>0</v>
      </c>
      <c r="Z215" s="34" t="e">
        <f>IF(Y215="","",IF(I$8="A",(RANK(Y215,Y$11:Y$368,1)+COUNTIF(Y$11:Y215,Y215)-1),(RANK(Y215,Y$11:Y$368)+COUNTIF(Y$11:Y215,Y215)-1)))</f>
        <v>#N/A</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77.428046096756603</v>
      </c>
      <c r="AY215" s="103"/>
      <c r="AZ215" s="21"/>
    </row>
    <row r="216" spans="1:52">
      <c r="A216" s="56" t="str">
        <f>$D$1&amp;206</f>
        <v>SC206</v>
      </c>
      <c r="B216" s="57">
        <f>IF(ISERROR(VLOOKUP(A216,classifications!A:C,3,FALSE)),0,VLOOKUP(A216,classifications!A:C,3,FALSE))</f>
        <v>0</v>
      </c>
      <c r="C216" s="8" t="s">
        <v>114</v>
      </c>
      <c r="D216" s="26" t="str">
        <f>VLOOKUP($C216,classifications!$C:$J,4,FALSE)</f>
        <v>SD</v>
      </c>
      <c r="E216" s="26">
        <f>VLOOKUP(C216,classifications!C:K,9,FALSE)</f>
        <v>0</v>
      </c>
      <c r="F216" s="36">
        <f t="shared" si="73"/>
        <v>77.300064284355642</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b">
        <f t="shared" si="78"/>
        <v>0</v>
      </c>
      <c r="Z216" s="34" t="e">
        <f>IF(Y216="","",IF(I$8="A",(RANK(Y216,Y$11:Y$368,1)+COUNTIF(Y$11:Y216,Y216)-1),(RANK(Y216,Y$11:Y$368)+COUNTIF(Y$11:Y216,Y216)-1)))</f>
        <v>#N/A</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77.300064284355642</v>
      </c>
      <c r="AY216" s="103"/>
      <c r="AZ216" s="21"/>
    </row>
    <row r="217" spans="1:52">
      <c r="A217" s="56" t="str">
        <f>$D$1&amp;207</f>
        <v>SC207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82.385392027866203</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b">
        <f t="shared" si="78"/>
        <v>0</v>
      </c>
      <c r="Z217" s="34" t="e">
        <f>IF(Y217="","",IF(I$8="A",(RANK(Y217,Y$11:Y$368,1)+COUNTIF(Y$11:Y217,Y217)-1),(RANK(Y217,Y$11:Y$368)+COUNTIF(Y$11:Y217,Y217)-1)))</f>
        <v>#N/A</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82.385392027866203</v>
      </c>
      <c r="AY217" s="103"/>
      <c r="AZ217" s="21"/>
    </row>
    <row r="218" spans="1:52">
      <c r="A218" s="56" t="str">
        <f>$D$1&amp;208</f>
        <v>SC208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83.963842489910377</v>
      </c>
      <c r="G218" s="71"/>
      <c r="H218" s="37">
        <f t="shared" si="74"/>
        <v>83.963842489910377</v>
      </c>
      <c r="I218" s="77">
        <f>IF(H218="","",IF($I$8="A",(RANK(H218,H$11:H$368,1)+COUNTIF(H$11:H218,H218)-1),(RANK(H218,H$11:H$368)+COUNTIF(H$11:H218,H218)-1)))</f>
        <v>8</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b">
        <f t="shared" si="78"/>
        <v>0</v>
      </c>
      <c r="Z218" s="34" t="e">
        <f>IF(Y218="","",IF(I$8="A",(RANK(Y218,Y$11:Y$368,1)+COUNTIF(Y$11:Y218,Y218)-1),(RANK(Y218,Y$11:Y$368)+COUNTIF(Y$11:Y218,Y218)-1)))</f>
        <v>#N/A</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83.963842489910377</v>
      </c>
      <c r="AY218" s="103"/>
      <c r="AZ218" s="21"/>
    </row>
    <row r="219" spans="1:52">
      <c r="A219" s="56" t="str">
        <f>$D$1&amp;209</f>
        <v>SC209</v>
      </c>
      <c r="B219" s="57">
        <f>IF(ISERROR(VLOOKUP(A219,classifications!A:C,3,FALSE)),0,VLOOKUP(A219,classifications!A:C,3,FALSE))</f>
        <v>0</v>
      </c>
      <c r="C219" s="8" t="s">
        <v>116</v>
      </c>
      <c r="D219" s="26" t="str">
        <f>VLOOKUP($C219,classifications!$C:$J,4,FALSE)</f>
        <v>SD</v>
      </c>
      <c r="E219" s="26">
        <f>VLOOKUP(C219,classifications!C:K,9,FALSE)</f>
        <v>0</v>
      </c>
      <c r="F219" s="36">
        <f t="shared" si="73"/>
        <v>75.921860953740193</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b">
        <f t="shared" si="78"/>
        <v>0</v>
      </c>
      <c r="Z219" s="34" t="e">
        <f>IF(Y219="","",IF(I$8="A",(RANK(Y219,Y$11:Y$368,1)+COUNTIF(Y$11:Y219,Y219)-1),(RANK(Y219,Y$11:Y$368)+COUNTIF(Y$11:Y219,Y219)-1)))</f>
        <v>#N/A</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75.921860953740193</v>
      </c>
      <c r="AY219" s="103"/>
      <c r="AZ219" s="21"/>
    </row>
    <row r="220" spans="1:52">
      <c r="A220" s="56" t="str">
        <f>$D$1&amp;210</f>
        <v>SC210</v>
      </c>
      <c r="B220" s="57">
        <f>IF(ISERROR(VLOOKUP(A220,classifications!A:C,3,FALSE)),0,VLOOKUP(A220,classifications!A:C,3,FALSE))</f>
        <v>0</v>
      </c>
      <c r="C220" s="8" t="s">
        <v>321</v>
      </c>
      <c r="D220" s="26" t="str">
        <f>VLOOKUP($C220,classifications!$C:$J,4,FALSE)</f>
        <v>SC</v>
      </c>
      <c r="E220" s="26">
        <f>VLOOKUP(C220,classifications!C:K,9,FALSE)</f>
        <v>0</v>
      </c>
      <c r="F220" s="36">
        <f t="shared" si="73"/>
        <v>79.79867780945284</v>
      </c>
      <c r="G220" s="71"/>
      <c r="H220" s="37">
        <f t="shared" si="74"/>
        <v>79.79867780945284</v>
      </c>
      <c r="I220" s="77">
        <f>IF(H220="","",IF($I$8="A",(RANK(H220,H$11:H$368,1)+COUNTIF(H$11:H220,H220)-1),(RANK(H220,H$11:H$368)+COUNTIF(H$11:H220,H220)-1)))</f>
        <v>23</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b">
        <f t="shared" si="78"/>
        <v>0</v>
      </c>
      <c r="Z220" s="34" t="e">
        <f>IF(Y220="","",IF(I$8="A",(RANK(Y220,Y$11:Y$368,1)+COUNTIF(Y$11:Y220,Y220)-1),(RANK(Y220,Y$11:Y$368)+COUNTIF(Y$11:Y220,Y220)-1)))</f>
        <v>#N/A</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79.79867780945284</v>
      </c>
      <c r="AY220" s="103"/>
      <c r="AZ220" s="21"/>
    </row>
    <row r="221" spans="1:52">
      <c r="A221" s="56" t="str">
        <f>$D$1&amp;211</f>
        <v>SC211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84.749168702818679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b">
        <f t="shared" si="78"/>
        <v>0</v>
      </c>
      <c r="Z221" s="34" t="e">
        <f>IF(Y221="","",IF(I$8="A",(RANK(Y221,Y$11:Y$368,1)+COUNTIF(Y$11:Y221,Y221)-1),(RANK(Y221,Y$11:Y$368)+COUNTIF(Y$11:Y221,Y221)-1)))</f>
        <v>#N/A</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84.749168702818679</v>
      </c>
      <c r="AY221" s="103"/>
      <c r="AZ221" s="21"/>
    </row>
    <row r="222" spans="1:52">
      <c r="A222" s="56" t="str">
        <f>$D$1&amp;212</f>
        <v>SC212</v>
      </c>
      <c r="B222" s="57">
        <f>IF(ISERROR(VLOOKUP(A222,classifications!A:C,3,FALSE)),0,VLOOKUP(A222,classifications!A:C,3,FALSE))</f>
        <v>0</v>
      </c>
      <c r="C222" s="8" t="s">
        <v>117</v>
      </c>
      <c r="D222" s="26" t="str">
        <f>VLOOKUP($C222,classifications!$C:$J,4,FALSE)</f>
        <v>SD</v>
      </c>
      <c r="E222" s="26">
        <f>VLOOKUP(C222,classifications!C:K,9,FALSE)</f>
        <v>0</v>
      </c>
      <c r="F222" s="36">
        <f t="shared" si="73"/>
        <v>87.667255896741864</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b">
        <f t="shared" si="78"/>
        <v>0</v>
      </c>
      <c r="Z222" s="34" t="e">
        <f>IF(Y222="","",IF(I$8="A",(RANK(Y222,Y$11:Y$368,1)+COUNTIF(Y$11:Y222,Y222)-1),(RANK(Y222,Y$11:Y$368)+COUNTIF(Y$11:Y222,Y222)-1)))</f>
        <v>#N/A</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87.667255896741864</v>
      </c>
      <c r="AY222" s="103"/>
      <c r="AZ222" s="21"/>
    </row>
    <row r="223" spans="1:52">
      <c r="A223" s="56" t="str">
        <f>$D$1&amp;213</f>
        <v>SC213</v>
      </c>
      <c r="B223" s="57">
        <f>IF(ISERROR(VLOOKUP(A223,classifications!A:C,3,FALSE)),0,VLOOKUP(A223,classifications!A:C,3,FALSE))</f>
        <v>0</v>
      </c>
      <c r="C223" s="8" t="s">
        <v>279</v>
      </c>
      <c r="D223" s="26" t="str">
        <f>VLOOKUP($C223,classifications!$C:$J,4,FALSE)</f>
        <v>UA</v>
      </c>
      <c r="E223" s="26">
        <f>VLOOKUP(C223,classifications!C:K,9,FALSE)</f>
        <v>0</v>
      </c>
      <c r="F223" s="36">
        <f t="shared" si="73"/>
        <v>79.213544996271906</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b">
        <f t="shared" si="78"/>
        <v>0</v>
      </c>
      <c r="Z223" s="34" t="e">
        <f>IF(Y223="","",IF(I$8="A",(RANK(Y223,Y$11:Y$368,1)+COUNTIF(Y$11:Y223,Y223)-1),(RANK(Y223,Y$11:Y$368)+COUNTIF(Y$11:Y223,Y223)-1)))</f>
        <v>#N/A</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79.213544996271906</v>
      </c>
      <c r="AY223" s="103"/>
      <c r="AZ223" s="21"/>
    </row>
    <row r="224" spans="1:52">
      <c r="A224" s="56" t="str">
        <f>$D$1&amp;214</f>
        <v>SC214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80.365637953863711</v>
      </c>
      <c r="G224" s="71"/>
      <c r="H224" s="37">
        <f t="shared" si="74"/>
        <v>80.365637953863711</v>
      </c>
      <c r="I224" s="77">
        <f>IF(H224="","",IF($I$8="A",(RANK(H224,H$11:H$368,1)+COUNTIF(H$11:H224,H224)-1),(RANK(H224,H$11:H$368)+COUNTIF(H$11:H224,H224)-1)))</f>
        <v>21</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b">
        <f t="shared" si="78"/>
        <v>0</v>
      </c>
      <c r="Z224" s="34" t="e">
        <f>IF(Y224="","",IF(I$8="A",(RANK(Y224,Y$11:Y$368,1)+COUNTIF(Y$11:Y224,Y224)-1),(RANK(Y224,Y$11:Y$368)+COUNTIF(Y$11:Y224,Y224)-1)))</f>
        <v>#N/A</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80.365637953863711</v>
      </c>
      <c r="AY224" s="103"/>
      <c r="AZ224" s="21"/>
    </row>
    <row r="225" spans="1:52">
      <c r="A225" s="56" t="str">
        <f>$D$1&amp;215</f>
        <v>SC215</v>
      </c>
      <c r="B225" s="57">
        <f>IF(ISERROR(VLOOKUP(A225,classifications!A:C,3,FALSE)),0,VLOOKUP(A225,classifications!A:C,3,FALSE))</f>
        <v>0</v>
      </c>
      <c r="C225" s="8" t="s">
        <v>347</v>
      </c>
      <c r="D225" s="26" t="str">
        <f>VLOOKUP($C225,classifications!$C:$J,4,FALSE)</f>
        <v>SD</v>
      </c>
      <c r="E225" s="26">
        <f>VLOOKUP(C225,classifications!C:K,9,FALSE)</f>
        <v>0</v>
      </c>
      <c r="F225" s="36">
        <f t="shared" si="73"/>
        <v>74.132264342587916</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b">
        <f t="shared" si="78"/>
        <v>0</v>
      </c>
      <c r="Z225" s="34" t="e">
        <f>IF(Y225="","",IF(I$8="A",(RANK(Y225,Y$11:Y$368,1)+COUNTIF(Y$11:Y225,Y225)-1),(RANK(Y225,Y$11:Y$368)+COUNTIF(Y$11:Y225,Y225)-1)))</f>
        <v>#N/A</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74.132264342587916</v>
      </c>
      <c r="AY225" s="103"/>
      <c r="AZ225" s="21"/>
    </row>
    <row r="226" spans="1:52">
      <c r="A226" s="56" t="str">
        <f>$D$1&amp;216</f>
        <v>SC216</v>
      </c>
      <c r="B226" s="57">
        <f>IF(ISERROR(VLOOKUP(A226,classifications!A:C,3,FALSE)),0,VLOOKUP(A226,classifications!A:C,3,FALSE))</f>
        <v>0</v>
      </c>
      <c r="C226" s="8" t="s">
        <v>348</v>
      </c>
      <c r="D226" s="26" t="str">
        <f>VLOOKUP($C226,classifications!$C:$J,4,FALSE)</f>
        <v>SD</v>
      </c>
      <c r="E226" s="26">
        <f>VLOOKUP(C226,classifications!C:K,9,FALSE)</f>
        <v>0</v>
      </c>
      <c r="F226" s="36">
        <f t="shared" si="73"/>
        <v>79.971389270307597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b">
        <f t="shared" si="78"/>
        <v>0</v>
      </c>
      <c r="Z226" s="34" t="e">
        <f>IF(Y226="","",IF(I$8="A",(RANK(Y226,Y$11:Y$368,1)+COUNTIF(Y$11:Y226,Y226)-1),(RANK(Y226,Y$11:Y$368)+COUNTIF(Y$11:Y226,Y226)-1)))</f>
        <v>#N/A</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79.971389270307597</v>
      </c>
      <c r="AY226" s="103"/>
      <c r="AZ226" s="21"/>
    </row>
    <row r="227" spans="1:52">
      <c r="A227" s="56" t="str">
        <f>$D$1&amp;217</f>
        <v>SC217</v>
      </c>
      <c r="B227" s="57">
        <f>IF(ISERROR(VLOOKUP(A227,classifications!A:C,3,FALSE)),0,VLOOKUP(A227,classifications!A:C,3,FALSE))</f>
        <v>0</v>
      </c>
      <c r="C227" s="8" t="s">
        <v>239</v>
      </c>
      <c r="D227" s="26" t="str">
        <f>VLOOKUP($C227,classifications!$C:$J,4,FALSE)</f>
        <v>MD</v>
      </c>
      <c r="E227" s="26">
        <f>VLOOKUP(C227,classifications!C:K,9,FALSE)</f>
        <v>0</v>
      </c>
      <c r="F227" s="36">
        <f t="shared" si="73"/>
        <v>71.172151536990555</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b">
        <f t="shared" si="78"/>
        <v>0</v>
      </c>
      <c r="Z227" s="34" t="e">
        <f>IF(Y227="","",IF(I$8="A",(RANK(Y227,Y$11:Y$368,1)+COUNTIF(Y$11:Y227,Y227)-1),(RANK(Y227,Y$11:Y$368)+COUNTIF(Y$11:Y227,Y227)-1)))</f>
        <v>#N/A</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71.172151536990555</v>
      </c>
      <c r="AY227" s="103"/>
      <c r="AZ227" s="21"/>
    </row>
    <row r="228" spans="1:52">
      <c r="A228" s="56" t="str">
        <f>$D$1&amp;218</f>
        <v>SC218</v>
      </c>
      <c r="B228" s="57">
        <f>IF(ISERROR(VLOOKUP(A228,classifications!A:C,3,FALSE)),0,VLOOKUP(A228,classifications!A:C,3,FALSE))</f>
        <v>0</v>
      </c>
      <c r="C228" s="8" t="s">
        <v>118</v>
      </c>
      <c r="D228" s="26" t="str">
        <f>VLOOKUP($C228,classifications!$C:$J,4,FALSE)</f>
        <v>SD</v>
      </c>
      <c r="E228" s="26">
        <f>VLOOKUP(C228,classifications!C:K,9,FALSE)</f>
        <v>0</v>
      </c>
      <c r="F228" s="36">
        <f t="shared" si="73"/>
        <v>90.450497364548298</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b">
        <f t="shared" si="78"/>
        <v>0</v>
      </c>
      <c r="Z228" s="34" t="e">
        <f>IF(Y228="","",IF(I$8="A",(RANK(Y228,Y$11:Y$368,1)+COUNTIF(Y$11:Y228,Y228)-1),(RANK(Y228,Y$11:Y$368)+COUNTIF(Y$11:Y228,Y228)-1)))</f>
        <v>#N/A</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90.450497364548298</v>
      </c>
      <c r="AY228" s="103"/>
      <c r="AZ228" s="21"/>
    </row>
    <row r="229" spans="1:52">
      <c r="A229" s="56" t="str">
        <f>$D$1&amp;219</f>
        <v>SC219</v>
      </c>
      <c r="B229" s="57">
        <f>IF(ISERROR(VLOOKUP(A229,classifications!A:C,3,FALSE)),0,VLOOKUP(A229,classifications!A:C,3,FALSE))</f>
        <v>0</v>
      </c>
      <c r="C229" s="8" t="s">
        <v>324</v>
      </c>
      <c r="D229" s="26" t="str">
        <f>VLOOKUP($C229,classifications!$C:$J,4,FALSE)</f>
        <v>SC</v>
      </c>
      <c r="E229" s="26">
        <f>VLOOKUP(C229,classifications!C:K,9,FALSE)</f>
        <v>0</v>
      </c>
      <c r="F229" s="36">
        <f t="shared" si="73"/>
        <v>87.874989098739817</v>
      </c>
      <c r="G229" s="71"/>
      <c r="H229" s="37">
        <f t="shared" si="74"/>
        <v>87.874989098739817</v>
      </c>
      <c r="I229" s="77">
        <f>IF(H229="","",IF($I$8="A",(RANK(H229,H$11:H$368,1)+COUNTIF(H$11:H229,H229)-1),(RANK(H229,H$11:H$368)+COUNTIF(H$11:H229,H229)-1)))</f>
        <v>1</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b">
        <f t="shared" si="78"/>
        <v>0</v>
      </c>
      <c r="Z229" s="34" t="e">
        <f>IF(Y229="","",IF(I$8="A",(RANK(Y229,Y$11:Y$368,1)+COUNTIF(Y$11:Y229,Y229)-1),(RANK(Y229,Y$11:Y$368)+COUNTIF(Y$11:Y229,Y229)-1)))</f>
        <v>#N/A</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87.874989098739817</v>
      </c>
      <c r="AY229" s="103"/>
      <c r="AZ229" s="21"/>
    </row>
    <row r="230" spans="1:52">
      <c r="A230" s="56" t="str">
        <f>$D$1&amp;220</f>
        <v>SC220</v>
      </c>
      <c r="B230" s="57">
        <f>IF(ISERROR(VLOOKUP(A230,classifications!A:C,3,FALSE)),0,VLOOKUP(A230,classifications!A:C,3,FALSE))</f>
        <v>0</v>
      </c>
      <c r="C230" s="8" t="s">
        <v>119</v>
      </c>
      <c r="D230" s="26" t="str">
        <f>VLOOKUP($C230,classifications!$C:$J,4,FALSE)</f>
        <v>SD</v>
      </c>
      <c r="E230" s="26">
        <f>VLOOKUP(C230,classifications!C:K,9,FALSE)</f>
        <v>0</v>
      </c>
      <c r="F230" s="36">
        <f t="shared" si="73"/>
        <v>75.635752488429077</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b">
        <f t="shared" si="78"/>
        <v>0</v>
      </c>
      <c r="Z230" s="34" t="e">
        <f>IF(Y230="","",IF(I$8="A",(RANK(Y230,Y$11:Y$368,1)+COUNTIF(Y$11:Y230,Y230)-1),(RANK(Y230,Y$11:Y$368)+COUNTIF(Y$11:Y230,Y230)-1)))</f>
        <v>#N/A</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75.635752488429077</v>
      </c>
      <c r="AY230" s="103"/>
      <c r="AZ230" s="21"/>
    </row>
    <row r="231" spans="1:52">
      <c r="A231" s="56" t="str">
        <f>$D$1&amp;221</f>
        <v>SC221</v>
      </c>
      <c r="B231" s="57">
        <f>IF(ISERROR(VLOOKUP(A231,classifications!A:C,3,FALSE)),0,VLOOKUP(A231,classifications!A:C,3,FALSE))</f>
        <v>0</v>
      </c>
      <c r="C231" s="8" t="s">
        <v>280</v>
      </c>
      <c r="D231" s="26" t="str">
        <f>VLOOKUP($C231,classifications!$C:$J,4,FALSE)</f>
        <v>UA</v>
      </c>
      <c r="E231" s="26">
        <f>VLOOKUP(C231,classifications!C:K,9,FALSE)</f>
        <v>0</v>
      </c>
      <c r="F231" s="36">
        <f t="shared" si="73"/>
        <v>78.442350379171074</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b">
        <f t="shared" si="78"/>
        <v>0</v>
      </c>
      <c r="Z231" s="34" t="e">
        <f>IF(Y231="","",IF(I$8="A",(RANK(Y231,Y$11:Y$368,1)+COUNTIF(Y$11:Y231,Y231)-1),(RANK(Y231,Y$11:Y$368)+COUNTIF(Y$11:Y231,Y231)-1)))</f>
        <v>#N/A</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78.442350379171074</v>
      </c>
      <c r="AY231" s="103"/>
      <c r="AZ231" s="21"/>
    </row>
    <row r="232" spans="1:52">
      <c r="A232" s="56" t="str">
        <f>$D$1&amp;222</f>
        <v>SC222</v>
      </c>
      <c r="B232" s="57">
        <f>IF(ISERROR(VLOOKUP(A232,classifications!A:C,3,FALSE)),0,VLOOKUP(A232,classifications!A:C,3,FALSE))</f>
        <v>0</v>
      </c>
      <c r="C232" s="8" t="s">
        <v>281</v>
      </c>
      <c r="D232" s="26" t="str">
        <f>VLOOKUP($C232,classifications!$C:$J,4,FALSE)</f>
        <v>UA</v>
      </c>
      <c r="E232" s="26">
        <f>VLOOKUP(C232,classifications!C:K,9,FALSE)</f>
        <v>0</v>
      </c>
      <c r="F232" s="36">
        <f t="shared" si="73"/>
        <v>81.902072060518705</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b">
        <f t="shared" si="78"/>
        <v>0</v>
      </c>
      <c r="Z232" s="34" t="e">
        <f>IF(Y232="","",IF(I$8="A",(RANK(Y232,Y$11:Y$368,1)+COUNTIF(Y$11:Y232,Y232)-1),(RANK(Y232,Y$11:Y$368)+COUNTIF(Y$11:Y232,Y232)-1)))</f>
        <v>#N/A</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81.902072060518705</v>
      </c>
      <c r="AY232" s="103"/>
      <c r="AZ232" s="21"/>
    </row>
    <row r="233" spans="1:52">
      <c r="A233" s="56" t="str">
        <f>$D$1&amp;223</f>
        <v>SC223</v>
      </c>
      <c r="B233" s="57">
        <f>IF(ISERROR(VLOOKUP(A233,classifications!A:C,3,FALSE)),0,VLOOKUP(A233,classifications!A:C,3,FALSE))</f>
        <v>0</v>
      </c>
      <c r="C233" s="8" t="s">
        <v>282</v>
      </c>
      <c r="D233" s="26" t="str">
        <f>VLOOKUP($C233,classifications!$C:$J,4,FALSE)</f>
        <v>UA</v>
      </c>
      <c r="E233" s="26">
        <f>VLOOKUP(C233,classifications!C:K,9,FALSE)</f>
        <v>0</v>
      </c>
      <c r="F233" s="36">
        <f t="shared" si="73"/>
        <v>0</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b">
        <f t="shared" si="78"/>
        <v>0</v>
      </c>
      <c r="Z233" s="34" t="e">
        <f>IF(Y233="","",IF(I$8="A",(RANK(Y233,Y$11:Y$368,1)+COUNTIF(Y$11:Y233,Y233)-1),(RANK(Y233,Y$11:Y$368)+COUNTIF(Y$11:Y233,Y233)-1)))</f>
        <v>#N/A</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f>HLOOKUP($AX$9&amp;$AX$10,Data!$A$1:$ZZ$2000,(MATCH($C233,Data!$A$1:$A$2000,0)),FALSE)</f>
        <v>0</v>
      </c>
      <c r="AY233" s="103"/>
      <c r="AZ233" s="21"/>
    </row>
    <row r="234" spans="1:52">
      <c r="A234" s="56" t="str">
        <f>$D$1&amp;224</f>
        <v>SC224</v>
      </c>
      <c r="B234" s="57">
        <f>IF(ISERROR(VLOOKUP(A234,classifications!A:C,3,FALSE)),0,VLOOKUP(A234,classifications!A:C,3,FALSE))</f>
        <v>0</v>
      </c>
      <c r="C234" s="8" t="s">
        <v>283</v>
      </c>
      <c r="D234" s="26" t="str">
        <f>VLOOKUP($C234,classifications!$C:$J,4,FALSE)</f>
        <v>UA</v>
      </c>
      <c r="E234" s="26">
        <f>VLOOKUP(C234,classifications!C:K,9,FALSE)</f>
        <v>0</v>
      </c>
      <c r="F234" s="36">
        <f t="shared" si="73"/>
        <v>83.722046138343117</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b">
        <f t="shared" si="78"/>
        <v>0</v>
      </c>
      <c r="Z234" s="34" t="e">
        <f>IF(Y234="","",IF(I$8="A",(RANK(Y234,Y$11:Y$368,1)+COUNTIF(Y$11:Y234,Y234)-1),(RANK(Y234,Y$11:Y$368)+COUNTIF(Y$11:Y234,Y234)-1)))</f>
        <v>#N/A</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83.722046138343117</v>
      </c>
      <c r="AY234" s="103"/>
      <c r="AZ234" s="21"/>
    </row>
    <row r="235" spans="1:52">
      <c r="A235" s="56" t="str">
        <f>$D$1&amp;225</f>
        <v>SC225</v>
      </c>
      <c r="B235" s="57">
        <f>IF(ISERROR(VLOOKUP(A235,classifications!A:C,3,FALSE)),0,VLOOKUP(A235,classifications!A:C,3,FALSE))</f>
        <v>0</v>
      </c>
      <c r="C235" s="8" t="s">
        <v>120</v>
      </c>
      <c r="D235" s="26" t="str">
        <f>VLOOKUP($C235,classifications!$C:$J,4,FALSE)</f>
        <v>SD</v>
      </c>
      <c r="E235" s="26">
        <f>VLOOKUP(C235,classifications!C:K,9,FALSE)</f>
        <v>0</v>
      </c>
      <c r="F235" s="36">
        <f t="shared" si="73"/>
        <v>79.710929981788055</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b">
        <f t="shared" si="78"/>
        <v>0</v>
      </c>
      <c r="Z235" s="34" t="e">
        <f>IF(Y235="","",IF(I$8="A",(RANK(Y235,Y$11:Y$368,1)+COUNTIF(Y$11:Y235,Y235)-1),(RANK(Y235,Y$11:Y$368)+COUNTIF(Y$11:Y235,Y235)-1)))</f>
        <v>#N/A</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79.710929981788055</v>
      </c>
      <c r="AY235" s="103"/>
      <c r="AZ235" s="21"/>
    </row>
    <row r="236" spans="1:52">
      <c r="A236" s="56" t="str">
        <f>$D$1&amp;226</f>
        <v>SC226</v>
      </c>
      <c r="B236" s="57">
        <f>IF(ISERROR(VLOOKUP(A236,classifications!A:C,3,FALSE)),0,VLOOKUP(A236,classifications!A:C,3,FALSE))</f>
        <v>0</v>
      </c>
      <c r="C236" s="8" t="s">
        <v>121</v>
      </c>
      <c r="D236" s="26" t="str">
        <f>VLOOKUP($C236,classifications!$C:$J,4,FALSE)</f>
        <v>SD</v>
      </c>
      <c r="E236" s="26">
        <f>VLOOKUP(C236,classifications!C:K,9,FALSE)</f>
        <v>0</v>
      </c>
      <c r="F236" s="36">
        <f t="shared" si="73"/>
        <v>0</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b">
        <f t="shared" si="78"/>
        <v>0</v>
      </c>
      <c r="Z236" s="34" t="e">
        <f>IF(Y236="","",IF(I$8="A",(RANK(Y236,Y$11:Y$368,1)+COUNTIF(Y$11:Y236,Y236)-1),(RANK(Y236,Y$11:Y$368)+COUNTIF(Y$11:Y236,Y236)-1)))</f>
        <v>#N/A</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f>HLOOKUP($AX$9&amp;$AX$10,Data!$A$1:$ZZ$2000,(MATCH($C236,Data!$A$1:$A$2000,0)),FALSE)</f>
        <v>0</v>
      </c>
      <c r="AY236" s="103"/>
      <c r="AZ236" s="21"/>
    </row>
    <row r="237" spans="1:52">
      <c r="A237" s="56" t="str">
        <f>$D$1&amp;227</f>
        <v>SC227</v>
      </c>
      <c r="B237" s="57">
        <f>IF(ISERROR(VLOOKUP(A237,classifications!A:C,3,FALSE)),0,VLOOKUP(A237,classifications!A:C,3,FALSE))</f>
        <v>0</v>
      </c>
      <c r="C237" s="8" t="s">
        <v>284</v>
      </c>
      <c r="D237" s="26" t="str">
        <f>VLOOKUP($C237,classifications!$C:$J,4,FALSE)</f>
        <v>UA</v>
      </c>
      <c r="E237" s="26">
        <f>VLOOKUP(C237,classifications!C:K,9,FALSE)</f>
        <v>0</v>
      </c>
      <c r="F237" s="36">
        <f t="shared" si="73"/>
        <v>79.30048938847051</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b">
        <f t="shared" si="78"/>
        <v>0</v>
      </c>
      <c r="Z237" s="34" t="e">
        <f>IF(Y237="","",IF(I$8="A",(RANK(Y237,Y$11:Y$368,1)+COUNTIF(Y$11:Y237,Y237)-1),(RANK(Y237,Y$11:Y$368)+COUNTIF(Y$11:Y237,Y237)-1)))</f>
        <v>#N/A</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79.30048938847051</v>
      </c>
      <c r="AY237" s="103"/>
      <c r="AZ237" s="21"/>
    </row>
    <row r="238" spans="1:52">
      <c r="A238" s="56" t="str">
        <f>$D$1&amp;228</f>
        <v>SC228</v>
      </c>
      <c r="B238" s="57">
        <f>IF(ISERROR(VLOOKUP(A238,classifications!A:C,3,FALSE)),0,VLOOKUP(A238,classifications!A:C,3,FALSE))</f>
        <v>0</v>
      </c>
      <c r="C238" s="8" t="s">
        <v>216</v>
      </c>
      <c r="D238" s="26" t="str">
        <f>VLOOKUP($C238,classifications!$C:$J,4,FALSE)</f>
        <v>L</v>
      </c>
      <c r="E238" s="26">
        <f>VLOOKUP(C238,classifications!C:K,9,FALSE)</f>
        <v>0</v>
      </c>
      <c r="F238" s="36">
        <f t="shared" si="73"/>
        <v>76.104783692477454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b">
        <f t="shared" si="78"/>
        <v>0</v>
      </c>
      <c r="Z238" s="34" t="e">
        <f>IF(Y238="","",IF(I$8="A",(RANK(Y238,Y$11:Y$368,1)+COUNTIF(Y$11:Y238,Y238)-1),(RANK(Y238,Y$11:Y$368)+COUNTIF(Y$11:Y238,Y238)-1)))</f>
        <v>#N/A</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76.104783692477454</v>
      </c>
      <c r="AY238" s="103"/>
      <c r="AZ238" s="21"/>
    </row>
    <row r="239" spans="1:52">
      <c r="A239" s="56" t="str">
        <f>$D$1&amp;229</f>
        <v>SC229</v>
      </c>
      <c r="B239" s="57">
        <f>IF(ISERROR(VLOOKUP(A239,classifications!A:C,3,FALSE)),0,VLOOKUP(A239,classifications!A:C,3,FALSE))</f>
        <v>0</v>
      </c>
      <c r="C239" s="8" t="s">
        <v>809</v>
      </c>
      <c r="D239" s="26" t="str">
        <f>VLOOKUP($C239,classifications!$C:$J,4,FALSE)</f>
        <v>UA</v>
      </c>
      <c r="E239" s="26">
        <f>VLOOKUP(C239,classifications!C:K,9,FALSE)</f>
        <v>0</v>
      </c>
      <c r="F239" s="36">
        <f t="shared" si="73"/>
        <v>81.614039414475286</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b">
        <f t="shared" si="78"/>
        <v>0</v>
      </c>
      <c r="Z239" s="34" t="e">
        <f>IF(Y239="","",IF(I$8="A",(RANK(Y239,Y$11:Y$368,1)+COUNTIF(Y$11:Y239,Y239)-1),(RANK(Y239,Y$11:Y$368)+COUNTIF(Y$11:Y239,Y239)-1)))</f>
        <v>#N/A</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81.614039414475286</v>
      </c>
      <c r="AY239" s="103"/>
      <c r="AZ239" s="21"/>
    </row>
    <row r="240" spans="1:52">
      <c r="A240" s="56" t="str">
        <f>$D$1&amp;230</f>
        <v>SC230</v>
      </c>
      <c r="B240" s="57">
        <f>IF(ISERROR(VLOOKUP(A240,classifications!A:C,3,FALSE)),0,VLOOKUP(A240,classifications!A:C,3,FALSE))</f>
        <v>0</v>
      </c>
      <c r="C240" s="8" t="s">
        <v>122</v>
      </c>
      <c r="D240" s="26" t="str">
        <f>VLOOKUP($C240,classifications!$C:$J,4,FALSE)</f>
        <v>SD</v>
      </c>
      <c r="E240" s="26">
        <f>VLOOKUP(C240,classifications!C:K,9,FALSE)</f>
        <v>0</v>
      </c>
      <c r="F240" s="36">
        <f t="shared" si="73"/>
        <v>76.059769934592339</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b">
        <f t="shared" si="78"/>
        <v>0</v>
      </c>
      <c r="Z240" s="34" t="e">
        <f>IF(Y240="","",IF(I$8="A",(RANK(Y240,Y$11:Y$368,1)+COUNTIF(Y$11:Y240,Y240)-1),(RANK(Y240,Y$11:Y$368)+COUNTIF(Y$11:Y240,Y240)-1)))</f>
        <v>#N/A</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76.059769934592339</v>
      </c>
      <c r="AY240" s="103"/>
      <c r="AZ240" s="21"/>
    </row>
    <row r="241" spans="1:52">
      <c r="A241" s="56" t="str">
        <f>$D$1&amp;231</f>
        <v>SC231</v>
      </c>
      <c r="B241" s="57">
        <f>IF(ISERROR(VLOOKUP(A241,classifications!A:C,3,FALSE)),0,VLOOKUP(A241,classifications!A:C,3,FALSE))</f>
        <v>0</v>
      </c>
      <c r="C241" s="8" t="s">
        <v>349</v>
      </c>
      <c r="D241" s="26" t="str">
        <f>VLOOKUP($C241,classifications!$C:$J,4,FALSE)</f>
        <v>SD</v>
      </c>
      <c r="E241" s="26">
        <f>VLOOKUP(C241,classifications!C:K,9,FALSE)</f>
        <v>0</v>
      </c>
      <c r="F241" s="36">
        <f t="shared" si="73"/>
        <v>83.841518911555866</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b">
        <f t="shared" si="78"/>
        <v>0</v>
      </c>
      <c r="Z241" s="34" t="e">
        <f>IF(Y241="","",IF(I$8="A",(RANK(Y241,Y$11:Y$368,1)+COUNTIF(Y$11:Y241,Y241)-1),(RANK(Y241,Y$11:Y$368)+COUNTIF(Y$11:Y241,Y241)-1)))</f>
        <v>#N/A</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83.841518911555866</v>
      </c>
      <c r="AY241" s="103"/>
      <c r="AZ241" s="21"/>
    </row>
    <row r="242" spans="1:52">
      <c r="A242" s="56" t="str">
        <f>$D$1&amp;232</f>
        <v>SC232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86.534664357842871</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b">
        <f t="shared" si="78"/>
        <v>0</v>
      </c>
      <c r="Z242" s="34" t="e">
        <f>IF(Y242="","",IF(I$8="A",(RANK(Y242,Y$11:Y$368,1)+COUNTIF(Y$11:Y242,Y242)-1),(RANK(Y242,Y$11:Y$368)+COUNTIF(Y$11:Y242,Y242)-1)))</f>
        <v>#N/A</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86.534664357842871</v>
      </c>
      <c r="AY242" s="103"/>
      <c r="AZ242" s="21"/>
    </row>
    <row r="243" spans="1:52">
      <c r="A243" s="56" t="str">
        <f>$D$1&amp;233</f>
        <v>SC233</v>
      </c>
      <c r="B243" s="57">
        <f>IF(ISERROR(VLOOKUP(A243,classifications!A:C,3,FALSE)),0,VLOOKUP(A243,classifications!A:C,3,FALSE))</f>
        <v>0</v>
      </c>
      <c r="C243" s="8" t="s">
        <v>394</v>
      </c>
      <c r="D243" s="26" t="str">
        <f>VLOOKUP($C243,classifications!$C:$J,4,FALSE)</f>
        <v>L</v>
      </c>
      <c r="E243" s="26">
        <f>VLOOKUP(C243,classifications!C:K,9,FALSE)</f>
        <v>0</v>
      </c>
      <c r="F243" s="36">
        <f t="shared" si="73"/>
        <v>91.991643707185773</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b">
        <f t="shared" si="78"/>
        <v>0</v>
      </c>
      <c r="Z243" s="34" t="e">
        <f>IF(Y243="","",IF(I$8="A",(RANK(Y243,Y$11:Y$368,1)+COUNTIF(Y$11:Y243,Y243)-1),(RANK(Y243,Y$11:Y$368)+COUNTIF(Y$11:Y243,Y243)-1)))</f>
        <v>#N/A</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91.991643707185773</v>
      </c>
      <c r="AY243" s="103"/>
      <c r="AZ243" s="21"/>
    </row>
    <row r="244" spans="1:52">
      <c r="A244" s="56" t="str">
        <f>$D$1&amp;234</f>
        <v>SC234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85.027168137497483</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b">
        <f t="shared" si="78"/>
        <v>0</v>
      </c>
      <c r="Z244" s="34" t="e">
        <f>IF(Y244="","",IF(I$8="A",(RANK(Y244,Y$11:Y$368,1)+COUNTIF(Y$11:Y244,Y244)-1),(RANK(Y244,Y$11:Y$368)+COUNTIF(Y$11:Y244,Y244)-1)))</f>
        <v>#N/A</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85.027168137497483</v>
      </c>
      <c r="AY244" s="103"/>
      <c r="AZ244" s="21"/>
    </row>
    <row r="245" spans="1:52">
      <c r="A245" s="56" t="str">
        <f>$D$1&amp;235</f>
        <v>SC235</v>
      </c>
      <c r="B245" s="57">
        <f>IF(ISERROR(VLOOKUP(A245,classifications!A:C,3,FALSE)),0,VLOOKUP(A245,classifications!A:C,3,FALSE))</f>
        <v>0</v>
      </c>
      <c r="C245" s="8" t="s">
        <v>240</v>
      </c>
      <c r="D245" s="26" t="str">
        <f>VLOOKUP($C245,classifications!$C:$J,4,FALSE)</f>
        <v>MD</v>
      </c>
      <c r="E245" s="26">
        <f>VLOOKUP(C245,classifications!C:K,9,FALSE)</f>
        <v>0</v>
      </c>
      <c r="F245" s="36">
        <f t="shared" si="73"/>
        <v>75.291741438130259</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b">
        <f t="shared" si="78"/>
        <v>0</v>
      </c>
      <c r="Z245" s="34" t="e">
        <f>IF(Y245="","",IF(I$8="A",(RANK(Y245,Y$11:Y$368,1)+COUNTIF(Y$11:Y245,Y245)-1),(RANK(Y245,Y$11:Y$368)+COUNTIF(Y$11:Y245,Y245)-1)))</f>
        <v>#N/A</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75.291741438130259</v>
      </c>
      <c r="AY245" s="103"/>
      <c r="AZ245" s="21"/>
    </row>
    <row r="246" spans="1:52">
      <c r="A246" s="56" t="str">
        <f>$D$1&amp;236</f>
        <v>SC236</v>
      </c>
      <c r="B246" s="57">
        <f>IF(ISERROR(VLOOKUP(A246,classifications!A:C,3,FALSE)),0,VLOOKUP(A246,classifications!A:C,3,FALSE))</f>
        <v>0</v>
      </c>
      <c r="C246" s="8" t="s">
        <v>125</v>
      </c>
      <c r="D246" s="26" t="str">
        <f>VLOOKUP($C246,classifications!$C:$J,4,FALSE)</f>
        <v>SD</v>
      </c>
      <c r="E246" s="26">
        <f>VLOOKUP(C246,classifications!C:K,9,FALSE)</f>
        <v>0</v>
      </c>
      <c r="F246" s="36">
        <f t="shared" si="73"/>
        <v>86.613854711442926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b">
        <f t="shared" si="78"/>
        <v>0</v>
      </c>
      <c r="Z246" s="34" t="e">
        <f>IF(Y246="","",IF(I$8="A",(RANK(Y246,Y$11:Y$368,1)+COUNTIF(Y$11:Y246,Y246)-1),(RANK(Y246,Y$11:Y$368)+COUNTIF(Y$11:Y246,Y246)-1)))</f>
        <v>#N/A</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86.613854711442926</v>
      </c>
      <c r="AY246" s="103"/>
      <c r="AZ246" s="21"/>
    </row>
    <row r="247" spans="1:52">
      <c r="A247" s="56" t="str">
        <f>$D$1&amp;237</f>
        <v>SC237</v>
      </c>
      <c r="B247" s="57">
        <f>IF(ISERROR(VLOOKUP(A247,classifications!A:C,3,FALSE)),0,VLOOKUP(A247,classifications!A:C,3,FALSE))</f>
        <v>0</v>
      </c>
      <c r="C247" s="8" t="s">
        <v>126</v>
      </c>
      <c r="D247" s="26" t="str">
        <f>VLOOKUP($C247,classifications!$C:$J,4,FALSE)</f>
        <v>SD</v>
      </c>
      <c r="E247" s="26">
        <f>VLOOKUP(C247,classifications!C:K,9,FALSE)</f>
        <v>0</v>
      </c>
      <c r="F247" s="36">
        <f t="shared" si="73"/>
        <v>76.997319645735686</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b">
        <f t="shared" si="78"/>
        <v>0</v>
      </c>
      <c r="Z247" s="34" t="e">
        <f>IF(Y247="","",IF(I$8="A",(RANK(Y247,Y$11:Y$368,1)+COUNTIF(Y$11:Y247,Y247)-1),(RANK(Y247,Y$11:Y$368)+COUNTIF(Y$11:Y247,Y247)-1)))</f>
        <v>#N/A</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76.997319645735686</v>
      </c>
      <c r="AY247" s="103"/>
      <c r="AZ247" s="21"/>
    </row>
    <row r="248" spans="1:52">
      <c r="A248" s="56" t="str">
        <f>$D$1&amp;238</f>
        <v>SC238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83.007360126079334</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b">
        <f t="shared" si="78"/>
        <v>0</v>
      </c>
      <c r="Z248" s="34" t="e">
        <f>IF(Y248="","",IF(I$8="A",(RANK(Y248,Y$11:Y$368,1)+COUNTIF(Y$11:Y248,Y248)-1),(RANK(Y248,Y$11:Y$368)+COUNTIF(Y$11:Y248,Y248)-1)))</f>
        <v>#N/A</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83.007360126079334</v>
      </c>
      <c r="AY248" s="103"/>
      <c r="AZ248" s="21"/>
    </row>
    <row r="249" spans="1:52">
      <c r="A249" s="56" t="str">
        <f>$D$1&amp;239</f>
        <v>SC239</v>
      </c>
      <c r="B249" s="57">
        <f>IF(ISERROR(VLOOKUP(A249,classifications!A:C,3,FALSE)),0,VLOOKUP(A249,classifications!A:C,3,FALSE))</f>
        <v>0</v>
      </c>
      <c r="C249" s="8" t="s">
        <v>241</v>
      </c>
      <c r="D249" s="26" t="str">
        <f>VLOOKUP($C249,classifications!$C:$J,4,FALSE)</f>
        <v>MD</v>
      </c>
      <c r="E249" s="26">
        <f>VLOOKUP(C249,classifications!C:K,9,FALSE)</f>
        <v>0</v>
      </c>
      <c r="F249" s="36">
        <f t="shared" si="73"/>
        <v>74.957151826490644</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b">
        <f t="shared" si="78"/>
        <v>0</v>
      </c>
      <c r="Z249" s="34" t="e">
        <f>IF(Y249="","",IF(I$8="A",(RANK(Y249,Y$11:Y$368,1)+COUNTIF(Y$11:Y249,Y249)-1),(RANK(Y249,Y$11:Y$368)+COUNTIF(Y$11:Y249,Y249)-1)))</f>
        <v>#N/A</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74.957151826490644</v>
      </c>
      <c r="AY249" s="103"/>
      <c r="AZ249" s="21"/>
    </row>
    <row r="250" spans="1:52">
      <c r="A250" s="56" t="str">
        <f>$D$1&amp;240</f>
        <v>SC240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75.92105706500837</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b">
        <f t="shared" si="78"/>
        <v>0</v>
      </c>
      <c r="Z250" s="34" t="e">
        <f>IF(Y250="","",IF(I$8="A",(RANK(Y250,Y$11:Y$368,1)+COUNTIF(Y$11:Y250,Y250)-1),(RANK(Y250,Y$11:Y$368)+COUNTIF(Y$11:Y250,Y250)-1)))</f>
        <v>#N/A</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75.92105706500837</v>
      </c>
      <c r="AY250" s="103"/>
      <c r="AZ250" s="21"/>
    </row>
    <row r="251" spans="1:52">
      <c r="A251" s="56" t="str">
        <f>$D$1&amp;241</f>
        <v>SC241</v>
      </c>
      <c r="B251" s="57">
        <f>IF(ISERROR(VLOOKUP(A251,classifications!A:C,3,FALSE)),0,VLOOKUP(A251,classifications!A:C,3,FALSE))</f>
        <v>0</v>
      </c>
      <c r="C251" s="8" t="s">
        <v>129</v>
      </c>
      <c r="D251" s="26" t="str">
        <f>VLOOKUP($C251,classifications!$C:$J,4,FALSE)</f>
        <v>SD</v>
      </c>
      <c r="E251" s="26">
        <f>VLOOKUP(C251,classifications!C:K,9,FALSE)</f>
        <v>0</v>
      </c>
      <c r="F251" s="36">
        <f t="shared" si="73"/>
        <v>84.329753971580772</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b">
        <f t="shared" si="78"/>
        <v>0</v>
      </c>
      <c r="Z251" s="34" t="e">
        <f>IF(Y251="","",IF(I$8="A",(RANK(Y251,Y$11:Y$368,1)+COUNTIF(Y$11:Y251,Y251)-1),(RANK(Y251,Y$11:Y$368)+COUNTIF(Y$11:Y251,Y251)-1)))</f>
        <v>#N/A</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84.329753971580772</v>
      </c>
      <c r="AY251" s="103"/>
      <c r="AZ251" s="21"/>
    </row>
    <row r="252" spans="1:52">
      <c r="A252" s="56" t="str">
        <f>$D$1&amp;242</f>
        <v>SC242</v>
      </c>
      <c r="B252" s="57">
        <f>IF(ISERROR(VLOOKUP(A252,classifications!A:C,3,FALSE)),0,VLOOKUP(A252,classifications!A:C,3,FALSE))</f>
        <v>0</v>
      </c>
      <c r="C252" s="8" t="s">
        <v>130</v>
      </c>
      <c r="D252" s="26" t="str">
        <f>VLOOKUP($C252,classifications!$C:$J,4,FALSE)</f>
        <v>SD</v>
      </c>
      <c r="E252" s="26">
        <f>VLOOKUP(C252,classifications!C:K,9,FALSE)</f>
        <v>0</v>
      </c>
      <c r="F252" s="36">
        <f t="shared" si="73"/>
        <v>83.438744533859193</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b">
        <f t="shared" si="78"/>
        <v>0</v>
      </c>
      <c r="Z252" s="34" t="e">
        <f>IF(Y252="","",IF(I$8="A",(RANK(Y252,Y$11:Y$368,1)+COUNTIF(Y$11:Y252,Y252)-1),(RANK(Y252,Y$11:Y$368)+COUNTIF(Y$11:Y252,Y252)-1)))</f>
        <v>#N/A</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83.438744533859193</v>
      </c>
      <c r="AY252" s="103"/>
      <c r="AZ252" s="21"/>
    </row>
    <row r="253" spans="1:52">
      <c r="A253" s="56" t="str">
        <f>$D$1&amp;243</f>
        <v>SC243</v>
      </c>
      <c r="B253" s="57">
        <f>IF(ISERROR(VLOOKUP(A253,classifications!A:C,3,FALSE)),0,VLOOKUP(A253,classifications!A:C,3,FALSE))</f>
        <v>0</v>
      </c>
      <c r="C253" s="8" t="s">
        <v>131</v>
      </c>
      <c r="D253" s="26" t="str">
        <f>VLOOKUP($C253,classifications!$C:$J,4,FALSE)</f>
        <v>SD</v>
      </c>
      <c r="E253" s="26">
        <f>VLOOKUP(C253,classifications!C:K,9,FALSE)</f>
        <v>0</v>
      </c>
      <c r="F253" s="36">
        <f t="shared" si="73"/>
        <v>78.312667209779903</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b">
        <f t="shared" si="78"/>
        <v>0</v>
      </c>
      <c r="Z253" s="34" t="e">
        <f>IF(Y253="","",IF(I$8="A",(RANK(Y253,Y$11:Y$368,1)+COUNTIF(Y$11:Y253,Y253)-1),(RANK(Y253,Y$11:Y$368)+COUNTIF(Y$11:Y253,Y253)-1)))</f>
        <v>#N/A</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78.312667209779903</v>
      </c>
      <c r="AY253" s="103"/>
      <c r="AZ253" s="21"/>
    </row>
    <row r="254" spans="1:52">
      <c r="A254" s="56" t="str">
        <f>$D$1&amp;244</f>
        <v>SC244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81.61192367139229</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b">
        <f t="shared" si="78"/>
        <v>0</v>
      </c>
      <c r="Z254" s="34" t="e">
        <f>IF(Y254="","",IF(I$8="A",(RANK(Y254,Y$11:Y$368,1)+COUNTIF(Y$11:Y254,Y254)-1),(RANK(Y254,Y$11:Y$368)+COUNTIF(Y$11:Y254,Y254)-1)))</f>
        <v>#N/A</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81.61192367139229</v>
      </c>
      <c r="AY254" s="103"/>
      <c r="AZ254" s="21"/>
    </row>
    <row r="255" spans="1:52">
      <c r="A255" s="56" t="str">
        <f>$D$1&amp;245</f>
        <v>SC245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82.233358963034703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b">
        <f t="shared" si="78"/>
        <v>0</v>
      </c>
      <c r="Z255" s="34" t="e">
        <f>IF(Y255="","",IF(I$8="A",(RANK(Y255,Y$11:Y$368,1)+COUNTIF(Y$11:Y255,Y255)-1),(RANK(Y255,Y$11:Y$368)+COUNTIF(Y$11:Y255,Y255)-1)))</f>
        <v>#N/A</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82.233358963034703</v>
      </c>
      <c r="AY255" s="103"/>
      <c r="AZ255" s="21"/>
    </row>
    <row r="256" spans="1:52">
      <c r="A256" s="56" t="str">
        <f>$D$1&amp;246</f>
        <v>SC246</v>
      </c>
      <c r="B256" s="57">
        <f>IF(ISERROR(VLOOKUP(A256,classifications!A:C,3,FALSE)),0,VLOOKUP(A256,classifications!A:C,3,FALSE))</f>
        <v>0</v>
      </c>
      <c r="C256" s="8" t="s">
        <v>242</v>
      </c>
      <c r="D256" s="26" t="str">
        <f>VLOOKUP($C256,classifications!$C:$J,4,FALSE)</f>
        <v>MD</v>
      </c>
      <c r="E256" s="26">
        <f>VLOOKUP(C256,classifications!C:K,9,FALSE)</f>
        <v>0</v>
      </c>
      <c r="F256" s="36">
        <f t="shared" si="73"/>
        <v>81.544853660043032</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b">
        <f t="shared" si="78"/>
        <v>0</v>
      </c>
      <c r="Z256" s="34" t="e">
        <f>IF(Y256="","",IF(I$8="A",(RANK(Y256,Y$11:Y$368,1)+COUNTIF(Y$11:Y256,Y256)-1),(RANK(Y256,Y$11:Y$368)+COUNTIF(Y$11:Y256,Y256)-1)))</f>
        <v>#N/A</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81.544853660043032</v>
      </c>
      <c r="AY256" s="103"/>
      <c r="AZ256" s="21"/>
    </row>
    <row r="257" spans="1:52">
      <c r="A257" s="56" t="str">
        <f>$D$1&amp;247</f>
        <v>SC247</v>
      </c>
      <c r="B257" s="57">
        <f>IF(ISERROR(VLOOKUP(A257,classifications!A:C,3,FALSE)),0,VLOOKUP(A257,classifications!A:C,3,FALSE))</f>
        <v>0</v>
      </c>
      <c r="C257" s="8" t="s">
        <v>243</v>
      </c>
      <c r="D257" s="26" t="str">
        <f>VLOOKUP($C257,classifications!$C:$J,4,FALSE)</f>
        <v>MD</v>
      </c>
      <c r="E257" s="26">
        <f>VLOOKUP(C257,classifications!C:K,9,FALSE)</f>
        <v>0</v>
      </c>
      <c r="F257" s="36">
        <f t="shared" si="73"/>
        <v>66.072755904419523</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b">
        <f t="shared" si="78"/>
        <v>0</v>
      </c>
      <c r="Z257" s="34" t="e">
        <f>IF(Y257="","",IF(I$8="A",(RANK(Y257,Y$11:Y$368,1)+COUNTIF(Y$11:Y257,Y257)-1),(RANK(Y257,Y$11:Y$368)+COUNTIF(Y$11:Y257,Y257)-1)))</f>
        <v>#N/A</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66.072755904419523</v>
      </c>
      <c r="AY257" s="103"/>
      <c r="AZ257" s="21"/>
    </row>
    <row r="258" spans="1:52">
      <c r="A258" s="56" t="str">
        <f>$D$1&amp;248</f>
        <v>SC248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82.576163755771162</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b">
        <f t="shared" si="78"/>
        <v>0</v>
      </c>
      <c r="Z258" s="34" t="e">
        <f>IF(Y258="","",IF(I$8="A",(RANK(Y258,Y$11:Y$368,1)+COUNTIF(Y$11:Y258,Y258)-1),(RANK(Y258,Y$11:Y$368)+COUNTIF(Y$11:Y258,Y258)-1)))</f>
        <v>#N/A</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82.576163755771162</v>
      </c>
      <c r="AY258" s="103"/>
      <c r="AZ258" s="21"/>
    </row>
    <row r="259" spans="1:52">
      <c r="A259" s="56" t="str">
        <f>$D$1&amp;249</f>
        <v>SC249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80.987988076128133</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b">
        <f t="shared" si="78"/>
        <v>0</v>
      </c>
      <c r="Z259" s="34" t="e">
        <f>IF(Y259="","",IF(I$8="A",(RANK(Y259,Y$11:Y$368,1)+COUNTIF(Y$11:Y259,Y259)-1),(RANK(Y259,Y$11:Y$368)+COUNTIF(Y$11:Y259,Y259)-1)))</f>
        <v>#N/A</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80.987988076128133</v>
      </c>
      <c r="AY259" s="103"/>
      <c r="AZ259" s="21"/>
    </row>
    <row r="260" spans="1:52">
      <c r="A260" s="56" t="str">
        <f>$D$1&amp;250</f>
        <v>SC250</v>
      </c>
      <c r="B260" s="57">
        <f>IF(ISERROR(VLOOKUP(A260,classifications!A:C,3,FALSE)),0,VLOOKUP(A260,classifications!A:C,3,FALSE))</f>
        <v>0</v>
      </c>
      <c r="C260" s="8" t="s">
        <v>244</v>
      </c>
      <c r="D260" s="26" t="str">
        <f>VLOOKUP($C260,classifications!$C:$J,4,FALSE)</f>
        <v>MD</v>
      </c>
      <c r="E260" s="26">
        <f>VLOOKUP(C260,classifications!C:K,9,FALSE)</f>
        <v>0</v>
      </c>
      <c r="F260" s="36">
        <f t="shared" si="73"/>
        <v>79.853902396339464</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b">
        <f t="shared" si="78"/>
        <v>0</v>
      </c>
      <c r="Z260" s="34" t="e">
        <f>IF(Y260="","",IF(I$8="A",(RANK(Y260,Y$11:Y$368,1)+COUNTIF(Y$11:Y260,Y260)-1),(RANK(Y260,Y$11:Y$368)+COUNTIF(Y$11:Y260,Y260)-1)))</f>
        <v>#N/A</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79.853902396339464</v>
      </c>
      <c r="AY260" s="103"/>
      <c r="AZ260" s="21"/>
    </row>
    <row r="261" spans="1:52">
      <c r="A261" s="56" t="str">
        <f>$D$1&amp;251</f>
        <v>SC251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82.07013394594594</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b">
        <f t="shared" si="78"/>
        <v>0</v>
      </c>
      <c r="Z261" s="34" t="e">
        <f>IF(Y261="","",IF(I$8="A",(RANK(Y261,Y$11:Y$368,1)+COUNTIF(Y$11:Y261,Y261)-1),(RANK(Y261,Y$11:Y$368)+COUNTIF(Y$11:Y261,Y261)-1)))</f>
        <v>#N/A</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82.07013394594594</v>
      </c>
      <c r="AY261" s="103"/>
      <c r="AZ261" s="21"/>
    </row>
    <row r="262" spans="1:52">
      <c r="A262" s="56" t="str">
        <f>$D$1&amp;252</f>
        <v>SC252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83.403242624283962</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b">
        <f t="shared" si="78"/>
        <v>0</v>
      </c>
      <c r="Z262" s="34" t="e">
        <f>IF(Y262="","",IF(I$8="A",(RANK(Y262,Y$11:Y$368,1)+COUNTIF(Y$11:Y262,Y262)-1),(RANK(Y262,Y$11:Y$368)+COUNTIF(Y$11:Y262,Y262)-1)))</f>
        <v>#N/A</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83.403242624283962</v>
      </c>
      <c r="AY262" s="103"/>
      <c r="AZ262" s="21"/>
    </row>
    <row r="263" spans="1:52">
      <c r="A263" s="56" t="str">
        <f>$D$1&amp;253</f>
        <v>SC253</v>
      </c>
      <c r="B263" s="57">
        <f>IF(ISERROR(VLOOKUP(A263,classifications!A:C,3,FALSE)),0,VLOOKUP(A263,classifications!A:C,3,FALSE))</f>
        <v>0</v>
      </c>
      <c r="C263" s="8" t="s">
        <v>245</v>
      </c>
      <c r="D263" s="26" t="str">
        <f>VLOOKUP($C263,classifications!$C:$J,4,FALSE)</f>
        <v>MD</v>
      </c>
      <c r="E263" s="26">
        <f>VLOOKUP(C263,classifications!C:K,9,FALSE)</f>
        <v>0</v>
      </c>
      <c r="F263" s="36">
        <f t="shared" si="73"/>
        <v>80.057201862067416</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b">
        <f t="shared" si="78"/>
        <v>0</v>
      </c>
      <c r="Z263" s="34" t="e">
        <f>IF(Y263="","",IF(I$8="A",(RANK(Y263,Y$11:Y$368,1)+COUNTIF(Y$11:Y263,Y263)-1),(RANK(Y263,Y$11:Y$368)+COUNTIF(Y$11:Y263,Y263)-1)))</f>
        <v>#N/A</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80.057201862067416</v>
      </c>
      <c r="AY263" s="103"/>
      <c r="AZ263" s="21"/>
    </row>
    <row r="264" spans="1:52">
      <c r="A264" s="56" t="str">
        <f>$D$1&amp;254</f>
        <v>SC254</v>
      </c>
      <c r="B264" s="57">
        <f>IF(ISERROR(VLOOKUP(A264,classifications!A:C,3,FALSE)),0,VLOOKUP(A264,classifications!A:C,3,FALSE))</f>
        <v>0</v>
      </c>
      <c r="C264" s="8" t="s">
        <v>897</v>
      </c>
      <c r="D264" s="26" t="str">
        <f>VLOOKUP($C264,classifications!$C:$J,4,FALSE)</f>
        <v>SD</v>
      </c>
      <c r="E264" s="26">
        <f>VLOOKUP(C264,classifications!C:K,9,FALSE)</f>
        <v>0</v>
      </c>
      <c r="F264" s="36">
        <f t="shared" si="73"/>
        <v>78.87145783625418</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b">
        <f t="shared" si="78"/>
        <v>0</v>
      </c>
      <c r="Z264" s="34" t="e">
        <f>IF(Y264="","",IF(I$8="A",(RANK(Y264,Y$11:Y$368,1)+COUNTIF(Y$11:Y264,Y264)-1),(RANK(Y264,Y$11:Y$368)+COUNTIF(Y$11:Y264,Y264)-1)))</f>
        <v>#N/A</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78.87145783625418</v>
      </c>
      <c r="AY264" s="103"/>
      <c r="AZ264" s="21"/>
    </row>
    <row r="265" spans="1:52">
      <c r="A265" s="56" t="str">
        <f>$D$1&amp;255</f>
        <v>SC255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81.262706667325276</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b">
        <f t="shared" si="78"/>
        <v>0</v>
      </c>
      <c r="Z265" s="34" t="e">
        <f>IF(Y265="","",IF(I$8="A",(RANK(Y265,Y$11:Y$368,1)+COUNTIF(Y$11:Y265,Y265)-1),(RANK(Y265,Y$11:Y$368)+COUNTIF(Y$11:Y265,Y265)-1)))</f>
        <v>#N/A</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81.262706667325276</v>
      </c>
      <c r="AY265" s="103"/>
      <c r="AZ265" s="21"/>
    </row>
    <row r="266" spans="1:52">
      <c r="A266" s="56" t="str">
        <f>$D$1&amp;256</f>
        <v>SC256</v>
      </c>
      <c r="B266" s="57">
        <f>IF(ISERROR(VLOOKUP(A266,classifications!A:C,3,FALSE)),0,VLOOKUP(A266,classifications!A:C,3,FALSE))</f>
        <v>0</v>
      </c>
      <c r="C266" s="8" t="s">
        <v>286</v>
      </c>
      <c r="D266" s="26" t="str">
        <f>VLOOKUP($C266,classifications!$C:$J,4,FALSE)</f>
        <v>UA</v>
      </c>
      <c r="E266" s="26">
        <f>VLOOKUP(C266,classifications!C:K,9,FALSE)</f>
        <v>0</v>
      </c>
      <c r="F266" s="36">
        <f t="shared" si="73"/>
        <v>71.66128613397585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b">
        <f t="shared" si="78"/>
        <v>0</v>
      </c>
      <c r="Z266" s="34" t="e">
        <f>IF(Y266="","",IF(I$8="A",(RANK(Y266,Y$11:Y$368,1)+COUNTIF(Y$11:Y266,Y266)-1),(RANK(Y266,Y$11:Y$368)+COUNTIF(Y$11:Y266,Y266)-1)))</f>
        <v>#N/A</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71.66128613397585</v>
      </c>
      <c r="AY266" s="103"/>
      <c r="AZ266" s="21"/>
    </row>
    <row r="267" spans="1:52">
      <c r="A267" s="56" t="str">
        <f>$D$1&amp;257</f>
        <v>SC257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83.574346282408229</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b">
        <f t="shared" ref="Y267:Y330" si="102">IF($D$1="UA",IF(X267="Largely Rural (rural including hub towns 50-79%) ",M267,IF(X267="Mainly Rural (rural including hub towns &gt;=80%) ",M267,IF(X267="Urban with Significant Rural (rural including hub towns 26-49%)",M267,""))),IF($D$1="SD",IF(X267=$H$3,M267,"")))</f>
        <v>0</v>
      </c>
      <c r="Z267" s="34" t="e">
        <f>IF(Y267="","",IF(I$8="A",(RANK(Y267,Y$11:Y$368,1)+COUNTIF(Y$11:Y267,Y267)-1),(RANK(Y267,Y$11:Y$368)+COUNTIF(Y$11:Y267,Y267)-1)))</f>
        <v>#N/A</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83.574346282408229</v>
      </c>
      <c r="AY267" s="103"/>
      <c r="AZ267" s="21"/>
    </row>
    <row r="268" spans="1:52">
      <c r="A268" s="56" t="str">
        <f>$D$1&amp;258</f>
        <v>SC258</v>
      </c>
      <c r="B268" s="57">
        <f>IF(ISERROR(VLOOKUP(A268,classifications!A:C,3,FALSE)),0,VLOOKUP(A268,classifications!A:C,3,FALSE))</f>
        <v>0</v>
      </c>
      <c r="C268" s="8" t="s">
        <v>326</v>
      </c>
      <c r="D268" s="26" t="str">
        <f>VLOOKUP($C268,classifications!$C:$J,4,FALSE)</f>
        <v>SC</v>
      </c>
      <c r="E268" s="26">
        <f>VLOOKUP(C268,classifications!C:K,9,FALSE)</f>
        <v>0</v>
      </c>
      <c r="F268" s="36">
        <f t="shared" si="97"/>
        <v>83.236095220846323</v>
      </c>
      <c r="G268" s="71"/>
      <c r="H268" s="37">
        <f t="shared" si="98"/>
        <v>83.236095220846323</v>
      </c>
      <c r="I268" s="77">
        <f>IF(H268="","",IF($I$8="A",(RANK(H268,H$11:H$368,1)+COUNTIF(H$11:H268,H268)-1),(RANK(H268,H$11:H$368)+COUNTIF(H$11:H268,H268)-1)))</f>
        <v>11</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b">
        <f t="shared" si="102"/>
        <v>0</v>
      </c>
      <c r="Z268" s="34" t="e">
        <f>IF(Y268="","",IF(I$8="A",(RANK(Y268,Y$11:Y$368,1)+COUNTIF(Y$11:Y268,Y268)-1),(RANK(Y268,Y$11:Y$368)+COUNTIF(Y$11:Y268,Y268)-1)))</f>
        <v>#N/A</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83.236095220846323</v>
      </c>
      <c r="AY268" s="103"/>
      <c r="AZ268" s="21"/>
    </row>
    <row r="269" spans="1:52">
      <c r="A269" s="56" t="str">
        <f>$D$1&amp;259</f>
        <v>SC259</v>
      </c>
      <c r="B269" s="57">
        <f>IF(ISERROR(VLOOKUP(A269,classifications!A:C,3,FALSE)),0,VLOOKUP(A269,classifications!A:C,3,FALSE))</f>
        <v>0</v>
      </c>
      <c r="C269" s="8" t="s">
        <v>911</v>
      </c>
      <c r="D269" s="26" t="str">
        <f>VLOOKUP($C269,classifications!$C:$J,4,FALSE)</f>
        <v>SD</v>
      </c>
      <c r="E269" s="26" t="str">
        <f>VLOOKUP(C269,classifications!C:K,9,FALSE)</f>
        <v>Sparse</v>
      </c>
      <c r="F269" s="36" t="e">
        <f t="shared" si="97"/>
        <v>#N/A</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b">
        <f t="shared" si="102"/>
        <v>0</v>
      </c>
      <c r="Z269" s="34" t="e">
        <f>IF(Y269="","",IF(I$8="A",(RANK(Y269,Y$11:Y$368,1)+COUNTIF(Y$11:Y269,Y269)-1),(RANK(Y269,Y$11:Y$368)+COUNTIF(Y$11:Y269,Y269)-1)))</f>
        <v>#N/A</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t="e">
        <f>HLOOKUP($AX$9&amp;$AX$10,Data!$A$1:$ZZ$2000,(MATCH($C269,Data!$A$1:$A$2000,0)),FALSE)</f>
        <v>#N/A</v>
      </c>
      <c r="AY269" s="103"/>
      <c r="AZ269" s="21"/>
    </row>
    <row r="270" spans="1:52">
      <c r="A270" s="56" t="str">
        <f>$D$1&amp;260</f>
        <v>SC260</v>
      </c>
      <c r="B270" s="57">
        <f>IF(ISERROR(VLOOKUP(A270,classifications!A:C,3,FALSE)),0,VLOOKUP(A270,classifications!A:C,3,FALSE))</f>
        <v>0</v>
      </c>
      <c r="C270" s="8" t="s">
        <v>137</v>
      </c>
      <c r="D270" s="26" t="str">
        <f>VLOOKUP($C270,classifications!$C:$J,4,FALSE)</f>
        <v>SD</v>
      </c>
      <c r="E270" s="26">
        <f>VLOOKUP(C270,classifications!C:K,9,FALSE)</f>
        <v>0</v>
      </c>
      <c r="F270" s="36">
        <f t="shared" si="97"/>
        <v>80.06415858676192</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b">
        <f t="shared" si="102"/>
        <v>0</v>
      </c>
      <c r="Z270" s="34" t="e">
        <f>IF(Y270="","",IF(I$8="A",(RANK(Y270,Y$11:Y$368,1)+COUNTIF(Y$11:Y270,Y270)-1),(RANK(Y270,Y$11:Y$368)+COUNTIF(Y$11:Y270,Y270)-1)))</f>
        <v>#N/A</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80.06415858676192</v>
      </c>
      <c r="AY270" s="103"/>
      <c r="AZ270" s="21"/>
    </row>
    <row r="271" spans="1:52">
      <c r="A271" s="56" t="str">
        <f>$D$1&amp;261</f>
        <v>SC261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85.854298338940708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b">
        <f t="shared" si="102"/>
        <v>0</v>
      </c>
      <c r="Z271" s="34" t="e">
        <f>IF(Y271="","",IF(I$8="A",(RANK(Y271,Y$11:Y$368,1)+COUNTIF(Y$11:Y271,Y271)-1),(RANK(Y271,Y$11:Y$368)+COUNTIF(Y$11:Y271,Y271)-1)))</f>
        <v>#N/A</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85.854298338940708</v>
      </c>
      <c r="AY271" s="103"/>
      <c r="AZ271" s="21"/>
    </row>
    <row r="272" spans="1:52">
      <c r="A272" s="56" t="str">
        <f>$D$1&amp;262</f>
        <v>SC262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76.551521459605794</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b">
        <f t="shared" si="102"/>
        <v>0</v>
      </c>
      <c r="Z272" s="34" t="e">
        <f>IF(Y272="","",IF(I$8="A",(RANK(Y272,Y$11:Y$368,1)+COUNTIF(Y$11:Y272,Y272)-1),(RANK(Y272,Y$11:Y$368)+COUNTIF(Y$11:Y272,Y272)-1)))</f>
        <v>#N/A</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76.551521459605794</v>
      </c>
      <c r="AY272" s="103"/>
      <c r="AZ272" s="21"/>
    </row>
    <row r="273" spans="1:52">
      <c r="A273" s="56" t="str">
        <f>$D$1&amp;263</f>
        <v>SC263</v>
      </c>
      <c r="B273" s="57">
        <f>IF(ISERROR(VLOOKUP(A273,classifications!A:C,3,FALSE)),0,VLOOKUP(A273,classifications!A:C,3,FALSE))</f>
        <v>0</v>
      </c>
      <c r="C273" s="8" t="s">
        <v>287</v>
      </c>
      <c r="D273" s="26" t="str">
        <f>VLOOKUP($C273,classifications!$C:$J,4,FALSE)</f>
        <v>UA</v>
      </c>
      <c r="E273" s="26">
        <f>VLOOKUP(C273,classifications!C:K,9,FALSE)</f>
        <v>0</v>
      </c>
      <c r="F273" s="36">
        <f t="shared" si="97"/>
        <v>86.169250060231562</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b">
        <f t="shared" si="102"/>
        <v>0</v>
      </c>
      <c r="Z273" s="34" t="e">
        <f>IF(Y273="","",IF(I$8="A",(RANK(Y273,Y$11:Y$368,1)+COUNTIF(Y$11:Y273,Y273)-1),(RANK(Y273,Y$11:Y$368)+COUNTIF(Y$11:Y273,Y273)-1)))</f>
        <v>#N/A</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86.169250060231562</v>
      </c>
      <c r="AY273" s="103"/>
      <c r="AZ273" s="21"/>
    </row>
    <row r="274" spans="1:52">
      <c r="A274" s="56" t="str">
        <f>$D$1&amp;264</f>
        <v>SC264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88.114833574245324</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b">
        <f t="shared" si="102"/>
        <v>0</v>
      </c>
      <c r="Z274" s="34" t="e">
        <f>IF(Y274="","",IF(I$8="A",(RANK(Y274,Y$11:Y$368,1)+COUNTIF(Y$11:Y274,Y274)-1),(RANK(Y274,Y$11:Y$368)+COUNTIF(Y$11:Y274,Y274)-1)))</f>
        <v>#N/A</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88.114833574245324</v>
      </c>
      <c r="AY274" s="103"/>
      <c r="AZ274" s="21"/>
    </row>
    <row r="275" spans="1:52">
      <c r="A275" s="56" t="str">
        <f>$D$1&amp;265</f>
        <v>SC265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74.535433975926495</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b">
        <f t="shared" si="102"/>
        <v>0</v>
      </c>
      <c r="Z275" s="34" t="e">
        <f>IF(Y275="","",IF(I$8="A",(RANK(Y275,Y$11:Y$368,1)+COUNTIF(Y$11:Y275,Y275)-1),(RANK(Y275,Y$11:Y$368)+COUNTIF(Y$11:Y275,Y275)-1)))</f>
        <v>#N/A</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74.535433975926495</v>
      </c>
      <c r="AY275" s="103"/>
      <c r="AZ275" s="21"/>
    </row>
    <row r="276" spans="1:52">
      <c r="A276" s="56" t="str">
        <f>$D$1&amp;266</f>
        <v>SC266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76.277737156810716</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b">
        <f t="shared" si="102"/>
        <v>0</v>
      </c>
      <c r="Z276" s="34" t="e">
        <f>IF(Y276="","",IF(I$8="A",(RANK(Y276,Y$11:Y$368,1)+COUNTIF(Y$11:Y276,Y276)-1),(RANK(Y276,Y$11:Y$368)+COUNTIF(Y$11:Y276,Y276)-1)))</f>
        <v>#N/A</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76.277737156810716</v>
      </c>
      <c r="AY276" s="103"/>
      <c r="AZ276" s="21"/>
    </row>
    <row r="277" spans="1:52">
      <c r="A277" s="56" t="str">
        <f>$D$1&amp;267</f>
        <v>SC267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86.127920184335537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b">
        <f t="shared" si="102"/>
        <v>0</v>
      </c>
      <c r="Z277" s="34" t="e">
        <f>IF(Y277="","",IF(I$8="A",(RANK(Y277,Y$11:Y$368,1)+COUNTIF(Y$11:Y277,Y277)-1),(RANK(Y277,Y$11:Y$368)+COUNTIF(Y$11:Y277,Y277)-1)))</f>
        <v>#N/A</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86.127920184335537</v>
      </c>
      <c r="AY277" s="103"/>
      <c r="AZ277" s="21"/>
    </row>
    <row r="278" spans="1:52">
      <c r="A278" s="56" t="str">
        <f>$D$1&amp;268</f>
        <v>SC268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83.687660389800357</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b">
        <f t="shared" si="102"/>
        <v>0</v>
      </c>
      <c r="Z278" s="34" t="e">
        <f>IF(Y278="","",IF(I$8="A",(RANK(Y278,Y$11:Y$368,1)+COUNTIF(Y$11:Y278,Y278)-1),(RANK(Y278,Y$11:Y$368)+COUNTIF(Y$11:Y278,Y278)-1)))</f>
        <v>#N/A</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83.687660389800357</v>
      </c>
      <c r="AY278" s="103"/>
      <c r="AZ278" s="21"/>
    </row>
    <row r="279" spans="1:52">
      <c r="A279" s="56" t="str">
        <f>$D$1&amp;269</f>
        <v>SC269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83.691511995421209</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b">
        <f t="shared" si="102"/>
        <v>0</v>
      </c>
      <c r="Z279" s="34" t="e">
        <f>IF(Y279="","",IF(I$8="A",(RANK(Y279,Y$11:Y$368,1)+COUNTIF(Y$11:Y279,Y279)-1),(RANK(Y279,Y$11:Y$368)+COUNTIF(Y$11:Y279,Y279)-1)))</f>
        <v>#N/A</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83.691511995421209</v>
      </c>
      <c r="AY279" s="103"/>
      <c r="AZ279" s="21"/>
    </row>
    <row r="280" spans="1:52">
      <c r="A280" s="56" t="str">
        <f>$D$1&amp;270</f>
        <v>SC270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86.607379837809205</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b">
        <f t="shared" si="102"/>
        <v>0</v>
      </c>
      <c r="Z280" s="34" t="e">
        <f>IF(Y280="","",IF(I$8="A",(RANK(Y280,Y$11:Y$368,1)+COUNTIF(Y$11:Y280,Y280)-1),(RANK(Y280,Y$11:Y$368)+COUNTIF(Y$11:Y280,Y280)-1)))</f>
        <v>#N/A</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86.607379837809205</v>
      </c>
      <c r="AY280" s="103"/>
      <c r="AZ280" s="21"/>
    </row>
    <row r="281" spans="1:52">
      <c r="A281" s="56" t="str">
        <f>$D$1&amp;271</f>
        <v>SC271</v>
      </c>
      <c r="B281" s="57">
        <f>IF(ISERROR(VLOOKUP(A281,classifications!A:C,3,FALSE)),0,VLOOKUP(A281,classifications!A:C,3,FALSE))</f>
        <v>0</v>
      </c>
      <c r="C281" s="8" t="s">
        <v>147</v>
      </c>
      <c r="D281" s="26" t="str">
        <f>VLOOKUP($C281,classifications!$C:$J,4,FALSE)</f>
        <v>SD</v>
      </c>
      <c r="E281" s="26">
        <f>VLOOKUP(C281,classifications!C:K,9,FALSE)</f>
        <v>0</v>
      </c>
      <c r="F281" s="36">
        <f t="shared" si="97"/>
        <v>83.096861801507984</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b">
        <f t="shared" si="102"/>
        <v>0</v>
      </c>
      <c r="Z281" s="34" t="e">
        <f>IF(Y281="","",IF(I$8="A",(RANK(Y281,Y$11:Y$368,1)+COUNTIF(Y$11:Y281,Y281)-1),(RANK(Y281,Y$11:Y$368)+COUNTIF(Y$11:Y281,Y281)-1)))</f>
        <v>#N/A</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83.096861801507984</v>
      </c>
      <c r="AY281" s="103"/>
      <c r="AZ281" s="21"/>
    </row>
    <row r="282" spans="1:52">
      <c r="A282" s="56" t="str">
        <f>$D$1&amp;272</f>
        <v>SC272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82.960311715456797</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b">
        <f t="shared" si="102"/>
        <v>0</v>
      </c>
      <c r="Z282" s="34" t="e">
        <f>IF(Y282="","",IF(I$8="A",(RANK(Y282,Y$11:Y$368,1)+COUNTIF(Y$11:Y282,Y282)-1),(RANK(Y282,Y$11:Y$368)+COUNTIF(Y$11:Y282,Y282)-1)))</f>
        <v>#N/A</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82.960311715456797</v>
      </c>
      <c r="AY282" s="103"/>
      <c r="AZ282" s="21"/>
    </row>
    <row r="283" spans="1:52">
      <c r="A283" s="56" t="str">
        <f>$D$1&amp;273</f>
        <v>SC273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77.878464707712496</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b">
        <f t="shared" si="102"/>
        <v>0</v>
      </c>
      <c r="Z283" s="34" t="e">
        <f>IF(Y283="","",IF(I$8="A",(RANK(Y283,Y$11:Y$368,1)+COUNTIF(Y$11:Y283,Y283)-1),(RANK(Y283,Y$11:Y$368)+COUNTIF(Y$11:Y283,Y283)-1)))</f>
        <v>#N/A</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77.878464707712496</v>
      </c>
      <c r="AY283" s="103"/>
      <c r="AZ283" s="21"/>
    </row>
    <row r="284" spans="1:52">
      <c r="A284" s="56" t="str">
        <f>$D$1&amp;274</f>
        <v>SC274</v>
      </c>
      <c r="B284" s="57">
        <f>IF(ISERROR(VLOOKUP(A284,classifications!A:C,3,FALSE)),0,VLOOKUP(A284,classifications!A:C,3,FALSE))</f>
        <v>0</v>
      </c>
      <c r="C284" s="8" t="s">
        <v>247</v>
      </c>
      <c r="D284" s="26" t="str">
        <f>VLOOKUP($C284,classifications!$C:$J,4,FALSE)</f>
        <v>MD</v>
      </c>
      <c r="E284" s="26">
        <f>VLOOKUP(C284,classifications!C:K,9,FALSE)</f>
        <v>0</v>
      </c>
      <c r="F284" s="36">
        <f t="shared" si="97"/>
        <v>79.897493596827786</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b">
        <f t="shared" si="102"/>
        <v>0</v>
      </c>
      <c r="Z284" s="34" t="e">
        <f>IF(Y284="","",IF(I$8="A",(RANK(Y284,Y$11:Y$368,1)+COUNTIF(Y$11:Y284,Y284)-1),(RANK(Y284,Y$11:Y$368)+COUNTIF(Y$11:Y284,Y284)-1)))</f>
        <v>#N/A</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79.897493596827786</v>
      </c>
      <c r="AY284" s="103"/>
      <c r="AZ284" s="21"/>
    </row>
    <row r="285" spans="1:52">
      <c r="A285" s="56" t="str">
        <f>$D$1&amp;275</f>
        <v>SC275</v>
      </c>
      <c r="B285" s="57">
        <f>IF(ISERROR(VLOOKUP(A285,classifications!A:C,3,FALSE)),0,VLOOKUP(A285,classifications!A:C,3,FALSE))</f>
        <v>0</v>
      </c>
      <c r="C285" s="8" t="s">
        <v>288</v>
      </c>
      <c r="D285" s="26" t="str">
        <f>VLOOKUP($C285,classifications!$C:$J,4,FALSE)</f>
        <v>UA</v>
      </c>
      <c r="E285" s="26">
        <f>VLOOKUP(C285,classifications!C:K,9,FALSE)</f>
        <v>0</v>
      </c>
      <c r="F285" s="36">
        <f t="shared" si="97"/>
        <v>84.463162833012163</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b">
        <f t="shared" si="102"/>
        <v>0</v>
      </c>
      <c r="Z285" s="34" t="e">
        <f>IF(Y285="","",IF(I$8="A",(RANK(Y285,Y$11:Y$368,1)+COUNTIF(Y$11:Y285,Y285)-1),(RANK(Y285,Y$11:Y$368)+COUNTIF(Y$11:Y285,Y285)-1)))</f>
        <v>#N/A</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84.463162833012163</v>
      </c>
      <c r="AY285" s="103"/>
      <c r="AZ285" s="21"/>
    </row>
    <row r="286" spans="1:52">
      <c r="A286" s="56" t="str">
        <f>$D$1&amp;276</f>
        <v>SC276</v>
      </c>
      <c r="B286" s="57">
        <f>IF(ISERROR(VLOOKUP(A286,classifications!A:C,3,FALSE)),0,VLOOKUP(A286,classifications!A:C,3,FALSE))</f>
        <v>0</v>
      </c>
      <c r="C286" s="8" t="s">
        <v>289</v>
      </c>
      <c r="D286" s="26" t="str">
        <f>VLOOKUP($C286,classifications!$C:$J,4,FALSE)</f>
        <v>UA</v>
      </c>
      <c r="E286" s="26">
        <f>VLOOKUP(C286,classifications!C:K,9,FALSE)</f>
        <v>0</v>
      </c>
      <c r="F286" s="36">
        <f t="shared" si="97"/>
        <v>76.94998961504443</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b">
        <f t="shared" si="102"/>
        <v>0</v>
      </c>
      <c r="Z286" s="34" t="e">
        <f>IF(Y286="","",IF(I$8="A",(RANK(Y286,Y$11:Y$368,1)+COUNTIF(Y$11:Y286,Y286)-1),(RANK(Y286,Y$11:Y$368)+COUNTIF(Y$11:Y286,Y286)-1)))</f>
        <v>#N/A</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76.94998961504443</v>
      </c>
      <c r="AY286" s="103"/>
      <c r="AZ286" s="21"/>
    </row>
    <row r="287" spans="1:52">
      <c r="A287" s="56" t="str">
        <f>$D$1&amp;277</f>
        <v>SC277</v>
      </c>
      <c r="B287" s="57">
        <f>IF(ISERROR(VLOOKUP(A287,classifications!A:C,3,FALSE)),0,VLOOKUP(A287,classifications!A:C,3,FALSE))</f>
        <v>0</v>
      </c>
      <c r="C287" s="8" t="s">
        <v>217</v>
      </c>
      <c r="D287" s="26" t="str">
        <f>VLOOKUP($C287,classifications!$C:$J,4,FALSE)</f>
        <v>L</v>
      </c>
      <c r="E287" s="26">
        <f>VLOOKUP(C287,classifications!C:K,9,FALSE)</f>
        <v>0</v>
      </c>
      <c r="F287" s="36">
        <f t="shared" si="97"/>
        <v>84.343569969916516</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b">
        <f t="shared" si="102"/>
        <v>0</v>
      </c>
      <c r="Z287" s="34" t="e">
        <f>IF(Y287="","",IF(I$8="A",(RANK(Y287,Y$11:Y$368,1)+COUNTIF(Y$11:Y287,Y287)-1),(RANK(Y287,Y$11:Y$368)+COUNTIF(Y$11:Y287,Y287)-1)))</f>
        <v>#N/A</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84.343569969916516</v>
      </c>
      <c r="AY287" s="103"/>
      <c r="AZ287" s="21"/>
    </row>
    <row r="288" spans="1:52">
      <c r="A288" s="56" t="str">
        <f>$D$1&amp;278</f>
        <v>SC278</v>
      </c>
      <c r="B288" s="57">
        <f>IF(ISERROR(VLOOKUP(A288,classifications!A:C,3,FALSE)),0,VLOOKUP(A288,classifications!A:C,3,FALSE))</f>
        <v>0</v>
      </c>
      <c r="C288" s="8" t="s">
        <v>150</v>
      </c>
      <c r="D288" s="26" t="str">
        <f>VLOOKUP($C288,classifications!$C:$J,4,FALSE)</f>
        <v>SD</v>
      </c>
      <c r="E288" s="26">
        <f>VLOOKUP(C288,classifications!C:K,9,FALSE)</f>
        <v>0</v>
      </c>
      <c r="F288" s="36">
        <f t="shared" si="97"/>
        <v>82.285651741674101</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b">
        <f t="shared" si="102"/>
        <v>0</v>
      </c>
      <c r="Z288" s="34" t="e">
        <f>IF(Y288="","",IF(I$8="A",(RANK(Y288,Y$11:Y$368,1)+COUNTIF(Y$11:Y288,Y288)-1),(RANK(Y288,Y$11:Y$368)+COUNTIF(Y$11:Y288,Y288)-1)))</f>
        <v>#N/A</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82.285651741674101</v>
      </c>
      <c r="AY288" s="103"/>
      <c r="AZ288" s="21"/>
    </row>
    <row r="289" spans="1:52">
      <c r="A289" s="56" t="str">
        <f>$D$1&amp;279</f>
        <v>SC279</v>
      </c>
      <c r="B289" s="57">
        <f>IF(ISERROR(VLOOKUP(A289,classifications!A:C,3,FALSE)),0,VLOOKUP(A289,classifications!A:C,3,FALSE))</f>
        <v>0</v>
      </c>
      <c r="C289" s="8" t="s">
        <v>151</v>
      </c>
      <c r="D289" s="26" t="str">
        <f>VLOOKUP($C289,classifications!$C:$J,4,FALSE)</f>
        <v>SD</v>
      </c>
      <c r="E289" s="26">
        <f>VLOOKUP(C289,classifications!C:K,9,FALSE)</f>
        <v>0</v>
      </c>
      <c r="F289" s="36">
        <f t="shared" si="97"/>
        <v>86.168577447552352</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b">
        <f t="shared" si="102"/>
        <v>0</v>
      </c>
      <c r="Z289" s="34" t="e">
        <f>IF(Y289="","",IF(I$8="A",(RANK(Y289,Y$11:Y$368,1)+COUNTIF(Y$11:Y289,Y289)-1),(RANK(Y289,Y$11:Y$368)+COUNTIF(Y$11:Y289,Y289)-1)))</f>
        <v>#N/A</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86.168577447552352</v>
      </c>
      <c r="AY289" s="103"/>
      <c r="AZ289" s="21"/>
    </row>
    <row r="290" spans="1:52">
      <c r="A290" s="56" t="str">
        <f>$D$1&amp;280</f>
        <v>SC280</v>
      </c>
      <c r="B290" s="57">
        <f>IF(ISERROR(VLOOKUP(A290,classifications!A:C,3,FALSE)),0,VLOOKUP(A290,classifications!A:C,3,FALSE))</f>
        <v>0</v>
      </c>
      <c r="C290" s="8" t="s">
        <v>152</v>
      </c>
      <c r="D290" s="26" t="str">
        <f>VLOOKUP($C290,classifications!$C:$J,4,FALSE)</f>
        <v>SD</v>
      </c>
      <c r="E290" s="26" t="str">
        <f>VLOOKUP(C290,classifications!C:K,9,FALSE)</f>
        <v>Sparse</v>
      </c>
      <c r="F290" s="36">
        <f t="shared" si="97"/>
        <v>0</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b">
        <f t="shared" si="102"/>
        <v>0</v>
      </c>
      <c r="Z290" s="34" t="e">
        <f>IF(Y290="","",IF(I$8="A",(RANK(Y290,Y$11:Y$368,1)+COUNTIF(Y$11:Y290,Y290)-1),(RANK(Y290,Y$11:Y$368)+COUNTIF(Y$11:Y290,Y290)-1)))</f>
        <v>#N/A</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f>HLOOKUP($AX$9&amp;$AX$10,Data!$A$1:$ZZ$2000,(MATCH($C290,Data!$A$1:$A$2000,0)),FALSE)</f>
        <v>0</v>
      </c>
      <c r="AY290" s="103"/>
      <c r="AZ290" s="21"/>
    </row>
    <row r="291" spans="1:52">
      <c r="A291" s="56" t="str">
        <f>$D$1&amp;281</f>
        <v>SC281</v>
      </c>
      <c r="B291" s="57">
        <f>IF(ISERROR(VLOOKUP(A291,classifications!A:C,3,FALSE)),0,VLOOKUP(A291,classifications!A:C,3,FALSE))</f>
        <v>0</v>
      </c>
      <c r="C291" s="8" t="s">
        <v>248</v>
      </c>
      <c r="D291" s="26" t="str">
        <f>VLOOKUP($C291,classifications!$C:$J,4,FALSE)</f>
        <v>MD</v>
      </c>
      <c r="E291" s="26">
        <f>VLOOKUP(C291,classifications!C:K,9,FALSE)</f>
        <v>0</v>
      </c>
      <c r="F291" s="36">
        <f t="shared" si="97"/>
        <v>77.535024896980801</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b">
        <f t="shared" si="102"/>
        <v>0</v>
      </c>
      <c r="Z291" s="34" t="e">
        <f>IF(Y291="","",IF(I$8="A",(RANK(Y291,Y$11:Y$368,1)+COUNTIF(Y$11:Y291,Y291)-1),(RANK(Y291,Y$11:Y$368)+COUNTIF(Y$11:Y291,Y291)-1)))</f>
        <v>#N/A</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77.535024896980801</v>
      </c>
      <c r="AY291" s="103"/>
      <c r="AZ291" s="21"/>
    </row>
    <row r="292" spans="1:52">
      <c r="A292" s="56" t="str">
        <f>$D$1&amp;282</f>
        <v>SC282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80.628429131598295</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b">
        <f t="shared" si="102"/>
        <v>0</v>
      </c>
      <c r="Z292" s="34" t="e">
        <f>IF(Y292="","",IF(I$8="A",(RANK(Y292,Y$11:Y$368,1)+COUNTIF(Y$11:Y292,Y292)-1),(RANK(Y292,Y$11:Y$368)+COUNTIF(Y$11:Y292,Y292)-1)))</f>
        <v>#N/A</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80.628429131598295</v>
      </c>
      <c r="AY292" s="103"/>
      <c r="AZ292" s="21"/>
    </row>
    <row r="293" spans="1:52">
      <c r="A293" s="56" t="str">
        <f>$D$1&amp;283</f>
        <v>SC283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78.750029660967968</v>
      </c>
      <c r="G293" s="71"/>
      <c r="H293" s="37">
        <f t="shared" si="98"/>
        <v>78.750029660967968</v>
      </c>
      <c r="I293" s="77">
        <f>IF(H293="","",IF($I$8="A",(RANK(H293,H$11:H$368,1)+COUNTIF(H$11:H293,H293)-1),(RANK(H293,H$11:H$368)+COUNTIF(H$11:H293,H293)-1)))</f>
        <v>24</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b">
        <f t="shared" si="102"/>
        <v>0</v>
      </c>
      <c r="Z293" s="34" t="e">
        <f>IF(Y293="","",IF(I$8="A",(RANK(Y293,Y$11:Y$368,1)+COUNTIF(Y$11:Y293,Y293)-1),(RANK(Y293,Y$11:Y$368)+COUNTIF(Y$11:Y293,Y293)-1)))</f>
        <v>#N/A</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78.750029660967968</v>
      </c>
      <c r="AY293" s="103"/>
      <c r="AZ293" s="21"/>
    </row>
    <row r="294" spans="1:52">
      <c r="A294" s="56" t="str">
        <f>$D$1&amp;284</f>
        <v>SC284</v>
      </c>
      <c r="B294" s="57">
        <f>IF(ISERROR(VLOOKUP(A294,classifications!A:C,3,FALSE)),0,VLOOKUP(A294,classifications!A:C,3,FALSE))</f>
        <v>0</v>
      </c>
      <c r="C294" s="8" t="s">
        <v>154</v>
      </c>
      <c r="D294" s="26" t="str">
        <f>VLOOKUP($C294,classifications!$C:$J,4,FALSE)</f>
        <v>SD</v>
      </c>
      <c r="E294" s="26">
        <f>VLOOKUP(C294,classifications!C:K,9,FALSE)</f>
        <v>0</v>
      </c>
      <c r="F294" s="36">
        <f t="shared" si="97"/>
        <v>78.783205335978252</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b">
        <f t="shared" si="102"/>
        <v>0</v>
      </c>
      <c r="Z294" s="34" t="e">
        <f>IF(Y294="","",IF(I$8="A",(RANK(Y294,Y$11:Y$368,1)+COUNTIF(Y$11:Y294,Y294)-1),(RANK(Y294,Y$11:Y$368)+COUNTIF(Y$11:Y294,Y294)-1)))</f>
        <v>#N/A</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78.783205335978252</v>
      </c>
      <c r="AY294" s="103"/>
      <c r="AZ294" s="21"/>
    </row>
    <row r="295" spans="1:52">
      <c r="A295" s="56" t="str">
        <f>$D$1&amp;285</f>
        <v>SC285</v>
      </c>
      <c r="B295" s="57">
        <f>IF(ISERROR(VLOOKUP(A295,classifications!A:C,3,FALSE)),0,VLOOKUP(A295,classifications!A:C,3,FALSE))</f>
        <v>0</v>
      </c>
      <c r="C295" s="8" t="s">
        <v>155</v>
      </c>
      <c r="D295" s="26" t="str">
        <f>VLOOKUP($C295,classifications!$C:$J,4,FALSE)</f>
        <v>SD</v>
      </c>
      <c r="E295" s="26">
        <f>VLOOKUP(C295,classifications!C:K,9,FALSE)</f>
        <v>0</v>
      </c>
      <c r="F295" s="36">
        <f t="shared" si="97"/>
        <v>80.749600024003115</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b">
        <f t="shared" si="102"/>
        <v>0</v>
      </c>
      <c r="Z295" s="34" t="e">
        <f>IF(Y295="","",IF(I$8="A",(RANK(Y295,Y$11:Y$368,1)+COUNTIF(Y$11:Y295,Y295)-1),(RANK(Y295,Y$11:Y$368)+COUNTIF(Y$11:Y295,Y295)-1)))</f>
        <v>#N/A</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80.749600024003115</v>
      </c>
      <c r="AY295" s="103"/>
      <c r="AZ295" s="21"/>
    </row>
    <row r="296" spans="1:52">
      <c r="A296" s="56" t="str">
        <f>$D$1&amp;286</f>
        <v>SC286</v>
      </c>
      <c r="B296" s="57">
        <f>IF(ISERROR(VLOOKUP(A296,classifications!A:C,3,FALSE)),0,VLOOKUP(A296,classifications!A:C,3,FALSE))</f>
        <v>0</v>
      </c>
      <c r="C296" s="8" t="s">
        <v>249</v>
      </c>
      <c r="D296" s="26" t="str">
        <f>VLOOKUP($C296,classifications!$C:$J,4,FALSE)</f>
        <v>MD</v>
      </c>
      <c r="E296" s="26">
        <f>VLOOKUP(C296,classifications!C:K,9,FALSE)</f>
        <v>0</v>
      </c>
      <c r="F296" s="36">
        <f t="shared" si="97"/>
        <v>79.423947416717681</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b">
        <f t="shared" si="102"/>
        <v>0</v>
      </c>
      <c r="Z296" s="34" t="e">
        <f>IF(Y296="","",IF(I$8="A",(RANK(Y296,Y$11:Y$368,1)+COUNTIF(Y$11:Y296,Y296)-1),(RANK(Y296,Y$11:Y$368)+COUNTIF(Y$11:Y296,Y296)-1)))</f>
        <v>#N/A</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79.423947416717681</v>
      </c>
      <c r="AY296" s="103"/>
      <c r="AZ296" s="21"/>
    </row>
    <row r="297" spans="1:52">
      <c r="A297" s="56" t="str">
        <f>$D$1&amp;287</f>
        <v>SC287</v>
      </c>
      <c r="B297" s="57">
        <f>IF(ISERROR(VLOOKUP(A297,classifications!A:C,3,FALSE)),0,VLOOKUP(A297,classifications!A:C,3,FALSE))</f>
        <v>0</v>
      </c>
      <c r="C297" s="8" t="s">
        <v>290</v>
      </c>
      <c r="D297" s="26" t="str">
        <f>VLOOKUP($C297,classifications!$C:$J,4,FALSE)</f>
        <v>UA</v>
      </c>
      <c r="E297" s="26">
        <f>VLOOKUP(C297,classifications!C:K,9,FALSE)</f>
        <v>0</v>
      </c>
      <c r="F297" s="36">
        <f t="shared" si="97"/>
        <v>78.520943762207935</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b">
        <f t="shared" si="102"/>
        <v>0</v>
      </c>
      <c r="Z297" s="34" t="e">
        <f>IF(Y297="","",IF(I$8="A",(RANK(Y297,Y$11:Y$368,1)+COUNTIF(Y$11:Y297,Y297)-1),(RANK(Y297,Y$11:Y$368)+COUNTIF(Y$11:Y297,Y297)-1)))</f>
        <v>#N/A</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78.520943762207935</v>
      </c>
      <c r="AY297" s="103"/>
      <c r="AZ297" s="21"/>
    </row>
    <row r="298" spans="1:52">
      <c r="A298" s="56" t="str">
        <f>$D$1&amp;288</f>
        <v>SC288</v>
      </c>
      <c r="B298" s="57">
        <f>IF(ISERROR(VLOOKUP(A298,classifications!A:C,3,FALSE)),0,VLOOKUP(A298,classifications!A:C,3,FALSE))</f>
        <v>0</v>
      </c>
      <c r="C298" s="8" t="s">
        <v>291</v>
      </c>
      <c r="D298" s="26" t="str">
        <f>VLOOKUP($C298,classifications!$C:$J,4,FALSE)</f>
        <v>UA</v>
      </c>
      <c r="E298" s="26">
        <f>VLOOKUP(C298,classifications!C:K,9,FALSE)</f>
        <v>0</v>
      </c>
      <c r="F298" s="36">
        <f t="shared" si="97"/>
        <v>70.543197211140722</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b">
        <f t="shared" si="102"/>
        <v>0</v>
      </c>
      <c r="Z298" s="34" t="e">
        <f>IF(Y298="","",IF(I$8="A",(RANK(Y298,Y$11:Y$368,1)+COUNTIF(Y$11:Y298,Y298)-1),(RANK(Y298,Y$11:Y$368)+COUNTIF(Y$11:Y298,Y298)-1)))</f>
        <v>#N/A</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70.543197211140722</v>
      </c>
      <c r="AY298" s="103"/>
      <c r="AZ298" s="21"/>
    </row>
    <row r="299" spans="1:52">
      <c r="A299" s="56" t="str">
        <f>$D$1&amp;289</f>
        <v>SC289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81.494755210460639</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b">
        <f t="shared" si="102"/>
        <v>0</v>
      </c>
      <c r="Z299" s="34" t="e">
        <f>IF(Y299="","",IF(I$8="A",(RANK(Y299,Y$11:Y$368,1)+COUNTIF(Y$11:Y299,Y299)-1),(RANK(Y299,Y$11:Y$368)+COUNTIF(Y$11:Y299,Y299)-1)))</f>
        <v>#N/A</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81.494755210460639</v>
      </c>
      <c r="AY299" s="103"/>
      <c r="AZ299" s="21"/>
    </row>
    <row r="300" spans="1:52">
      <c r="A300" s="56" t="str">
        <f>$D$1&amp;290</f>
        <v>SC290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86.591064229964161</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b">
        <f t="shared" si="102"/>
        <v>0</v>
      </c>
      <c r="Z300" s="34" t="e">
        <f>IF(Y300="","",IF(I$8="A",(RANK(Y300,Y$11:Y$368,1)+COUNTIF(Y$11:Y300,Y300)-1),(RANK(Y300,Y$11:Y$368)+COUNTIF(Y$11:Y300,Y300)-1)))</f>
        <v>#N/A</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86.591064229964161</v>
      </c>
      <c r="AY300" s="103"/>
      <c r="AZ300" s="21"/>
    </row>
    <row r="301" spans="1:52">
      <c r="A301" s="56" t="str">
        <f>$D$1&amp;291</f>
        <v>SC291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82.364696744200316</v>
      </c>
      <c r="G301" s="71"/>
      <c r="H301" s="37">
        <f t="shared" si="98"/>
        <v>82.364696744200316</v>
      </c>
      <c r="I301" s="77">
        <f>IF(H301="","",IF($I$8="A",(RANK(H301,H$11:H$368,1)+COUNTIF(H$11:H301,H301)-1),(RANK(H301,H$11:H$368)+COUNTIF(H$11:H301,H301)-1)))</f>
        <v>17</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b">
        <f t="shared" si="102"/>
        <v>0</v>
      </c>
      <c r="Z301" s="34" t="e">
        <f>IF(Y301="","",IF(I$8="A",(RANK(Y301,Y$11:Y$368,1)+COUNTIF(Y$11:Y301,Y301)-1),(RANK(Y301,Y$11:Y$368)+COUNTIF(Y$11:Y301,Y301)-1)))</f>
        <v>#N/A</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82.364696744200316</v>
      </c>
      <c r="AY301" s="103"/>
      <c r="AZ301" s="21"/>
    </row>
    <row r="302" spans="1:52">
      <c r="A302" s="56" t="str">
        <f>$D$1&amp;292</f>
        <v>SC292</v>
      </c>
      <c r="B302" s="57">
        <f>IF(ISERROR(VLOOKUP(A302,classifications!A:C,3,FALSE)),0,VLOOKUP(A302,classifications!A:C,3,FALSE))</f>
        <v>0</v>
      </c>
      <c r="C302" s="8" t="s">
        <v>158</v>
      </c>
      <c r="D302" s="26" t="str">
        <f>VLOOKUP($C302,classifications!$C:$J,4,FALSE)</f>
        <v>SD</v>
      </c>
      <c r="E302" s="26" t="str">
        <f>VLOOKUP(C302,classifications!C:K,9,FALSE)</f>
        <v>Sparse</v>
      </c>
      <c r="F302" s="36">
        <f t="shared" si="97"/>
        <v>0</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b">
        <f t="shared" si="102"/>
        <v>0</v>
      </c>
      <c r="Z302" s="34" t="e">
        <f>IF(Y302="","",IF(I$8="A",(RANK(Y302,Y$11:Y$368,1)+COUNTIF(Y$11:Y302,Y302)-1),(RANK(Y302,Y$11:Y$368)+COUNTIF(Y$11:Y302,Y302)-1)))</f>
        <v>#N/A</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f>HLOOKUP($AX$9&amp;$AX$10,Data!$A$1:$ZZ$2000,(MATCH($C302,Data!$A$1:$A$2000,0)),FALSE)</f>
        <v>0</v>
      </c>
      <c r="AY302" s="103"/>
      <c r="AZ302" s="21"/>
    </row>
    <row r="303" spans="1:52">
      <c r="A303" s="56" t="str">
        <f>$D$1&amp;293</f>
        <v>SC293</v>
      </c>
      <c r="B303" s="57">
        <f>IF(ISERROR(VLOOKUP(A303,classifications!A:C,3,FALSE)),0,VLOOKUP(A303,classifications!A:C,3,FALSE))</f>
        <v>0</v>
      </c>
      <c r="C303" s="8" t="s">
        <v>250</v>
      </c>
      <c r="D303" s="26" t="str">
        <f>VLOOKUP($C303,classifications!$C:$J,4,FALSE)</f>
        <v>MD</v>
      </c>
      <c r="E303" s="26">
        <f>VLOOKUP(C303,classifications!C:K,9,FALSE)</f>
        <v>0</v>
      </c>
      <c r="F303" s="36">
        <f t="shared" si="97"/>
        <v>72.967386372492712</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b">
        <f t="shared" si="102"/>
        <v>0</v>
      </c>
      <c r="Z303" s="34" t="e">
        <f>IF(Y303="","",IF(I$8="A",(RANK(Y303,Y$11:Y$368,1)+COUNTIF(Y$11:Y303,Y303)-1),(RANK(Y303,Y$11:Y$368)+COUNTIF(Y$11:Y303,Y303)-1)))</f>
        <v>#N/A</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72.967386372492712</v>
      </c>
      <c r="AY303" s="103"/>
      <c r="AZ303" s="21"/>
    </row>
    <row r="304" spans="1:52">
      <c r="A304" s="56" t="str">
        <f>$D$1&amp;294</f>
        <v>SC294</v>
      </c>
      <c r="B304" s="57">
        <f>IF(ISERROR(VLOOKUP(A304,classifications!A:C,3,FALSE)),0,VLOOKUP(A304,classifications!A:C,3,FALSE))</f>
        <v>0</v>
      </c>
      <c r="C304" s="8" t="s">
        <v>329</v>
      </c>
      <c r="D304" s="26" t="str">
        <f>VLOOKUP($C304,classifications!$C:$J,4,FALSE)</f>
        <v>SC</v>
      </c>
      <c r="E304" s="26">
        <f>VLOOKUP(C304,classifications!C:K,9,FALSE)</f>
        <v>0</v>
      </c>
      <c r="F304" s="36">
        <f t="shared" si="97"/>
        <v>84.966154875457107</v>
      </c>
      <c r="G304" s="71"/>
      <c r="H304" s="37">
        <f t="shared" si="98"/>
        <v>84.966154875457107</v>
      </c>
      <c r="I304" s="77">
        <f>IF(H304="","",IF($I$8="A",(RANK(H304,H$11:H$368,1)+COUNTIF(H$11:H304,H304)-1),(RANK(H304,H$11:H$368)+COUNTIF(H$11:H304,H304)-1)))</f>
        <v>3</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b">
        <f t="shared" si="102"/>
        <v>0</v>
      </c>
      <c r="Z304" s="34" t="e">
        <f>IF(Y304="","",IF(I$8="A",(RANK(Y304,Y$11:Y$368,1)+COUNTIF(Y$11:Y304,Y304)-1),(RANK(Y304,Y$11:Y$368)+COUNTIF(Y$11:Y304,Y304)-1)))</f>
        <v>#N/A</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84.966154875457107</v>
      </c>
      <c r="AY304" s="103"/>
      <c r="AZ304" s="21"/>
    </row>
    <row r="305" spans="1:52">
      <c r="A305" s="56" t="str">
        <f>$D$1&amp;295</f>
        <v>SC295</v>
      </c>
      <c r="B305" s="57">
        <f>IF(ISERROR(VLOOKUP(A305,classifications!A:C,3,FALSE)),0,VLOOKUP(A305,classifications!A:C,3,FALSE))</f>
        <v>0</v>
      </c>
      <c r="C305" s="8" t="s">
        <v>159</v>
      </c>
      <c r="D305" s="26" t="str">
        <f>VLOOKUP($C305,classifications!$C:$J,4,FALSE)</f>
        <v>SD</v>
      </c>
      <c r="E305" s="26">
        <f>VLOOKUP(C305,classifications!C:K,9,FALSE)</f>
        <v>0</v>
      </c>
      <c r="F305" s="36">
        <f t="shared" si="97"/>
        <v>83.863003731213638</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b">
        <f t="shared" si="102"/>
        <v>0</v>
      </c>
      <c r="Z305" s="34" t="e">
        <f>IF(Y305="","",IF(I$8="A",(RANK(Y305,Y$11:Y$368,1)+COUNTIF(Y$11:Y305,Y305)-1),(RANK(Y305,Y$11:Y$368)+COUNTIF(Y$11:Y305,Y305)-1)))</f>
        <v>#N/A</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83.863003731213638</v>
      </c>
      <c r="AY305" s="103"/>
      <c r="AZ305" s="21"/>
    </row>
    <row r="306" spans="1:52">
      <c r="A306" s="56" t="str">
        <f>$D$1&amp;296</f>
        <v>SC296</v>
      </c>
      <c r="B306" s="57">
        <f>IF(ISERROR(VLOOKUP(A306,classifications!A:C,3,FALSE)),0,VLOOKUP(A306,classifications!A:C,3,FALSE))</f>
        <v>0</v>
      </c>
      <c r="C306" s="8" t="s">
        <v>218</v>
      </c>
      <c r="D306" s="26" t="str">
        <f>VLOOKUP($C306,classifications!$C:$J,4,FALSE)</f>
        <v>L</v>
      </c>
      <c r="E306" s="26">
        <f>VLOOKUP(C306,classifications!C:K,9,FALSE)</f>
        <v>0</v>
      </c>
      <c r="F306" s="36">
        <f t="shared" si="97"/>
        <v>81.70288423607785</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b">
        <f t="shared" si="102"/>
        <v>0</v>
      </c>
      <c r="Z306" s="34" t="e">
        <f>IF(Y306="","",IF(I$8="A",(RANK(Y306,Y$11:Y$368,1)+COUNTIF(Y$11:Y306,Y306)-1),(RANK(Y306,Y$11:Y$368)+COUNTIF(Y$11:Y306,Y306)-1)))</f>
        <v>#N/A</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81.70288423607785</v>
      </c>
      <c r="AY306" s="103"/>
      <c r="AZ306" s="21"/>
    </row>
    <row r="307" spans="1:52">
      <c r="A307" s="56" t="str">
        <f>$D$1&amp;297</f>
        <v>SC297</v>
      </c>
      <c r="B307" s="57">
        <f>IF(ISERROR(VLOOKUP(A307,classifications!A:C,3,FALSE)),0,VLOOKUP(A307,classifications!A:C,3,FALSE))</f>
        <v>0</v>
      </c>
      <c r="C307" s="8" t="s">
        <v>160</v>
      </c>
      <c r="D307" s="26" t="str">
        <f>VLOOKUP($C307,classifications!$C:$J,4,FALSE)</f>
        <v>SD</v>
      </c>
      <c r="E307" s="26">
        <f>VLOOKUP(C307,classifications!C:K,9,FALSE)</f>
        <v>0</v>
      </c>
      <c r="F307" s="36">
        <f t="shared" si="97"/>
        <v>77.923250980222676</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b">
        <f t="shared" si="102"/>
        <v>0</v>
      </c>
      <c r="Z307" s="34" t="e">
        <f>IF(Y307="","",IF(I$8="A",(RANK(Y307,Y$11:Y$368,1)+COUNTIF(Y$11:Y307,Y307)-1),(RANK(Y307,Y$11:Y$368)+COUNTIF(Y$11:Y307,Y307)-1)))</f>
        <v>#N/A</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77.923250980222676</v>
      </c>
      <c r="AY307" s="103"/>
      <c r="AZ307" s="21"/>
    </row>
    <row r="308" spans="1:52">
      <c r="A308" s="56" t="str">
        <f>$D$1&amp;298</f>
        <v>SC298</v>
      </c>
      <c r="B308" s="57">
        <f>IF(ISERROR(VLOOKUP(A308,classifications!A:C,3,FALSE)),0,VLOOKUP(A308,classifications!A:C,3,FALSE))</f>
        <v>0</v>
      </c>
      <c r="C308" s="8" t="s">
        <v>292</v>
      </c>
      <c r="D308" s="26" t="str">
        <f>VLOOKUP($C308,classifications!$C:$J,4,FALSE)</f>
        <v>UA</v>
      </c>
      <c r="E308" s="26">
        <f>VLOOKUP(C308,classifications!C:K,9,FALSE)</f>
        <v>0</v>
      </c>
      <c r="F308" s="36">
        <f t="shared" si="97"/>
        <v>78.592708651842358</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b">
        <f t="shared" si="102"/>
        <v>0</v>
      </c>
      <c r="Z308" s="34" t="e">
        <f>IF(Y308="","",IF(I$8="A",(RANK(Y308,Y$11:Y$368,1)+COUNTIF(Y$11:Y308,Y308)-1),(RANK(Y308,Y$11:Y$368)+COUNTIF(Y$11:Y308,Y308)-1)))</f>
        <v>#N/A</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78.592708651842358</v>
      </c>
      <c r="AY308" s="103"/>
      <c r="AZ308" s="21"/>
    </row>
    <row r="309" spans="1:52">
      <c r="A309" s="56" t="str">
        <f>$D$1&amp;299</f>
        <v>SC299</v>
      </c>
      <c r="B309" s="57">
        <f>IF(ISERROR(VLOOKUP(A309,classifications!A:C,3,FALSE)),0,VLOOKUP(A309,classifications!A:C,3,FALSE))</f>
        <v>0</v>
      </c>
      <c r="C309" s="8" t="s">
        <v>251</v>
      </c>
      <c r="D309" s="26" t="str">
        <f>VLOOKUP($C309,classifications!$C:$J,4,FALSE)</f>
        <v>MD</v>
      </c>
      <c r="E309" s="26">
        <f>VLOOKUP(C309,classifications!C:K,9,FALSE)</f>
        <v>0</v>
      </c>
      <c r="F309" s="36">
        <f t="shared" si="97"/>
        <v>77.951891590323129</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b">
        <f t="shared" si="102"/>
        <v>0</v>
      </c>
      <c r="Z309" s="34" t="e">
        <f>IF(Y309="","",IF(I$8="A",(RANK(Y309,Y$11:Y$368,1)+COUNTIF(Y$11:Y309,Y309)-1),(RANK(Y309,Y$11:Y$368)+COUNTIF(Y$11:Y309,Y309)-1)))</f>
        <v>#N/A</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77.951891590323129</v>
      </c>
      <c r="AY309" s="103"/>
      <c r="AZ309" s="21"/>
    </row>
    <row r="310" spans="1:52">
      <c r="A310" s="56" t="str">
        <f>$D$1&amp;300</f>
        <v>SC300</v>
      </c>
      <c r="B310" s="57">
        <f>IF(ISERROR(VLOOKUP(A310,classifications!A:C,3,FALSE)),0,VLOOKUP(A310,classifications!A:C,3,FALSE))</f>
        <v>0</v>
      </c>
      <c r="C310" s="8" t="s">
        <v>161</v>
      </c>
      <c r="D310" s="26" t="str">
        <f>VLOOKUP($C310,classifications!$C:$J,4,FALSE)</f>
        <v>SD</v>
      </c>
      <c r="E310" s="26">
        <f>VLOOKUP(C310,classifications!C:K,9,FALSE)</f>
        <v>0</v>
      </c>
      <c r="F310" s="36">
        <f t="shared" si="97"/>
        <v>80.519686940843357</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b">
        <f t="shared" si="102"/>
        <v>0</v>
      </c>
      <c r="Z310" s="34" t="e">
        <f>IF(Y310="","",IF(I$8="A",(RANK(Y310,Y$11:Y$368,1)+COUNTIF(Y$11:Y310,Y310)-1),(RANK(Y310,Y$11:Y$368)+COUNTIF(Y$11:Y310,Y310)-1)))</f>
        <v>#N/A</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80.519686940843357</v>
      </c>
      <c r="AY310" s="103"/>
      <c r="AZ310" s="21"/>
    </row>
    <row r="311" spans="1:52">
      <c r="A311" s="56" t="str">
        <f>$D$1&amp;301</f>
        <v>SC301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80.236066546602927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b">
        <f t="shared" si="102"/>
        <v>0</v>
      </c>
      <c r="Z311" s="34" t="e">
        <f>IF(Y311="","",IF(I$8="A",(RANK(Y311,Y$11:Y$368,1)+COUNTIF(Y$11:Y311,Y311)-1),(RANK(Y311,Y$11:Y$368)+COUNTIF(Y$11:Y311,Y311)-1)))</f>
        <v>#N/A</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80.236066546602927</v>
      </c>
      <c r="AY311" s="103"/>
      <c r="AZ311" s="21"/>
    </row>
    <row r="312" spans="1:52">
      <c r="A312" s="56" t="str">
        <f>$D$1&amp;302</f>
        <v>SC302</v>
      </c>
      <c r="B312" s="57">
        <f>IF(ISERROR(VLOOKUP(A312,classifications!A:C,3,FALSE)),0,VLOOKUP(A312,classifications!A:C,3,FALSE))</f>
        <v>0</v>
      </c>
      <c r="C312" s="8" t="s">
        <v>163</v>
      </c>
      <c r="D312" s="26" t="str">
        <f>VLOOKUP($C312,classifications!$C:$J,4,FALSE)</f>
        <v>SD</v>
      </c>
      <c r="E312" s="26" t="str">
        <f>VLOOKUP(C312,classifications!C:K,9,FALSE)</f>
        <v>Sparse</v>
      </c>
      <c r="F312" s="36">
        <f t="shared" si="97"/>
        <v>0</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b">
        <f t="shared" si="102"/>
        <v>0</v>
      </c>
      <c r="Z312" s="34" t="e">
        <f>IF(Y312="","",IF(I$8="A",(RANK(Y312,Y$11:Y$368,1)+COUNTIF(Y$11:Y312,Y312)-1),(RANK(Y312,Y$11:Y$368)+COUNTIF(Y$11:Y312,Y312)-1)))</f>
        <v>#N/A</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f>HLOOKUP($AX$9&amp;$AX$10,Data!$A$1:$ZZ$2000,(MATCH($C312,Data!$A$1:$A$2000,0)),FALSE)</f>
        <v>0</v>
      </c>
      <c r="AY312" s="103"/>
      <c r="AZ312" s="21"/>
    </row>
    <row r="313" spans="1:52">
      <c r="A313" s="56" t="str">
        <f>$D$1&amp;303</f>
        <v>SC303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86.165762834249961</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b">
        <f t="shared" si="102"/>
        <v>0</v>
      </c>
      <c r="Z313" s="34" t="e">
        <f>IF(Y313="","",IF(I$8="A",(RANK(Y313,Y$11:Y$368,1)+COUNTIF(Y$11:Y313,Y313)-1),(RANK(Y313,Y$11:Y$368)+COUNTIF(Y$11:Y313,Y313)-1)))</f>
        <v>#N/A</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86.165762834249961</v>
      </c>
      <c r="AY313" s="103"/>
      <c r="AZ313" s="21"/>
    </row>
    <row r="314" spans="1:52">
      <c r="A314" s="56" t="str">
        <f>$D$1&amp;304</f>
        <v>SC304</v>
      </c>
      <c r="B314" s="57">
        <f>IF(ISERROR(VLOOKUP(A314,classifications!A:C,3,FALSE)),0,VLOOKUP(A314,classifications!A:C,3,FALSE))</f>
        <v>0</v>
      </c>
      <c r="C314" s="8" t="s">
        <v>813</v>
      </c>
      <c r="D314" s="26" t="str">
        <f>VLOOKUP($C314,classifications!$C:$J,4,FALSE)</f>
        <v>UA</v>
      </c>
      <c r="E314" s="26">
        <f>VLOOKUP(C314,classifications!C:K,9,FALSE)</f>
        <v>0</v>
      </c>
      <c r="F314" s="36">
        <f t="shared" si="97"/>
        <v>79.331956276130626</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b">
        <f t="shared" si="102"/>
        <v>0</v>
      </c>
      <c r="Z314" s="34" t="e">
        <f>IF(Y314="","",IF(I$8="A",(RANK(Y314,Y$11:Y$368,1)+COUNTIF(Y$11:Y314,Y314)-1),(RANK(Y314,Y$11:Y$368)+COUNTIF(Y$11:Y314,Y314)-1)))</f>
        <v>#N/A</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79.331956276130626</v>
      </c>
      <c r="AY314" s="103"/>
      <c r="AZ314" s="21"/>
    </row>
    <row r="315" spans="1:52">
      <c r="A315" s="56" t="str">
        <f>$D$1&amp;305</f>
        <v>SC305</v>
      </c>
      <c r="B315" s="57">
        <f>IF(ISERROR(VLOOKUP(A315,classifications!A:C,3,FALSE)),0,VLOOKUP(A315,classifications!A:C,3,FALSE))</f>
        <v>0</v>
      </c>
      <c r="C315" s="8" t="s">
        <v>165</v>
      </c>
      <c r="D315" s="26" t="str">
        <f>VLOOKUP($C315,classifications!$C:$J,4,FALSE)</f>
        <v>SD</v>
      </c>
      <c r="E315" s="26">
        <f>VLOOKUP(C315,classifications!C:K,9,FALSE)</f>
        <v>0</v>
      </c>
      <c r="F315" s="36">
        <f t="shared" si="97"/>
        <v>79.378053689378845</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b">
        <f t="shared" si="102"/>
        <v>0</v>
      </c>
      <c r="Z315" s="34" t="e">
        <f>IF(Y315="","",IF(I$8="A",(RANK(Y315,Y$11:Y$368,1)+COUNTIF(Y$11:Y315,Y315)-1),(RANK(Y315,Y$11:Y$368)+COUNTIF(Y$11:Y315,Y315)-1)))</f>
        <v>#N/A</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79.378053689378845</v>
      </c>
      <c r="AY315" s="103"/>
      <c r="AZ315" s="21"/>
    </row>
    <row r="316" spans="1:52">
      <c r="A316" s="56" t="str">
        <f>$D$1&amp;306</f>
        <v>SC306</v>
      </c>
      <c r="B316" s="57">
        <f>IF(ISERROR(VLOOKUP(A316,classifications!A:C,3,FALSE)),0,VLOOKUP(A316,classifications!A:C,3,FALSE))</f>
        <v>0</v>
      </c>
      <c r="C316" s="8" t="s">
        <v>166</v>
      </c>
      <c r="D316" s="26" t="str">
        <f>VLOOKUP($C316,classifications!$C:$J,4,FALSE)</f>
        <v>SD</v>
      </c>
      <c r="E316" s="26">
        <f>VLOOKUP(C316,classifications!C:K,9,FALSE)</f>
        <v>0</v>
      </c>
      <c r="F316" s="36">
        <f t="shared" si="97"/>
        <v>81.629870580627141</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b">
        <f t="shared" si="102"/>
        <v>0</v>
      </c>
      <c r="Z316" s="34" t="e">
        <f>IF(Y316="","",IF(I$8="A",(RANK(Y316,Y$11:Y$368,1)+COUNTIF(Y$11:Y316,Y316)-1),(RANK(Y316,Y$11:Y$368)+COUNTIF(Y$11:Y316,Y316)-1)))</f>
        <v>#N/A</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81.629870580627141</v>
      </c>
      <c r="AY316" s="103"/>
      <c r="AZ316" s="21"/>
    </row>
    <row r="317" spans="1:52">
      <c r="A317" s="56" t="str">
        <f>$D$1&amp;307</f>
        <v>SC307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84.392635536883759</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b">
        <f t="shared" si="102"/>
        <v>0</v>
      </c>
      <c r="Z317" s="34" t="e">
        <f>IF(Y317="","",IF(I$8="A",(RANK(Y317,Y$11:Y$368,1)+COUNTIF(Y$11:Y317,Y317)-1),(RANK(Y317,Y$11:Y$368)+COUNTIF(Y$11:Y317,Y317)-1)))</f>
        <v>#N/A</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84.392635536883759</v>
      </c>
      <c r="AY317" s="103"/>
      <c r="AZ317" s="21"/>
    </row>
    <row r="318" spans="1:52">
      <c r="A318" s="56" t="str">
        <f>$D$1&amp;308</f>
        <v>SC308</v>
      </c>
      <c r="B318" s="57">
        <f>IF(ISERROR(VLOOKUP(A318,classifications!A:C,3,FALSE)),0,VLOOKUP(A318,classifications!A:C,3,FALSE))</f>
        <v>0</v>
      </c>
      <c r="C318" s="8" t="s">
        <v>168</v>
      </c>
      <c r="D318" s="26" t="str">
        <f>VLOOKUP($C318,classifications!$C:$J,4,FALSE)</f>
        <v>SD</v>
      </c>
      <c r="E318" s="26">
        <f>VLOOKUP(C318,classifications!C:K,9,FALSE)</f>
        <v>0</v>
      </c>
      <c r="F318" s="36">
        <f t="shared" si="97"/>
        <v>83.903318587367835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b">
        <f t="shared" si="102"/>
        <v>0</v>
      </c>
      <c r="Z318" s="34" t="e">
        <f>IF(Y318="","",IF(I$8="A",(RANK(Y318,Y$11:Y$368,1)+COUNTIF(Y$11:Y318,Y318)-1),(RANK(Y318,Y$11:Y$368)+COUNTIF(Y$11:Y318,Y318)-1)))</f>
        <v>#N/A</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83.903318587367835</v>
      </c>
      <c r="AY318" s="103"/>
      <c r="AZ318" s="21"/>
    </row>
    <row r="319" spans="1:52">
      <c r="A319" s="56" t="str">
        <f>$D$1&amp;309</f>
        <v>SC309</v>
      </c>
      <c r="B319" s="57">
        <f>IF(ISERROR(VLOOKUP(A319,classifications!A:C,3,FALSE)),0,VLOOKUP(A319,classifications!A:C,3,FALSE))</f>
        <v>0</v>
      </c>
      <c r="C319" s="8" t="s">
        <v>169</v>
      </c>
      <c r="D319" s="26" t="str">
        <f>VLOOKUP($C319,classifications!$C:$J,4,FALSE)</f>
        <v>SD</v>
      </c>
      <c r="E319" s="26">
        <f>VLOOKUP(C319,classifications!C:K,9,FALSE)</f>
        <v>0</v>
      </c>
      <c r="F319" s="36">
        <f t="shared" si="97"/>
        <v>83.278576579806554</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b">
        <f t="shared" si="102"/>
        <v>0</v>
      </c>
      <c r="Z319" s="34" t="e">
        <f>IF(Y319="","",IF(I$8="A",(RANK(Y319,Y$11:Y$368,1)+COUNTIF(Y$11:Y319,Y319)-1),(RANK(Y319,Y$11:Y$368)+COUNTIF(Y$11:Y319,Y319)-1)))</f>
        <v>#N/A</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83.278576579806554</v>
      </c>
      <c r="AY319" s="103"/>
      <c r="AZ319" s="21"/>
    </row>
    <row r="320" spans="1:52">
      <c r="A320" s="56" t="str">
        <f>$D$1&amp;310</f>
        <v>SC310</v>
      </c>
      <c r="B320" s="57">
        <f>IF(ISERROR(VLOOKUP(A320,classifications!A:C,3,FALSE)),0,VLOOKUP(A320,classifications!A:C,3,FALSE))</f>
        <v>0</v>
      </c>
      <c r="C320" s="8" t="s">
        <v>293</v>
      </c>
      <c r="D320" s="26" t="str">
        <f>VLOOKUP($C320,classifications!$C:$J,4,FALSE)</f>
        <v>UA</v>
      </c>
      <c r="E320" s="26">
        <f>VLOOKUP(C320,classifications!C:K,9,FALSE)</f>
        <v>0</v>
      </c>
      <c r="F320" s="36">
        <f t="shared" si="97"/>
        <v>75.422032795731582</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b">
        <f t="shared" si="102"/>
        <v>0</v>
      </c>
      <c r="Z320" s="34" t="e">
        <f>IF(Y320="","",IF(I$8="A",(RANK(Y320,Y$11:Y$368,1)+COUNTIF(Y$11:Y320,Y320)-1),(RANK(Y320,Y$11:Y$368)+COUNTIF(Y$11:Y320,Y320)-1)))</f>
        <v>#N/A</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75.422032795731582</v>
      </c>
      <c r="AY320" s="103"/>
      <c r="AZ320" s="21"/>
    </row>
    <row r="321" spans="1:52">
      <c r="A321" s="56" t="str">
        <f>$D$1&amp;311</f>
        <v>SC311</v>
      </c>
      <c r="B321" s="57">
        <f>IF(ISERROR(VLOOKUP(A321,classifications!A:C,3,FALSE)),0,VLOOKUP(A321,classifications!A:C,3,FALSE))</f>
        <v>0</v>
      </c>
      <c r="C321" s="8" t="s">
        <v>350</v>
      </c>
      <c r="D321" s="26" t="str">
        <f>VLOOKUP($C321,classifications!$C:$J,4,FALSE)</f>
        <v>SD</v>
      </c>
      <c r="E321" s="26">
        <f>VLOOKUP(C321,classifications!C:K,9,FALSE)</f>
        <v>0</v>
      </c>
      <c r="F321" s="36">
        <f t="shared" si="97"/>
        <v>84.822746132255403</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b">
        <f t="shared" si="102"/>
        <v>0</v>
      </c>
      <c r="Z321" s="34" t="e">
        <f>IF(Y321="","",IF(I$8="A",(RANK(Y321,Y$11:Y$368,1)+COUNTIF(Y$11:Y321,Y321)-1),(RANK(Y321,Y$11:Y$368)+COUNTIF(Y$11:Y321,Y321)-1)))</f>
        <v>#N/A</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84.822746132255403</v>
      </c>
      <c r="AY321" s="103"/>
      <c r="AZ321" s="21"/>
    </row>
    <row r="322" spans="1:52">
      <c r="A322" s="56" t="str">
        <f>$D$1&amp;312</f>
        <v>SC312</v>
      </c>
      <c r="B322" s="57">
        <f>IF(ISERROR(VLOOKUP(A322,classifications!A:C,3,FALSE)),0,VLOOKUP(A322,classifications!A:C,3,FALSE))</f>
        <v>0</v>
      </c>
      <c r="C322" s="8" t="s">
        <v>294</v>
      </c>
      <c r="D322" s="26" t="str">
        <f>VLOOKUP($C322,classifications!$C:$J,4,FALSE)</f>
        <v>UA</v>
      </c>
      <c r="E322" s="26">
        <f>VLOOKUP(C322,classifications!C:K,9,FALSE)</f>
        <v>0</v>
      </c>
      <c r="F322" s="36">
        <f t="shared" si="97"/>
        <v>81.982597529541096</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b">
        <f t="shared" si="102"/>
        <v>0</v>
      </c>
      <c r="Z322" s="34" t="e">
        <f>IF(Y322="","",IF(I$8="A",(RANK(Y322,Y$11:Y$368,1)+COUNTIF(Y$11:Y322,Y322)-1),(RANK(Y322,Y$11:Y$368)+COUNTIF(Y$11:Y322,Y322)-1)))</f>
        <v>#N/A</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81.982597529541096</v>
      </c>
      <c r="AY322" s="103"/>
      <c r="AZ322" s="21"/>
    </row>
    <row r="323" spans="1:52">
      <c r="A323" s="56" t="str">
        <f>$D$1&amp;313</f>
        <v>SC313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78.94026222564095</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b">
        <f t="shared" si="102"/>
        <v>0</v>
      </c>
      <c r="Z323" s="34" t="e">
        <f>IF(Y323="","",IF(I$8="A",(RANK(Y323,Y$11:Y$368,1)+COUNTIF(Y$11:Y323,Y323)-1),(RANK(Y323,Y$11:Y$368)+COUNTIF(Y$11:Y323,Y323)-1)))</f>
        <v>#N/A</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78.94026222564095</v>
      </c>
      <c r="AY323" s="103"/>
      <c r="AZ323" s="21"/>
    </row>
    <row r="324" spans="1:52">
      <c r="A324" s="56" t="str">
        <f>$D$1&amp;314</f>
        <v>SC314</v>
      </c>
      <c r="B324" s="57">
        <f>IF(ISERROR(VLOOKUP(A324,classifications!A:C,3,FALSE)),0,VLOOKUP(A324,classifications!A:C,3,FALSE))</f>
        <v>0</v>
      </c>
      <c r="C324" s="8" t="s">
        <v>219</v>
      </c>
      <c r="D324" s="26" t="str">
        <f>VLOOKUP($C324,classifications!$C:$J,4,FALSE)</f>
        <v>L</v>
      </c>
      <c r="E324" s="26">
        <f>VLOOKUP(C324,classifications!C:K,9,FALSE)</f>
        <v>0</v>
      </c>
      <c r="F324" s="36">
        <f t="shared" si="97"/>
        <v>85.727763301209819</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b">
        <f t="shared" si="102"/>
        <v>0</v>
      </c>
      <c r="Z324" s="34" t="e">
        <f>IF(Y324="","",IF(I$8="A",(RANK(Y324,Y$11:Y$368,1)+COUNTIF(Y$11:Y324,Y324)-1),(RANK(Y324,Y$11:Y$368)+COUNTIF(Y$11:Y324,Y324)-1)))</f>
        <v>#N/A</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85.727763301209819</v>
      </c>
      <c r="AY324" s="103"/>
      <c r="AZ324" s="21"/>
    </row>
    <row r="325" spans="1:52">
      <c r="A325" s="56" t="str">
        <f>$D$1&amp;315</f>
        <v>SC315</v>
      </c>
      <c r="B325" s="57">
        <f>IF(ISERROR(VLOOKUP(A325,classifications!A:C,3,FALSE)),0,VLOOKUP(A325,classifications!A:C,3,FALSE))</f>
        <v>0</v>
      </c>
      <c r="C325" s="8" t="s">
        <v>252</v>
      </c>
      <c r="D325" s="26" t="str">
        <f>VLOOKUP($C325,classifications!$C:$J,4,FALSE)</f>
        <v>MD</v>
      </c>
      <c r="E325" s="26">
        <f>VLOOKUP(C325,classifications!C:K,9,FALSE)</f>
        <v>0</v>
      </c>
      <c r="F325" s="36">
        <f t="shared" si="97"/>
        <v>84.433069740392156</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b">
        <f t="shared" si="102"/>
        <v>0</v>
      </c>
      <c r="Z325" s="34" t="e">
        <f>IF(Y325="","",IF(I$8="A",(RANK(Y325,Y$11:Y$368,1)+COUNTIF(Y$11:Y325,Y325)-1),(RANK(Y325,Y$11:Y$368)+COUNTIF(Y$11:Y325,Y325)-1)))</f>
        <v>#N/A</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84.433069740392156</v>
      </c>
      <c r="AY325" s="103"/>
      <c r="AZ325" s="21"/>
    </row>
    <row r="326" spans="1:52">
      <c r="A326" s="56" t="str">
        <f>$D$1&amp;316</f>
        <v>SC316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87.850206267883763</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b">
        <f t="shared" si="102"/>
        <v>0</v>
      </c>
      <c r="Z326" s="34" t="e">
        <f>IF(Y326="","",IF(I$8="A",(RANK(Y326,Y$11:Y$368,1)+COUNTIF(Y$11:Y326,Y326)-1),(RANK(Y326,Y$11:Y$368)+COUNTIF(Y$11:Y326,Y326)-1)))</f>
        <v>#N/A</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87.850206267883763</v>
      </c>
      <c r="AY326" s="103"/>
      <c r="AZ326" s="21"/>
    </row>
    <row r="327" spans="1:52">
      <c r="A327" s="56" t="str">
        <f>$D$1&amp;317</f>
        <v>SC317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84.209913044611554</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b">
        <f t="shared" si="102"/>
        <v>0</v>
      </c>
      <c r="Z327" s="34" t="e">
        <f>IF(Y327="","",IF(I$8="A",(RANK(Y327,Y$11:Y$368,1)+COUNTIF(Y$11:Y327,Y327)-1),(RANK(Y327,Y$11:Y$368)+COUNTIF(Y$11:Y327,Y327)-1)))</f>
        <v>#N/A</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84.209913044611554</v>
      </c>
      <c r="AY327" s="103"/>
      <c r="AZ327" s="21"/>
    </row>
    <row r="328" spans="1:52">
      <c r="A328" s="56" t="str">
        <f>$D$1&amp;318</f>
        <v>SC318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89.410573933239718</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b">
        <f t="shared" si="102"/>
        <v>0</v>
      </c>
      <c r="Z328" s="34" t="e">
        <f>IF(Y328="","",IF(I$8="A",(RANK(Y328,Y$11:Y$368,1)+COUNTIF(Y$11:Y328,Y328)-1),(RANK(Y328,Y$11:Y$368)+COUNTIF(Y$11:Y328,Y328)-1)))</f>
        <v>#N/A</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89.410573933239718</v>
      </c>
      <c r="AY328" s="103"/>
      <c r="AZ328" s="21"/>
    </row>
    <row r="329" spans="1:52">
      <c r="A329" s="56" t="str">
        <f>$D$1&amp;319</f>
        <v>SC319</v>
      </c>
      <c r="B329" s="57">
        <f>IF(ISERROR(VLOOKUP(A329,classifications!A:C,3,FALSE)),0,VLOOKUP(A329,classifications!A:C,3,FALSE))</f>
        <v>0</v>
      </c>
      <c r="C329" s="8" t="s">
        <v>253</v>
      </c>
      <c r="D329" s="26" t="str">
        <f>VLOOKUP($C329,classifications!$C:$J,4,FALSE)</f>
        <v>MD</v>
      </c>
      <c r="E329" s="26">
        <f>VLOOKUP(C329,classifications!C:K,9,FALSE)</f>
        <v>0</v>
      </c>
      <c r="F329" s="36">
        <f t="shared" si="97"/>
        <v>79.059075341871832</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b">
        <f t="shared" si="102"/>
        <v>0</v>
      </c>
      <c r="Z329" s="34" t="e">
        <f>IF(Y329="","",IF(I$8="A",(RANK(Y329,Y$11:Y$368,1)+COUNTIF(Y$11:Y329,Y329)-1),(RANK(Y329,Y$11:Y$368)+COUNTIF(Y$11:Y329,Y329)-1)))</f>
        <v>#N/A</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79.059075341871832</v>
      </c>
      <c r="AY329" s="103"/>
      <c r="AZ329" s="21"/>
    </row>
    <row r="330" spans="1:52">
      <c r="A330" s="56" t="str">
        <f>$D$1&amp;320</f>
        <v>SC320</v>
      </c>
      <c r="B330" s="57">
        <f>IF(ISERROR(VLOOKUP(A330,classifications!A:C,3,FALSE)),0,VLOOKUP(A330,classifications!A:C,3,FALSE))</f>
        <v>0</v>
      </c>
      <c r="C330" s="8" t="s">
        <v>254</v>
      </c>
      <c r="D330" s="26" t="str">
        <f>VLOOKUP($C330,classifications!$C:$J,4,FALSE)</f>
        <v>MD</v>
      </c>
      <c r="E330" s="26">
        <f>VLOOKUP(C330,classifications!C:K,9,FALSE)</f>
        <v>0</v>
      </c>
      <c r="F330" s="36">
        <f t="shared" si="97"/>
        <v>71.556342339670266</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b">
        <f t="shared" si="102"/>
        <v>0</v>
      </c>
      <c r="Z330" s="34" t="e">
        <f>IF(Y330="","",IF(I$8="A",(RANK(Y330,Y$11:Y$368,1)+COUNTIF(Y$11:Y330,Y330)-1),(RANK(Y330,Y$11:Y$368)+COUNTIF(Y$11:Y330,Y330)-1)))</f>
        <v>#N/A</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71.556342339670266</v>
      </c>
      <c r="AY330" s="103"/>
      <c r="AZ330" s="21"/>
    </row>
    <row r="331" spans="1:52">
      <c r="A331" s="56" t="str">
        <f>$D$1&amp;321</f>
        <v>SC321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82.817142083257067</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b">
        <f t="shared" ref="Y331:Y363" si="125">IF($D$1="UA",IF(X331="Largely Rural (rural including hub towns 50-79%) ",M331,IF(X331="Mainly Rural (rural including hub towns &gt;=80%) ",M331,IF(X331="Urban with Significant Rural (rural including hub towns 26-49%)",M331,""))),IF($D$1="SD",IF(X331=$H$3,M331,"")))</f>
        <v>0</v>
      </c>
      <c r="Z331" s="34" t="e">
        <f>IF(Y331="","",IF(I$8="A",(RANK(Y331,Y$11:Y$368,1)+COUNTIF(Y$11:Y331,Y331)-1),(RANK(Y331,Y$11:Y$368)+COUNTIF(Y$11:Y331,Y331)-1)))</f>
        <v>#N/A</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82.817142083257067</v>
      </c>
      <c r="AY331" s="103"/>
      <c r="AZ331" s="21"/>
    </row>
    <row r="332" spans="1:52">
      <c r="A332" s="56" t="str">
        <f>$D$1&amp;322</f>
        <v>SC322</v>
      </c>
      <c r="B332" s="57">
        <f>IF(ISERROR(VLOOKUP(A332,classifications!A:C,3,FALSE)),0,VLOOKUP(A332,classifications!A:C,3,FALSE))</f>
        <v>0</v>
      </c>
      <c r="C332" s="8" t="s">
        <v>221</v>
      </c>
      <c r="D332" s="26" t="str">
        <f>VLOOKUP($C332,classifications!$C:$J,4,FALSE)</f>
        <v>L</v>
      </c>
      <c r="E332" s="26">
        <f>VLOOKUP(C332,classifications!C:K,9,FALSE)</f>
        <v>0</v>
      </c>
      <c r="F332" s="36">
        <f t="shared" si="120"/>
        <v>91.6899005614966</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b">
        <f t="shared" si="125"/>
        <v>0</v>
      </c>
      <c r="Z332" s="34" t="e">
        <f>IF(Y332="","",IF(I$8="A",(RANK(Y332,Y$11:Y$368,1)+COUNTIF(Y$11:Y332,Y332)-1),(RANK(Y332,Y$11:Y$368)+COUNTIF(Y$11:Y332,Y332)-1)))</f>
        <v>#N/A</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91.6899005614966</v>
      </c>
      <c r="AY332" s="103"/>
      <c r="AZ332" s="21"/>
    </row>
    <row r="333" spans="1:52">
      <c r="A333" s="56" t="str">
        <f>$D$1&amp;323</f>
        <v>SC323</v>
      </c>
      <c r="B333" s="57">
        <f>IF(ISERROR(VLOOKUP(A333,classifications!A:C,3,FALSE)),0,VLOOKUP(A333,classifications!A:C,3,FALSE))</f>
        <v>0</v>
      </c>
      <c r="C333" s="8" t="s">
        <v>295</v>
      </c>
      <c r="D333" s="26" t="str">
        <f>VLOOKUP($C333,classifications!$C:$J,4,FALSE)</f>
        <v>UA</v>
      </c>
      <c r="E333" s="26">
        <f>VLOOKUP(C333,classifications!C:K,9,FALSE)</f>
        <v>0</v>
      </c>
      <c r="F333" s="36">
        <f t="shared" si="120"/>
        <v>81.030229891384977</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b">
        <f t="shared" si="125"/>
        <v>0</v>
      </c>
      <c r="Z333" s="34" t="e">
        <f>IF(Y333="","",IF(I$8="A",(RANK(Y333,Y$11:Y$368,1)+COUNTIF(Y$11:Y333,Y333)-1),(RANK(Y333,Y$11:Y$368)+COUNTIF(Y$11:Y333,Y333)-1)))</f>
        <v>#N/A</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81.030229891384977</v>
      </c>
      <c r="AY333" s="103"/>
      <c r="AZ333" s="21"/>
    </row>
    <row r="334" spans="1:52">
      <c r="A334" s="56" t="str">
        <f>$D$1&amp;324</f>
        <v>SC324</v>
      </c>
      <c r="B334" s="57">
        <f>IF(ISERROR(VLOOKUP(A334,classifications!A:C,3,FALSE)),0,VLOOKUP(A334,classifications!A:C,3,FALSE))</f>
        <v>0</v>
      </c>
      <c r="C334" s="8" t="s">
        <v>174</v>
      </c>
      <c r="D334" s="26" t="str">
        <f>VLOOKUP($C334,classifications!$C:$J,4,FALSE)</f>
        <v>SD</v>
      </c>
      <c r="E334" s="26">
        <f>VLOOKUP(C334,classifications!C:K,9,FALSE)</f>
        <v>0</v>
      </c>
      <c r="F334" s="36">
        <f t="shared" si="120"/>
        <v>79.937146240817597</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b">
        <f t="shared" si="125"/>
        <v>0</v>
      </c>
      <c r="Z334" s="34" t="e">
        <f>IF(Y334="","",IF(I$8="A",(RANK(Y334,Y$11:Y$368,1)+COUNTIF(Y$11:Y334,Y334)-1),(RANK(Y334,Y$11:Y$368)+COUNTIF(Y$11:Y334,Y334)-1)))</f>
        <v>#N/A</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79.937146240817597</v>
      </c>
      <c r="AY334" s="103"/>
      <c r="AZ334" s="21"/>
    </row>
    <row r="335" spans="1:52">
      <c r="A335" s="56" t="str">
        <f>$D$1&amp;325</f>
        <v>SC325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77.957041174917606</v>
      </c>
      <c r="G335" s="71"/>
      <c r="H335" s="37">
        <f t="shared" si="121"/>
        <v>77.957041174917606</v>
      </c>
      <c r="I335" s="77">
        <f>IF(H335="","",IF($I$8="A",(RANK(H335,H$11:H$368,1)+COUNTIF(H$11:H335,H335)-1),(RANK(H335,H$11:H$368)+COUNTIF(H$11:H335,H335)-1)))</f>
        <v>26</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b">
        <f t="shared" si="125"/>
        <v>0</v>
      </c>
      <c r="Z335" s="34" t="e">
        <f>IF(Y335="","",IF(I$8="A",(RANK(Y335,Y$11:Y$368,1)+COUNTIF(Y$11:Y335,Y335)-1),(RANK(Y335,Y$11:Y$368)+COUNTIF(Y$11:Y335,Y335)-1)))</f>
        <v>#N/A</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77.957041174917606</v>
      </c>
      <c r="AY335" s="103"/>
      <c r="AZ335" s="21"/>
    </row>
    <row r="336" spans="1:52">
      <c r="A336" s="56" t="str">
        <f>$D$1&amp;326</f>
        <v>SC326</v>
      </c>
      <c r="B336" s="57">
        <f>IF(ISERROR(VLOOKUP(A336,classifications!A:C,3,FALSE)),0,VLOOKUP(A336,classifications!A:C,3,FALSE))</f>
        <v>0</v>
      </c>
      <c r="C336" s="8" t="s">
        <v>175</v>
      </c>
      <c r="D336" s="26" t="str">
        <f>VLOOKUP($C336,classifications!$C:$J,4,FALSE)</f>
        <v>SD</v>
      </c>
      <c r="E336" s="26">
        <f>VLOOKUP(C336,classifications!C:K,9,FALSE)</f>
        <v>0</v>
      </c>
      <c r="F336" s="36">
        <f t="shared" si="120"/>
        <v>82.368862451168795</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b">
        <f t="shared" si="125"/>
        <v>0</v>
      </c>
      <c r="Z336" s="34" t="e">
        <f>IF(Y336="","",IF(I$8="A",(RANK(Y336,Y$11:Y$368,1)+COUNTIF(Y$11:Y336,Y336)-1),(RANK(Y336,Y$11:Y$368)+COUNTIF(Y$11:Y336,Y336)-1)))</f>
        <v>#N/A</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82.368862451168795</v>
      </c>
      <c r="AY336" s="103"/>
      <c r="AZ336" s="21"/>
    </row>
    <row r="337" spans="1:52">
      <c r="A337" s="56" t="str">
        <f>$D$1&amp;327</f>
        <v>SC327</v>
      </c>
      <c r="B337" s="57">
        <f>IF(ISERROR(VLOOKUP(A337,classifications!A:C,3,FALSE)),0,VLOOKUP(A337,classifications!A:C,3,FALSE))</f>
        <v>0</v>
      </c>
      <c r="C337" s="8" t="s">
        <v>176</v>
      </c>
      <c r="D337" s="26" t="str">
        <f>VLOOKUP($C337,classifications!$C:$J,4,FALSE)</f>
        <v>SD</v>
      </c>
      <c r="E337" s="26" t="str">
        <f>VLOOKUP(C337,classifications!C:K,9,FALSE)</f>
        <v>Sparse</v>
      </c>
      <c r="F337" s="36">
        <f t="shared" si="120"/>
        <v>0</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b">
        <f t="shared" si="125"/>
        <v>0</v>
      </c>
      <c r="Z337" s="34" t="e">
        <f>IF(Y337="","",IF(I$8="A",(RANK(Y337,Y$11:Y$368,1)+COUNTIF(Y$11:Y337,Y337)-1),(RANK(Y337,Y$11:Y$368)+COUNTIF(Y$11:Y337,Y337)-1)))</f>
        <v>#N/A</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f>HLOOKUP($AX$9&amp;$AX$10,Data!$A$1:$ZZ$2000,(MATCH($C337,Data!$A$1:$A$2000,0)),FALSE)</f>
        <v>0</v>
      </c>
      <c r="AY337" s="103"/>
      <c r="AZ337" s="21"/>
    </row>
    <row r="338" spans="1:52">
      <c r="A338" s="56" t="str">
        <f>$D$1&amp;328</f>
        <v>SC328</v>
      </c>
      <c r="B338" s="57">
        <f>IF(ISERROR(VLOOKUP(A338,classifications!A:C,3,FALSE)),0,VLOOKUP(A338,classifications!A:C,3,FALSE))</f>
        <v>0</v>
      </c>
      <c r="C338" s="8" t="s">
        <v>177</v>
      </c>
      <c r="D338" s="26" t="str">
        <f>VLOOKUP($C338,classifications!$C:$J,4,FALSE)</f>
        <v>SD</v>
      </c>
      <c r="E338" s="26">
        <f>VLOOKUP(C338,classifications!C:K,9,FALSE)</f>
        <v>0</v>
      </c>
      <c r="F338" s="36">
        <f t="shared" si="120"/>
        <v>89.385768010507832</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b">
        <f t="shared" si="125"/>
        <v>0</v>
      </c>
      <c r="Z338" s="34" t="e">
        <f>IF(Y338="","",IF(I$8="A",(RANK(Y338,Y$11:Y$368,1)+COUNTIF(Y$11:Y338,Y338)-1),(RANK(Y338,Y$11:Y$368)+COUNTIF(Y$11:Y338,Y338)-1)))</f>
        <v>#N/A</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89.385768010507832</v>
      </c>
      <c r="AY338" s="103"/>
      <c r="AZ338" s="21"/>
    </row>
    <row r="339" spans="1:52">
      <c r="A339" s="56" t="str">
        <f>$D$1&amp;329</f>
        <v>SC329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82.162549633028988</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b">
        <f t="shared" si="125"/>
        <v>0</v>
      </c>
      <c r="Z339" s="34" t="e">
        <f>IF(Y339="","",IF(I$8="A",(RANK(Y339,Y$11:Y$368,1)+COUNTIF(Y$11:Y339,Y339)-1),(RANK(Y339,Y$11:Y$368)+COUNTIF(Y$11:Y339,Y339)-1)))</f>
        <v>#N/A</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82.162549633028988</v>
      </c>
      <c r="AY339" s="103"/>
      <c r="AZ339" s="21"/>
    </row>
    <row r="340" spans="1:52">
      <c r="A340" s="56" t="str">
        <f>$D$1&amp;330</f>
        <v>SC330</v>
      </c>
      <c r="B340" s="57">
        <f>IF(ISERROR(VLOOKUP(A340,classifications!A:C,3,FALSE)),0,VLOOKUP(A340,classifications!A:C,3,FALSE))</f>
        <v>0</v>
      </c>
      <c r="C340" s="8" t="s">
        <v>179</v>
      </c>
      <c r="D340" s="26" t="str">
        <f>VLOOKUP($C340,classifications!$C:$J,4,FALSE)</f>
        <v>SD</v>
      </c>
      <c r="E340" s="26">
        <f>VLOOKUP(C340,classifications!C:K,9,FALSE)</f>
        <v>0</v>
      </c>
      <c r="F340" s="36">
        <f t="shared" si="120"/>
        <v>81.003820275127808</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b">
        <f t="shared" si="125"/>
        <v>0</v>
      </c>
      <c r="Z340" s="34" t="e">
        <f>IF(Y340="","",IF(I$8="A",(RANK(Y340,Y$11:Y$368,1)+COUNTIF(Y$11:Y340,Y340)-1),(RANK(Y340,Y$11:Y$368)+COUNTIF(Y$11:Y340,Y340)-1)))</f>
        <v>#N/A</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81.003820275127808</v>
      </c>
      <c r="AY340" s="103"/>
      <c r="AZ340" s="21"/>
    </row>
    <row r="341" spans="1:52">
      <c r="A341" s="56" t="str">
        <f>$D$1&amp;331</f>
        <v>SC331</v>
      </c>
      <c r="B341" s="57">
        <f>IF(ISERROR(VLOOKUP(A341,classifications!A:C,3,FALSE)),0,VLOOKUP(A341,classifications!A:C,3,FALSE))</f>
        <v>0</v>
      </c>
      <c r="C341" s="8" t="s">
        <v>180</v>
      </c>
      <c r="D341" s="26" t="str">
        <f>VLOOKUP($C341,classifications!$C:$J,4,FALSE)</f>
        <v>SD</v>
      </c>
      <c r="E341" s="26">
        <f>VLOOKUP(C341,classifications!C:K,9,FALSE)</f>
        <v>0</v>
      </c>
      <c r="F341" s="36">
        <f t="shared" si="120"/>
        <v>80.306839481483934</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b">
        <f t="shared" si="125"/>
        <v>0</v>
      </c>
      <c r="Z341" s="34" t="e">
        <f>IF(Y341="","",IF(I$8="A",(RANK(Y341,Y$11:Y$368,1)+COUNTIF(Y$11:Y341,Y341)-1),(RANK(Y341,Y$11:Y$368)+COUNTIF(Y$11:Y341,Y341)-1)))</f>
        <v>#N/A</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80.306839481483934</v>
      </c>
      <c r="AY341" s="103"/>
      <c r="AZ341" s="21"/>
    </row>
    <row r="342" spans="1:52">
      <c r="A342" s="56" t="str">
        <f>$D$1&amp;332</f>
        <v>SC332</v>
      </c>
      <c r="B342" s="57">
        <f>IF(ISERROR(VLOOKUP(A342,classifications!A:C,3,FALSE)),0,VLOOKUP(A342,classifications!A:C,3,FALSE))</f>
        <v>0</v>
      </c>
      <c r="C342" s="8" t="s">
        <v>296</v>
      </c>
      <c r="D342" s="26" t="str">
        <f>VLOOKUP($C342,classifications!$C:$J,4,FALSE)</f>
        <v>UA</v>
      </c>
      <c r="E342" s="26">
        <f>VLOOKUP(C342,classifications!C:K,9,FALSE)</f>
        <v>0</v>
      </c>
      <c r="F342" s="36">
        <f t="shared" si="120"/>
        <v>83.677896886079182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b">
        <f t="shared" si="125"/>
        <v>0</v>
      </c>
      <c r="Z342" s="34" t="e">
        <f>IF(Y342="","",IF(I$8="A",(RANK(Y342,Y$11:Y$368,1)+COUNTIF(Y$11:Y342,Y342)-1),(RANK(Y342,Y$11:Y$368)+COUNTIF(Y$11:Y342,Y342)-1)))</f>
        <v>#N/A</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83.677896886079182</v>
      </c>
      <c r="AY342" s="103"/>
      <c r="AZ342" s="21"/>
    </row>
    <row r="343" spans="1:52">
      <c r="A343" s="56" t="str">
        <f>$D$1&amp;333</f>
        <v>SC333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84.546138016991605</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b">
        <f t="shared" si="125"/>
        <v>0</v>
      </c>
      <c r="Z343" s="34" t="e">
        <f>IF(Y343="","",IF(I$8="A",(RANK(Y343,Y$11:Y$368,1)+COUNTIF(Y$11:Y343,Y343)-1),(RANK(Y343,Y$11:Y$368)+COUNTIF(Y$11:Y343,Y343)-1)))</f>
        <v>#N/A</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84.546138016991605</v>
      </c>
      <c r="AY343" s="103"/>
      <c r="AZ343" s="21"/>
    </row>
    <row r="344" spans="1:52">
      <c r="A344" s="56" t="str">
        <f>$D$1&amp;334</f>
        <v>SC334</v>
      </c>
      <c r="B344" s="57">
        <f>IF(ISERROR(VLOOKUP(A344,classifications!A:C,3,FALSE)),0,VLOOKUP(A344,classifications!A:C,3,FALSE))</f>
        <v>0</v>
      </c>
      <c r="C344" s="8" t="s">
        <v>182</v>
      </c>
      <c r="D344" s="26" t="str">
        <f>VLOOKUP($C344,classifications!$C:$J,4,FALSE)</f>
        <v>SD</v>
      </c>
      <c r="E344" s="26">
        <f>VLOOKUP(C344,classifications!C:K,9,FALSE)</f>
        <v>0</v>
      </c>
      <c r="F344" s="36">
        <f t="shared" si="120"/>
        <v>0</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b">
        <f t="shared" si="125"/>
        <v>0</v>
      </c>
      <c r="Z344" s="34" t="e">
        <f>IF(Y344="","",IF(I$8="A",(RANK(Y344,Y$11:Y$368,1)+COUNTIF(Y$11:Y344,Y344)-1),(RANK(Y344,Y$11:Y$368)+COUNTIF(Y$11:Y344,Y344)-1)))</f>
        <v>#N/A</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f>HLOOKUP($AX$9&amp;$AX$10,Data!$A$1:$ZZ$2000,(MATCH($C344,Data!$A$1:$A$2000,0)),FALSE)</f>
        <v>0</v>
      </c>
      <c r="AY344" s="103"/>
      <c r="AZ344" s="21"/>
    </row>
    <row r="345" spans="1:52">
      <c r="A345" s="56" t="str">
        <f>$D$1&amp;335</f>
        <v>SC335</v>
      </c>
      <c r="B345" s="57">
        <f>IF(ISERROR(VLOOKUP(A345,classifications!A:C,3,FALSE)),0,VLOOKUP(A345,classifications!A:C,3,FALSE))</f>
        <v>0</v>
      </c>
      <c r="C345" s="8" t="s">
        <v>183</v>
      </c>
      <c r="D345" s="26" t="str">
        <f>VLOOKUP($C345,classifications!$C:$J,4,FALSE)</f>
        <v>SD</v>
      </c>
      <c r="E345" s="26">
        <f>VLOOKUP(C345,classifications!C:K,9,FALSE)</f>
        <v>0</v>
      </c>
      <c r="F345" s="36">
        <f t="shared" si="120"/>
        <v>76.980907264177205</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b">
        <f t="shared" si="125"/>
        <v>0</v>
      </c>
      <c r="Z345" s="34" t="e">
        <f>IF(Y345="","",IF(I$8="A",(RANK(Y345,Y$11:Y$368,1)+COUNTIF(Y$11:Y345,Y345)-1),(RANK(Y345,Y$11:Y$368)+COUNTIF(Y$11:Y345,Y345)-1)))</f>
        <v>#N/A</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76.980907264177205</v>
      </c>
      <c r="AY345" s="103"/>
      <c r="AZ345" s="21"/>
    </row>
    <row r="346" spans="1:52">
      <c r="A346" s="56" t="str">
        <f>$D$1&amp;336</f>
        <v>SC336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72.682938952922342</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b">
        <f t="shared" si="125"/>
        <v>0</v>
      </c>
      <c r="Z346" s="34" t="e">
        <f>IF(Y346="","",IF(I$8="A",(RANK(Y346,Y$11:Y$368,1)+COUNTIF(Y$11:Y346,Y346)-1),(RANK(Y346,Y$11:Y$368)+COUNTIF(Y$11:Y346,Y346)-1)))</f>
        <v>#N/A</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72.682938952922342</v>
      </c>
      <c r="AY346" s="103"/>
      <c r="AZ346" s="21"/>
    </row>
    <row r="347" spans="1:52">
      <c r="A347" s="56" t="str">
        <f>$D$1&amp;337</f>
        <v>SC337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85.541862026731749</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b">
        <f t="shared" si="125"/>
        <v>0</v>
      </c>
      <c r="Z347" s="34" t="e">
        <f>IF(Y347="","",IF(I$8="A",(RANK(Y347,Y$11:Y$368,1)+COUNTIF(Y$11:Y347,Y347)-1),(RANK(Y347,Y$11:Y$368)+COUNTIF(Y$11:Y347,Y347)-1)))</f>
        <v>#N/A</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85.541862026731749</v>
      </c>
      <c r="AY347" s="103"/>
      <c r="AZ347" s="21"/>
    </row>
    <row r="348" spans="1:52">
      <c r="A348" s="56" t="str">
        <f>$D$1&amp;338</f>
        <v>SC338</v>
      </c>
      <c r="B348" s="57">
        <f>IF(ISERROR(VLOOKUP(A348,classifications!A:C,3,FALSE)),0,VLOOKUP(A348,classifications!A:C,3,FALSE))</f>
        <v>0</v>
      </c>
      <c r="C348" s="8" t="s">
        <v>186</v>
      </c>
      <c r="D348" s="26" t="str">
        <f>VLOOKUP($C348,classifications!$C:$J,4,FALSE)</f>
        <v>SD</v>
      </c>
      <c r="E348" s="26" t="str">
        <f>VLOOKUP(C348,classifications!C:K,9,FALSE)</f>
        <v>Sparse</v>
      </c>
      <c r="F348" s="36">
        <f t="shared" si="120"/>
        <v>0</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b">
        <f t="shared" si="125"/>
        <v>0</v>
      </c>
      <c r="Z348" s="34" t="e">
        <f>IF(Y348="","",IF(I$8="A",(RANK(Y348,Y$11:Y$368,1)+COUNTIF(Y$11:Y348,Y348)-1),(RANK(Y348,Y$11:Y$368)+COUNTIF(Y$11:Y348,Y348)-1)))</f>
        <v>#N/A</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f>HLOOKUP($AX$9&amp;$AX$10,Data!$A$1:$ZZ$2000,(MATCH($C348,Data!$A$1:$A$2000,0)),FALSE)</f>
        <v>0</v>
      </c>
      <c r="AY348" s="103"/>
      <c r="AZ348" s="21"/>
    </row>
    <row r="349" spans="1:52">
      <c r="A349" s="56" t="str">
        <f>$D$1&amp;339</f>
        <v>SC339</v>
      </c>
      <c r="B349" s="57">
        <f>IF(ISERROR(VLOOKUP(A349,classifications!A:C,3,FALSE)),0,VLOOKUP(A349,classifications!A:C,3,FALSE))</f>
        <v>0</v>
      </c>
      <c r="C349" s="8" t="s">
        <v>907</v>
      </c>
      <c r="D349" s="26" t="str">
        <f>VLOOKUP($C349,classifications!$C:$J,4,FALSE)</f>
        <v>SD</v>
      </c>
      <c r="E349" s="26" t="str">
        <f>VLOOKUP(C349,classifications!C:K,9,FALSE)</f>
        <v>Sparse</v>
      </c>
      <c r="F349" s="36">
        <f t="shared" si="120"/>
        <v>84.445353929306265</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b">
        <f t="shared" si="125"/>
        <v>0</v>
      </c>
      <c r="Z349" s="34" t="e">
        <f>IF(Y349="","",IF(I$8="A",(RANK(Y349,Y$11:Y$368,1)+COUNTIF(Y$11:Y349,Y349)-1),(RANK(Y349,Y$11:Y$368)+COUNTIF(Y$11:Y349,Y349)-1)))</f>
        <v>#N/A</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84.445353929306265</v>
      </c>
      <c r="AY349" s="103"/>
      <c r="AZ349" s="21"/>
    </row>
    <row r="350" spans="1:52">
      <c r="A350" s="56" t="str">
        <f>$D$1&amp;340</f>
        <v>SC340</v>
      </c>
      <c r="B350" s="57">
        <f>IF(ISERROR(VLOOKUP(A350,classifications!A:C,3,FALSE)),0,VLOOKUP(A350,classifications!A:C,3,FALSE))</f>
        <v>0</v>
      </c>
      <c r="C350" s="8" t="s">
        <v>331</v>
      </c>
      <c r="D350" s="26" t="str">
        <f>VLOOKUP($C350,classifications!$C:$J,4,FALSE)</f>
        <v>SC</v>
      </c>
      <c r="E350" s="26">
        <f>VLOOKUP(C350,classifications!C:K,9,FALSE)</f>
        <v>0</v>
      </c>
      <c r="F350" s="36">
        <f t="shared" si="120"/>
        <v>84.411781583716433</v>
      </c>
      <c r="G350" s="71"/>
      <c r="H350" s="37">
        <f t="shared" si="121"/>
        <v>84.411781583716433</v>
      </c>
      <c r="I350" s="77">
        <f>IF(H350="","",IF($I$8="A",(RANK(H350,H$11:H$368,1)+COUNTIF(H$11:H350,H350)-1),(RANK(H350,H$11:H$368)+COUNTIF(H$11:H350,H350)-1)))</f>
        <v>5</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b">
        <f t="shared" si="125"/>
        <v>0</v>
      </c>
      <c r="Z350" s="34" t="e">
        <f>IF(Y350="","",IF(I$8="A",(RANK(Y350,Y$11:Y$368,1)+COUNTIF(Y$11:Y350,Y350)-1),(RANK(Y350,Y$11:Y$368)+COUNTIF(Y$11:Y350,Y350)-1)))</f>
        <v>#N/A</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84.411781583716433</v>
      </c>
      <c r="AY350" s="103"/>
      <c r="AZ350" s="21"/>
    </row>
    <row r="351" spans="1:52">
      <c r="A351" s="56" t="str">
        <f>$D$1&amp;341</f>
        <v>SC341</v>
      </c>
      <c r="B351" s="57">
        <f>IF(ISERROR(VLOOKUP(A351,classifications!A:C,3,FALSE)),0,VLOOKUP(A351,classifications!A:C,3,FALSE))</f>
        <v>0</v>
      </c>
      <c r="C351" s="8" t="s">
        <v>187</v>
      </c>
      <c r="D351" s="26" t="str">
        <f>VLOOKUP($C351,classifications!$C:$J,4,FALSE)</f>
        <v>L</v>
      </c>
      <c r="E351" s="26">
        <f>VLOOKUP(C351,classifications!C:K,9,FALSE)</f>
        <v>0</v>
      </c>
      <c r="F351" s="36">
        <f t="shared" si="120"/>
        <v>89.092278053533519</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b">
        <f t="shared" si="125"/>
        <v>0</v>
      </c>
      <c r="Z351" s="34" t="e">
        <f>IF(Y351="","",IF(I$8="A",(RANK(Y351,Y$11:Y$368,1)+COUNTIF(Y$11:Y351,Y351)-1),(RANK(Y351,Y$11:Y$368)+COUNTIF(Y$11:Y351,Y351)-1)))</f>
        <v>#N/A</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89.092278053533519</v>
      </c>
      <c r="AY351" s="103"/>
      <c r="AZ351" s="21"/>
    </row>
    <row r="352" spans="1:52">
      <c r="A352" s="56" t="str">
        <f>$D$1&amp;342</f>
        <v>SC342</v>
      </c>
      <c r="B352" s="57">
        <f>IF(ISERROR(VLOOKUP(A352,classifications!A:C,3,FALSE)),0,VLOOKUP(A352,classifications!A:C,3,FALSE))</f>
        <v>0</v>
      </c>
      <c r="C352" s="8" t="s">
        <v>351</v>
      </c>
      <c r="D352" s="26" t="str">
        <f>VLOOKUP($C352,classifications!$C:$J,4,FALSE)</f>
        <v>SD</v>
      </c>
      <c r="E352" s="26">
        <f>VLOOKUP(C352,classifications!C:K,9,FALSE)</f>
        <v>0</v>
      </c>
      <c r="F352" s="36">
        <f t="shared" si="120"/>
        <v>0</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b">
        <f t="shared" si="125"/>
        <v>0</v>
      </c>
      <c r="Z352" s="34" t="e">
        <f>IF(Y352="","",IF(I$8="A",(RANK(Y352,Y$11:Y$368,1)+COUNTIF(Y$11:Y352,Y352)-1),(RANK(Y352,Y$11:Y$368)+COUNTIF(Y$11:Y352,Y352)-1)))</f>
        <v>#N/A</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f>HLOOKUP($AX$9&amp;$AX$10,Data!$A$1:$ZZ$2000,(MATCH($C352,Data!$A$1:$A$2000,0)),FALSE)</f>
        <v>0</v>
      </c>
      <c r="AY352" s="103"/>
      <c r="AZ352" s="21"/>
    </row>
    <row r="353" spans="1:735">
      <c r="A353" s="56" t="str">
        <f>$D$1&amp;343</f>
        <v>SC343</v>
      </c>
      <c r="B353" s="57">
        <f>IF(ISERROR(VLOOKUP(A353,classifications!A:C,3,FALSE)),0,VLOOKUP(A353,classifications!A:C,3,FALSE))</f>
        <v>0</v>
      </c>
      <c r="C353" s="8" t="s">
        <v>255</v>
      </c>
      <c r="D353" s="26" t="str">
        <f>VLOOKUP($C353,classifications!$C:$J,4,FALSE)</f>
        <v>MD</v>
      </c>
      <c r="E353" s="26">
        <f>VLOOKUP(C353,classifications!C:K,9,FALSE)</f>
        <v>0</v>
      </c>
      <c r="F353" s="36">
        <f t="shared" si="120"/>
        <v>78.483402859974234</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b">
        <f t="shared" si="125"/>
        <v>0</v>
      </c>
      <c r="Z353" s="34" t="e">
        <f>IF(Y353="","",IF(I$8="A",(RANK(Y353,Y$11:Y$368,1)+COUNTIF(Y$11:Y353,Y353)-1),(RANK(Y353,Y$11:Y$368)+COUNTIF(Y$11:Y353,Y353)-1)))</f>
        <v>#N/A</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78.483402859974234</v>
      </c>
      <c r="AY353" s="103"/>
      <c r="AZ353" s="21"/>
    </row>
    <row r="354" spans="1:735">
      <c r="A354" s="56" t="str">
        <f>$D$1&amp;344</f>
        <v>SC344</v>
      </c>
      <c r="B354" s="57">
        <f>IF(ISERROR(VLOOKUP(A354,classifications!A:C,3,FALSE)),0,VLOOKUP(A354,classifications!A:C,3,FALSE))</f>
        <v>0</v>
      </c>
      <c r="C354" s="8" t="s">
        <v>297</v>
      </c>
      <c r="D354" s="26" t="str">
        <f>VLOOKUP($C354,classifications!$C:$J,4,FALSE)</f>
        <v>UA</v>
      </c>
      <c r="E354" s="26">
        <f>VLOOKUP(C354,classifications!C:K,9,FALSE)</f>
        <v>0</v>
      </c>
      <c r="F354" s="36">
        <f t="shared" si="120"/>
        <v>86.966877840269134</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b">
        <f t="shared" si="125"/>
        <v>0</v>
      </c>
      <c r="Z354" s="34" t="e">
        <f>IF(Y354="","",IF(I$8="A",(RANK(Y354,Y$11:Y$368,1)+COUNTIF(Y$11:Y354,Y354)-1),(RANK(Y354,Y$11:Y$368)+COUNTIF(Y$11:Y354,Y354)-1)))</f>
        <v>#N/A</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86.966877840269134</v>
      </c>
      <c r="AY354" s="103"/>
      <c r="AZ354" s="21"/>
    </row>
    <row r="355" spans="1:735">
      <c r="A355" s="56" t="str">
        <f>$D$1&amp;345</f>
        <v>SC345</v>
      </c>
      <c r="B355" s="57">
        <f>IF(ISERROR(VLOOKUP(A355,classifications!A:C,3,FALSE)),0,VLOOKUP(A355,classifications!A:C,3,FALSE))</f>
        <v>0</v>
      </c>
      <c r="C355" s="8" t="s">
        <v>188</v>
      </c>
      <c r="D355" s="26" t="str">
        <f>VLOOKUP($C355,classifications!$C:$J,4,FALSE)</f>
        <v>SD</v>
      </c>
      <c r="E355" s="26">
        <f>VLOOKUP(C355,classifications!C:K,9,FALSE)</f>
        <v>0</v>
      </c>
      <c r="F355" s="36">
        <f t="shared" si="120"/>
        <v>88.154799004680399</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b">
        <f t="shared" si="125"/>
        <v>0</v>
      </c>
      <c r="Z355" s="34" t="e">
        <f>IF(Y355="","",IF(I$8="A",(RANK(Y355,Y$11:Y$368,1)+COUNTIF(Y$11:Y355,Y355)-1),(RANK(Y355,Y$11:Y$368)+COUNTIF(Y$11:Y355,Y355)-1)))</f>
        <v>#N/A</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88.154799004680399</v>
      </c>
      <c r="AY355" s="103"/>
      <c r="AZ355" s="21"/>
    </row>
    <row r="356" spans="1:735">
      <c r="A356" s="56" t="str">
        <f>$D$1&amp;346</f>
        <v>SC346</v>
      </c>
      <c r="B356" s="57">
        <f>IF(ISERROR(VLOOKUP(A356,classifications!A:C,3,FALSE)),0,VLOOKUP(A356,classifications!A:C,3,FALSE))</f>
        <v>0</v>
      </c>
      <c r="C356" s="8" t="s">
        <v>814</v>
      </c>
      <c r="D356" s="26" t="str">
        <f>VLOOKUP($C356,classifications!$C:$J,4,FALSE)</f>
        <v>UA</v>
      </c>
      <c r="E356" s="26">
        <f>VLOOKUP(C356,classifications!C:K,9,FALSE)</f>
        <v>0</v>
      </c>
      <c r="F356" s="36">
        <f t="shared" si="120"/>
        <v>88.075317677372368</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b">
        <f t="shared" si="125"/>
        <v>0</v>
      </c>
      <c r="Z356" s="34" t="e">
        <f>IF(Y356="","",IF(I$8="A",(RANK(Y356,Y$11:Y$368,1)+COUNTIF(Y$11:Y356,Y356)-1),(RANK(Y356,Y$11:Y$368)+COUNTIF(Y$11:Y356,Y356)-1)))</f>
        <v>#N/A</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88.075317677372368</v>
      </c>
      <c r="AY356" s="103"/>
      <c r="AZ356" s="21"/>
    </row>
    <row r="357" spans="1:735">
      <c r="A357" s="56" t="str">
        <f>$D$1&amp;347</f>
        <v>SC347</v>
      </c>
      <c r="B357" s="57">
        <f>IF(ISERROR(VLOOKUP(A357,classifications!A:C,3,FALSE)),0,VLOOKUP(A357,classifications!A:C,3,FALSE))</f>
        <v>0</v>
      </c>
      <c r="C357" s="8" t="s">
        <v>256</v>
      </c>
      <c r="D357" s="26" t="str">
        <f>VLOOKUP($C357,classifications!$C:$J,4,FALSE)</f>
        <v>MD</v>
      </c>
      <c r="E357" s="26">
        <f>VLOOKUP(C357,classifications!C:K,9,FALSE)</f>
        <v>0</v>
      </c>
      <c r="F357" s="36">
        <f t="shared" si="120"/>
        <v>81.957688718342894</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b">
        <f t="shared" si="125"/>
        <v>0</v>
      </c>
      <c r="Z357" s="34" t="e">
        <f>IF(Y357="","",IF(I$8="A",(RANK(Y357,Y$11:Y$368,1)+COUNTIF(Y$11:Y357,Y357)-1),(RANK(Y357,Y$11:Y$368)+COUNTIF(Y$11:Y357,Y357)-1)))</f>
        <v>#N/A</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81.957688718342894</v>
      </c>
      <c r="AY357" s="103"/>
      <c r="AZ357" s="21"/>
    </row>
    <row r="358" spans="1:735">
      <c r="A358" s="56" t="str">
        <f>$D$1&amp;348</f>
        <v>SC348</v>
      </c>
      <c r="B358" s="57">
        <f>IF(ISERROR(VLOOKUP(A358,classifications!A:C,3,FALSE)),0,VLOOKUP(A358,classifications!A:C,3,FALSE))</f>
        <v>0</v>
      </c>
      <c r="C358" s="8" t="s">
        <v>189</v>
      </c>
      <c r="D358" s="26" t="str">
        <f>VLOOKUP($C358,classifications!$C:$J,4,FALSE)</f>
        <v>SD</v>
      </c>
      <c r="E358" s="26">
        <f>VLOOKUP(C358,classifications!C:K,9,FALSE)</f>
        <v>0</v>
      </c>
      <c r="F358" s="36">
        <f t="shared" si="120"/>
        <v>82.398000952590905</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b">
        <f t="shared" si="125"/>
        <v>0</v>
      </c>
      <c r="Z358" s="34" t="e">
        <f>IF(Y358="","",IF(I$8="A",(RANK(Y358,Y$11:Y$368,1)+COUNTIF(Y$11:Y358,Y358)-1),(RANK(Y358,Y$11:Y$368)+COUNTIF(Y$11:Y358,Y358)-1)))</f>
        <v>#N/A</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82.398000952590905</v>
      </c>
      <c r="AY358" s="103"/>
      <c r="AZ358" s="21"/>
    </row>
    <row r="359" spans="1:735">
      <c r="A359" s="56" t="str">
        <f>$D$1&amp;349</f>
        <v>SC349</v>
      </c>
      <c r="B359" s="57">
        <f>IF(ISERROR(VLOOKUP(A359,classifications!A:C,3,FALSE)),0,VLOOKUP(A359,classifications!A:C,3,FALSE))</f>
        <v>0</v>
      </c>
      <c r="C359" s="8" t="s">
        <v>298</v>
      </c>
      <c r="D359" s="26" t="str">
        <f>VLOOKUP($C359,classifications!$C:$J,4,FALSE)</f>
        <v>UA</v>
      </c>
      <c r="E359" s="26">
        <f>VLOOKUP(C359,classifications!C:K,9,FALSE)</f>
        <v>0</v>
      </c>
      <c r="F359" s="36">
        <f t="shared" si="120"/>
        <v>89.743171006484772</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b">
        <f t="shared" si="125"/>
        <v>0</v>
      </c>
      <c r="Z359" s="34" t="e">
        <f>IF(Y359="","",IF(I$8="A",(RANK(Y359,Y$11:Y$368,1)+COUNTIF(Y$11:Y359,Y359)-1),(RANK(Y359,Y$11:Y$368)+COUNTIF(Y$11:Y359,Y359)-1)))</f>
        <v>#N/A</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89.743171006484772</v>
      </c>
      <c r="AY359" s="103"/>
      <c r="AZ359" s="21"/>
    </row>
    <row r="360" spans="1:735">
      <c r="A360" s="56" t="str">
        <f>$D$1&amp;350</f>
        <v>SC350</v>
      </c>
      <c r="B360" s="57">
        <f>IF(ISERROR(VLOOKUP(A360,classifications!A:C,3,FALSE)),0,VLOOKUP(A360,classifications!A:C,3,FALSE))</f>
        <v>0</v>
      </c>
      <c r="C360" s="8" t="s">
        <v>257</v>
      </c>
      <c r="D360" s="26" t="str">
        <f>VLOOKUP($C360,classifications!$C:$J,4,FALSE)</f>
        <v>MD</v>
      </c>
      <c r="E360" s="26">
        <f>VLOOKUP(C360,classifications!C:K,9,FALSE)</f>
        <v>0</v>
      </c>
      <c r="F360" s="36">
        <f t="shared" si="120"/>
        <v>68.163622444981812</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b">
        <f t="shared" si="125"/>
        <v>0</v>
      </c>
      <c r="Z360" s="34" t="e">
        <f>IF(Y360="","",IF(I$8="A",(RANK(Y360,Y$11:Y$368,1)+COUNTIF(Y$11:Y360,Y360)-1),(RANK(Y360,Y$11:Y$368)+COUNTIF(Y$11:Y360,Y360)-1)))</f>
        <v>#N/A</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68.163622444981812</v>
      </c>
      <c r="AY360" s="103"/>
      <c r="AZ360" s="21"/>
    </row>
    <row r="361" spans="1:735">
      <c r="A361" s="56" t="str">
        <f>$D$1&amp;351</f>
        <v>SC351</v>
      </c>
      <c r="B361" s="57">
        <f>IF(ISERROR(VLOOKUP(A361,classifications!A:C,3,FALSE)),0,VLOOKUP(A361,classifications!A:C,3,FALSE))</f>
        <v>0</v>
      </c>
      <c r="C361" s="8" t="s">
        <v>190</v>
      </c>
      <c r="D361" s="26" t="str">
        <f>VLOOKUP($C361,classifications!$C:$J,4,FALSE)</f>
        <v>SD</v>
      </c>
      <c r="E361" s="26">
        <f>VLOOKUP(C361,classifications!C:K,9,FALSE)</f>
        <v>0</v>
      </c>
      <c r="F361" s="36">
        <f t="shared" si="120"/>
        <v>84.592552123348014</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b">
        <f t="shared" si="125"/>
        <v>0</v>
      </c>
      <c r="Z361" s="34" t="e">
        <f>IF(Y361="","",IF(I$8="A",(RANK(Y361,Y$11:Y$368,1)+COUNTIF(Y$11:Y361,Y361)-1),(RANK(Y361,Y$11:Y$368)+COUNTIF(Y$11:Y361,Y361)-1)))</f>
        <v>#N/A</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84.592552123348014</v>
      </c>
      <c r="AY361" s="103"/>
      <c r="AZ361" s="21"/>
    </row>
    <row r="362" spans="1:735">
      <c r="A362" s="56" t="str">
        <f>$D$1&amp;352</f>
        <v>SC352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83.530583979642358</v>
      </c>
      <c r="G362" s="71"/>
      <c r="H362" s="37">
        <f t="shared" si="121"/>
        <v>83.530583979642358</v>
      </c>
      <c r="I362" s="77">
        <f>IF(H362="","",IF($I$8="A",(RANK(H362,H$11:H$368,1)+COUNTIF(H$11:H362,H362)-1),(RANK(H362,H$11:H$368)+COUNTIF(H$11:H362,H362)-1)))</f>
        <v>9</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b">
        <f t="shared" si="125"/>
        <v>0</v>
      </c>
      <c r="Z362" s="34" t="e">
        <f>IF(Y362="","",IF(I$8="A",(RANK(Y362,Y$11:Y$368,1)+COUNTIF(Y$11:Y362,Y362)-1),(RANK(Y362,Y$11:Y$368)+COUNTIF(Y$11:Y362,Y362)-1)))</f>
        <v>#N/A</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83.530583979642358</v>
      </c>
      <c r="AY362" s="103"/>
      <c r="AZ362" s="21"/>
    </row>
    <row r="363" spans="1:735">
      <c r="A363" s="56" t="str">
        <f>$D$1&amp;353</f>
        <v>SC353</v>
      </c>
      <c r="B363" s="57">
        <f>IF(ISERROR(VLOOKUP(A363,classifications!A:C,3,FALSE)),0,VLOOKUP(A363,classifications!A:C,3,FALSE))</f>
        <v>0</v>
      </c>
      <c r="C363" s="8" t="s">
        <v>191</v>
      </c>
      <c r="D363" s="26" t="str">
        <f>VLOOKUP($C363,classifications!$C:$J,4,FALSE)</f>
        <v>SD</v>
      </c>
      <c r="E363" s="26">
        <f>VLOOKUP(C363,classifications!C:K,9,FALSE)</f>
        <v>0</v>
      </c>
      <c r="F363" s="36">
        <f t="shared" si="120"/>
        <v>84.019006352306462</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b">
        <f t="shared" si="125"/>
        <v>0</v>
      </c>
      <c r="Z363" s="34" t="e">
        <f>IF(Y363="","",IF(I$8="A",(RANK(Y363,Y$11:Y$368,1)+COUNTIF(Y$11:Y363,Y363)-1),(RANK(Y363,Y$11:Y$368)+COUNTIF(Y$11:Y363,Y363)-1)))</f>
        <v>#N/A</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84.019006352306462</v>
      </c>
      <c r="AY363" s="103"/>
      <c r="AZ363" s="21"/>
    </row>
    <row r="364" spans="1:735" s="27" customFormat="1">
      <c r="A364" s="56" t="str">
        <f>$D$1&amp;354</f>
        <v>SC354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84.856066522804923</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b">
        <f t="shared" ref="Y364:Y368" si="151">IF($D$1="UA",IF(X364="Largely Rural (rural including hub towns 50-79%) ",M364,IF(X364="Mainly Rural (rural including hub towns &gt;=80%) ",M364,IF(X364="Urban with Significant Rural (rural including hub towns 26-49%)",M364,""))),IF($D$1="SD",IF(X364=$H$3,M364,"")))</f>
        <v>0</v>
      </c>
      <c r="Z364" s="34" t="e">
        <f>IF(Y364="","",IF(I$8="A",(RANK(Y364,Y$11:Y$368,1)+COUNTIF(Y$11:Y364,Y364)-1),(RANK(Y364,Y$11:Y$368)+COUNTIF(Y$11:Y364,Y364)-1)))</f>
        <v>#N/A</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84.856066522804923</v>
      </c>
      <c r="AY364" s="119"/>
      <c r="AZ364" s="19"/>
      <c r="ABG364" s="40"/>
    </row>
    <row r="365" spans="1:735">
      <c r="A365" s="56" t="str">
        <f>$D$1&amp;355</f>
        <v>SC355</v>
      </c>
      <c r="B365" s="57">
        <f>IF(ISERROR(VLOOKUP(A365,classifications!A:C,3,FALSE)),0,VLOOKUP(A365,classifications!A:C,3,FALSE))</f>
        <v>0</v>
      </c>
      <c r="C365" s="8" t="s">
        <v>193</v>
      </c>
      <c r="D365" s="26" t="str">
        <f>VLOOKUP($C365,classifications!$C:$J,4,FALSE)</f>
        <v>SD</v>
      </c>
      <c r="E365" s="26">
        <f>VLOOKUP(C365,classifications!C:K,9,FALSE)</f>
        <v>0</v>
      </c>
      <c r="F365" s="36">
        <f t="shared" si="120"/>
        <v>85.906816780393342</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b">
        <f t="shared" si="151"/>
        <v>0</v>
      </c>
      <c r="Z365" s="34" t="e">
        <f>IF(Y365="","",IF(I$8="A",(RANK(Y365,Y$11:Y$368,1)+COUNTIF(Y$11:Y365,Y365)-1),(RANK(Y365,Y$11:Y$368)+COUNTIF(Y$11:Y365,Y365)-1)))</f>
        <v>#N/A</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85.906816780393342</v>
      </c>
      <c r="AY365" s="16"/>
      <c r="AZ365" s="111"/>
    </row>
    <row r="366" spans="1:735">
      <c r="A366" s="56" t="str">
        <f>$D$1&amp;356</f>
        <v>SC356</v>
      </c>
      <c r="B366" s="57">
        <f>IF(ISERROR(VLOOKUP(A366,classifications!A:C,3,FALSE)),0,VLOOKUP(A366,classifications!A:C,3,FALSE))</f>
        <v>0</v>
      </c>
      <c r="C366" s="8" t="s">
        <v>194</v>
      </c>
      <c r="D366" s="26" t="str">
        <f>VLOOKUP($C366,classifications!$C:$J,4,FALSE)</f>
        <v>SD</v>
      </c>
      <c r="E366" s="26">
        <f>VLOOKUP(C366,classifications!C:K,9,FALSE)</f>
        <v>0</v>
      </c>
      <c r="F366" s="36">
        <f t="shared" si="120"/>
        <v>79.146909289786848</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b">
        <f t="shared" si="151"/>
        <v>0</v>
      </c>
      <c r="Z366" s="34" t="e">
        <f>IF(Y366="","",IF(I$8="A",(RANK(Y366,Y$11:Y$368,1)+COUNTIF(Y$11:Y366,Y366)-1),(RANK(Y366,Y$11:Y$368)+COUNTIF(Y$11:Y366,Y366)-1)))</f>
        <v>#N/A</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79.146909289786848</v>
      </c>
      <c r="AY366" s="16"/>
      <c r="AZ366" s="111"/>
    </row>
    <row r="367" spans="1:735">
      <c r="A367" s="56" t="str">
        <f>$D$1&amp;357</f>
        <v>SC357</v>
      </c>
      <c r="B367" s="57">
        <f>IF(ISERROR(VLOOKUP(A367,classifications!A:C,3,FALSE)),0,VLOOKUP(A367,classifications!A:C,3,FALSE))</f>
        <v>0</v>
      </c>
      <c r="C367" s="8" t="s">
        <v>195</v>
      </c>
      <c r="D367" s="26" t="str">
        <f>VLOOKUP($C367,classifications!$C:$J,4,FALSE)</f>
        <v>SD</v>
      </c>
      <c r="E367" s="26">
        <f>VLOOKUP(C367,classifications!C:K,9,FALSE)</f>
        <v>0</v>
      </c>
      <c r="F367" s="36">
        <f t="shared" si="120"/>
        <v>83.369638917778488</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b">
        <f t="shared" si="151"/>
        <v>0</v>
      </c>
      <c r="Z367" s="34" t="e">
        <f>IF(Y367="","",IF(I$8="A",(RANK(Y367,Y$11:Y$368,1)+COUNTIF(Y$11:Y367,Y367)-1),(RANK(Y367,Y$11:Y$368)+COUNTIF(Y$11:Y367,Y367)-1)))</f>
        <v>#N/A</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83.369638917778488</v>
      </c>
    </row>
    <row r="368" spans="1:735">
      <c r="A368" s="56" t="str">
        <f>$D$1&amp;358</f>
        <v>SC358</v>
      </c>
      <c r="B368" s="57">
        <f>IF(ISERROR(VLOOKUP(A368,classifications!A:C,3,FALSE)),0,VLOOKUP(A368,classifications!A:C,3,FALSE))</f>
        <v>0</v>
      </c>
      <c r="C368" s="8" t="s">
        <v>299</v>
      </c>
      <c r="D368" s="26" t="str">
        <f>VLOOKUP($C368,classifications!$C:$J,4,FALSE)</f>
        <v>UA</v>
      </c>
      <c r="E368" s="26">
        <f>VLOOKUP(C368,classifications!C:K,9,FALSE)</f>
        <v>0</v>
      </c>
      <c r="F368" s="36">
        <f t="shared" si="120"/>
        <v>85.5900498530129</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b">
        <f t="shared" si="151"/>
        <v>0</v>
      </c>
      <c r="Z368" s="34" t="e">
        <f>IF(Y368="","",IF(I$8="A",(RANK(Y368,Y$11:Y$368,1)+COUNTIF(Y$11:Y368,Y368)-1),(RANK(Y368,Y$11:Y$368)+COUNTIF(Y$11:Y368,Y368)-1)))</f>
        <v>#N/A</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85.5900498530129</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793</v>
      </c>
      <c r="D1" s="63" t="s">
        <v>798</v>
      </c>
      <c r="F1" s="63" t="s">
        <v>807</v>
      </c>
    </row>
    <row r="2" spans="1:8" ht="28.8">
      <c r="A2" s="217" t="s">
        <v>901</v>
      </c>
      <c r="B2" t="s">
        <v>821</v>
      </c>
      <c r="C2" t="s">
        <v>821</v>
      </c>
      <c r="D2" t="s">
        <v>885</v>
      </c>
      <c r="F2" s="1" t="s">
        <v>886</v>
      </c>
      <c r="G2" s="1"/>
      <c r="H2" s="1"/>
    </row>
    <row r="3" spans="1:8" ht="14.4">
      <c r="A3" s="217"/>
      <c r="F3" t="s">
        <v>894</v>
      </c>
      <c r="G3" s="1"/>
    </row>
    <row r="4" spans="1:8" ht="14.4">
      <c r="A4" s="217"/>
      <c r="F4" s="1" t="s">
        <v>895</v>
      </c>
      <c r="G4" s="1"/>
    </row>
    <row r="5" spans="1:8" ht="14.4">
      <c r="A5" s="217"/>
      <c r="E5" s="1"/>
      <c r="F5" s="1" t="s">
        <v>896</v>
      </c>
    </row>
    <row r="6" spans="1:8" ht="14.4">
      <c r="A6" s="217"/>
      <c r="E6" s="1"/>
      <c r="F6" s="26" t="s">
        <v>898</v>
      </c>
    </row>
    <row r="7" spans="1:8" ht="14.4">
      <c r="A7" s="217"/>
      <c r="E7" s="1"/>
      <c r="F7" s="26" t="s">
        <v>902</v>
      </c>
    </row>
    <row r="8" spans="1:8" ht="14.4">
      <c r="A8" s="217"/>
      <c r="F8" s="26" t="s">
        <v>908</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2"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357" workbookViewId="0">
      <selection activeCell="C7" sqref="C7:I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walking or cycling, at least once per month2012/13</v>
      </c>
      <c r="D1" s="133" t="str">
        <f t="shared" ref="D1:BO1" si="0">D4&amp;D5</f>
        <v>Proportion of residents who do any walking or cycling, at least once per month2013/14</v>
      </c>
      <c r="E1" s="133" t="str">
        <f t="shared" si="0"/>
        <v>Proportion of residents who do any walking or cycling, at least once per month2014/15</v>
      </c>
      <c r="F1" s="133" t="str">
        <f t="shared" si="0"/>
        <v>Proportion of residents who do any walking or cycling, at least once per month2015/16</v>
      </c>
      <c r="G1" s="133" t="str">
        <f t="shared" si="0"/>
        <v>Proportion of residents who do any walking or cycling, at least once per month2016/17</v>
      </c>
      <c r="H1" s="133" t="str">
        <f t="shared" si="0"/>
        <v>Proportion of residents who do any walking or cycling, at least once per month2017/18</v>
      </c>
      <c r="I1" s="133" t="str">
        <f t="shared" si="0"/>
        <v>Proportion of residents who do any walking or cycling, at least once per month2018/19</v>
      </c>
      <c r="J1" s="133" t="str">
        <f t="shared" si="0"/>
        <v/>
      </c>
      <c r="K1" s="133" t="str">
        <f t="shared" si="0"/>
        <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70" t="s">
        <v>900</v>
      </c>
      <c r="D3" s="137"/>
      <c r="E3" s="137"/>
      <c r="L3" s="126"/>
      <c r="M3" s="109"/>
      <c r="N3" s="126"/>
      <c r="O3" s="140"/>
      <c r="P3" s="140"/>
      <c r="Q3" s="140"/>
      <c r="R3" s="109"/>
      <c r="S3" s="109"/>
      <c r="T3" s="109"/>
      <c r="U3" s="140"/>
      <c r="V3" s="355"/>
      <c r="W3" s="355"/>
      <c r="X3" s="126"/>
      <c r="Y3" s="126"/>
    </row>
    <row r="4" spans="1:77" ht="60" customHeight="1">
      <c r="A4" s="353" t="s">
        <v>820</v>
      </c>
      <c r="B4" s="135" t="s">
        <v>802</v>
      </c>
      <c r="C4" s="217" t="s">
        <v>901</v>
      </c>
      <c r="D4" s="217" t="s">
        <v>901</v>
      </c>
      <c r="E4" s="217" t="s">
        <v>901</v>
      </c>
      <c r="F4" s="217" t="s">
        <v>901</v>
      </c>
      <c r="G4" s="217" t="s">
        <v>901</v>
      </c>
      <c r="H4" s="217" t="s">
        <v>901</v>
      </c>
      <c r="I4" s="217" t="s">
        <v>901</v>
      </c>
      <c r="J4" s="217"/>
      <c r="K4" s="218"/>
      <c r="L4" s="218"/>
      <c r="M4" s="218"/>
      <c r="N4" s="218"/>
      <c r="O4" s="218"/>
      <c r="P4" s="128"/>
      <c r="Q4" s="128"/>
      <c r="R4" s="130"/>
      <c r="S4" s="130"/>
      <c r="T4" s="130"/>
      <c r="U4" s="128"/>
      <c r="V4" s="356"/>
      <c r="W4" s="356"/>
      <c r="X4" s="126"/>
      <c r="Y4" s="126"/>
    </row>
    <row r="5" spans="1:77" ht="30" customHeight="1">
      <c r="A5" s="354"/>
      <c r="B5" s="136" t="s">
        <v>365</v>
      </c>
      <c r="C5" s="217" t="s">
        <v>886</v>
      </c>
      <c r="D5" s="217" t="s">
        <v>894</v>
      </c>
      <c r="E5" s="217" t="s">
        <v>895</v>
      </c>
      <c r="F5" s="217" t="s">
        <v>896</v>
      </c>
      <c r="G5" s="272" t="s">
        <v>898</v>
      </c>
      <c r="H5" s="279" t="s">
        <v>902</v>
      </c>
      <c r="I5" s="280" t="s">
        <v>908</v>
      </c>
      <c r="J5" s="217"/>
      <c r="K5" s="217"/>
      <c r="L5" s="217"/>
      <c r="M5" s="217"/>
      <c r="N5" s="217"/>
      <c r="O5" s="217"/>
      <c r="P5" s="129"/>
      <c r="Q5" s="129"/>
      <c r="R5" s="112"/>
      <c r="S5" s="112"/>
      <c r="T5" s="112"/>
      <c r="U5" s="129"/>
      <c r="V5" s="357"/>
      <c r="W5" s="357"/>
      <c r="X5" s="126"/>
      <c r="Y5" s="126"/>
    </row>
    <row r="6" spans="1:77" ht="14.7" customHeight="1">
      <c r="A6" s="354"/>
      <c r="B6" s="136" t="s">
        <v>366</v>
      </c>
      <c r="C6" s="162" t="s">
        <v>887</v>
      </c>
      <c r="D6" s="162" t="s">
        <v>887</v>
      </c>
      <c r="E6" s="162" t="s">
        <v>887</v>
      </c>
      <c r="F6" s="162" t="s">
        <v>887</v>
      </c>
      <c r="G6" s="162" t="s">
        <v>887</v>
      </c>
      <c r="H6" s="162" t="s">
        <v>887</v>
      </c>
      <c r="I6" s="162" t="s">
        <v>887</v>
      </c>
      <c r="J6" s="162"/>
      <c r="K6" s="162"/>
      <c r="L6" s="162"/>
      <c r="M6" s="162"/>
      <c r="N6" s="162"/>
      <c r="O6" s="162"/>
      <c r="P6" s="129"/>
      <c r="Q6" s="129"/>
      <c r="R6" s="112"/>
      <c r="S6" s="112"/>
      <c r="T6" s="112"/>
      <c r="U6" s="128"/>
      <c r="V6" s="356"/>
      <c r="W6" s="356"/>
      <c r="X6" s="126"/>
      <c r="Y6" s="126"/>
    </row>
    <row r="7" spans="1:77" ht="14.7" customHeight="1">
      <c r="A7" s="131" t="s">
        <v>4</v>
      </c>
      <c r="B7" s="131"/>
      <c r="C7">
        <v>90.337326485379066</v>
      </c>
      <c r="D7">
        <v>88.002600225488308</v>
      </c>
      <c r="E7">
        <v>85.435541905055175</v>
      </c>
      <c r="F7">
        <v>79.493470816629568</v>
      </c>
      <c r="G7">
        <v>85.196899999999999</v>
      </c>
      <c r="H7">
        <v>84.827600000000004</v>
      </c>
      <c r="I7" s="147">
        <v>83.883886554025949</v>
      </c>
      <c r="J7" s="112"/>
      <c r="K7" s="112"/>
      <c r="L7" s="126"/>
      <c r="M7" s="112"/>
      <c r="N7" s="126"/>
      <c r="O7" s="147"/>
      <c r="P7" s="147"/>
      <c r="Q7" s="147"/>
      <c r="R7" s="112"/>
      <c r="S7" s="112"/>
      <c r="T7" s="112"/>
      <c r="U7" s="146"/>
      <c r="V7" s="113"/>
      <c r="W7" s="113"/>
      <c r="X7" s="126"/>
      <c r="Y7" s="126"/>
    </row>
    <row r="8" spans="1:77" ht="14.7" customHeight="1">
      <c r="A8" s="131" t="s">
        <v>6</v>
      </c>
      <c r="B8" s="131"/>
      <c r="C8">
        <v>87.863111874510111</v>
      </c>
      <c r="D8">
        <v>87.018816613171026</v>
      </c>
      <c r="E8">
        <v>85.506788382534452</v>
      </c>
      <c r="F8">
        <v>79.408472707742007</v>
      </c>
      <c r="G8">
        <v>84.622200000000007</v>
      </c>
      <c r="H8">
        <v>81.481700000000004</v>
      </c>
      <c r="I8" s="147">
        <v>81.774925961121198</v>
      </c>
      <c r="J8" s="112"/>
      <c r="K8" s="112"/>
      <c r="L8" s="126"/>
      <c r="M8" s="112"/>
      <c r="N8" s="126"/>
      <c r="O8" s="147"/>
      <c r="P8" s="147"/>
      <c r="Q8" s="147"/>
      <c r="R8" s="112"/>
      <c r="S8" s="112"/>
      <c r="T8" s="112"/>
      <c r="U8" s="146"/>
      <c r="V8" s="113"/>
      <c r="W8" s="113"/>
      <c r="X8" s="126"/>
      <c r="Y8" s="126"/>
    </row>
    <row r="9" spans="1:77" ht="14.7" customHeight="1">
      <c r="A9" s="131" t="s">
        <v>7</v>
      </c>
      <c r="B9" s="131"/>
      <c r="C9">
        <v>87.989234272339189</v>
      </c>
      <c r="D9">
        <v>87.737274977451406</v>
      </c>
      <c r="E9">
        <v>85.645517941867524</v>
      </c>
      <c r="F9">
        <v>75.706356528329337</v>
      </c>
      <c r="G9">
        <v>79.491900000000001</v>
      </c>
      <c r="H9">
        <v>84.3185</v>
      </c>
      <c r="I9" s="147">
        <v>81.9033742825373</v>
      </c>
      <c r="J9" s="112"/>
      <c r="K9" s="112"/>
      <c r="L9" s="126"/>
      <c r="M9" s="112"/>
      <c r="N9" s="126"/>
      <c r="O9" s="147"/>
      <c r="P9" s="147"/>
      <c r="Q9" s="147"/>
      <c r="R9" s="112"/>
      <c r="S9" s="112"/>
      <c r="T9" s="112"/>
      <c r="U9" s="146"/>
      <c r="V9" s="113"/>
      <c r="W9" s="113"/>
      <c r="X9" s="126"/>
      <c r="Y9" s="126"/>
    </row>
    <row r="10" spans="1:77" ht="14.7" customHeight="1">
      <c r="A10" s="131" t="s">
        <v>8</v>
      </c>
      <c r="B10" s="131"/>
      <c r="C10">
        <v>89.557074329048248</v>
      </c>
      <c r="D10">
        <v>84.503697360628721</v>
      </c>
      <c r="E10">
        <v>86.779756333367999</v>
      </c>
      <c r="F10">
        <v>86.231164933037647</v>
      </c>
      <c r="G10">
        <v>80.537999999999997</v>
      </c>
      <c r="H10">
        <v>81.009699999999995</v>
      </c>
      <c r="I10" s="147">
        <v>86.183848082296933</v>
      </c>
      <c r="J10" s="112"/>
      <c r="K10" s="112"/>
      <c r="L10" s="126"/>
      <c r="M10" s="112"/>
      <c r="N10" s="126"/>
      <c r="O10" s="147"/>
      <c r="P10" s="147"/>
      <c r="Q10" s="147"/>
      <c r="R10" s="112"/>
      <c r="S10" s="112"/>
      <c r="T10" s="112"/>
      <c r="U10" s="146"/>
      <c r="V10" s="113"/>
      <c r="W10" s="113"/>
      <c r="X10" s="126"/>
      <c r="Y10" s="126"/>
    </row>
    <row r="11" spans="1:77" ht="14.7" customHeight="1">
      <c r="A11" s="131" t="s">
        <v>9</v>
      </c>
      <c r="B11" s="131"/>
      <c r="C11">
        <v>86.257339902886798</v>
      </c>
      <c r="D11">
        <v>82.196142463516694</v>
      </c>
      <c r="E11">
        <v>84.121895094004884</v>
      </c>
      <c r="F11">
        <v>77.826059627689375</v>
      </c>
      <c r="G11">
        <v>78.571100000000001</v>
      </c>
      <c r="H11">
        <v>77.238600000000005</v>
      </c>
      <c r="I11" s="147">
        <v>77.737873022638354</v>
      </c>
      <c r="J11" s="112"/>
      <c r="K11" s="112"/>
      <c r="L11" s="126"/>
      <c r="M11" s="112"/>
      <c r="N11" s="126"/>
      <c r="O11" s="147"/>
      <c r="P11" s="147"/>
      <c r="Q11" s="147"/>
      <c r="R11" s="112"/>
      <c r="S11" s="112"/>
      <c r="T11" s="112"/>
      <c r="U11" s="146"/>
      <c r="V11" s="113"/>
      <c r="W11" s="113"/>
      <c r="X11" s="126"/>
      <c r="Y11" s="126"/>
    </row>
    <row r="12" spans="1:77" ht="14.7" customHeight="1">
      <c r="A12" s="131" t="s">
        <v>10</v>
      </c>
      <c r="B12" s="131"/>
      <c r="C12">
        <v>90.841139049152716</v>
      </c>
      <c r="D12">
        <v>84.86523136745538</v>
      </c>
      <c r="E12">
        <v>85.374430008953837</v>
      </c>
      <c r="F12">
        <v>80.051103366042625</v>
      </c>
      <c r="G12">
        <v>83.0745</v>
      </c>
      <c r="H12">
        <v>80.207300000000004</v>
      </c>
      <c r="I12" s="147">
        <v>79.637339452150854</v>
      </c>
      <c r="J12" s="112"/>
      <c r="K12" s="112"/>
      <c r="L12" s="126"/>
      <c r="M12" s="112"/>
      <c r="N12" s="126"/>
      <c r="O12" s="147"/>
      <c r="P12" s="147"/>
      <c r="Q12" s="147"/>
      <c r="R12" s="112"/>
      <c r="S12" s="112"/>
      <c r="T12" s="112"/>
      <c r="U12" s="146"/>
      <c r="V12" s="113"/>
      <c r="W12" s="113"/>
      <c r="X12" s="126"/>
      <c r="Y12" s="126"/>
    </row>
    <row r="13" spans="1:77" ht="14.7" customHeight="1">
      <c r="A13" s="131" t="s">
        <v>11</v>
      </c>
      <c r="B13" s="131"/>
      <c r="C13">
        <v>88.053853300303757</v>
      </c>
      <c r="D13">
        <v>89.612299767754251</v>
      </c>
      <c r="E13">
        <v>89.51986902008332</v>
      </c>
      <c r="F13">
        <v>80.005467595960482</v>
      </c>
      <c r="G13">
        <v>87.523200000000003</v>
      </c>
      <c r="H13">
        <v>83.042400000000001</v>
      </c>
      <c r="I13" s="147">
        <v>82.891590896344596</v>
      </c>
      <c r="J13" s="112"/>
      <c r="K13" s="112"/>
      <c r="L13" s="126"/>
      <c r="M13" s="112"/>
      <c r="N13" s="126"/>
      <c r="O13" s="147"/>
      <c r="P13" s="147"/>
      <c r="Q13" s="147"/>
      <c r="R13" s="112"/>
      <c r="S13" s="112"/>
      <c r="T13" s="112"/>
      <c r="U13" s="146"/>
      <c r="V13" s="113"/>
      <c r="W13" s="113"/>
      <c r="X13" s="126"/>
      <c r="Y13" s="126"/>
    </row>
    <row r="14" spans="1:77" ht="14.7" customHeight="1">
      <c r="A14" s="131" t="s">
        <v>12</v>
      </c>
      <c r="B14" s="131"/>
      <c r="C14">
        <v>88.954493924630711</v>
      </c>
      <c r="D14">
        <v>90.037379746350268</v>
      </c>
      <c r="E14">
        <v>87.803292633504924</v>
      </c>
      <c r="F14">
        <v>82.353437618448396</v>
      </c>
      <c r="G14">
        <v>85.772099999999995</v>
      </c>
      <c r="H14">
        <v>79.876499999999993</v>
      </c>
      <c r="I14" s="147">
        <v>78.89244691922211</v>
      </c>
      <c r="J14" s="112"/>
      <c r="K14" s="112"/>
      <c r="L14" s="126"/>
      <c r="M14" s="112"/>
      <c r="N14" s="126"/>
      <c r="O14" s="147"/>
      <c r="P14" s="147"/>
      <c r="Q14" s="147"/>
      <c r="R14" s="112"/>
      <c r="S14" s="112"/>
      <c r="T14" s="112"/>
      <c r="U14" s="147"/>
      <c r="V14" s="149"/>
      <c r="W14" s="149"/>
      <c r="X14" s="126"/>
      <c r="Y14" s="126"/>
    </row>
    <row r="15" spans="1:77" ht="14.7" customHeight="1">
      <c r="A15" s="131" t="s">
        <v>338</v>
      </c>
      <c r="B15" s="131"/>
      <c r="C15">
        <v>85.323460814946628</v>
      </c>
      <c r="D15">
        <v>82.720627940670042</v>
      </c>
      <c r="E15">
        <v>78.343177644314295</v>
      </c>
      <c r="F15">
        <v>69.60234550390804</v>
      </c>
      <c r="G15">
        <v>73.097500000000011</v>
      </c>
      <c r="H15">
        <v>72.993399999999994</v>
      </c>
      <c r="I15" s="147">
        <v>65.837289067000057</v>
      </c>
      <c r="J15" s="112"/>
      <c r="K15" s="112"/>
      <c r="L15" s="126"/>
      <c r="M15" s="112"/>
      <c r="N15" s="126"/>
      <c r="O15" s="147"/>
      <c r="P15" s="147"/>
      <c r="Q15" s="147"/>
      <c r="R15" s="112"/>
      <c r="S15" s="112"/>
      <c r="T15" s="112"/>
      <c r="U15" s="146"/>
      <c r="V15" s="113"/>
      <c r="W15" s="113"/>
      <c r="X15" s="126"/>
      <c r="Y15" s="126"/>
    </row>
    <row r="16" spans="1:77" ht="14.7" customHeight="1">
      <c r="A16" s="131" t="s">
        <v>196</v>
      </c>
      <c r="B16" s="131"/>
      <c r="C16">
        <v>88.004815492683093</v>
      </c>
      <c r="D16">
        <v>90.553174275639165</v>
      </c>
      <c r="E16">
        <v>89.626295544395759</v>
      </c>
      <c r="F16">
        <v>77.189969056020516</v>
      </c>
      <c r="G16">
        <v>77.168400000000005</v>
      </c>
      <c r="H16">
        <v>80.466499999999996</v>
      </c>
      <c r="I16" s="147">
        <v>80.428551002401136</v>
      </c>
      <c r="J16" s="112"/>
      <c r="K16" s="112"/>
      <c r="L16" s="126"/>
      <c r="M16" s="112"/>
      <c r="N16" s="126"/>
      <c r="O16" s="147"/>
      <c r="P16" s="147"/>
      <c r="Q16" s="147"/>
      <c r="R16" s="112"/>
      <c r="S16" s="112"/>
      <c r="T16" s="112"/>
      <c r="U16" s="146"/>
      <c r="V16" s="113"/>
      <c r="W16" s="113"/>
      <c r="X16" s="126"/>
      <c r="Y16" s="126"/>
    </row>
    <row r="17" spans="1:25" ht="14.7" customHeight="1">
      <c r="A17" s="131" t="s">
        <v>222</v>
      </c>
      <c r="B17" s="131"/>
      <c r="C17">
        <v>84.091929679690224</v>
      </c>
      <c r="D17">
        <v>81.054630891521384</v>
      </c>
      <c r="E17">
        <v>79.364643412981778</v>
      </c>
      <c r="F17">
        <v>72.184698346629091</v>
      </c>
      <c r="G17">
        <v>75.150999999999996</v>
      </c>
      <c r="H17">
        <v>76.030100000000004</v>
      </c>
      <c r="I17" s="146">
        <v>78.336351209328939</v>
      </c>
      <c r="J17" s="144"/>
      <c r="K17" s="144"/>
      <c r="L17" s="126"/>
      <c r="M17" s="144"/>
      <c r="N17" s="126"/>
      <c r="O17" s="146"/>
      <c r="P17" s="146"/>
      <c r="Q17" s="146"/>
      <c r="R17" s="144"/>
      <c r="S17" s="144"/>
      <c r="T17" s="144"/>
      <c r="U17" s="146"/>
      <c r="V17" s="113"/>
      <c r="W17" s="113"/>
      <c r="X17" s="126"/>
      <c r="Y17" s="126"/>
    </row>
    <row r="18" spans="1:25" ht="14.7" customHeight="1">
      <c r="A18" s="131" t="s">
        <v>13</v>
      </c>
      <c r="B18" s="131"/>
      <c r="C18">
        <v>87.61178707181034</v>
      </c>
      <c r="D18">
        <v>85.91355104916218</v>
      </c>
      <c r="E18">
        <v>89.094846288914397</v>
      </c>
      <c r="F18">
        <v>78.412633038435132</v>
      </c>
      <c r="G18">
        <v>80.075099999999992</v>
      </c>
      <c r="H18">
        <v>76.656000000000006</v>
      </c>
      <c r="I18" s="147">
        <v>82.166266846252938</v>
      </c>
      <c r="J18" s="112"/>
      <c r="K18" s="112"/>
      <c r="L18" s="126"/>
      <c r="M18" s="112"/>
      <c r="N18" s="126"/>
      <c r="O18" s="147"/>
      <c r="P18" s="147"/>
      <c r="Q18" s="147"/>
      <c r="R18" s="112"/>
      <c r="S18" s="112"/>
      <c r="T18" s="112"/>
      <c r="U18" s="146"/>
      <c r="V18" s="113"/>
      <c r="W18" s="113"/>
      <c r="X18" s="126"/>
      <c r="Y18" s="126"/>
    </row>
    <row r="19" spans="1:25" ht="14.7" customHeight="1">
      <c r="A19" s="131" t="s">
        <v>14</v>
      </c>
      <c r="B19" s="131"/>
      <c r="C19">
        <v>83.513041948231958</v>
      </c>
      <c r="D19">
        <v>83.647288942610032</v>
      </c>
      <c r="E19">
        <v>84.206315329713405</v>
      </c>
      <c r="F19">
        <v>75.252730224295092</v>
      </c>
      <c r="G19">
        <v>78.870199999999997</v>
      </c>
      <c r="H19">
        <v>74.983200000000011</v>
      </c>
      <c r="I19" s="147">
        <v>78.582258343408768</v>
      </c>
      <c r="J19" s="112"/>
      <c r="K19" s="112"/>
      <c r="L19" s="126"/>
      <c r="M19" s="112"/>
      <c r="N19" s="126"/>
      <c r="O19" s="147"/>
      <c r="P19" s="147"/>
      <c r="Q19" s="147"/>
      <c r="R19" s="112"/>
      <c r="S19" s="112"/>
      <c r="T19" s="112"/>
      <c r="U19" s="146"/>
      <c r="V19" s="113"/>
      <c r="W19" s="113"/>
      <c r="X19" s="126"/>
      <c r="Y19" s="126"/>
    </row>
    <row r="20" spans="1:25" ht="14.7" customHeight="1">
      <c r="A20" s="131" t="s">
        <v>343</v>
      </c>
      <c r="B20" s="131"/>
      <c r="C20">
        <v>89.407402547173348</v>
      </c>
      <c r="D20">
        <v>88.547570498649478</v>
      </c>
      <c r="E20">
        <v>87.000690828034706</v>
      </c>
      <c r="F20">
        <v>79.268551118747709</v>
      </c>
      <c r="G20">
        <v>82.386700000000005</v>
      </c>
      <c r="H20">
        <v>84.710999999999999</v>
      </c>
      <c r="I20" s="147">
        <v>81.321531256910234</v>
      </c>
      <c r="J20" s="112"/>
      <c r="K20" s="112"/>
      <c r="L20" s="126"/>
      <c r="M20" s="112"/>
      <c r="N20" s="126"/>
      <c r="O20" s="147"/>
      <c r="P20" s="147"/>
      <c r="Q20" s="147"/>
      <c r="R20" s="112"/>
      <c r="S20" s="112"/>
      <c r="T20" s="112"/>
      <c r="U20" s="146"/>
      <c r="V20" s="113"/>
      <c r="W20" s="113"/>
      <c r="X20" s="126"/>
      <c r="Y20" s="126"/>
    </row>
    <row r="21" spans="1:25" ht="14.7" customHeight="1">
      <c r="A21" s="131" t="s">
        <v>15</v>
      </c>
      <c r="B21" s="131"/>
      <c r="C21">
        <v>85.777208674933007</v>
      </c>
      <c r="D21">
        <v>86.10976470227321</v>
      </c>
      <c r="E21">
        <v>85.083283162753361</v>
      </c>
      <c r="F21">
        <v>78.833699396078771</v>
      </c>
      <c r="G21">
        <v>74.300899999999999</v>
      </c>
      <c r="H21">
        <v>75.201499999999996</v>
      </c>
      <c r="I21" s="147">
        <v>79.150372986211494</v>
      </c>
      <c r="J21" s="112"/>
      <c r="K21" s="112"/>
      <c r="L21" s="126"/>
      <c r="M21" s="112"/>
      <c r="N21" s="126"/>
      <c r="O21" s="147"/>
      <c r="P21" s="147"/>
      <c r="Q21" s="147"/>
      <c r="R21" s="112"/>
      <c r="S21" s="112"/>
      <c r="T21" s="112"/>
      <c r="U21" s="146"/>
      <c r="V21" s="113"/>
      <c r="W21" s="113"/>
      <c r="X21" s="126"/>
      <c r="Y21" s="126"/>
    </row>
    <row r="22" spans="1:25" ht="14.7" customHeight="1">
      <c r="A22" s="131" t="s">
        <v>258</v>
      </c>
      <c r="B22" s="131"/>
      <c r="C22">
        <v>92.472852633254178</v>
      </c>
      <c r="D22">
        <v>89.609564849817986</v>
      </c>
      <c r="E22">
        <v>91.018825143948206</v>
      </c>
      <c r="F22">
        <v>83.296795653047013</v>
      </c>
      <c r="G22">
        <v>83.3887</v>
      </c>
      <c r="H22">
        <v>86.3309</v>
      </c>
      <c r="I22" s="147">
        <v>85.480091908289921</v>
      </c>
      <c r="J22" s="112"/>
      <c r="K22" s="112"/>
      <c r="L22" s="126"/>
      <c r="M22" s="112"/>
      <c r="N22" s="126"/>
      <c r="O22" s="147"/>
      <c r="P22" s="147"/>
      <c r="Q22" s="147"/>
      <c r="R22" s="112"/>
      <c r="S22" s="112"/>
      <c r="T22" s="112"/>
      <c r="U22" s="146"/>
      <c r="V22" s="113"/>
      <c r="W22" s="113"/>
      <c r="X22" s="126"/>
      <c r="Y22" s="126"/>
    </row>
    <row r="23" spans="1:25" ht="14.7" customHeight="1">
      <c r="A23" s="131" t="s">
        <v>259</v>
      </c>
      <c r="B23" s="131"/>
      <c r="C23">
        <v>88.106526181876987</v>
      </c>
      <c r="D23">
        <v>86.857895115755269</v>
      </c>
      <c r="E23">
        <v>88.934301827623742</v>
      </c>
      <c r="F23">
        <v>76.323677248543447</v>
      </c>
      <c r="G23">
        <v>77.679600000000008</v>
      </c>
      <c r="H23">
        <v>75.616100000000003</v>
      </c>
      <c r="I23" s="147">
        <v>78.479133299122552</v>
      </c>
      <c r="J23" s="112"/>
      <c r="K23" s="112"/>
      <c r="L23" s="126"/>
      <c r="M23" s="112"/>
      <c r="N23" s="126"/>
      <c r="O23" s="147"/>
      <c r="P23" s="147"/>
      <c r="Q23" s="147"/>
      <c r="R23" s="112"/>
      <c r="S23" s="112"/>
      <c r="T23" s="112"/>
      <c r="U23" s="146"/>
      <c r="V23" s="113"/>
      <c r="W23" s="113"/>
      <c r="X23" s="126"/>
      <c r="Y23" s="126"/>
    </row>
    <row r="24" spans="1:25" ht="14.7" customHeight="1">
      <c r="A24" s="131" t="s">
        <v>197</v>
      </c>
      <c r="B24" s="131"/>
      <c r="C24">
        <v>83.395051342468889</v>
      </c>
      <c r="D24">
        <v>85.680605782102262</v>
      </c>
      <c r="E24">
        <v>86.87973603007292</v>
      </c>
      <c r="F24">
        <v>80.72665472779363</v>
      </c>
      <c r="G24">
        <v>81.290300000000002</v>
      </c>
      <c r="H24">
        <v>83.092699999999994</v>
      </c>
      <c r="I24" s="147">
        <v>79.654329840891364</v>
      </c>
      <c r="J24" s="112"/>
      <c r="K24" s="112"/>
      <c r="L24" s="126"/>
      <c r="M24" s="112"/>
      <c r="N24" s="126"/>
      <c r="O24" s="147"/>
      <c r="P24" s="147"/>
      <c r="Q24" s="147"/>
      <c r="R24" s="112"/>
      <c r="S24" s="112"/>
      <c r="T24" s="112"/>
      <c r="U24" s="146"/>
      <c r="V24" s="113"/>
      <c r="W24" s="113"/>
      <c r="X24" s="126"/>
      <c r="Y24" s="126"/>
    </row>
    <row r="25" spans="1:25" ht="14.7" customHeight="1">
      <c r="A25" s="131" t="s">
        <v>223</v>
      </c>
      <c r="B25" s="131"/>
      <c r="C25">
        <v>85.826498165044143</v>
      </c>
      <c r="D25">
        <v>83.987343842922002</v>
      </c>
      <c r="E25">
        <v>81.79116821842851</v>
      </c>
      <c r="F25">
        <v>74.683397475620467</v>
      </c>
      <c r="G25">
        <v>75.461999999999989</v>
      </c>
      <c r="H25">
        <v>74.5017</v>
      </c>
      <c r="I25" s="147">
        <v>76.78860140422789</v>
      </c>
      <c r="J25" s="112"/>
      <c r="K25" s="112"/>
      <c r="L25" s="126"/>
      <c r="M25" s="112"/>
      <c r="N25" s="126"/>
      <c r="O25" s="147"/>
      <c r="P25" s="147"/>
      <c r="Q25" s="147"/>
      <c r="R25" s="112"/>
      <c r="S25" s="112"/>
      <c r="T25" s="112"/>
      <c r="U25" s="146"/>
      <c r="V25" s="113"/>
      <c r="W25" s="113"/>
      <c r="X25" s="126"/>
      <c r="Y25" s="126"/>
    </row>
    <row r="26" spans="1:25" ht="14.7" customHeight="1">
      <c r="A26" s="131" t="s">
        <v>16</v>
      </c>
      <c r="B26" s="131"/>
      <c r="C26">
        <v>89.144995029201596</v>
      </c>
      <c r="D26">
        <v>87.840739726860718</v>
      </c>
      <c r="E26">
        <v>89.795515203315617</v>
      </c>
      <c r="F26">
        <v>74.967131790191019</v>
      </c>
      <c r="G26">
        <v>81.732500000000002</v>
      </c>
      <c r="H26">
        <v>78.639600000000002</v>
      </c>
      <c r="I26" s="147">
        <v>80.526976949454593</v>
      </c>
      <c r="J26" s="112"/>
      <c r="K26" s="112"/>
      <c r="L26" s="126"/>
      <c r="M26" s="112"/>
      <c r="N26" s="126"/>
      <c r="O26" s="147"/>
      <c r="P26" s="147"/>
      <c r="Q26" s="147"/>
      <c r="R26" s="112"/>
      <c r="S26" s="112"/>
      <c r="T26" s="112"/>
      <c r="U26" s="146"/>
      <c r="V26" s="113"/>
      <c r="W26" s="113"/>
      <c r="X26" s="126"/>
      <c r="Y26" s="126"/>
    </row>
    <row r="27" spans="1:25" ht="14.7" customHeight="1">
      <c r="A27" s="131" t="s">
        <v>260</v>
      </c>
      <c r="B27" s="131"/>
      <c r="C27">
        <v>86.068531446972457</v>
      </c>
      <c r="D27">
        <v>83.487132645280212</v>
      </c>
      <c r="E27">
        <v>82.970493760258861</v>
      </c>
      <c r="F27">
        <v>68.85209620879742</v>
      </c>
      <c r="G27">
        <v>68.062799999999996</v>
      </c>
      <c r="H27">
        <v>70.823499999999996</v>
      </c>
      <c r="I27" s="147">
        <v>71.910386159482883</v>
      </c>
      <c r="J27" s="112"/>
      <c r="K27" s="112"/>
      <c r="L27" s="126"/>
      <c r="M27" s="112"/>
      <c r="N27" s="126"/>
      <c r="O27" s="147"/>
      <c r="P27" s="147"/>
      <c r="Q27" s="147"/>
      <c r="R27" s="112"/>
      <c r="S27" s="112"/>
      <c r="T27" s="112"/>
      <c r="U27" s="146"/>
      <c r="V27" s="113"/>
      <c r="W27" s="113"/>
      <c r="X27" s="126"/>
      <c r="Y27" s="126"/>
    </row>
    <row r="28" spans="1:25" ht="14.7" customHeight="1">
      <c r="A28" s="131" t="s">
        <v>261</v>
      </c>
      <c r="B28" s="131"/>
      <c r="C28">
        <v>81.495725998654578</v>
      </c>
      <c r="D28">
        <v>84.634885340435659</v>
      </c>
      <c r="E28">
        <v>83.459808179261856</v>
      </c>
      <c r="F28">
        <v>72.830872575354164</v>
      </c>
      <c r="G28">
        <v>76.629899999999992</v>
      </c>
      <c r="H28">
        <v>71.293399999999991</v>
      </c>
      <c r="I28" s="147">
        <v>76.207456845799953</v>
      </c>
      <c r="J28" s="112"/>
      <c r="K28" s="112"/>
      <c r="L28" s="126"/>
      <c r="M28" s="112"/>
      <c r="N28" s="126"/>
      <c r="O28" s="147"/>
      <c r="P28" s="147"/>
      <c r="Q28" s="147"/>
      <c r="R28" s="112"/>
      <c r="S28" s="112"/>
      <c r="T28" s="112"/>
      <c r="U28" s="146"/>
      <c r="V28" s="113"/>
      <c r="W28" s="113"/>
      <c r="X28" s="126"/>
      <c r="Y28" s="126"/>
    </row>
    <row r="29" spans="1:25" ht="14.7" customHeight="1">
      <c r="A29" s="131" t="s">
        <v>17</v>
      </c>
      <c r="B29" s="131"/>
      <c r="C29">
        <v>81.293383216306651</v>
      </c>
      <c r="D29">
        <v>81.239810654021525</v>
      </c>
      <c r="E29">
        <v>82.639722423153671</v>
      </c>
      <c r="F29">
        <v>72.692085766154662</v>
      </c>
      <c r="G29">
        <v>75.116900000000001</v>
      </c>
      <c r="H29">
        <v>71.174999999999997</v>
      </c>
      <c r="I29" s="147">
        <v>81.08571466065861</v>
      </c>
      <c r="J29" s="112"/>
      <c r="K29" s="112"/>
      <c r="L29" s="126"/>
      <c r="M29" s="112"/>
      <c r="N29" s="126"/>
      <c r="O29" s="147"/>
      <c r="P29" s="147"/>
      <c r="Q29" s="147"/>
      <c r="R29" s="112"/>
      <c r="S29" s="112"/>
      <c r="T29" s="112"/>
      <c r="U29" s="146"/>
      <c r="V29" s="113"/>
      <c r="W29" s="113"/>
      <c r="X29" s="126"/>
      <c r="Y29" s="126"/>
    </row>
    <row r="30" spans="1:25" ht="14.7" customHeight="1">
      <c r="A30" s="131" t="s">
        <v>224</v>
      </c>
      <c r="B30" s="131"/>
      <c r="C30">
        <v>81.677506225099435</v>
      </c>
      <c r="D30">
        <v>82.231673714251713</v>
      </c>
      <c r="E30">
        <v>84.411096223512487</v>
      </c>
      <c r="F30">
        <v>71.273286768905635</v>
      </c>
      <c r="G30">
        <v>72.326599999999999</v>
      </c>
      <c r="H30">
        <v>75.186700000000002</v>
      </c>
      <c r="I30" s="147">
        <v>72.807675733968708</v>
      </c>
      <c r="J30" s="112"/>
      <c r="K30" s="112"/>
      <c r="L30" s="126"/>
      <c r="M30" s="112"/>
      <c r="N30" s="126"/>
      <c r="O30" s="147"/>
      <c r="P30" s="147"/>
      <c r="Q30" s="147"/>
      <c r="R30" s="112"/>
      <c r="S30" s="112"/>
      <c r="T30" s="112"/>
      <c r="U30" s="146"/>
      <c r="V30" s="113"/>
      <c r="W30" s="113"/>
      <c r="X30" s="126"/>
      <c r="Y30" s="126"/>
    </row>
    <row r="31" spans="1:25" ht="14.7" customHeight="1">
      <c r="A31" s="131" t="s">
        <v>18</v>
      </c>
      <c r="B31" s="131"/>
      <c r="C31">
        <v>87.807743075461858</v>
      </c>
      <c r="D31">
        <v>85.514584103809227</v>
      </c>
      <c r="E31">
        <v>86.968724532412566</v>
      </c>
      <c r="F31">
        <v>75.415179308885001</v>
      </c>
      <c r="G31">
        <v>74.735700000000008</v>
      </c>
      <c r="H31">
        <v>72.739400000000003</v>
      </c>
      <c r="I31" s="147">
        <v>77.376417647046452</v>
      </c>
      <c r="J31" s="112"/>
      <c r="K31" s="112"/>
      <c r="L31" s="126"/>
      <c r="M31" s="112"/>
      <c r="N31" s="126"/>
      <c r="O31" s="147"/>
      <c r="P31" s="147"/>
      <c r="Q31" s="147"/>
      <c r="R31" s="112"/>
      <c r="S31" s="112"/>
      <c r="T31" s="112"/>
      <c r="U31" s="147"/>
      <c r="V31" s="149"/>
      <c r="W31" s="149"/>
      <c r="X31" s="126"/>
      <c r="Y31" s="126"/>
    </row>
    <row r="32" spans="1:25" ht="14.7" customHeight="1">
      <c r="A32" s="131" t="s">
        <v>262</v>
      </c>
      <c r="B32" s="131"/>
      <c r="C32">
        <v>86.927210067862831</v>
      </c>
      <c r="D32">
        <v>86.937567606179968</v>
      </c>
      <c r="E32">
        <v>83.837488925452476</v>
      </c>
      <c r="F32">
        <v>83.138867999701887</v>
      </c>
      <c r="G32">
        <v>82.460099999999997</v>
      </c>
      <c r="H32">
        <v>82.851200000000006</v>
      </c>
      <c r="I32" s="147"/>
      <c r="J32" s="112"/>
      <c r="K32" s="112"/>
      <c r="L32" s="126"/>
      <c r="M32" s="112"/>
      <c r="N32" s="126"/>
      <c r="O32" s="147"/>
      <c r="P32" s="147"/>
      <c r="Q32" s="147"/>
      <c r="R32" s="112"/>
      <c r="S32" s="112"/>
      <c r="T32" s="112"/>
      <c r="U32" s="146"/>
      <c r="V32" s="113"/>
      <c r="W32" s="113"/>
      <c r="X32" s="126"/>
      <c r="Y32" s="126"/>
    </row>
    <row r="33" spans="1:25" ht="14.7" customHeight="1">
      <c r="A33" s="131" t="s">
        <v>903</v>
      </c>
      <c r="B33" s="131"/>
      <c r="C33"/>
      <c r="D33"/>
      <c r="E33"/>
      <c r="F33"/>
      <c r="G33"/>
      <c r="H33"/>
      <c r="I33" s="147">
        <v>83.969102855006</v>
      </c>
      <c r="J33" s="112"/>
      <c r="K33" s="112"/>
      <c r="L33" s="126"/>
      <c r="M33" s="112"/>
      <c r="N33" s="126"/>
      <c r="O33" s="147"/>
      <c r="P33" s="147"/>
      <c r="Q33" s="147"/>
      <c r="R33" s="112"/>
      <c r="S33" s="112"/>
      <c r="T33" s="112"/>
      <c r="U33" s="146"/>
      <c r="V33" s="113"/>
      <c r="W33" s="113"/>
      <c r="X33" s="126"/>
      <c r="Y33" s="126"/>
    </row>
    <row r="34" spans="1:25" ht="14.7" customHeight="1">
      <c r="A34" s="131" t="s">
        <v>263</v>
      </c>
      <c r="B34" s="131"/>
      <c r="C34">
        <v>88.068318070223924</v>
      </c>
      <c r="D34">
        <v>89.569604443641026</v>
      </c>
      <c r="E34">
        <v>88.938558285358738</v>
      </c>
      <c r="F34">
        <v>82.6065673454669</v>
      </c>
      <c r="G34">
        <v>82.338200000000001</v>
      </c>
      <c r="H34">
        <v>85.188400000000001</v>
      </c>
      <c r="I34" s="147">
        <v>83.5646772483192</v>
      </c>
      <c r="J34" s="112"/>
      <c r="K34" s="112"/>
      <c r="L34" s="126"/>
      <c r="M34" s="112"/>
      <c r="N34" s="126"/>
      <c r="O34" s="147"/>
      <c r="P34" s="147"/>
      <c r="Q34" s="147"/>
      <c r="R34" s="112"/>
      <c r="S34" s="112"/>
      <c r="T34" s="112"/>
      <c r="U34" s="146"/>
      <c r="V34" s="113"/>
      <c r="W34" s="113"/>
      <c r="X34" s="126"/>
      <c r="Y34" s="126"/>
    </row>
    <row r="35" spans="1:25" ht="14.7" customHeight="1">
      <c r="A35" s="131" t="s">
        <v>225</v>
      </c>
      <c r="B35" s="131"/>
      <c r="C35">
        <v>87.96785921949521</v>
      </c>
      <c r="D35">
        <v>84.521768267080887</v>
      </c>
      <c r="E35">
        <v>85.335870949802526</v>
      </c>
      <c r="F35">
        <v>73.866505379478298</v>
      </c>
      <c r="G35">
        <v>77.217399999999998</v>
      </c>
      <c r="H35">
        <v>76.218199999999996</v>
      </c>
      <c r="I35" s="147">
        <v>76.875370276582558</v>
      </c>
      <c r="J35" s="112"/>
      <c r="K35" s="112"/>
      <c r="L35" s="126"/>
      <c r="M35" s="112"/>
      <c r="N35" s="126"/>
      <c r="O35" s="147"/>
      <c r="P35" s="147"/>
      <c r="Q35" s="147"/>
      <c r="R35" s="112"/>
      <c r="S35" s="112"/>
      <c r="T35" s="112"/>
      <c r="U35" s="146"/>
      <c r="V35" s="113"/>
      <c r="W35" s="113"/>
      <c r="X35" s="126"/>
      <c r="Y35" s="126"/>
    </row>
    <row r="36" spans="1:25" ht="14.7" customHeight="1">
      <c r="A36" s="131" t="s">
        <v>19</v>
      </c>
      <c r="B36" s="131"/>
      <c r="C36">
        <v>87.769031196963013</v>
      </c>
      <c r="D36">
        <v>86.530858707226812</v>
      </c>
      <c r="E36">
        <v>88.744018786169761</v>
      </c>
      <c r="F36">
        <v>78.308499590351772</v>
      </c>
      <c r="G36">
        <v>84.582700000000003</v>
      </c>
      <c r="H36">
        <v>84.087800000000001</v>
      </c>
      <c r="I36" s="147">
        <v>83.504014848256801</v>
      </c>
      <c r="J36" s="112"/>
      <c r="K36" s="112"/>
      <c r="L36" s="126"/>
      <c r="M36" s="112"/>
      <c r="N36" s="126"/>
      <c r="O36" s="147"/>
      <c r="P36" s="147"/>
      <c r="Q36" s="147"/>
      <c r="R36" s="112"/>
      <c r="S36" s="112"/>
      <c r="T36" s="112"/>
      <c r="U36" s="146"/>
      <c r="V36" s="113"/>
      <c r="W36" s="113"/>
      <c r="X36" s="126"/>
      <c r="Y36" s="126"/>
    </row>
    <row r="37" spans="1:25" ht="14.7" customHeight="1">
      <c r="A37" s="131" t="s">
        <v>20</v>
      </c>
      <c r="B37" s="131"/>
      <c r="C37">
        <v>83.160463208145444</v>
      </c>
      <c r="D37">
        <v>87.644785316764043</v>
      </c>
      <c r="E37">
        <v>83.141512331074239</v>
      </c>
      <c r="F37">
        <v>69.242119026203241</v>
      </c>
      <c r="G37">
        <v>84.994799999999998</v>
      </c>
      <c r="H37">
        <v>76.238700000000009</v>
      </c>
      <c r="I37" s="147">
        <v>78.495439019773201</v>
      </c>
      <c r="J37" s="112"/>
      <c r="K37" s="112"/>
      <c r="L37" s="126"/>
      <c r="M37" s="112"/>
      <c r="N37" s="126"/>
      <c r="O37" s="147"/>
      <c r="P37" s="147"/>
      <c r="Q37" s="147"/>
      <c r="R37" s="112"/>
      <c r="S37" s="112"/>
      <c r="T37" s="112"/>
      <c r="U37" s="146"/>
      <c r="V37" s="113"/>
      <c r="W37" s="113"/>
      <c r="X37" s="126"/>
      <c r="Y37" s="126"/>
    </row>
    <row r="38" spans="1:25" ht="14.7" customHeight="1">
      <c r="A38" s="131" t="s">
        <v>198</v>
      </c>
      <c r="B38" s="131"/>
      <c r="C38">
        <v>84.94648912833695</v>
      </c>
      <c r="D38">
        <v>90.466209245582718</v>
      </c>
      <c r="E38">
        <v>88.424546376213797</v>
      </c>
      <c r="F38">
        <v>73.19817774956968</v>
      </c>
      <c r="G38">
        <v>73.021100000000004</v>
      </c>
      <c r="H38">
        <v>78.214399999999998</v>
      </c>
      <c r="I38" s="147">
        <v>75.401504393934218</v>
      </c>
      <c r="J38" s="112"/>
      <c r="K38" s="112"/>
      <c r="L38" s="126"/>
      <c r="M38" s="112"/>
      <c r="N38" s="126"/>
      <c r="O38" s="147"/>
      <c r="P38" s="147"/>
      <c r="Q38" s="147"/>
      <c r="R38" s="112"/>
      <c r="S38" s="112"/>
      <c r="T38" s="112"/>
      <c r="U38" s="146"/>
      <c r="V38" s="113"/>
      <c r="W38" s="113"/>
      <c r="X38" s="126"/>
      <c r="Y38" s="126"/>
    </row>
    <row r="39" spans="1:25" ht="14.7" customHeight="1">
      <c r="A39" s="131" t="s">
        <v>21</v>
      </c>
      <c r="B39" s="131"/>
      <c r="C39">
        <v>88.470958414356531</v>
      </c>
      <c r="D39">
        <v>85.125420539722469</v>
      </c>
      <c r="E39">
        <v>90.88248104887532</v>
      </c>
      <c r="F39">
        <v>83.432625010957111</v>
      </c>
      <c r="G39">
        <v>78.014200000000002</v>
      </c>
      <c r="H39">
        <v>78.414199999999994</v>
      </c>
      <c r="I39" s="147">
        <v>82.399382815606671</v>
      </c>
      <c r="J39" s="112"/>
      <c r="K39" s="112"/>
      <c r="L39" s="126"/>
      <c r="M39" s="112"/>
      <c r="N39" s="126"/>
      <c r="O39" s="147"/>
      <c r="P39" s="147"/>
      <c r="Q39" s="147"/>
      <c r="R39" s="112"/>
      <c r="S39" s="112"/>
      <c r="T39" s="112"/>
      <c r="U39" s="146"/>
      <c r="V39" s="113"/>
      <c r="W39" s="113"/>
      <c r="X39" s="126"/>
      <c r="Y39" s="126"/>
    </row>
    <row r="40" spans="1:25" ht="14.7" customHeight="1">
      <c r="A40" s="131" t="s">
        <v>811</v>
      </c>
      <c r="B40" s="131"/>
      <c r="C40">
        <v>89.079612173132233</v>
      </c>
      <c r="D40">
        <v>89.457340940421204</v>
      </c>
      <c r="E40">
        <v>88.03484872606883</v>
      </c>
      <c r="F40">
        <v>87.713118626224755</v>
      </c>
      <c r="G40">
        <v>88.924700000000001</v>
      </c>
      <c r="H40">
        <v>87.308199999999999</v>
      </c>
      <c r="I40" s="147">
        <v>89.284444791016085</v>
      </c>
      <c r="J40" s="112"/>
      <c r="K40" s="112"/>
      <c r="L40" s="126"/>
      <c r="M40" s="112"/>
      <c r="N40" s="126"/>
      <c r="O40" s="147"/>
      <c r="P40" s="147"/>
      <c r="Q40" s="147"/>
      <c r="R40" s="112"/>
      <c r="S40" s="112"/>
      <c r="T40" s="112"/>
      <c r="U40" s="146"/>
      <c r="V40" s="113"/>
      <c r="W40" s="113"/>
      <c r="X40" s="126"/>
      <c r="Y40" s="126"/>
    </row>
    <row r="41" spans="1:25" ht="14.7" customHeight="1">
      <c r="A41" s="131" t="s">
        <v>815</v>
      </c>
      <c r="B41" s="131"/>
      <c r="C41">
        <v>89.919260270698331</v>
      </c>
      <c r="D41">
        <v>88.421784873469775</v>
      </c>
      <c r="E41">
        <v>87.959752047306978</v>
      </c>
      <c r="F41">
        <v>83.733051167295898</v>
      </c>
      <c r="G41">
        <v>85.906999999999996</v>
      </c>
      <c r="H41">
        <v>83.654600000000002</v>
      </c>
      <c r="I41" s="147">
        <v>85.827032869119492</v>
      </c>
      <c r="J41" s="112"/>
      <c r="K41" s="112"/>
      <c r="L41" s="126"/>
      <c r="M41" s="112"/>
      <c r="N41" s="126"/>
      <c r="O41" s="147"/>
      <c r="P41" s="147"/>
      <c r="Q41" s="147"/>
      <c r="R41" s="112"/>
      <c r="S41" s="112"/>
      <c r="T41" s="112"/>
      <c r="U41" s="147"/>
      <c r="V41" s="149"/>
      <c r="W41" s="149"/>
      <c r="X41" s="126"/>
      <c r="Y41" s="126"/>
    </row>
    <row r="42" spans="1:25" ht="14.7" customHeight="1">
      <c r="A42" s="131" t="s">
        <v>22</v>
      </c>
      <c r="B42" s="131"/>
      <c r="C42">
        <v>87.735431424241725</v>
      </c>
      <c r="D42">
        <v>85.677693253029176</v>
      </c>
      <c r="E42">
        <v>87.07479479702188</v>
      </c>
      <c r="F42">
        <v>77.367121193411762</v>
      </c>
      <c r="G42">
        <v>83.476300000000009</v>
      </c>
      <c r="H42">
        <v>77.849199999999996</v>
      </c>
      <c r="I42" s="147">
        <v>79.033513267818861</v>
      </c>
      <c r="J42" s="112"/>
      <c r="K42" s="112"/>
      <c r="L42" s="126"/>
      <c r="M42" s="112"/>
      <c r="N42" s="126"/>
      <c r="O42" s="147"/>
      <c r="P42" s="147"/>
      <c r="Q42" s="147"/>
      <c r="R42" s="112"/>
      <c r="S42" s="112"/>
      <c r="T42" s="112"/>
      <c r="U42" s="146"/>
      <c r="V42" s="113"/>
      <c r="W42" s="113"/>
      <c r="X42" s="126"/>
      <c r="Y42" s="126"/>
    </row>
    <row r="43" spans="1:25" ht="14.7" customHeight="1">
      <c r="A43" s="131" t="s">
        <v>199</v>
      </c>
      <c r="B43" s="131"/>
      <c r="C43">
        <v>90.579552765855311</v>
      </c>
      <c r="D43">
        <v>88.832194731285867</v>
      </c>
      <c r="E43">
        <v>90.763356297311802</v>
      </c>
      <c r="F43">
        <v>84.937204851033115</v>
      </c>
      <c r="G43">
        <v>86.008399999999995</v>
      </c>
      <c r="H43">
        <v>83.2346</v>
      </c>
      <c r="I43" s="147">
        <v>85.563844367493658</v>
      </c>
      <c r="J43" s="112"/>
      <c r="K43" s="112"/>
      <c r="L43" s="126"/>
      <c r="M43" s="112"/>
      <c r="N43" s="126"/>
      <c r="O43" s="147"/>
      <c r="P43" s="147"/>
      <c r="Q43" s="147"/>
      <c r="R43" s="112"/>
      <c r="S43" s="112"/>
      <c r="T43" s="112"/>
      <c r="U43" s="146"/>
      <c r="V43" s="113"/>
      <c r="W43" s="113"/>
      <c r="X43" s="126"/>
      <c r="Y43" s="126"/>
    </row>
    <row r="44" spans="1:25" ht="14.7" customHeight="1">
      <c r="A44" s="131" t="s">
        <v>23</v>
      </c>
      <c r="B44" s="131"/>
      <c r="C44">
        <v>88.846193612281269</v>
      </c>
      <c r="D44">
        <v>86.8624556655801</v>
      </c>
      <c r="E44">
        <v>85.126283834358802</v>
      </c>
      <c r="F44">
        <v>78.091916184679533</v>
      </c>
      <c r="G44">
        <v>78.490899999999996</v>
      </c>
      <c r="H44">
        <v>77.751400000000004</v>
      </c>
      <c r="I44" s="147">
        <v>84.809410038344751</v>
      </c>
      <c r="J44" s="112"/>
      <c r="K44" s="112"/>
      <c r="L44" s="126"/>
      <c r="M44" s="112"/>
      <c r="N44" s="126"/>
      <c r="O44" s="147"/>
      <c r="P44" s="147"/>
      <c r="Q44" s="147"/>
      <c r="R44" s="112"/>
      <c r="S44" s="112"/>
      <c r="T44" s="112"/>
      <c r="U44" s="147"/>
      <c r="V44" s="149"/>
      <c r="W44" s="149"/>
      <c r="X44" s="126"/>
      <c r="Y44" s="126"/>
    </row>
    <row r="45" spans="1:25" ht="14.7" customHeight="1">
      <c r="A45" s="131" t="s">
        <v>24</v>
      </c>
      <c r="B45" s="131"/>
      <c r="C45">
        <v>86.518124609784607</v>
      </c>
      <c r="D45">
        <v>87.593585063000205</v>
      </c>
      <c r="E45">
        <v>83.687375871772673</v>
      </c>
      <c r="F45">
        <v>78.539636016857756</v>
      </c>
      <c r="G45">
        <v>78.510199999999998</v>
      </c>
      <c r="H45">
        <v>75.153700000000001</v>
      </c>
      <c r="I45" s="147">
        <v>81.262824445002224</v>
      </c>
      <c r="J45" s="112"/>
      <c r="K45" s="112"/>
      <c r="L45" s="126"/>
      <c r="M45" s="112"/>
      <c r="N45" s="126"/>
      <c r="O45" s="147"/>
      <c r="P45" s="147"/>
      <c r="Q45" s="147"/>
      <c r="R45" s="112"/>
      <c r="S45" s="112"/>
      <c r="T45" s="112"/>
      <c r="U45" s="146"/>
      <c r="V45" s="113"/>
      <c r="W45" s="113"/>
      <c r="X45" s="126"/>
      <c r="Y45" s="126"/>
    </row>
    <row r="46" spans="1:25" ht="14.7" customHeight="1">
      <c r="A46" s="131" t="s">
        <v>25</v>
      </c>
      <c r="B46" s="131"/>
      <c r="C46">
        <v>88.367380507839911</v>
      </c>
      <c r="D46">
        <v>90.693932161712596</v>
      </c>
      <c r="E46">
        <v>90.209655820990122</v>
      </c>
      <c r="F46">
        <v>79.892228273025651</v>
      </c>
      <c r="G46">
        <v>83.649000000000001</v>
      </c>
      <c r="H46">
        <v>80.810599999999994</v>
      </c>
      <c r="I46" s="147">
        <v>83.63407904013485</v>
      </c>
      <c r="J46" s="112"/>
      <c r="K46" s="112"/>
      <c r="L46" s="126"/>
      <c r="M46" s="112"/>
      <c r="N46" s="126"/>
      <c r="O46" s="147"/>
      <c r="P46" s="147"/>
      <c r="Q46" s="147"/>
      <c r="R46" s="112"/>
      <c r="S46" s="112"/>
      <c r="T46" s="112"/>
      <c r="U46" s="146"/>
      <c r="V46" s="113"/>
      <c r="W46" s="113"/>
      <c r="X46" s="126"/>
      <c r="Y46" s="126"/>
    </row>
    <row r="47" spans="1:25" ht="14.7" customHeight="1">
      <c r="A47" s="131" t="s">
        <v>300</v>
      </c>
      <c r="B47" s="131"/>
      <c r="C47">
        <v>89.151308872517305</v>
      </c>
      <c r="D47">
        <v>89.21468624138214</v>
      </c>
      <c r="E47">
        <v>89.606438462176968</v>
      </c>
      <c r="F47">
        <v>81.219119051662204</v>
      </c>
      <c r="G47">
        <v>84.762</v>
      </c>
      <c r="H47">
        <v>81.156399999999991</v>
      </c>
      <c r="I47" s="147">
        <v>84.320660879168372</v>
      </c>
      <c r="J47" s="112"/>
      <c r="K47" s="112"/>
      <c r="L47" s="126"/>
      <c r="M47" s="112"/>
      <c r="N47" s="126"/>
      <c r="O47" s="147"/>
      <c r="P47" s="147"/>
      <c r="Q47" s="147"/>
      <c r="R47" s="112"/>
      <c r="S47" s="112"/>
      <c r="T47" s="112"/>
      <c r="U47" s="146"/>
      <c r="V47" s="113"/>
      <c r="W47" s="113"/>
      <c r="X47" s="126"/>
      <c r="Y47" s="126"/>
    </row>
    <row r="48" spans="1:25" ht="14.7" customHeight="1">
      <c r="A48" s="131" t="s">
        <v>26</v>
      </c>
      <c r="B48" s="131"/>
      <c r="C48">
        <v>82.478639363259461</v>
      </c>
      <c r="D48">
        <v>85.178270662959875</v>
      </c>
      <c r="E48">
        <v>85.939761151735453</v>
      </c>
      <c r="F48">
        <v>75.763937639208564</v>
      </c>
      <c r="G48">
        <v>78.685699999999997</v>
      </c>
      <c r="H48">
        <v>72.225499999999997</v>
      </c>
      <c r="I48" s="147">
        <v>75.166170890927546</v>
      </c>
      <c r="J48" s="112"/>
      <c r="K48" s="112"/>
      <c r="L48" s="126"/>
      <c r="M48" s="112"/>
      <c r="N48" s="126"/>
      <c r="O48" s="147"/>
      <c r="P48" s="147"/>
      <c r="Q48" s="147"/>
      <c r="R48" s="112"/>
      <c r="S48" s="112"/>
      <c r="T48" s="112"/>
      <c r="U48" s="146"/>
      <c r="V48" s="113"/>
      <c r="W48" s="113"/>
      <c r="X48" s="126"/>
      <c r="Y48" s="126"/>
    </row>
    <row r="49" spans="1:25" ht="14.7" customHeight="1">
      <c r="A49" s="131" t="s">
        <v>226</v>
      </c>
      <c r="B49" s="131"/>
      <c r="C49">
        <v>87.61171633868527</v>
      </c>
      <c r="D49">
        <v>86.839178708319082</v>
      </c>
      <c r="E49">
        <v>86.377562661758375</v>
      </c>
      <c r="F49">
        <v>76.922349778402662</v>
      </c>
      <c r="G49">
        <v>77.797200000000004</v>
      </c>
      <c r="H49">
        <v>77.767399999999995</v>
      </c>
      <c r="I49" s="147">
        <v>80.212657598660925</v>
      </c>
      <c r="J49" s="112"/>
      <c r="K49" s="112"/>
      <c r="L49" s="126"/>
      <c r="M49" s="112"/>
      <c r="N49" s="126"/>
      <c r="O49" s="147"/>
      <c r="P49" s="147"/>
      <c r="Q49" s="147"/>
      <c r="R49" s="112"/>
      <c r="S49" s="112"/>
      <c r="T49" s="112"/>
      <c r="U49" s="146"/>
      <c r="V49" s="113"/>
      <c r="W49" s="113"/>
      <c r="X49" s="126"/>
      <c r="Y49" s="126"/>
    </row>
    <row r="50" spans="1:25" ht="14.7" customHeight="1">
      <c r="A50" s="131" t="s">
        <v>227</v>
      </c>
      <c r="B50" s="131"/>
      <c r="C50">
        <v>86.797079721800216</v>
      </c>
      <c r="D50">
        <v>84.679851683729495</v>
      </c>
      <c r="E50">
        <v>89.29496116311492</v>
      </c>
      <c r="F50">
        <v>73.336618749405801</v>
      </c>
      <c r="G50">
        <v>76.619199999999992</v>
      </c>
      <c r="H50">
        <v>80.966300000000004</v>
      </c>
      <c r="I50" s="147">
        <v>81.515399100401225</v>
      </c>
      <c r="J50" s="112"/>
      <c r="K50" s="112"/>
      <c r="L50" s="126"/>
      <c r="M50" s="112"/>
      <c r="N50" s="126"/>
      <c r="O50" s="147"/>
      <c r="P50" s="147"/>
      <c r="Q50" s="147"/>
      <c r="R50" s="112"/>
      <c r="S50" s="112"/>
      <c r="T50" s="112"/>
      <c r="U50" s="146"/>
      <c r="V50" s="113"/>
      <c r="W50" s="113"/>
      <c r="X50" s="126"/>
      <c r="Y50" s="126"/>
    </row>
    <row r="51" spans="1:25" ht="14.7" customHeight="1">
      <c r="A51" s="131" t="s">
        <v>27</v>
      </c>
      <c r="B51" s="131"/>
      <c r="C51">
        <v>92.993916895168539</v>
      </c>
      <c r="D51">
        <v>95.998746385749229</v>
      </c>
      <c r="E51">
        <v>96.823408492323509</v>
      </c>
      <c r="F51">
        <v>91.094235648646304</v>
      </c>
      <c r="G51">
        <v>89.597200000000001</v>
      </c>
      <c r="H51">
        <v>92.899900000000002</v>
      </c>
      <c r="I51" s="147">
        <v>89.877725719925976</v>
      </c>
      <c r="J51" s="112"/>
      <c r="K51" s="112"/>
      <c r="L51" s="126"/>
      <c r="M51" s="112"/>
      <c r="N51" s="126"/>
      <c r="O51" s="147"/>
      <c r="P51" s="147"/>
      <c r="Q51" s="147"/>
      <c r="R51" s="112"/>
      <c r="S51" s="112"/>
      <c r="T51" s="112"/>
      <c r="U51" s="146"/>
      <c r="V51" s="113"/>
      <c r="W51" s="113"/>
      <c r="X51" s="126"/>
      <c r="Y51" s="126"/>
    </row>
    <row r="52" spans="1:25" ht="14.7" customHeight="1">
      <c r="A52" s="131" t="s">
        <v>302</v>
      </c>
      <c r="B52" s="131"/>
      <c r="C52">
        <v>89.266400808963866</v>
      </c>
      <c r="D52">
        <v>89.872414914587551</v>
      </c>
      <c r="E52">
        <v>89.619803547723819</v>
      </c>
      <c r="F52">
        <v>81.75235124355595</v>
      </c>
      <c r="G52">
        <v>83.942700000000002</v>
      </c>
      <c r="H52">
        <v>82.227099999999993</v>
      </c>
      <c r="I52" s="147">
        <v>83.358927119604033</v>
      </c>
      <c r="J52" s="112"/>
      <c r="K52" s="112"/>
      <c r="L52" s="126"/>
      <c r="M52" s="112"/>
      <c r="N52" s="126"/>
      <c r="O52" s="147"/>
      <c r="P52" s="147"/>
      <c r="Q52" s="147"/>
      <c r="R52" s="112"/>
      <c r="S52" s="112"/>
      <c r="T52" s="112"/>
      <c r="U52" s="146"/>
      <c r="V52" s="113"/>
      <c r="W52" s="113"/>
      <c r="X52" s="126"/>
      <c r="Y52" s="126"/>
    </row>
    <row r="53" spans="1:25" ht="14.7" customHeight="1">
      <c r="A53" s="131" t="s">
        <v>200</v>
      </c>
      <c r="B53" s="131"/>
      <c r="C53">
        <v>94.164541786468845</v>
      </c>
      <c r="D53">
        <v>93.260052762011355</v>
      </c>
      <c r="E53">
        <v>92.112022359191357</v>
      </c>
      <c r="F53">
        <v>83.986087123906188</v>
      </c>
      <c r="G53">
        <v>85.519199999999998</v>
      </c>
      <c r="H53">
        <v>85.697400000000002</v>
      </c>
      <c r="I53" s="147">
        <v>86.759166813977501</v>
      </c>
      <c r="J53" s="112"/>
      <c r="K53" s="112"/>
      <c r="L53" s="126"/>
      <c r="M53" s="112"/>
      <c r="N53" s="126"/>
      <c r="O53" s="147"/>
      <c r="P53" s="147"/>
      <c r="Q53" s="147"/>
      <c r="R53" s="112"/>
      <c r="S53" s="112"/>
      <c r="T53" s="112"/>
      <c r="U53" s="146"/>
      <c r="V53" s="113"/>
      <c r="W53" s="113"/>
      <c r="X53" s="126"/>
      <c r="Y53" s="126"/>
    </row>
    <row r="54" spans="1:25" ht="14.7" customHeight="1">
      <c r="A54" s="131" t="s">
        <v>28</v>
      </c>
      <c r="B54" s="131"/>
      <c r="C54">
        <v>80.199966258853692</v>
      </c>
      <c r="D54">
        <v>81.608797298467394</v>
      </c>
      <c r="E54">
        <v>79.825756152545551</v>
      </c>
      <c r="F54">
        <v>74.868430538862228</v>
      </c>
      <c r="G54">
        <v>70.946100000000001</v>
      </c>
      <c r="H54">
        <v>75.930900000000008</v>
      </c>
      <c r="I54" s="147">
        <v>76.033457429563455</v>
      </c>
      <c r="J54" s="112"/>
      <c r="K54" s="112"/>
      <c r="L54" s="126"/>
      <c r="M54" s="112"/>
      <c r="N54" s="126"/>
      <c r="O54" s="147"/>
      <c r="P54" s="147"/>
      <c r="Q54" s="147"/>
      <c r="R54" s="112"/>
      <c r="S54" s="112"/>
      <c r="T54" s="112"/>
      <c r="U54" s="147"/>
      <c r="V54" s="149"/>
      <c r="W54" s="149"/>
      <c r="X54" s="126"/>
      <c r="Y54" s="126"/>
    </row>
    <row r="55" spans="1:25" ht="14.7" customHeight="1">
      <c r="A55" s="131" t="s">
        <v>29</v>
      </c>
      <c r="B55" s="131"/>
      <c r="C55">
        <v>84.433056986110188</v>
      </c>
      <c r="D55">
        <v>86.877034453819164</v>
      </c>
      <c r="E55">
        <v>87.889254492708474</v>
      </c>
      <c r="F55">
        <v>82.168408978513881</v>
      </c>
      <c r="G55">
        <v>89.191100000000006</v>
      </c>
      <c r="H55">
        <v>86.361500000000007</v>
      </c>
      <c r="I55" s="147">
        <v>84.721098664588297</v>
      </c>
      <c r="J55" s="112"/>
      <c r="K55" s="112"/>
      <c r="L55" s="126"/>
      <c r="M55" s="112"/>
      <c r="N55" s="126"/>
      <c r="O55" s="147"/>
      <c r="P55" s="147"/>
      <c r="Q55" s="147"/>
      <c r="R55" s="112"/>
      <c r="S55" s="112"/>
      <c r="T55" s="112"/>
      <c r="U55" s="146"/>
      <c r="V55" s="113"/>
      <c r="W55" s="113"/>
      <c r="X55" s="126"/>
      <c r="Y55" s="126"/>
    </row>
    <row r="56" spans="1:25" ht="14.7" customHeight="1">
      <c r="A56" s="131" t="s">
        <v>30</v>
      </c>
      <c r="B56" s="131"/>
      <c r="C56">
        <v>87.168599080538854</v>
      </c>
      <c r="D56">
        <v>86.026877804857222</v>
      </c>
      <c r="E56">
        <v>84.531972036810302</v>
      </c>
      <c r="F56">
        <v>77.390726193465767</v>
      </c>
      <c r="G56">
        <v>82.765200000000007</v>
      </c>
      <c r="H56">
        <v>79.382199999999997</v>
      </c>
      <c r="I56" s="147">
        <v>81.09538839596307</v>
      </c>
      <c r="J56" s="112"/>
      <c r="K56" s="112"/>
      <c r="L56" s="126"/>
      <c r="M56" s="112"/>
      <c r="N56" s="126"/>
      <c r="O56" s="147"/>
      <c r="P56" s="147"/>
      <c r="Q56" s="147"/>
      <c r="R56" s="112"/>
      <c r="S56" s="112"/>
      <c r="T56" s="112"/>
      <c r="U56" s="146"/>
      <c r="V56" s="113"/>
      <c r="W56" s="113"/>
      <c r="X56" s="126"/>
      <c r="Y56" s="126"/>
    </row>
    <row r="57" spans="1:25" ht="14.7" customHeight="1">
      <c r="A57" s="131" t="s">
        <v>31</v>
      </c>
      <c r="B57" s="131"/>
      <c r="C57">
        <v>83.2736798441628</v>
      </c>
      <c r="D57">
        <v>82.728362864198743</v>
      </c>
      <c r="E57">
        <v>83.216091912451702</v>
      </c>
      <c r="F57">
        <v>74.108175692225629</v>
      </c>
      <c r="G57">
        <v>75.3703</v>
      </c>
      <c r="H57">
        <v>78.567299999999989</v>
      </c>
      <c r="I57" s="146">
        <v>82.144881546139516</v>
      </c>
      <c r="J57" s="144"/>
      <c r="K57" s="144"/>
      <c r="L57" s="126"/>
      <c r="M57" s="144"/>
      <c r="N57" s="126"/>
      <c r="O57" s="146"/>
      <c r="P57" s="146"/>
      <c r="Q57" s="146"/>
      <c r="R57" s="144"/>
      <c r="S57" s="144"/>
      <c r="T57" s="144"/>
      <c r="U57" s="146"/>
      <c r="V57" s="113"/>
      <c r="W57" s="113"/>
      <c r="X57" s="126"/>
      <c r="Y57" s="126"/>
    </row>
    <row r="58" spans="1:25" ht="14.7" customHeight="1">
      <c r="A58" s="131" t="s">
        <v>303</v>
      </c>
      <c r="B58" s="131"/>
      <c r="C58">
        <v>86.210862010657081</v>
      </c>
      <c r="D58">
        <v>84.563474481295771</v>
      </c>
      <c r="E58">
        <v>86.590002199390455</v>
      </c>
      <c r="F58">
        <v>79.688604660010895</v>
      </c>
      <c r="G58">
        <v>84.546300000000002</v>
      </c>
      <c r="H58">
        <v>81.060400000000001</v>
      </c>
      <c r="I58" s="147">
        <v>81.745966822663377</v>
      </c>
      <c r="J58" s="112"/>
      <c r="K58" s="112"/>
      <c r="L58" s="126"/>
      <c r="M58" s="112"/>
      <c r="N58" s="126"/>
      <c r="O58" s="147"/>
      <c r="P58" s="147"/>
      <c r="Q58" s="147"/>
      <c r="R58" s="112"/>
      <c r="S58" s="112"/>
      <c r="T58" s="112"/>
      <c r="U58" s="146"/>
      <c r="V58" s="113"/>
      <c r="W58" s="113"/>
      <c r="X58" s="126"/>
      <c r="Y58" s="126"/>
    </row>
    <row r="59" spans="1:25" ht="14.7" customHeight="1">
      <c r="A59" s="131" t="s">
        <v>32</v>
      </c>
      <c r="B59" s="131"/>
      <c r="C59">
        <v>89.346820265135221</v>
      </c>
      <c r="D59">
        <v>89.551185519233897</v>
      </c>
      <c r="E59">
        <v>90.330497762820173</v>
      </c>
      <c r="F59">
        <v>86.853694335942038</v>
      </c>
      <c r="G59">
        <v>75.270300000000006</v>
      </c>
      <c r="H59">
        <v>77.616</v>
      </c>
      <c r="I59" s="147">
        <v>84.648901808129352</v>
      </c>
      <c r="J59" s="112"/>
      <c r="K59" s="112"/>
      <c r="L59" s="126"/>
      <c r="M59" s="112"/>
      <c r="N59" s="126"/>
      <c r="O59" s="147"/>
      <c r="P59" s="147"/>
      <c r="Q59" s="147"/>
      <c r="R59" s="112"/>
      <c r="S59" s="112"/>
      <c r="T59" s="112"/>
      <c r="U59" s="147"/>
      <c r="V59" s="149"/>
      <c r="W59" s="149"/>
      <c r="X59" s="126"/>
      <c r="Y59" s="126"/>
    </row>
    <row r="60" spans="1:25" ht="14.7" customHeight="1">
      <c r="A60" s="131" t="s">
        <v>33</v>
      </c>
      <c r="B60" s="131"/>
      <c r="C60">
        <v>89.591195365374318</v>
      </c>
      <c r="D60">
        <v>88.110917771840306</v>
      </c>
      <c r="E60">
        <v>87.412997521432374</v>
      </c>
      <c r="F60">
        <v>81.626451909906578</v>
      </c>
      <c r="G60">
        <v>80.620899999999992</v>
      </c>
      <c r="H60">
        <v>78.168800000000005</v>
      </c>
      <c r="I60" s="147">
        <v>85.676013232494512</v>
      </c>
      <c r="J60" s="112"/>
      <c r="K60" s="112"/>
      <c r="L60" s="126"/>
      <c r="M60" s="112"/>
      <c r="N60" s="126"/>
      <c r="O60" s="147"/>
      <c r="P60" s="147"/>
      <c r="Q60" s="147"/>
      <c r="R60" s="112"/>
      <c r="S60" s="112"/>
      <c r="T60" s="112"/>
      <c r="U60" s="147"/>
      <c r="V60" s="149"/>
      <c r="W60" s="149"/>
      <c r="X60" s="126"/>
      <c r="Y60" s="126"/>
    </row>
    <row r="61" spans="1:25" ht="14.7" customHeight="1">
      <c r="A61" s="131" t="s">
        <v>34</v>
      </c>
      <c r="B61" s="131"/>
      <c r="C61">
        <v>86.257240491124875</v>
      </c>
      <c r="D61">
        <v>91.630467541339328</v>
      </c>
      <c r="E61">
        <v>91.419840474441841</v>
      </c>
      <c r="F61">
        <v>87.691192065418548</v>
      </c>
      <c r="G61">
        <v>86.012</v>
      </c>
      <c r="H61">
        <v>84.563600000000008</v>
      </c>
      <c r="I61" s="147">
        <v>85.247999326678922</v>
      </c>
      <c r="J61" s="112"/>
      <c r="K61" s="112"/>
      <c r="L61" s="126"/>
      <c r="M61" s="112"/>
      <c r="N61" s="126"/>
      <c r="O61" s="147"/>
      <c r="P61" s="147"/>
      <c r="Q61" s="147"/>
      <c r="R61" s="112"/>
      <c r="S61" s="112"/>
      <c r="T61" s="112"/>
      <c r="U61" s="146"/>
      <c r="V61" s="113"/>
      <c r="W61" s="113"/>
      <c r="X61" s="126"/>
      <c r="Y61" s="126"/>
    </row>
    <row r="62" spans="1:25" ht="14.7" customHeight="1">
      <c r="A62" s="131" t="s">
        <v>35</v>
      </c>
      <c r="B62" s="131"/>
      <c r="C62">
        <v>91.376662606357996</v>
      </c>
      <c r="D62">
        <v>88.046075137106726</v>
      </c>
      <c r="E62">
        <v>88.138798037612446</v>
      </c>
      <c r="F62">
        <v>79.941741793395806</v>
      </c>
      <c r="G62">
        <v>81.456699999999998</v>
      </c>
      <c r="H62">
        <v>83.794299999999993</v>
      </c>
      <c r="I62" s="147">
        <v>86.690590013021321</v>
      </c>
      <c r="J62" s="112"/>
      <c r="K62" s="112"/>
      <c r="L62" s="126"/>
      <c r="M62" s="112"/>
      <c r="N62" s="126"/>
      <c r="O62" s="147"/>
      <c r="P62" s="147"/>
      <c r="Q62" s="147"/>
      <c r="R62" s="112"/>
      <c r="S62" s="112"/>
      <c r="T62" s="112"/>
      <c r="U62" s="146"/>
      <c r="V62" s="113"/>
      <c r="W62" s="113"/>
      <c r="X62" s="126"/>
      <c r="Y62" s="126"/>
    </row>
    <row r="63" spans="1:25" ht="14.7" customHeight="1">
      <c r="A63" s="131" t="s">
        <v>304</v>
      </c>
      <c r="B63" s="131"/>
      <c r="C63">
        <v>86.234794726082669</v>
      </c>
      <c r="D63">
        <v>86.830143420111057</v>
      </c>
      <c r="E63">
        <v>88.61676498401404</v>
      </c>
      <c r="F63">
        <v>78.77044480612156</v>
      </c>
      <c r="G63">
        <v>83.814700000000002</v>
      </c>
      <c r="H63">
        <v>82.636200000000002</v>
      </c>
      <c r="I63" s="147">
        <v>79.173129878636303</v>
      </c>
      <c r="J63" s="112"/>
      <c r="K63" s="112"/>
      <c r="L63" s="126"/>
      <c r="M63" s="112"/>
      <c r="N63" s="126"/>
      <c r="O63" s="147"/>
      <c r="P63" s="147"/>
      <c r="Q63" s="147"/>
      <c r="R63" s="112"/>
      <c r="S63" s="112"/>
      <c r="T63" s="112"/>
      <c r="U63" s="146"/>
      <c r="V63" s="113"/>
      <c r="W63" s="113"/>
      <c r="X63" s="126"/>
      <c r="Y63" s="126"/>
    </row>
    <row r="64" spans="1:25" ht="14.7" customHeight="1">
      <c r="A64" s="131" t="s">
        <v>812</v>
      </c>
      <c r="B64" s="131"/>
      <c r="C64">
        <v>87.296370199422967</v>
      </c>
      <c r="D64">
        <v>87.822635477316993</v>
      </c>
      <c r="E64">
        <v>89.216162129064045</v>
      </c>
      <c r="F64">
        <v>79.576343180468015</v>
      </c>
      <c r="G64">
        <v>80.971099999999993</v>
      </c>
      <c r="H64">
        <v>82.780200000000008</v>
      </c>
      <c r="I64" s="147">
        <v>80.543364865119997</v>
      </c>
      <c r="J64" s="112"/>
      <c r="K64" s="112"/>
      <c r="L64" s="126"/>
      <c r="M64" s="112"/>
      <c r="N64" s="126"/>
      <c r="O64" s="147"/>
      <c r="P64" s="147"/>
      <c r="Q64" s="147"/>
      <c r="R64" s="112"/>
      <c r="S64" s="112"/>
      <c r="T64" s="112"/>
      <c r="U64" s="146"/>
      <c r="V64" s="113"/>
      <c r="W64" s="113"/>
      <c r="X64" s="126"/>
      <c r="Y64" s="126"/>
    </row>
    <row r="65" spans="1:25" ht="14.7" customHeight="1">
      <c r="A65" s="131" t="s">
        <v>36</v>
      </c>
      <c r="B65" s="131"/>
      <c r="C65">
        <v>88.308157255741776</v>
      </c>
      <c r="D65">
        <v>84.778281951315407</v>
      </c>
      <c r="E65">
        <v>82.599742244678382</v>
      </c>
      <c r="F65">
        <v>79.245556194441647</v>
      </c>
      <c r="G65">
        <v>79.261499999999998</v>
      </c>
      <c r="H65">
        <v>85.924500000000009</v>
      </c>
      <c r="I65" s="147">
        <v>77.893606900581304</v>
      </c>
      <c r="J65" s="112"/>
      <c r="K65" s="112"/>
      <c r="L65" s="126"/>
      <c r="M65" s="112"/>
      <c r="N65" s="126"/>
      <c r="O65" s="147"/>
      <c r="P65" s="147"/>
      <c r="Q65" s="147"/>
      <c r="R65" s="112"/>
      <c r="S65" s="112"/>
      <c r="T65" s="112"/>
      <c r="U65" s="146"/>
      <c r="V65" s="113"/>
      <c r="W65" s="113"/>
      <c r="X65" s="126"/>
      <c r="Y65" s="126"/>
    </row>
    <row r="66" spans="1:25" ht="14.7" customHeight="1">
      <c r="A66" s="131" t="s">
        <v>37</v>
      </c>
      <c r="B66" s="131"/>
      <c r="C66">
        <v>90.091925804411659</v>
      </c>
      <c r="D66">
        <v>87.702237869774592</v>
      </c>
      <c r="E66">
        <v>90.135315902496345</v>
      </c>
      <c r="F66">
        <v>87.26843074830316</v>
      </c>
      <c r="G66">
        <v>86.687700000000007</v>
      </c>
      <c r="H66">
        <v>83.543199999999999</v>
      </c>
      <c r="I66" s="147">
        <v>86.676283490967094</v>
      </c>
      <c r="J66" s="112"/>
      <c r="K66" s="112"/>
      <c r="L66" s="126"/>
      <c r="M66" s="112"/>
      <c r="N66" s="126"/>
      <c r="O66" s="147"/>
      <c r="P66" s="147"/>
      <c r="Q66" s="147"/>
      <c r="R66" s="112"/>
      <c r="S66" s="112"/>
      <c r="T66" s="112"/>
      <c r="U66" s="146"/>
      <c r="V66" s="113"/>
      <c r="W66" s="113"/>
      <c r="X66" s="126"/>
      <c r="Y66" s="126"/>
    </row>
    <row r="67" spans="1:25" ht="14.7" customHeight="1">
      <c r="A67" s="131" t="s">
        <v>38</v>
      </c>
      <c r="B67" s="131"/>
      <c r="C67">
        <v>90.990231471221776</v>
      </c>
      <c r="D67">
        <v>88.163086365629113</v>
      </c>
      <c r="E67">
        <v>90.765187567858263</v>
      </c>
      <c r="F67">
        <v>81.333081496871202</v>
      </c>
      <c r="G67">
        <v>85.409300000000002</v>
      </c>
      <c r="H67">
        <v>85.590299999999999</v>
      </c>
      <c r="I67" s="147">
        <v>87.493941229861846</v>
      </c>
      <c r="J67" s="112"/>
      <c r="K67" s="112"/>
      <c r="L67" s="126"/>
      <c r="M67" s="112"/>
      <c r="N67" s="126"/>
      <c r="O67" s="147"/>
      <c r="P67" s="147"/>
      <c r="Q67" s="147"/>
      <c r="R67" s="112"/>
      <c r="S67" s="112"/>
      <c r="T67" s="112"/>
      <c r="U67" s="146"/>
      <c r="V67" s="113"/>
      <c r="W67" s="113"/>
      <c r="X67" s="126"/>
      <c r="Y67" s="126"/>
    </row>
    <row r="68" spans="1:25" ht="14.7" customHeight="1">
      <c r="A68" s="131" t="s">
        <v>39</v>
      </c>
      <c r="B68" s="131"/>
      <c r="C68">
        <v>90.200710275552666</v>
      </c>
      <c r="D68">
        <v>91.354748238584193</v>
      </c>
      <c r="E68">
        <v>86.020292228714879</v>
      </c>
      <c r="F68">
        <v>83.39335667656465</v>
      </c>
      <c r="G68">
        <v>81.634</v>
      </c>
      <c r="H68">
        <v>79.446100000000001</v>
      </c>
      <c r="I68" s="147">
        <v>80.404348716541534</v>
      </c>
      <c r="J68" s="112"/>
      <c r="K68" s="112"/>
      <c r="L68" s="126"/>
      <c r="M68" s="112"/>
      <c r="N68" s="126"/>
      <c r="O68" s="147"/>
      <c r="P68" s="147"/>
      <c r="Q68" s="147"/>
      <c r="R68" s="112"/>
      <c r="S68" s="112"/>
      <c r="T68" s="112"/>
      <c r="U68" s="147"/>
      <c r="V68" s="149"/>
      <c r="W68" s="149"/>
      <c r="X68" s="126"/>
      <c r="Y68" s="126"/>
    </row>
    <row r="69" spans="1:25" ht="14.7" customHeight="1">
      <c r="A69" s="131" t="s">
        <v>40</v>
      </c>
      <c r="B69" s="131"/>
      <c r="C69">
        <v>87.478909024779526</v>
      </c>
      <c r="D69">
        <v>85.10969411783978</v>
      </c>
      <c r="E69">
        <v>86.814562208637923</v>
      </c>
      <c r="F69">
        <v>84.074096256256652</v>
      </c>
      <c r="G69">
        <v>82.367599999999996</v>
      </c>
      <c r="H69">
        <v>88.566699999999997</v>
      </c>
      <c r="I69" s="147"/>
      <c r="J69" s="112"/>
      <c r="K69" s="112"/>
      <c r="L69" s="126"/>
      <c r="M69" s="112"/>
      <c r="N69" s="126"/>
      <c r="O69" s="147"/>
      <c r="P69" s="147"/>
      <c r="Q69" s="147"/>
      <c r="R69" s="112"/>
      <c r="S69" s="112"/>
      <c r="T69" s="112"/>
      <c r="U69" s="146"/>
      <c r="V69" s="113"/>
      <c r="W69" s="113"/>
      <c r="X69" s="126"/>
      <c r="Y69" s="126"/>
    </row>
    <row r="70" spans="1:25" ht="14.7" customHeight="1">
      <c r="A70" s="131" t="s">
        <v>370</v>
      </c>
      <c r="B70" s="131"/>
      <c r="C70">
        <v>86.720233780073841</v>
      </c>
      <c r="D70">
        <v>86.089338267432041</v>
      </c>
      <c r="E70">
        <v>91.923616961527671</v>
      </c>
      <c r="F70">
        <v>88.52649532862246</v>
      </c>
      <c r="G70">
        <v>91.905799999999999</v>
      </c>
      <c r="H70">
        <v>91.842100000000002</v>
      </c>
      <c r="I70" s="147">
        <v>91.488208139644371</v>
      </c>
      <c r="J70" s="112"/>
      <c r="K70" s="112"/>
      <c r="L70" s="126"/>
      <c r="M70" s="112"/>
      <c r="N70" s="126"/>
      <c r="O70" s="147"/>
      <c r="P70" s="147"/>
      <c r="Q70" s="147"/>
      <c r="R70" s="112"/>
      <c r="S70" s="112"/>
      <c r="T70" s="112"/>
      <c r="U70" s="146"/>
      <c r="V70" s="113"/>
      <c r="W70" s="113"/>
      <c r="X70" s="126"/>
      <c r="Y70" s="126"/>
    </row>
    <row r="71" spans="1:25" ht="14.7" customHeight="1">
      <c r="A71" s="131" t="s">
        <v>41</v>
      </c>
      <c r="B71" s="131"/>
      <c r="C71">
        <v>87.333119435630834</v>
      </c>
      <c r="D71">
        <v>89.045428231924689</v>
      </c>
      <c r="E71">
        <v>86.657553136319464</v>
      </c>
      <c r="F71">
        <v>81.734551547356546</v>
      </c>
      <c r="G71">
        <v>80.156599999999997</v>
      </c>
      <c r="H71">
        <v>81.058099999999996</v>
      </c>
      <c r="I71" s="147">
        <v>87.528570676960697</v>
      </c>
      <c r="J71" s="112"/>
      <c r="K71" s="112"/>
      <c r="L71" s="126"/>
      <c r="M71" s="112"/>
      <c r="N71" s="126"/>
      <c r="O71" s="147"/>
      <c r="P71" s="147"/>
      <c r="Q71" s="147"/>
      <c r="R71" s="112"/>
      <c r="S71" s="112"/>
      <c r="T71" s="112"/>
      <c r="U71" s="146"/>
      <c r="V71" s="113"/>
      <c r="W71" s="113"/>
      <c r="X71" s="126"/>
      <c r="Y71" s="126"/>
    </row>
    <row r="72" spans="1:25" ht="14.7" customHeight="1">
      <c r="A72" s="131" t="s">
        <v>42</v>
      </c>
      <c r="B72" s="131"/>
      <c r="C72">
        <v>88.720259946052977</v>
      </c>
      <c r="D72">
        <v>87.687614871445859</v>
      </c>
      <c r="E72">
        <v>88.271719722553797</v>
      </c>
      <c r="F72">
        <v>77.303982793441307</v>
      </c>
      <c r="G72">
        <v>77.374099999999999</v>
      </c>
      <c r="H72">
        <v>77.185000000000002</v>
      </c>
      <c r="I72" s="147">
        <v>81.67035568373511</v>
      </c>
      <c r="J72" s="112"/>
      <c r="K72" s="112"/>
      <c r="L72" s="126"/>
      <c r="M72" s="112"/>
      <c r="N72" s="126"/>
      <c r="O72" s="147"/>
      <c r="P72" s="147"/>
      <c r="Q72" s="147"/>
      <c r="R72" s="112"/>
      <c r="S72" s="112"/>
      <c r="T72" s="112"/>
      <c r="U72" s="146"/>
      <c r="V72" s="113"/>
      <c r="W72" s="113"/>
      <c r="X72" s="126"/>
      <c r="Y72" s="126"/>
    </row>
    <row r="73" spans="1:25" ht="14.7" customHeight="1">
      <c r="A73" s="131" t="s">
        <v>43</v>
      </c>
      <c r="B73" s="131"/>
      <c r="C73">
        <v>82.792468388989008</v>
      </c>
      <c r="D73">
        <v>85.09786376905744</v>
      </c>
      <c r="E73">
        <v>84.122582925228443</v>
      </c>
      <c r="F73">
        <v>76.848327182857489</v>
      </c>
      <c r="G73">
        <v>75.807100000000005</v>
      </c>
      <c r="H73">
        <v>71.586100000000002</v>
      </c>
      <c r="I73" s="147">
        <v>74.465846906570832</v>
      </c>
      <c r="J73" s="112"/>
      <c r="K73" s="112"/>
      <c r="L73" s="126"/>
      <c r="M73" s="112"/>
      <c r="N73" s="126"/>
      <c r="O73" s="147"/>
      <c r="P73" s="147"/>
      <c r="Q73" s="147"/>
      <c r="R73" s="112"/>
      <c r="S73" s="112"/>
      <c r="T73" s="112"/>
      <c r="U73" s="146"/>
      <c r="V73" s="113"/>
      <c r="W73" s="113"/>
      <c r="X73" s="126"/>
      <c r="Y73" s="126"/>
    </row>
    <row r="74" spans="1:25" ht="14.7" customHeight="1">
      <c r="A74" s="131" t="s">
        <v>305</v>
      </c>
      <c r="B74" s="131"/>
      <c r="C74">
        <v>86.597103607421204</v>
      </c>
      <c r="D74">
        <v>86.683651787235704</v>
      </c>
      <c r="E74">
        <v>87.878560664803729</v>
      </c>
      <c r="F74">
        <v>82.361286929527694</v>
      </c>
      <c r="G74">
        <v>80.891400000000004</v>
      </c>
      <c r="H74">
        <v>81.631699999999995</v>
      </c>
      <c r="I74" s="147">
        <v>84.395319552433818</v>
      </c>
      <c r="J74" s="112"/>
      <c r="K74" s="112"/>
      <c r="L74" s="126"/>
      <c r="M74" s="112"/>
      <c r="N74" s="126"/>
      <c r="O74" s="147"/>
      <c r="P74" s="147"/>
      <c r="Q74" s="147"/>
      <c r="R74" s="112"/>
      <c r="S74" s="112"/>
      <c r="T74" s="112"/>
      <c r="U74" s="146"/>
      <c r="V74" s="113"/>
      <c r="W74" s="113"/>
      <c r="X74" s="126"/>
      <c r="Y74" s="126"/>
    </row>
    <row r="75" spans="1:25" ht="14.7" customHeight="1">
      <c r="A75" s="131" t="s">
        <v>44</v>
      </c>
      <c r="B75" s="131"/>
      <c r="C75">
        <v>92.192420095876756</v>
      </c>
      <c r="D75">
        <v>91.719905662868669</v>
      </c>
      <c r="E75">
        <v>91.64041468022829</v>
      </c>
      <c r="F75">
        <v>84.037833452276089</v>
      </c>
      <c r="G75">
        <v>83.585299999999989</v>
      </c>
      <c r="H75">
        <v>86.834199999999996</v>
      </c>
      <c r="I75" s="147">
        <v>87.647615077230469</v>
      </c>
      <c r="J75" s="112"/>
      <c r="K75" s="112"/>
      <c r="L75" s="126"/>
      <c r="M75" s="112"/>
      <c r="N75" s="126"/>
      <c r="O75" s="147"/>
      <c r="P75" s="147"/>
      <c r="Q75" s="147"/>
      <c r="R75" s="112"/>
      <c r="S75" s="112"/>
      <c r="T75" s="112"/>
      <c r="U75" s="146"/>
      <c r="V75" s="113"/>
      <c r="W75" s="113"/>
      <c r="X75" s="126"/>
      <c r="Y75" s="126"/>
    </row>
    <row r="76" spans="1:25" ht="14.7" customHeight="1">
      <c r="A76" s="131" t="s">
        <v>228</v>
      </c>
      <c r="B76" s="131"/>
      <c r="C76">
        <v>86.800305044268669</v>
      </c>
      <c r="D76">
        <v>85.442761418348624</v>
      </c>
      <c r="E76">
        <v>89.08543757542428</v>
      </c>
      <c r="F76">
        <v>74.755703982018801</v>
      </c>
      <c r="G76">
        <v>72.983200000000011</v>
      </c>
      <c r="H76">
        <v>76.260599999999997</v>
      </c>
      <c r="I76" s="147">
        <v>72.367936631448146</v>
      </c>
      <c r="J76" s="112"/>
      <c r="K76" s="112"/>
      <c r="L76" s="126"/>
      <c r="M76" s="112"/>
      <c r="N76" s="126"/>
      <c r="O76" s="147"/>
      <c r="P76" s="147"/>
      <c r="Q76" s="147"/>
      <c r="R76" s="112"/>
      <c r="S76" s="112"/>
      <c r="T76" s="112"/>
      <c r="U76" s="147"/>
      <c r="V76" s="149"/>
      <c r="W76" s="149"/>
      <c r="X76" s="126"/>
      <c r="Y76" s="126"/>
    </row>
    <row r="77" spans="1:25" ht="14.7" customHeight="1">
      <c r="A77" s="131" t="s">
        <v>45</v>
      </c>
      <c r="B77" s="131"/>
      <c r="C77">
        <v>90.804452383184369</v>
      </c>
      <c r="D77">
        <v>88.808403412368321</v>
      </c>
      <c r="E77">
        <v>91.798946638777593</v>
      </c>
      <c r="F77">
        <v>84.304920550023354</v>
      </c>
      <c r="G77">
        <v>87.990900000000011</v>
      </c>
      <c r="H77">
        <v>84.728899999999996</v>
      </c>
      <c r="I77" s="147">
        <v>82.232358007265006</v>
      </c>
      <c r="J77" s="112"/>
      <c r="K77" s="112"/>
      <c r="L77" s="126"/>
      <c r="M77" s="112"/>
      <c r="N77" s="126"/>
      <c r="O77" s="147"/>
      <c r="P77" s="147"/>
      <c r="Q77" s="147"/>
      <c r="R77" s="112"/>
      <c r="S77" s="112"/>
      <c r="T77" s="112"/>
      <c r="U77" s="147"/>
      <c r="V77" s="149"/>
      <c r="W77" s="149"/>
      <c r="X77" s="126"/>
      <c r="Y77" s="126"/>
    </row>
    <row r="78" spans="1:25" ht="14.7" customHeight="1">
      <c r="A78" s="131" t="s">
        <v>46</v>
      </c>
      <c r="B78" s="131"/>
      <c r="C78">
        <v>86.223450293326351</v>
      </c>
      <c r="D78">
        <v>85.267253183342504</v>
      </c>
      <c r="E78">
        <v>87.307913393370384</v>
      </c>
      <c r="F78">
        <v>80.790199569115799</v>
      </c>
      <c r="G78">
        <v>80.168499999999995</v>
      </c>
      <c r="H78">
        <v>79.840800000000002</v>
      </c>
      <c r="I78" s="147">
        <v>73.409718940341691</v>
      </c>
      <c r="J78" s="112"/>
      <c r="K78" s="112"/>
      <c r="L78" s="126"/>
      <c r="M78" s="112"/>
      <c r="N78" s="126"/>
      <c r="O78" s="147"/>
      <c r="P78" s="147"/>
      <c r="Q78" s="147"/>
      <c r="R78" s="112"/>
      <c r="S78" s="112"/>
      <c r="T78" s="112"/>
      <c r="U78" s="146"/>
      <c r="V78" s="113"/>
      <c r="W78" s="113"/>
      <c r="X78" s="126"/>
      <c r="Y78" s="126"/>
    </row>
    <row r="79" spans="1:25" ht="14.7" customHeight="1">
      <c r="A79" s="131" t="s">
        <v>201</v>
      </c>
      <c r="B79" s="131"/>
      <c r="C79">
        <v>88.181163497699629</v>
      </c>
      <c r="D79">
        <v>86.875680481775944</v>
      </c>
      <c r="E79">
        <v>88.766578858700626</v>
      </c>
      <c r="F79">
        <v>76.973036205518852</v>
      </c>
      <c r="G79">
        <v>76.7</v>
      </c>
      <c r="H79">
        <v>79.269500000000008</v>
      </c>
      <c r="I79" s="146">
        <v>73.52554324109137</v>
      </c>
      <c r="J79" s="144"/>
      <c r="K79" s="144"/>
      <c r="L79" s="126"/>
      <c r="M79" s="144"/>
      <c r="N79" s="126"/>
      <c r="O79" s="146"/>
      <c r="P79" s="146"/>
      <c r="Q79" s="146"/>
      <c r="R79" s="144"/>
      <c r="S79" s="144"/>
      <c r="T79" s="144"/>
      <c r="U79" s="146"/>
      <c r="V79" s="113"/>
      <c r="W79" s="113"/>
      <c r="X79" s="126"/>
      <c r="Y79" s="126"/>
    </row>
    <row r="80" spans="1:25" ht="14.7" customHeight="1">
      <c r="A80" s="131" t="s">
        <v>306</v>
      </c>
      <c r="B80" s="131"/>
      <c r="C80">
        <v>88.118047849755612</v>
      </c>
      <c r="D80">
        <v>87.407055308457529</v>
      </c>
      <c r="E80">
        <v>87.656404217474091</v>
      </c>
      <c r="F80">
        <v>79.478489624249647</v>
      </c>
      <c r="G80">
        <v>81.57180000000001</v>
      </c>
      <c r="H80">
        <v>80.629300000000001</v>
      </c>
      <c r="I80" s="147">
        <v>83.002586119216289</v>
      </c>
      <c r="J80" s="112"/>
      <c r="K80" s="112"/>
      <c r="L80" s="126"/>
      <c r="M80" s="112"/>
      <c r="N80" s="126"/>
      <c r="O80" s="147"/>
      <c r="P80" s="147"/>
      <c r="Q80" s="147"/>
      <c r="R80" s="112"/>
      <c r="S80" s="112"/>
      <c r="T80" s="112"/>
      <c r="U80" s="146"/>
      <c r="V80" s="113"/>
      <c r="W80" s="113"/>
      <c r="X80" s="126"/>
      <c r="Y80" s="126"/>
    </row>
    <row r="81" spans="1:25" ht="14.7" customHeight="1">
      <c r="A81" s="131" t="s">
        <v>47</v>
      </c>
      <c r="B81" s="131"/>
      <c r="C81">
        <v>87.522124532898047</v>
      </c>
      <c r="D81">
        <v>89.509766302307014</v>
      </c>
      <c r="E81">
        <v>91.446813969782795</v>
      </c>
      <c r="F81">
        <v>80.210500037221209</v>
      </c>
      <c r="G81">
        <v>80.947199999999995</v>
      </c>
      <c r="H81">
        <v>82.237800000000007</v>
      </c>
      <c r="I81" s="147">
        <v>83.733643776664906</v>
      </c>
      <c r="J81" s="112"/>
      <c r="K81" s="112"/>
      <c r="L81" s="126"/>
      <c r="M81" s="112"/>
      <c r="N81" s="126"/>
      <c r="O81" s="147"/>
      <c r="P81" s="147"/>
      <c r="Q81" s="147"/>
      <c r="R81" s="112"/>
      <c r="S81" s="112"/>
      <c r="T81" s="112"/>
      <c r="U81" s="146"/>
      <c r="V81" s="113"/>
      <c r="W81" s="113"/>
      <c r="X81" s="126"/>
      <c r="Y81" s="126"/>
    </row>
    <row r="82" spans="1:25" ht="14.7" customHeight="1">
      <c r="A82" s="131" t="s">
        <v>264</v>
      </c>
      <c r="B82" s="131"/>
      <c r="C82">
        <v>88.486261671993532</v>
      </c>
      <c r="D82">
        <v>85.352259529354455</v>
      </c>
      <c r="E82">
        <v>87.451786429242489</v>
      </c>
      <c r="F82">
        <v>77.632871568552204</v>
      </c>
      <c r="G82">
        <v>80.500500000000002</v>
      </c>
      <c r="H82">
        <v>77.959100000000007</v>
      </c>
      <c r="I82" s="147">
        <v>86.265217312289678</v>
      </c>
      <c r="J82" s="112"/>
      <c r="K82" s="112"/>
      <c r="L82" s="126"/>
      <c r="M82" s="112"/>
      <c r="N82" s="126"/>
      <c r="O82" s="147"/>
      <c r="P82" s="147"/>
      <c r="Q82" s="147"/>
      <c r="R82" s="112"/>
      <c r="S82" s="112"/>
      <c r="T82" s="112"/>
      <c r="U82" s="146"/>
      <c r="V82" s="113"/>
      <c r="W82" s="113"/>
      <c r="X82" s="126"/>
      <c r="Y82" s="126"/>
    </row>
    <row r="83" spans="1:25" ht="14.7" customHeight="1">
      <c r="A83" s="131" t="s">
        <v>48</v>
      </c>
      <c r="B83" s="131"/>
      <c r="C83">
        <v>84.624147850366825</v>
      </c>
      <c r="D83">
        <v>90.876361369898959</v>
      </c>
      <c r="E83">
        <v>87.931784494425472</v>
      </c>
      <c r="F83">
        <v>75.181402222412913</v>
      </c>
      <c r="G83">
        <v>80.086699999999993</v>
      </c>
      <c r="H83">
        <v>81.482900000000001</v>
      </c>
      <c r="I83" s="147">
        <v>82.262658428886581</v>
      </c>
      <c r="J83" s="112"/>
      <c r="K83" s="112"/>
      <c r="L83" s="126"/>
      <c r="M83" s="112"/>
      <c r="N83" s="126"/>
      <c r="O83" s="147"/>
      <c r="P83" s="147"/>
      <c r="Q83" s="147"/>
      <c r="R83" s="112"/>
      <c r="S83" s="112"/>
      <c r="T83" s="112"/>
      <c r="U83" s="146"/>
      <c r="V83" s="113"/>
      <c r="W83" s="113"/>
      <c r="X83" s="126"/>
      <c r="Y83" s="126"/>
    </row>
    <row r="84" spans="1:25" ht="14.7" customHeight="1">
      <c r="A84" s="131" t="s">
        <v>49</v>
      </c>
      <c r="B84" s="131"/>
      <c r="C84">
        <v>88.23360665425453</v>
      </c>
      <c r="D84">
        <v>88.480941245727934</v>
      </c>
      <c r="E84">
        <v>85.997063767656059</v>
      </c>
      <c r="F84">
        <v>79.464644777065999</v>
      </c>
      <c r="G84">
        <v>81.425700000000006</v>
      </c>
      <c r="H84">
        <v>81.2196</v>
      </c>
      <c r="I84" s="147">
        <v>81.156135136736367</v>
      </c>
      <c r="J84" s="112"/>
      <c r="K84" s="112"/>
      <c r="L84" s="126"/>
      <c r="M84" s="112"/>
      <c r="N84" s="126"/>
      <c r="O84" s="147"/>
      <c r="P84" s="147"/>
      <c r="Q84" s="147"/>
      <c r="R84" s="112"/>
      <c r="S84" s="112"/>
      <c r="T84" s="112"/>
      <c r="U84" s="146"/>
      <c r="V84" s="113"/>
      <c r="W84" s="113"/>
      <c r="X84" s="126"/>
      <c r="Y84" s="126"/>
    </row>
    <row r="85" spans="1:25" ht="14.7" customHeight="1">
      <c r="A85" s="131" t="s">
        <v>265</v>
      </c>
      <c r="B85" s="131"/>
      <c r="C85">
        <v>85.57367510643445</v>
      </c>
      <c r="D85">
        <v>85.868710089399741</v>
      </c>
      <c r="E85">
        <v>85.829276840998489</v>
      </c>
      <c r="F85">
        <v>76.112688884225378</v>
      </c>
      <c r="G85">
        <v>77.359700000000004</v>
      </c>
      <c r="H85">
        <v>77.7714</v>
      </c>
      <c r="I85" s="147">
        <v>77.763363947409331</v>
      </c>
      <c r="J85" s="112"/>
      <c r="K85" s="112"/>
      <c r="L85" s="126"/>
      <c r="M85" s="112"/>
      <c r="N85" s="126"/>
      <c r="O85" s="147"/>
      <c r="P85" s="147"/>
      <c r="Q85" s="147"/>
      <c r="R85" s="112"/>
      <c r="S85" s="112"/>
      <c r="T85" s="112"/>
      <c r="U85" s="146"/>
      <c r="V85" s="113"/>
      <c r="W85" s="113"/>
      <c r="X85" s="126"/>
      <c r="Y85" s="126"/>
    </row>
    <row r="86" spans="1:25" ht="14.7" customHeight="1">
      <c r="A86" s="131" t="s">
        <v>307</v>
      </c>
      <c r="B86" s="131"/>
      <c r="C86">
        <v>87.217855255483755</v>
      </c>
      <c r="D86">
        <v>85.961572216809415</v>
      </c>
      <c r="E86">
        <v>86.059942035777368</v>
      </c>
      <c r="F86">
        <v>78.400966937487439</v>
      </c>
      <c r="G86">
        <v>81.094700000000003</v>
      </c>
      <c r="H86">
        <v>80.374099999999999</v>
      </c>
      <c r="I86" s="147">
        <v>81.217592590947703</v>
      </c>
      <c r="J86" s="112"/>
      <c r="K86" s="112"/>
      <c r="L86" s="126"/>
      <c r="M86" s="112"/>
      <c r="N86" s="126"/>
      <c r="O86" s="147"/>
      <c r="P86" s="147"/>
      <c r="Q86" s="147"/>
      <c r="R86" s="112"/>
      <c r="S86" s="112"/>
      <c r="T86" s="112"/>
      <c r="U86" s="147"/>
      <c r="V86" s="149"/>
      <c r="W86" s="149"/>
      <c r="X86" s="126"/>
      <c r="Y86" s="126"/>
    </row>
    <row r="87" spans="1:25" ht="14.7" customHeight="1">
      <c r="A87" s="131" t="s">
        <v>50</v>
      </c>
      <c r="B87" s="131"/>
      <c r="C87">
        <v>89.126265474101515</v>
      </c>
      <c r="D87">
        <v>88.257527930628569</v>
      </c>
      <c r="E87">
        <v>88.896852726835903</v>
      </c>
      <c r="F87">
        <v>79.705804340114597</v>
      </c>
      <c r="G87">
        <v>83.908900000000003</v>
      </c>
      <c r="H87">
        <v>80.378199999999993</v>
      </c>
      <c r="I87" s="147">
        <v>87.156969497663397</v>
      </c>
      <c r="J87" s="112"/>
      <c r="K87" s="112"/>
      <c r="L87" s="126"/>
      <c r="M87" s="112"/>
      <c r="N87" s="126"/>
      <c r="O87" s="147"/>
      <c r="P87" s="147"/>
      <c r="Q87" s="147"/>
      <c r="R87" s="112"/>
      <c r="S87" s="112"/>
      <c r="T87" s="112"/>
      <c r="U87" s="146"/>
      <c r="V87" s="113"/>
      <c r="W87" s="113"/>
      <c r="X87" s="126"/>
      <c r="Y87" s="126"/>
    </row>
    <row r="88" spans="1:25" ht="14.7" customHeight="1">
      <c r="A88" s="131" t="s">
        <v>308</v>
      </c>
      <c r="B88" s="131"/>
      <c r="C88">
        <v>89.096579729110914</v>
      </c>
      <c r="D88">
        <v>89.786435814265786</v>
      </c>
      <c r="E88">
        <v>89.402926537161974</v>
      </c>
      <c r="F88">
        <v>82.204753546622499</v>
      </c>
      <c r="G88">
        <v>85.311099999999996</v>
      </c>
      <c r="H88">
        <v>85.390600000000006</v>
      </c>
      <c r="I88" s="147">
        <v>85.885087274196607</v>
      </c>
      <c r="J88" s="112"/>
      <c r="K88" s="112"/>
      <c r="L88" s="126"/>
      <c r="M88" s="112"/>
      <c r="N88" s="126"/>
      <c r="O88" s="147"/>
      <c r="P88" s="147"/>
      <c r="Q88" s="147"/>
      <c r="R88" s="112"/>
      <c r="S88" s="112"/>
      <c r="T88" s="112"/>
      <c r="U88" s="146"/>
      <c r="V88" s="113"/>
      <c r="W88" s="113"/>
      <c r="X88" s="126"/>
      <c r="Y88" s="126"/>
    </row>
    <row r="89" spans="1:25" ht="14.7" customHeight="1">
      <c r="A89" s="131" t="s">
        <v>229</v>
      </c>
      <c r="B89" s="131"/>
      <c r="C89">
        <v>85.511877272978793</v>
      </c>
      <c r="D89">
        <v>86.85143513946673</v>
      </c>
      <c r="E89">
        <v>86.189378390757014</v>
      </c>
      <c r="F89">
        <v>76.135829271992606</v>
      </c>
      <c r="G89">
        <v>77.743600000000001</v>
      </c>
      <c r="H89">
        <v>76.116399999999999</v>
      </c>
      <c r="I89" s="147">
        <v>78.405178401891789</v>
      </c>
      <c r="J89" s="112"/>
      <c r="K89" s="112"/>
      <c r="L89" s="126"/>
      <c r="M89" s="112"/>
      <c r="N89" s="126"/>
      <c r="O89" s="147"/>
      <c r="P89" s="147"/>
      <c r="Q89" s="147"/>
      <c r="R89" s="112"/>
      <c r="S89" s="112"/>
      <c r="T89" s="112"/>
      <c r="U89" s="146"/>
      <c r="V89" s="113"/>
      <c r="W89" s="113"/>
      <c r="X89" s="126"/>
      <c r="Y89" s="126"/>
    </row>
    <row r="90" spans="1:25" ht="14.7" customHeight="1">
      <c r="A90" s="131" t="s">
        <v>309</v>
      </c>
      <c r="B90" s="131"/>
      <c r="C90">
        <v>88.011043101308118</v>
      </c>
      <c r="D90">
        <v>87.605920992763927</v>
      </c>
      <c r="E90">
        <v>88.078865436617832</v>
      </c>
      <c r="F90">
        <v>81.312219816813297</v>
      </c>
      <c r="G90">
        <v>82.906300000000002</v>
      </c>
      <c r="H90">
        <v>83.525000000000006</v>
      </c>
      <c r="I90" s="147"/>
      <c r="J90" s="112"/>
      <c r="K90" s="112"/>
      <c r="L90" s="126"/>
      <c r="M90" s="112"/>
      <c r="N90" s="126"/>
      <c r="O90" s="147"/>
      <c r="P90" s="147"/>
      <c r="Q90" s="147"/>
      <c r="R90" s="112"/>
      <c r="S90" s="112"/>
      <c r="T90" s="112"/>
      <c r="U90" s="147"/>
      <c r="V90" s="149"/>
      <c r="W90" s="149"/>
      <c r="X90" s="126"/>
      <c r="Y90" s="126"/>
    </row>
    <row r="91" spans="1:25" ht="14.7" customHeight="1">
      <c r="A91" s="131" t="s">
        <v>904</v>
      </c>
      <c r="B91" s="131"/>
      <c r="C91"/>
      <c r="D91"/>
      <c r="E91"/>
      <c r="F91"/>
      <c r="G91"/>
      <c r="H91"/>
      <c r="I91" s="147">
        <v>84.941125975203988</v>
      </c>
      <c r="J91" s="112"/>
      <c r="K91" s="112"/>
      <c r="L91" s="126"/>
      <c r="M91" s="112"/>
      <c r="N91" s="126"/>
      <c r="O91" s="147"/>
      <c r="P91" s="147"/>
      <c r="Q91" s="147"/>
      <c r="R91" s="112"/>
      <c r="S91" s="112"/>
      <c r="T91" s="112"/>
      <c r="U91" s="146"/>
      <c r="V91" s="113"/>
      <c r="W91" s="113"/>
      <c r="X91" s="126"/>
      <c r="Y91" s="126"/>
    </row>
    <row r="92" spans="1:25" ht="14.7" customHeight="1">
      <c r="A92" s="131" t="s">
        <v>51</v>
      </c>
      <c r="B92" s="131"/>
      <c r="C92">
        <v>90.397084791429194</v>
      </c>
      <c r="D92">
        <v>86.145763999199644</v>
      </c>
      <c r="E92">
        <v>84.695585042987588</v>
      </c>
      <c r="F92">
        <v>80.448007980067757</v>
      </c>
      <c r="G92">
        <v>80.220399999999998</v>
      </c>
      <c r="H92">
        <v>83.760400000000004</v>
      </c>
      <c r="I92" s="147">
        <v>83.82997141888039</v>
      </c>
      <c r="J92" s="112"/>
      <c r="K92" s="112"/>
      <c r="L92" s="126"/>
      <c r="M92" s="112"/>
      <c r="N92" s="126"/>
      <c r="O92" s="147"/>
      <c r="P92" s="147"/>
      <c r="Q92" s="147"/>
      <c r="R92" s="112"/>
      <c r="S92" s="112"/>
      <c r="T92" s="112"/>
      <c r="U92" s="146"/>
      <c r="V92" s="113"/>
      <c r="W92" s="113"/>
      <c r="X92" s="126"/>
      <c r="Y92" s="126"/>
    </row>
    <row r="93" spans="1:25" ht="14.7" customHeight="1">
      <c r="A93" s="131" t="s">
        <v>230</v>
      </c>
      <c r="B93" s="131"/>
      <c r="C93">
        <v>82.132605447098172</v>
      </c>
      <c r="D93">
        <v>83.188446801770112</v>
      </c>
      <c r="E93">
        <v>81.397067037190183</v>
      </c>
      <c r="F93">
        <v>72.253039342427215</v>
      </c>
      <c r="G93">
        <v>72.9602</v>
      </c>
      <c r="H93">
        <v>73.8887</v>
      </c>
      <c r="I93" s="147">
        <v>71.655617270360679</v>
      </c>
      <c r="J93" s="112"/>
      <c r="K93" s="112"/>
      <c r="L93" s="126"/>
      <c r="M93" s="112"/>
      <c r="N93" s="126"/>
      <c r="O93" s="147"/>
      <c r="P93" s="147"/>
      <c r="Q93" s="147"/>
      <c r="R93" s="112"/>
      <c r="S93" s="112"/>
      <c r="T93" s="112"/>
      <c r="U93" s="146"/>
      <c r="V93" s="113"/>
      <c r="W93" s="113"/>
      <c r="X93" s="126"/>
      <c r="Y93" s="126"/>
    </row>
    <row r="94" spans="1:25" ht="14.7" customHeight="1">
      <c r="A94" s="131" t="s">
        <v>266</v>
      </c>
      <c r="B94" s="131"/>
      <c r="C94">
        <v>82.595443832956221</v>
      </c>
      <c r="D94">
        <v>84.859072010913707</v>
      </c>
      <c r="E94">
        <v>86.150055966261675</v>
      </c>
      <c r="F94">
        <v>76.877530434123969</v>
      </c>
      <c r="G94">
        <v>82.564300000000003</v>
      </c>
      <c r="H94">
        <v>77.834499999999991</v>
      </c>
      <c r="I94" s="147">
        <v>78.372830341553794</v>
      </c>
      <c r="J94" s="112"/>
      <c r="K94" s="112"/>
      <c r="L94" s="126"/>
      <c r="M94" s="112"/>
      <c r="N94" s="126"/>
      <c r="O94" s="147"/>
      <c r="P94" s="147"/>
      <c r="Q94" s="147"/>
      <c r="R94" s="112"/>
      <c r="S94" s="112"/>
      <c r="T94" s="112"/>
      <c r="U94" s="146"/>
      <c r="V94" s="113"/>
      <c r="W94" s="113"/>
      <c r="X94" s="126"/>
      <c r="Y94" s="126"/>
    </row>
    <row r="95" spans="1:25" ht="14.7" customHeight="1">
      <c r="A95" s="131" t="s">
        <v>202</v>
      </c>
      <c r="B95" s="131"/>
      <c r="C95">
        <v>86.722035085827784</v>
      </c>
      <c r="D95">
        <v>88.034294386670638</v>
      </c>
      <c r="E95">
        <v>88.474675295492332</v>
      </c>
      <c r="F95">
        <v>77.715323539474923</v>
      </c>
      <c r="G95">
        <v>79.824600000000004</v>
      </c>
      <c r="H95">
        <v>83.215599999999995</v>
      </c>
      <c r="I95" s="147">
        <v>77.227842088079896</v>
      </c>
      <c r="J95" s="112"/>
      <c r="K95" s="112"/>
      <c r="L95" s="126"/>
      <c r="M95" s="112"/>
      <c r="N95" s="126"/>
      <c r="O95" s="147"/>
      <c r="P95" s="147"/>
      <c r="Q95" s="147"/>
      <c r="R95" s="112"/>
      <c r="S95" s="112"/>
      <c r="T95" s="112"/>
      <c r="U95" s="146"/>
      <c r="V95" s="113"/>
      <c r="W95" s="113"/>
      <c r="X95" s="126"/>
      <c r="Y95" s="126"/>
    </row>
    <row r="96" spans="1:25" ht="14.7" customHeight="1">
      <c r="A96" s="131" t="s">
        <v>52</v>
      </c>
      <c r="B96" s="131"/>
      <c r="C96">
        <v>88.411826745540466</v>
      </c>
      <c r="D96">
        <v>88.344119374157273</v>
      </c>
      <c r="E96">
        <v>87.524104184838521</v>
      </c>
      <c r="F96">
        <v>74.959180878298142</v>
      </c>
      <c r="G96">
        <v>84.109499999999997</v>
      </c>
      <c r="H96">
        <v>84.606999999999999</v>
      </c>
      <c r="I96" s="147">
        <v>83.547297464267089</v>
      </c>
      <c r="J96" s="112"/>
      <c r="K96" s="112"/>
      <c r="L96" s="126"/>
      <c r="M96" s="112"/>
      <c r="N96" s="126"/>
      <c r="O96" s="147"/>
      <c r="P96" s="147"/>
      <c r="Q96" s="147"/>
      <c r="R96" s="112"/>
      <c r="S96" s="112"/>
      <c r="T96" s="112"/>
      <c r="U96" s="146"/>
      <c r="V96" s="113"/>
      <c r="W96" s="113"/>
      <c r="X96" s="126"/>
      <c r="Y96" s="126"/>
    </row>
    <row r="97" spans="1:25" ht="14.7" customHeight="1">
      <c r="A97" s="131" t="s">
        <v>53</v>
      </c>
      <c r="B97" s="131"/>
      <c r="C97">
        <v>89.168650537260845</v>
      </c>
      <c r="D97">
        <v>90.410246686280885</v>
      </c>
      <c r="E97">
        <v>89.323181347292319</v>
      </c>
      <c r="F97">
        <v>81.716029432291066</v>
      </c>
      <c r="G97">
        <v>85.704800000000006</v>
      </c>
      <c r="H97">
        <v>87.941699999999997</v>
      </c>
      <c r="I97" s="147">
        <v>86.084775203522014</v>
      </c>
      <c r="J97" s="112"/>
      <c r="K97" s="112"/>
      <c r="L97" s="126"/>
      <c r="M97" s="112"/>
      <c r="N97" s="126"/>
      <c r="O97" s="147"/>
      <c r="P97" s="147"/>
      <c r="Q97" s="147"/>
      <c r="R97" s="112"/>
      <c r="S97" s="112"/>
      <c r="T97" s="112"/>
      <c r="U97" s="146"/>
      <c r="V97" s="113"/>
      <c r="W97" s="113"/>
      <c r="X97" s="126"/>
      <c r="Y97" s="126"/>
    </row>
    <row r="98" spans="1:25" ht="14.7" customHeight="1">
      <c r="A98" s="131" t="s">
        <v>54</v>
      </c>
      <c r="B98" s="131"/>
      <c r="C98">
        <v>85.758898728123384</v>
      </c>
      <c r="D98">
        <v>86.493631778827961</v>
      </c>
      <c r="E98">
        <v>87.102852083602755</v>
      </c>
      <c r="F98">
        <v>76.319303971405859</v>
      </c>
      <c r="G98">
        <v>82.280500000000004</v>
      </c>
      <c r="H98">
        <v>80.072200000000009</v>
      </c>
      <c r="I98" s="147"/>
      <c r="J98" s="112"/>
      <c r="K98" s="112"/>
      <c r="L98" s="126"/>
      <c r="M98" s="112"/>
      <c r="N98" s="126"/>
      <c r="O98" s="147"/>
      <c r="P98" s="147"/>
      <c r="Q98" s="147"/>
      <c r="R98" s="112"/>
      <c r="S98" s="112"/>
      <c r="T98" s="112"/>
      <c r="U98" s="146"/>
      <c r="V98" s="113"/>
      <c r="W98" s="113"/>
      <c r="X98" s="126"/>
      <c r="Y98" s="126"/>
    </row>
    <row r="99" spans="1:25" ht="14.7" customHeight="1">
      <c r="A99" s="131" t="s">
        <v>55</v>
      </c>
      <c r="B99" s="131"/>
      <c r="C99">
        <v>89.605083133136844</v>
      </c>
      <c r="D99">
        <v>88.243771750089451</v>
      </c>
      <c r="E99">
        <v>90.11785538612888</v>
      </c>
      <c r="F99">
        <v>82.267568456986581</v>
      </c>
      <c r="G99">
        <v>81.305199999999999</v>
      </c>
      <c r="H99">
        <v>80.936700000000002</v>
      </c>
      <c r="I99" s="147">
        <v>84.086894313342043</v>
      </c>
      <c r="J99" s="112"/>
      <c r="K99" s="112"/>
      <c r="L99" s="126"/>
      <c r="M99" s="112"/>
      <c r="N99" s="126"/>
      <c r="O99" s="147"/>
      <c r="P99" s="147"/>
      <c r="Q99" s="147"/>
      <c r="R99" s="112"/>
      <c r="S99" s="112"/>
      <c r="T99" s="112"/>
      <c r="U99" s="146"/>
      <c r="V99" s="113"/>
      <c r="W99" s="113"/>
      <c r="X99" s="126"/>
      <c r="Y99" s="126"/>
    </row>
    <row r="100" spans="1:25" ht="14.7" customHeight="1">
      <c r="A100" s="131" t="s">
        <v>56</v>
      </c>
      <c r="B100" s="131"/>
      <c r="C100">
        <v>91.68273610235822</v>
      </c>
      <c r="D100">
        <v>89.675054771801229</v>
      </c>
      <c r="E100">
        <v>88.950005067255404</v>
      </c>
      <c r="F100">
        <v>85.582043383519519</v>
      </c>
      <c r="G100">
        <v>84.05510000000001</v>
      </c>
      <c r="H100">
        <v>83.176199999999994</v>
      </c>
      <c r="I100" s="147">
        <v>89.749905538045041</v>
      </c>
      <c r="J100" s="112"/>
      <c r="K100" s="112"/>
      <c r="L100" s="126"/>
      <c r="M100" s="112"/>
      <c r="N100" s="126"/>
      <c r="O100" s="147"/>
      <c r="P100" s="147"/>
      <c r="Q100" s="147"/>
      <c r="R100" s="112"/>
      <c r="S100" s="112"/>
      <c r="T100" s="112"/>
      <c r="U100" s="146"/>
      <c r="V100" s="113"/>
      <c r="W100" s="113"/>
      <c r="X100" s="126"/>
      <c r="Y100" s="126"/>
    </row>
    <row r="101" spans="1:25" ht="14.7" customHeight="1">
      <c r="A101" s="131" t="s">
        <v>57</v>
      </c>
      <c r="B101" s="131"/>
      <c r="C101">
        <v>76.705972151062227</v>
      </c>
      <c r="D101">
        <v>79.249314991385873</v>
      </c>
      <c r="E101">
        <v>86.878770396071232</v>
      </c>
      <c r="F101">
        <v>83.434968863033205</v>
      </c>
      <c r="G101">
        <v>78.652799999999999</v>
      </c>
      <c r="H101">
        <v>72.038899999999998</v>
      </c>
      <c r="I101" s="147">
        <v>81.439089525575824</v>
      </c>
      <c r="J101" s="112"/>
      <c r="K101" s="112"/>
      <c r="L101" s="126"/>
      <c r="M101" s="112"/>
      <c r="N101" s="126"/>
      <c r="O101" s="147"/>
      <c r="P101" s="147"/>
      <c r="Q101" s="147"/>
      <c r="R101" s="112"/>
      <c r="S101" s="112"/>
      <c r="T101" s="112"/>
      <c r="U101" s="146"/>
      <c r="V101" s="113"/>
      <c r="W101" s="113"/>
      <c r="X101" s="126"/>
      <c r="Y101" s="126"/>
    </row>
    <row r="102" spans="1:25" ht="14.7" customHeight="1">
      <c r="A102" s="131" t="s">
        <v>58</v>
      </c>
      <c r="B102" s="131"/>
      <c r="C102">
        <v>88.753553794819467</v>
      </c>
      <c r="D102">
        <v>84.188749552721291</v>
      </c>
      <c r="E102">
        <v>85.20860349151944</v>
      </c>
      <c r="F102">
        <v>81.512899878995356</v>
      </c>
      <c r="G102">
        <v>77.961600000000004</v>
      </c>
      <c r="H102">
        <v>79.456499999999991</v>
      </c>
      <c r="I102" s="147">
        <v>85.076646291930146</v>
      </c>
      <c r="J102" s="112"/>
      <c r="K102" s="112"/>
      <c r="L102" s="126"/>
      <c r="M102" s="112"/>
      <c r="N102" s="126"/>
      <c r="O102" s="147"/>
      <c r="P102" s="147"/>
      <c r="Q102" s="147"/>
      <c r="R102" s="112"/>
      <c r="S102" s="112"/>
      <c r="T102" s="112"/>
      <c r="U102" s="146"/>
      <c r="V102" s="113"/>
      <c r="W102" s="113"/>
      <c r="X102" s="126"/>
      <c r="Y102" s="126"/>
    </row>
    <row r="103" spans="1:25" ht="14.7" customHeight="1">
      <c r="A103" s="131" t="s">
        <v>267</v>
      </c>
      <c r="B103" s="131"/>
      <c r="C103">
        <v>86.626565237770393</v>
      </c>
      <c r="D103">
        <v>89.297137093459057</v>
      </c>
      <c r="E103">
        <v>86.331722596787429</v>
      </c>
      <c r="F103">
        <v>78.816722964286186</v>
      </c>
      <c r="G103">
        <v>77.756799999999998</v>
      </c>
      <c r="H103">
        <v>78.599800000000002</v>
      </c>
      <c r="I103" s="147">
        <v>83.375669894356193</v>
      </c>
      <c r="J103" s="112"/>
      <c r="K103" s="112"/>
      <c r="L103" s="126"/>
      <c r="M103" s="112"/>
      <c r="N103" s="126"/>
      <c r="O103" s="147"/>
      <c r="P103" s="147"/>
      <c r="Q103" s="147"/>
      <c r="R103" s="112"/>
      <c r="S103" s="112"/>
      <c r="T103" s="112"/>
      <c r="U103" s="146"/>
      <c r="V103" s="113"/>
      <c r="W103" s="113"/>
      <c r="X103" s="126"/>
      <c r="Y103" s="126"/>
    </row>
    <row r="104" spans="1:25" ht="14.7" customHeight="1">
      <c r="A104" s="131" t="s">
        <v>59</v>
      </c>
      <c r="B104" s="131"/>
      <c r="C104">
        <v>89.297651623771046</v>
      </c>
      <c r="D104">
        <v>84.528944591517487</v>
      </c>
      <c r="E104">
        <v>84.850402206072218</v>
      </c>
      <c r="F104">
        <v>81.229254859839259</v>
      </c>
      <c r="G104">
        <v>74.764399999999995</v>
      </c>
      <c r="H104">
        <v>79.1494</v>
      </c>
      <c r="I104" s="147">
        <v>76.757911292992603</v>
      </c>
      <c r="J104" s="112"/>
      <c r="K104" s="112"/>
      <c r="L104" s="126"/>
      <c r="M104" s="112"/>
      <c r="N104" s="126"/>
      <c r="O104" s="147"/>
      <c r="P104" s="147"/>
      <c r="Q104" s="147"/>
      <c r="R104" s="112"/>
      <c r="S104" s="112"/>
      <c r="T104" s="112"/>
      <c r="U104" s="146"/>
      <c r="V104" s="113"/>
      <c r="W104" s="113"/>
      <c r="X104" s="126"/>
      <c r="Y104" s="126"/>
    </row>
    <row r="105" spans="1:25" ht="14.7" customHeight="1">
      <c r="A105" s="131" t="s">
        <v>905</v>
      </c>
      <c r="B105" s="131"/>
      <c r="C105"/>
      <c r="D105"/>
      <c r="E105"/>
      <c r="F105"/>
      <c r="G105"/>
      <c r="H105"/>
      <c r="I105" s="147">
        <v>81.688187142593478</v>
      </c>
      <c r="J105" s="112"/>
      <c r="K105" s="112"/>
      <c r="L105" s="126"/>
      <c r="M105" s="112"/>
      <c r="N105" s="126"/>
      <c r="O105" s="147"/>
      <c r="P105" s="147"/>
      <c r="Q105" s="147"/>
      <c r="R105" s="112"/>
      <c r="S105" s="112"/>
      <c r="T105" s="112"/>
      <c r="U105" s="146"/>
      <c r="V105" s="113"/>
      <c r="W105" s="113"/>
      <c r="X105" s="126"/>
      <c r="Y105" s="126"/>
    </row>
    <row r="106" spans="1:25" ht="14.7" customHeight="1">
      <c r="A106" s="131" t="s">
        <v>310</v>
      </c>
      <c r="B106" s="131"/>
      <c r="C106">
        <v>87.752557112545958</v>
      </c>
      <c r="D106">
        <v>86.398894772451953</v>
      </c>
      <c r="E106">
        <v>88.08102899469435</v>
      </c>
      <c r="F106">
        <v>80.723385679537742</v>
      </c>
      <c r="G106">
        <v>80.740600000000001</v>
      </c>
      <c r="H106">
        <v>79.5702</v>
      </c>
      <c r="I106" s="147">
        <v>82.994301123979568</v>
      </c>
      <c r="J106" s="112"/>
      <c r="K106" s="112"/>
      <c r="L106" s="126"/>
      <c r="M106" s="112"/>
      <c r="N106" s="126"/>
      <c r="O106" s="147"/>
      <c r="P106" s="147"/>
      <c r="Q106" s="147"/>
      <c r="R106" s="112"/>
      <c r="S106" s="112"/>
      <c r="T106" s="112"/>
      <c r="U106" s="146"/>
      <c r="V106" s="113"/>
      <c r="W106" s="113"/>
      <c r="X106" s="126"/>
      <c r="Y106" s="126"/>
    </row>
    <row r="107" spans="1:25" ht="14.7" customHeight="1">
      <c r="A107" s="131" t="s">
        <v>60</v>
      </c>
      <c r="B107" s="131"/>
      <c r="C107">
        <v>87.112287126178927</v>
      </c>
      <c r="D107">
        <v>86.387197454178278</v>
      </c>
      <c r="E107">
        <v>85.400277878530218</v>
      </c>
      <c r="F107">
        <v>76.57607555086399</v>
      </c>
      <c r="G107">
        <v>81.217100000000002</v>
      </c>
      <c r="H107">
        <v>77.085999999999999</v>
      </c>
      <c r="I107" s="147">
        <v>84.59649502432238</v>
      </c>
      <c r="J107" s="112"/>
      <c r="K107" s="112"/>
      <c r="L107" s="126"/>
      <c r="M107" s="112"/>
      <c r="N107" s="126"/>
      <c r="O107" s="147"/>
      <c r="P107" s="147"/>
      <c r="Q107" s="147"/>
      <c r="R107" s="112"/>
      <c r="S107" s="112"/>
      <c r="T107" s="112"/>
      <c r="U107" s="146"/>
      <c r="V107" s="113"/>
      <c r="W107" s="113"/>
      <c r="X107" s="126"/>
      <c r="Y107" s="126"/>
    </row>
    <row r="108" spans="1:25" ht="14.7" customHeight="1">
      <c r="A108" s="131" t="s">
        <v>61</v>
      </c>
      <c r="B108" s="131"/>
      <c r="C108">
        <v>87.66298718506232</v>
      </c>
      <c r="D108">
        <v>88.659692969853324</v>
      </c>
      <c r="E108">
        <v>90.85611291109322</v>
      </c>
      <c r="F108">
        <v>78.27034519309808</v>
      </c>
      <c r="G108">
        <v>84.043999999999997</v>
      </c>
      <c r="H108">
        <v>81.279800000000009</v>
      </c>
      <c r="I108" s="147">
        <v>83.542192231378465</v>
      </c>
      <c r="J108" s="112"/>
      <c r="K108" s="112"/>
      <c r="L108" s="126"/>
      <c r="M108" s="112"/>
      <c r="N108" s="126"/>
      <c r="O108" s="147"/>
      <c r="P108" s="147"/>
      <c r="Q108" s="147"/>
      <c r="R108" s="112"/>
      <c r="S108" s="112"/>
      <c r="T108" s="112"/>
      <c r="U108" s="146"/>
      <c r="V108" s="113"/>
      <c r="W108" s="113"/>
      <c r="X108" s="126"/>
      <c r="Y108" s="126"/>
    </row>
    <row r="109" spans="1:25" ht="14.7" customHeight="1">
      <c r="A109" s="131" t="s">
        <v>62</v>
      </c>
      <c r="B109" s="131"/>
      <c r="C109">
        <v>89.083828990943772</v>
      </c>
      <c r="D109">
        <v>88.246693065970177</v>
      </c>
      <c r="E109">
        <v>90.53088946705968</v>
      </c>
      <c r="F109">
        <v>82.245787482835368</v>
      </c>
      <c r="G109">
        <v>79.439800000000005</v>
      </c>
      <c r="H109">
        <v>85.174199999999999</v>
      </c>
      <c r="I109" s="147">
        <v>85.470285287194898</v>
      </c>
      <c r="J109" s="112"/>
      <c r="K109" s="112"/>
      <c r="L109" s="126"/>
      <c r="M109" s="112"/>
      <c r="N109" s="126"/>
      <c r="O109" s="147"/>
      <c r="P109" s="147"/>
      <c r="Q109" s="147"/>
      <c r="R109" s="112"/>
      <c r="S109" s="112"/>
      <c r="T109" s="112"/>
      <c r="U109" s="146"/>
      <c r="V109" s="113"/>
      <c r="W109" s="113"/>
      <c r="X109" s="126"/>
      <c r="Y109" s="126"/>
    </row>
    <row r="110" spans="1:25" ht="14.7" customHeight="1">
      <c r="A110" s="131" t="s">
        <v>63</v>
      </c>
      <c r="B110" s="131"/>
      <c r="C110">
        <v>89.538082716449424</v>
      </c>
      <c r="D110">
        <v>90.641237239440073</v>
      </c>
      <c r="E110">
        <v>92.698964145968844</v>
      </c>
      <c r="F110">
        <v>84.708232694399797</v>
      </c>
      <c r="G110">
        <v>85.233899999999991</v>
      </c>
      <c r="H110">
        <v>86.105400000000003</v>
      </c>
      <c r="I110" s="147">
        <v>88.850306199577062</v>
      </c>
      <c r="J110" s="112"/>
      <c r="K110" s="112"/>
      <c r="L110" s="126"/>
      <c r="M110" s="112"/>
      <c r="N110" s="126"/>
      <c r="O110" s="147"/>
      <c r="P110" s="147"/>
      <c r="Q110" s="147"/>
      <c r="R110" s="112"/>
      <c r="S110" s="112"/>
      <c r="T110" s="112"/>
      <c r="U110" s="146"/>
      <c r="V110" s="113"/>
      <c r="W110" s="113"/>
      <c r="X110" s="126"/>
      <c r="Y110" s="126"/>
    </row>
    <row r="111" spans="1:25" ht="14.7" customHeight="1">
      <c r="A111" s="131" t="s">
        <v>203</v>
      </c>
      <c r="B111" s="131"/>
      <c r="C111">
        <v>81.902591953851896</v>
      </c>
      <c r="D111">
        <v>86.745089152357309</v>
      </c>
      <c r="E111">
        <v>86.390437529251201</v>
      </c>
      <c r="F111">
        <v>76.509606202466955</v>
      </c>
      <c r="G111">
        <v>76.380600000000001</v>
      </c>
      <c r="H111">
        <v>71.366900000000001</v>
      </c>
      <c r="I111" s="147">
        <v>79.600137046892854</v>
      </c>
      <c r="J111" s="112"/>
      <c r="K111" s="112"/>
      <c r="L111" s="126"/>
      <c r="M111" s="112"/>
      <c r="N111" s="126"/>
      <c r="O111" s="147"/>
      <c r="P111" s="147"/>
      <c r="Q111" s="147"/>
      <c r="R111" s="112"/>
      <c r="S111" s="112"/>
      <c r="T111" s="112"/>
      <c r="U111" s="146"/>
      <c r="V111" s="113"/>
      <c r="W111" s="113"/>
      <c r="X111" s="126"/>
      <c r="Y111" s="126"/>
    </row>
    <row r="112" spans="1:25" ht="14.7" customHeight="1">
      <c r="A112" s="131" t="s">
        <v>64</v>
      </c>
      <c r="B112" s="131"/>
      <c r="C112">
        <v>86.503818982575538</v>
      </c>
      <c r="D112">
        <v>87.331221870311722</v>
      </c>
      <c r="E112">
        <v>87.36665599849205</v>
      </c>
      <c r="F112">
        <v>80.176858943697212</v>
      </c>
      <c r="G112">
        <v>84.035000000000011</v>
      </c>
      <c r="H112">
        <v>81.782699999999991</v>
      </c>
      <c r="I112" s="147">
        <v>82.61342625664426</v>
      </c>
      <c r="J112" s="112"/>
      <c r="K112" s="112"/>
      <c r="L112" s="126"/>
      <c r="M112" s="112"/>
      <c r="N112" s="126"/>
      <c r="O112" s="147"/>
      <c r="P112" s="147"/>
      <c r="Q112" s="147"/>
      <c r="R112" s="112"/>
      <c r="S112" s="112"/>
      <c r="T112" s="112"/>
      <c r="U112" s="146"/>
      <c r="V112" s="113"/>
      <c r="W112" s="113"/>
      <c r="X112" s="126"/>
      <c r="Y112" s="126"/>
    </row>
    <row r="113" spans="1:25" ht="14.7" customHeight="1">
      <c r="A113" s="131" t="s">
        <v>344</v>
      </c>
      <c r="B113" s="131"/>
      <c r="C113">
        <v>87.667887199623692</v>
      </c>
      <c r="D113">
        <v>87.928410806148548</v>
      </c>
      <c r="E113">
        <v>90.910058349429946</v>
      </c>
      <c r="F113">
        <v>87.941240439189727</v>
      </c>
      <c r="G113">
        <v>88.28</v>
      </c>
      <c r="H113">
        <v>88.646999999999991</v>
      </c>
      <c r="I113" s="147">
        <v>86.93318830237007</v>
      </c>
      <c r="J113" s="112"/>
      <c r="K113" s="112"/>
      <c r="L113" s="126"/>
      <c r="M113" s="112"/>
      <c r="N113" s="126"/>
      <c r="O113" s="147"/>
      <c r="P113" s="147"/>
      <c r="Q113" s="147"/>
      <c r="R113" s="112"/>
      <c r="S113" s="112"/>
      <c r="T113" s="112"/>
      <c r="U113" s="146"/>
      <c r="V113" s="113"/>
      <c r="W113" s="113"/>
      <c r="X113" s="126"/>
      <c r="Y113" s="126"/>
    </row>
    <row r="114" spans="1:25" ht="14.7" customHeight="1">
      <c r="A114" s="131" t="s">
        <v>65</v>
      </c>
      <c r="B114" s="131"/>
      <c r="C114">
        <v>87.193654885570098</v>
      </c>
      <c r="D114">
        <v>87.869929609301963</v>
      </c>
      <c r="E114">
        <v>85.114167747462616</v>
      </c>
      <c r="F114">
        <v>79.579505763707729</v>
      </c>
      <c r="G114">
        <v>83.747500000000002</v>
      </c>
      <c r="H114">
        <v>80.630900000000011</v>
      </c>
      <c r="I114" s="147">
        <v>78.473297784856797</v>
      </c>
      <c r="J114" s="112"/>
      <c r="K114" s="112"/>
      <c r="L114" s="126"/>
      <c r="M114" s="112"/>
      <c r="N114" s="126"/>
      <c r="O114" s="147"/>
      <c r="P114" s="147"/>
      <c r="Q114" s="147"/>
      <c r="R114" s="112"/>
      <c r="S114" s="112"/>
      <c r="T114" s="112"/>
      <c r="U114" s="146"/>
      <c r="V114" s="113"/>
      <c r="W114" s="113"/>
      <c r="X114" s="126"/>
      <c r="Y114" s="126"/>
    </row>
    <row r="115" spans="1:25" ht="14.7" customHeight="1">
      <c r="A115" s="131" t="s">
        <v>311</v>
      </c>
      <c r="B115" s="131"/>
      <c r="C115">
        <v>86.056706591199912</v>
      </c>
      <c r="D115">
        <v>85.931353574084909</v>
      </c>
      <c r="E115">
        <v>86.239988777016507</v>
      </c>
      <c r="F115">
        <v>78.329324756290575</v>
      </c>
      <c r="G115">
        <v>80.428200000000004</v>
      </c>
      <c r="H115">
        <v>79.573899999999995</v>
      </c>
      <c r="I115" s="147">
        <v>82.703378459238934</v>
      </c>
      <c r="J115" s="112"/>
      <c r="K115" s="112"/>
      <c r="L115" s="126"/>
      <c r="M115" s="112"/>
      <c r="N115" s="126"/>
      <c r="O115" s="147"/>
      <c r="P115" s="147"/>
      <c r="Q115" s="147"/>
      <c r="R115" s="112"/>
      <c r="S115" s="112"/>
      <c r="T115" s="112"/>
      <c r="U115" s="146"/>
      <c r="V115" s="113"/>
      <c r="W115" s="113"/>
      <c r="X115" s="126"/>
      <c r="Y115" s="126"/>
    </row>
    <row r="116" spans="1:25" ht="14.7" customHeight="1">
      <c r="A116" s="131" t="s">
        <v>66</v>
      </c>
      <c r="B116" s="131"/>
      <c r="C116">
        <v>93.815054121638696</v>
      </c>
      <c r="D116">
        <v>92.28884975596084</v>
      </c>
      <c r="E116">
        <v>93.552414633563529</v>
      </c>
      <c r="F116">
        <v>84.419890680996573</v>
      </c>
      <c r="G116">
        <v>90.774799999999999</v>
      </c>
      <c r="H116">
        <v>89.515699999999995</v>
      </c>
      <c r="I116" s="147">
        <v>89.804259171588328</v>
      </c>
      <c r="J116" s="112"/>
      <c r="K116" s="112"/>
      <c r="L116" s="126"/>
      <c r="M116" s="112"/>
      <c r="N116" s="126"/>
      <c r="O116" s="147"/>
      <c r="P116" s="147"/>
      <c r="Q116" s="147"/>
      <c r="R116" s="112"/>
      <c r="S116" s="112"/>
      <c r="T116" s="112"/>
      <c r="U116" s="147"/>
      <c r="V116" s="149"/>
      <c r="W116" s="149"/>
      <c r="X116" s="126"/>
      <c r="Y116" s="126"/>
    </row>
    <row r="117" spans="1:25" ht="14.7" customHeight="1">
      <c r="A117" s="131" t="s">
        <v>67</v>
      </c>
      <c r="B117" s="131"/>
      <c r="C117">
        <v>88.022331836488149</v>
      </c>
      <c r="D117">
        <v>89.976924032611862</v>
      </c>
      <c r="E117">
        <v>84.843938950216256</v>
      </c>
      <c r="F117">
        <v>82.258623357016546</v>
      </c>
      <c r="G117">
        <v>85.799300000000002</v>
      </c>
      <c r="H117">
        <v>82.490600000000001</v>
      </c>
      <c r="I117" s="147">
        <v>83.875838794352973</v>
      </c>
      <c r="J117" s="112"/>
      <c r="K117" s="112"/>
      <c r="L117" s="126"/>
      <c r="M117" s="112"/>
      <c r="N117" s="126"/>
      <c r="O117" s="147"/>
      <c r="P117" s="147"/>
      <c r="Q117" s="147"/>
      <c r="R117" s="112"/>
      <c r="S117" s="112"/>
      <c r="T117" s="112"/>
      <c r="U117" s="146"/>
      <c r="V117" s="113"/>
      <c r="W117" s="113"/>
      <c r="X117" s="126"/>
      <c r="Y117" s="126"/>
    </row>
    <row r="118" spans="1:25" ht="14.7" customHeight="1">
      <c r="A118" s="131" t="s">
        <v>68</v>
      </c>
      <c r="B118" s="131"/>
      <c r="C118">
        <v>81.097433583901804</v>
      </c>
      <c r="D118">
        <v>84.489082189891192</v>
      </c>
      <c r="E118">
        <v>81.123659596098733</v>
      </c>
      <c r="F118">
        <v>73.670829817266366</v>
      </c>
      <c r="G118">
        <v>73.389300000000006</v>
      </c>
      <c r="H118">
        <v>71.629500000000007</v>
      </c>
      <c r="I118" s="147">
        <v>76.132935045242377</v>
      </c>
      <c r="J118" s="112"/>
      <c r="K118" s="112"/>
      <c r="L118" s="126"/>
      <c r="M118" s="112"/>
      <c r="N118" s="126"/>
      <c r="O118" s="147"/>
      <c r="P118" s="147"/>
      <c r="Q118" s="147"/>
      <c r="R118" s="112"/>
      <c r="S118" s="112"/>
      <c r="T118" s="112"/>
      <c r="U118" s="146"/>
      <c r="V118" s="113"/>
      <c r="W118" s="113"/>
      <c r="X118" s="126"/>
      <c r="Y118" s="126"/>
    </row>
    <row r="119" spans="1:25" ht="14.7" customHeight="1">
      <c r="A119" s="131" t="s">
        <v>897</v>
      </c>
      <c r="B119" s="131"/>
      <c r="C119">
        <v>87.549451245637101</v>
      </c>
      <c r="D119">
        <v>84.827590433812631</v>
      </c>
      <c r="E119">
        <v>85.032564283128224</v>
      </c>
      <c r="F119">
        <v>79.549167530070548</v>
      </c>
      <c r="G119">
        <v>84.248000000000005</v>
      </c>
      <c r="H119">
        <v>84.1999</v>
      </c>
      <c r="I119" s="147">
        <v>78.87145783625418</v>
      </c>
      <c r="J119" s="112"/>
      <c r="K119" s="112"/>
      <c r="L119" s="126"/>
      <c r="M119" s="112"/>
      <c r="N119" s="126"/>
      <c r="O119" s="147"/>
      <c r="P119" s="147"/>
      <c r="Q119" s="147"/>
      <c r="R119" s="112"/>
      <c r="S119" s="112"/>
      <c r="T119" s="112"/>
      <c r="U119" s="146"/>
      <c r="V119" s="113"/>
      <c r="W119" s="113"/>
      <c r="X119" s="126"/>
      <c r="Y119" s="126"/>
    </row>
    <row r="120" spans="1:25" ht="14.7" customHeight="1">
      <c r="A120" s="131" t="s">
        <v>69</v>
      </c>
      <c r="B120" s="131"/>
      <c r="C120">
        <v>87.657510419566989</v>
      </c>
      <c r="D120">
        <v>87.837727298754203</v>
      </c>
      <c r="E120">
        <v>84.77607156846841</v>
      </c>
      <c r="F120">
        <v>76.134285699679566</v>
      </c>
      <c r="G120">
        <v>76.967699999999994</v>
      </c>
      <c r="H120">
        <v>77.155500000000004</v>
      </c>
      <c r="I120" s="146"/>
      <c r="J120" s="144"/>
      <c r="K120" s="144"/>
      <c r="L120" s="126"/>
      <c r="M120" s="144"/>
      <c r="N120" s="126"/>
      <c r="O120" s="146"/>
      <c r="P120" s="146"/>
      <c r="Q120" s="146"/>
      <c r="R120" s="144"/>
      <c r="S120" s="144"/>
      <c r="T120" s="144"/>
      <c r="U120" s="146"/>
      <c r="V120" s="113"/>
      <c r="W120" s="113"/>
      <c r="X120" s="126"/>
      <c r="Y120" s="126"/>
    </row>
    <row r="121" spans="1:25" ht="14.7" customHeight="1">
      <c r="A121" s="131" t="s">
        <v>70</v>
      </c>
      <c r="B121" s="131"/>
      <c r="C121">
        <v>83.09527093549147</v>
      </c>
      <c r="D121">
        <v>88.346547162945129</v>
      </c>
      <c r="E121">
        <v>89.080264265124512</v>
      </c>
      <c r="F121">
        <v>74.222977046422017</v>
      </c>
      <c r="G121">
        <v>77.488100000000003</v>
      </c>
      <c r="H121">
        <v>82.918400000000005</v>
      </c>
      <c r="I121" s="147">
        <v>78.360742506828757</v>
      </c>
      <c r="J121" s="112"/>
      <c r="K121" s="112"/>
      <c r="L121" s="126"/>
      <c r="M121" s="112"/>
      <c r="N121" s="126"/>
      <c r="O121" s="147"/>
      <c r="P121" s="147"/>
      <c r="Q121" s="147"/>
      <c r="R121" s="112"/>
      <c r="S121" s="112"/>
      <c r="T121" s="112"/>
      <c r="U121" s="146"/>
      <c r="V121" s="113"/>
      <c r="W121" s="113"/>
      <c r="X121" s="126"/>
      <c r="Y121" s="126"/>
    </row>
    <row r="122" spans="1:25" ht="14.7" customHeight="1">
      <c r="A122" s="131" t="s">
        <v>71</v>
      </c>
      <c r="B122" s="131"/>
      <c r="C122">
        <v>86.295383923407343</v>
      </c>
      <c r="D122">
        <v>88.261247029019543</v>
      </c>
      <c r="E122">
        <v>86.506639731439947</v>
      </c>
      <c r="F122">
        <v>81.552729253454842</v>
      </c>
      <c r="G122">
        <v>78.842299999999994</v>
      </c>
      <c r="H122">
        <v>82.314800000000005</v>
      </c>
      <c r="I122" s="147">
        <v>80.353941162409996</v>
      </c>
      <c r="J122" s="112"/>
      <c r="K122" s="112"/>
      <c r="L122" s="126"/>
      <c r="M122" s="112"/>
      <c r="N122" s="126"/>
      <c r="O122" s="147"/>
      <c r="P122" s="147"/>
      <c r="Q122" s="147"/>
      <c r="R122" s="112"/>
      <c r="S122" s="112"/>
      <c r="T122" s="112"/>
      <c r="U122" s="146"/>
      <c r="V122" s="113"/>
      <c r="W122" s="113"/>
      <c r="X122" s="126"/>
      <c r="Y122" s="126"/>
    </row>
    <row r="123" spans="1:25" ht="14.7" customHeight="1">
      <c r="A123" s="131" t="s">
        <v>231</v>
      </c>
      <c r="B123" s="131"/>
      <c r="C123">
        <v>84.4649029620455</v>
      </c>
      <c r="D123">
        <v>86.619320425508647</v>
      </c>
      <c r="E123">
        <v>86.010037517730922</v>
      </c>
      <c r="F123">
        <v>76.660937814428763</v>
      </c>
      <c r="G123">
        <v>77.802099999999996</v>
      </c>
      <c r="H123">
        <v>83.280699999999996</v>
      </c>
      <c r="I123" s="147">
        <v>75.050977808893194</v>
      </c>
      <c r="J123" s="112"/>
      <c r="K123" s="112"/>
      <c r="L123" s="126"/>
      <c r="M123" s="112"/>
      <c r="N123" s="126"/>
      <c r="O123" s="147"/>
      <c r="P123" s="147"/>
      <c r="Q123" s="147"/>
      <c r="R123" s="112"/>
      <c r="S123" s="112"/>
      <c r="T123" s="112"/>
      <c r="U123" s="146"/>
      <c r="V123" s="113"/>
      <c r="W123" s="113"/>
      <c r="X123" s="126"/>
      <c r="Y123" s="126"/>
    </row>
    <row r="124" spans="1:25" ht="14.7" customHeight="1">
      <c r="A124" s="131" t="s">
        <v>72</v>
      </c>
      <c r="B124" s="131"/>
      <c r="C124">
        <v>86.390032292597311</v>
      </c>
      <c r="D124">
        <v>88.521564841181572</v>
      </c>
      <c r="E124">
        <v>90.415028986687375</v>
      </c>
      <c r="F124">
        <v>77.244413613477974</v>
      </c>
      <c r="G124">
        <v>79.713800000000006</v>
      </c>
      <c r="H124">
        <v>80.367500000000007</v>
      </c>
      <c r="I124" s="147">
        <v>83.532113859185614</v>
      </c>
      <c r="J124" s="112"/>
      <c r="K124" s="112"/>
      <c r="L124" s="126"/>
      <c r="M124" s="112"/>
      <c r="N124" s="126"/>
      <c r="O124" s="147"/>
      <c r="P124" s="147"/>
      <c r="Q124" s="147"/>
      <c r="R124" s="112"/>
      <c r="S124" s="112"/>
      <c r="T124" s="112"/>
      <c r="U124" s="146"/>
      <c r="V124" s="113"/>
      <c r="W124" s="113"/>
      <c r="X124" s="126"/>
      <c r="Y124" s="126"/>
    </row>
    <row r="125" spans="1:25" ht="14.7" customHeight="1">
      <c r="A125" s="131" t="s">
        <v>73</v>
      </c>
      <c r="B125" s="131"/>
      <c r="C125">
        <v>83.605441286987201</v>
      </c>
      <c r="D125">
        <v>87.287608998917719</v>
      </c>
      <c r="E125">
        <v>84.968688845401175</v>
      </c>
      <c r="F125">
        <v>74.576244817705444</v>
      </c>
      <c r="G125">
        <v>81.699299999999994</v>
      </c>
      <c r="H125">
        <v>78.753700000000009</v>
      </c>
      <c r="I125" s="147">
        <v>81.854505504974455</v>
      </c>
      <c r="J125" s="112"/>
      <c r="K125" s="112"/>
      <c r="L125" s="126"/>
      <c r="M125" s="112"/>
      <c r="N125" s="126"/>
      <c r="O125" s="147"/>
      <c r="P125" s="147"/>
      <c r="Q125" s="147"/>
      <c r="R125" s="112"/>
      <c r="S125" s="112"/>
      <c r="T125" s="112"/>
      <c r="U125" s="146"/>
      <c r="V125" s="113"/>
      <c r="W125" s="113"/>
      <c r="X125" s="126"/>
      <c r="Y125" s="126"/>
    </row>
    <row r="126" spans="1:25" ht="14.7" customHeight="1">
      <c r="A126" s="131" t="s">
        <v>312</v>
      </c>
      <c r="B126" s="131"/>
      <c r="C126">
        <v>86.424611732053194</v>
      </c>
      <c r="D126">
        <v>89.345090608590326</v>
      </c>
      <c r="E126">
        <v>89.266774002760087</v>
      </c>
      <c r="F126">
        <v>80.590561554301615</v>
      </c>
      <c r="G126">
        <v>82.096699999999998</v>
      </c>
      <c r="H126">
        <v>82.875900000000001</v>
      </c>
      <c r="I126" s="147">
        <v>84.086361451106427</v>
      </c>
      <c r="J126" s="112"/>
      <c r="K126" s="112"/>
      <c r="L126" s="126"/>
      <c r="M126" s="112"/>
      <c r="N126" s="126"/>
      <c r="O126" s="147"/>
      <c r="P126" s="147"/>
      <c r="Q126" s="147"/>
      <c r="R126" s="112"/>
      <c r="S126" s="112"/>
      <c r="T126" s="112"/>
      <c r="U126" s="146"/>
      <c r="V126" s="113"/>
      <c r="W126" s="113"/>
      <c r="X126" s="126"/>
      <c r="Y126" s="126"/>
    </row>
    <row r="127" spans="1:25" ht="14.7" customHeight="1">
      <c r="A127" s="131" t="s">
        <v>74</v>
      </c>
      <c r="B127" s="131"/>
      <c r="C127">
        <v>85.363807199196515</v>
      </c>
      <c r="D127">
        <v>81.947219549898449</v>
      </c>
      <c r="E127">
        <v>87.6980051035966</v>
      </c>
      <c r="F127">
        <v>82.779131645864197</v>
      </c>
      <c r="G127">
        <v>84.5274</v>
      </c>
      <c r="H127">
        <v>83.033999999999992</v>
      </c>
      <c r="I127" s="147">
        <v>76.413114292483286</v>
      </c>
      <c r="J127" s="112"/>
      <c r="K127" s="112"/>
      <c r="L127" s="126"/>
      <c r="M127" s="112"/>
      <c r="N127" s="126"/>
      <c r="O127" s="147"/>
      <c r="P127" s="147"/>
      <c r="Q127" s="147"/>
      <c r="R127" s="112"/>
      <c r="S127" s="112"/>
      <c r="T127" s="112"/>
      <c r="U127" s="146"/>
      <c r="V127" s="113"/>
      <c r="W127" s="113"/>
      <c r="X127" s="126"/>
      <c r="Y127" s="126"/>
    </row>
    <row r="128" spans="1:25" ht="14.7" customHeight="1">
      <c r="A128" s="131" t="s">
        <v>75</v>
      </c>
      <c r="B128" s="131"/>
      <c r="C128">
        <v>86.520707636987098</v>
      </c>
      <c r="D128">
        <v>83.433842223559608</v>
      </c>
      <c r="E128">
        <v>85.003211368042784</v>
      </c>
      <c r="F128">
        <v>78.802929676231457</v>
      </c>
      <c r="G128">
        <v>77.755200000000002</v>
      </c>
      <c r="H128">
        <v>74.416000000000011</v>
      </c>
      <c r="I128" s="147">
        <v>76.535403940595032</v>
      </c>
      <c r="J128" s="112"/>
      <c r="K128" s="112"/>
      <c r="L128" s="126"/>
      <c r="M128" s="112"/>
      <c r="N128" s="126"/>
      <c r="O128" s="147"/>
      <c r="P128" s="147"/>
      <c r="Q128" s="147"/>
      <c r="R128" s="112"/>
      <c r="S128" s="112"/>
      <c r="T128" s="112"/>
      <c r="U128" s="147"/>
      <c r="V128" s="149"/>
      <c r="W128" s="149"/>
      <c r="X128" s="126"/>
      <c r="Y128" s="126"/>
    </row>
    <row r="129" spans="1:25" ht="14.7" customHeight="1">
      <c r="A129" s="131" t="s">
        <v>76</v>
      </c>
      <c r="B129" s="131"/>
      <c r="C129">
        <v>83.861197100623897</v>
      </c>
      <c r="D129">
        <v>85.670617796919842</v>
      </c>
      <c r="E129">
        <v>83.334868687192341</v>
      </c>
      <c r="F129">
        <v>74.331108297379487</v>
      </c>
      <c r="G129">
        <v>75.349100000000007</v>
      </c>
      <c r="H129">
        <v>78.693700000000007</v>
      </c>
      <c r="I129" s="147">
        <v>78.006482947598514</v>
      </c>
      <c r="J129" s="112"/>
      <c r="K129" s="112"/>
      <c r="L129" s="126"/>
      <c r="M129" s="112"/>
      <c r="N129" s="126"/>
      <c r="O129" s="147"/>
      <c r="P129" s="147"/>
      <c r="Q129" s="147"/>
      <c r="R129" s="112"/>
      <c r="S129" s="112"/>
      <c r="T129" s="112"/>
      <c r="U129" s="146"/>
      <c r="V129" s="113"/>
      <c r="W129" s="113"/>
      <c r="X129" s="126"/>
      <c r="Y129" s="126"/>
    </row>
    <row r="130" spans="1:25" ht="14.7" customHeight="1">
      <c r="A130" s="131" t="s">
        <v>204</v>
      </c>
      <c r="B130" s="131"/>
      <c r="C130">
        <v>87.452326210784435</v>
      </c>
      <c r="D130">
        <v>90.420644919675084</v>
      </c>
      <c r="E130">
        <v>86.723053559089109</v>
      </c>
      <c r="F130">
        <v>80.06218626006951</v>
      </c>
      <c r="G130">
        <v>79.789299999999997</v>
      </c>
      <c r="H130">
        <v>81.973200000000006</v>
      </c>
      <c r="I130" s="147">
        <v>82.989040271027164</v>
      </c>
      <c r="J130" s="112"/>
      <c r="K130" s="112"/>
      <c r="L130" s="126"/>
      <c r="M130" s="112"/>
      <c r="N130" s="126"/>
      <c r="O130" s="147"/>
      <c r="P130" s="147"/>
      <c r="Q130" s="147"/>
      <c r="R130" s="112"/>
      <c r="S130" s="112"/>
      <c r="T130" s="112"/>
      <c r="U130" s="146"/>
      <c r="V130" s="113"/>
      <c r="W130" s="113"/>
      <c r="X130" s="126"/>
      <c r="Y130" s="126"/>
    </row>
    <row r="131" spans="1:25" ht="14.7" customHeight="1">
      <c r="A131" s="131" t="s">
        <v>77</v>
      </c>
      <c r="B131" s="131"/>
      <c r="C131">
        <v>87.56058114895221</v>
      </c>
      <c r="D131">
        <v>90.974820456534616</v>
      </c>
      <c r="E131">
        <v>93.704087754218264</v>
      </c>
      <c r="F131">
        <v>85.610024338002788</v>
      </c>
      <c r="G131">
        <v>85.381700000000009</v>
      </c>
      <c r="H131">
        <v>84.928100000000001</v>
      </c>
      <c r="I131" s="147">
        <v>83.514650079811418</v>
      </c>
      <c r="J131" s="112"/>
      <c r="K131" s="112"/>
      <c r="L131" s="126"/>
      <c r="M131" s="112"/>
      <c r="N131" s="126"/>
      <c r="O131" s="147"/>
      <c r="P131" s="147"/>
      <c r="Q131" s="147"/>
      <c r="R131" s="112"/>
      <c r="S131" s="112"/>
      <c r="T131" s="112"/>
      <c r="U131" s="146"/>
      <c r="V131" s="113"/>
      <c r="W131" s="113"/>
      <c r="X131" s="126"/>
      <c r="Y131" s="126"/>
    </row>
    <row r="132" spans="1:25" ht="14.7" customHeight="1">
      <c r="A132" s="131" t="s">
        <v>205</v>
      </c>
      <c r="B132" s="131"/>
      <c r="C132">
        <v>90.018769500821392</v>
      </c>
      <c r="D132">
        <v>93.290738049095609</v>
      </c>
      <c r="E132">
        <v>93.101699700934077</v>
      </c>
      <c r="F132">
        <v>86.374920340249588</v>
      </c>
      <c r="G132">
        <v>87.424500000000009</v>
      </c>
      <c r="H132">
        <v>85.958399999999997</v>
      </c>
      <c r="I132" s="147">
        <v>83.009652007225228</v>
      </c>
      <c r="J132" s="112"/>
      <c r="K132" s="112"/>
      <c r="L132" s="126"/>
      <c r="M132" s="112"/>
      <c r="N132" s="126"/>
      <c r="O132" s="147"/>
      <c r="P132" s="147"/>
      <c r="Q132" s="147"/>
      <c r="R132" s="112"/>
      <c r="S132" s="112"/>
      <c r="T132" s="112"/>
      <c r="U132" s="146"/>
      <c r="V132" s="113"/>
      <c r="W132" s="113"/>
      <c r="X132" s="126"/>
      <c r="Y132" s="126"/>
    </row>
    <row r="133" spans="1:25" ht="14.7" customHeight="1">
      <c r="A133" s="131" t="s">
        <v>268</v>
      </c>
      <c r="B133" s="131"/>
      <c r="C133">
        <v>80.854425529801134</v>
      </c>
      <c r="D133">
        <v>84.767393490490974</v>
      </c>
      <c r="E133">
        <v>81.762333390344892</v>
      </c>
      <c r="F133">
        <v>79.049940830003933</v>
      </c>
      <c r="G133">
        <v>74.424900000000008</v>
      </c>
      <c r="H133">
        <v>77.382800000000003</v>
      </c>
      <c r="I133" s="147">
        <v>77.184909860063641</v>
      </c>
      <c r="J133" s="112"/>
      <c r="K133" s="112"/>
      <c r="L133" s="126"/>
      <c r="M133" s="112"/>
      <c r="N133" s="126"/>
      <c r="O133" s="147"/>
      <c r="P133" s="147"/>
      <c r="Q133" s="147"/>
      <c r="R133" s="112"/>
      <c r="S133" s="112"/>
      <c r="T133" s="112"/>
      <c r="U133" s="146"/>
      <c r="V133" s="113"/>
      <c r="W133" s="113"/>
      <c r="X133" s="126"/>
      <c r="Y133" s="126"/>
    </row>
    <row r="134" spans="1:25" ht="14.7" customHeight="1">
      <c r="A134" s="131" t="s">
        <v>78</v>
      </c>
      <c r="B134" s="131"/>
      <c r="C134">
        <v>89.150574760138852</v>
      </c>
      <c r="D134">
        <v>89.923652935321769</v>
      </c>
      <c r="E134">
        <v>88.275448748808756</v>
      </c>
      <c r="F134">
        <v>79.16230959762126</v>
      </c>
      <c r="G134">
        <v>82.465400000000002</v>
      </c>
      <c r="H134">
        <v>79.539400000000001</v>
      </c>
      <c r="I134" s="147">
        <v>84.789792468125</v>
      </c>
      <c r="J134" s="112"/>
      <c r="K134" s="112"/>
      <c r="L134" s="126"/>
      <c r="M134" s="112"/>
      <c r="N134" s="126"/>
      <c r="O134" s="147"/>
      <c r="P134" s="147"/>
      <c r="Q134" s="147"/>
      <c r="R134" s="112"/>
      <c r="S134" s="112"/>
      <c r="T134" s="112"/>
      <c r="U134" s="146"/>
      <c r="V134" s="113"/>
      <c r="W134" s="113"/>
      <c r="X134" s="126"/>
      <c r="Y134" s="126"/>
    </row>
    <row r="135" spans="1:25" ht="14.7" customHeight="1">
      <c r="A135" s="131" t="s">
        <v>336</v>
      </c>
      <c r="B135" s="131"/>
      <c r="C135">
        <v>91.685562001939758</v>
      </c>
      <c r="D135">
        <v>94.03292964811024</v>
      </c>
      <c r="E135">
        <v>94.024600081712194</v>
      </c>
      <c r="F135">
        <v>88.289221403410025</v>
      </c>
      <c r="G135">
        <v>83.926599999999993</v>
      </c>
      <c r="H135">
        <v>81.33890000000001</v>
      </c>
      <c r="I135" s="147">
        <v>88.483627349049343</v>
      </c>
      <c r="J135" s="112"/>
      <c r="K135" s="112"/>
      <c r="L135" s="126"/>
      <c r="M135" s="112"/>
      <c r="N135" s="126"/>
      <c r="O135" s="147"/>
      <c r="P135" s="147"/>
      <c r="Q135" s="147"/>
      <c r="R135" s="112"/>
      <c r="S135" s="112"/>
      <c r="T135" s="112"/>
      <c r="U135" s="146"/>
      <c r="V135" s="113"/>
      <c r="W135" s="113"/>
      <c r="X135" s="126"/>
      <c r="Y135" s="126"/>
    </row>
    <row r="136" spans="1:25" ht="14.7" customHeight="1">
      <c r="A136" s="131" t="s">
        <v>313</v>
      </c>
      <c r="B136" s="131"/>
      <c r="C136">
        <v>88.390706209845476</v>
      </c>
      <c r="D136">
        <v>87.717498400937131</v>
      </c>
      <c r="E136">
        <v>88.878242128292257</v>
      </c>
      <c r="F136">
        <v>80.152583396964232</v>
      </c>
      <c r="G136">
        <v>83.796000000000006</v>
      </c>
      <c r="H136">
        <v>82.884500000000003</v>
      </c>
      <c r="I136" s="147">
        <v>83.09730584074228</v>
      </c>
      <c r="J136" s="112"/>
      <c r="K136" s="112"/>
      <c r="L136" s="126"/>
      <c r="M136" s="112"/>
      <c r="N136" s="126"/>
      <c r="O136" s="147"/>
      <c r="P136" s="147"/>
      <c r="Q136" s="147"/>
      <c r="R136" s="112"/>
      <c r="S136" s="112"/>
      <c r="T136" s="112"/>
      <c r="U136" s="146"/>
      <c r="V136" s="113"/>
      <c r="W136" s="113"/>
      <c r="X136" s="126"/>
      <c r="Y136" s="126"/>
    </row>
    <row r="137" spans="1:25" ht="14.7" customHeight="1">
      <c r="A137" s="131" t="s">
        <v>79</v>
      </c>
      <c r="B137" s="131"/>
      <c r="C137">
        <v>86.704333216120688</v>
      </c>
      <c r="D137">
        <v>88.347595642852681</v>
      </c>
      <c r="E137">
        <v>92.486988096832945</v>
      </c>
      <c r="F137">
        <v>82.71370199874849</v>
      </c>
      <c r="G137">
        <v>82.559200000000004</v>
      </c>
      <c r="H137">
        <v>81.879800000000003</v>
      </c>
      <c r="I137" s="147">
        <v>80.733315578469814</v>
      </c>
      <c r="J137" s="112"/>
      <c r="K137" s="112"/>
      <c r="L137" s="126"/>
      <c r="M137" s="112"/>
      <c r="N137" s="126"/>
      <c r="O137" s="147"/>
      <c r="P137" s="147"/>
      <c r="Q137" s="147"/>
      <c r="R137" s="112"/>
      <c r="S137" s="112"/>
      <c r="T137" s="112"/>
      <c r="U137" s="146"/>
      <c r="V137" s="113"/>
      <c r="W137" s="113"/>
      <c r="X137" s="126"/>
      <c r="Y137" s="126"/>
    </row>
    <row r="138" spans="1:25" ht="14.7" customHeight="1">
      <c r="A138" s="131" t="s">
        <v>206</v>
      </c>
      <c r="B138" s="131"/>
      <c r="C138">
        <v>92.689512128490833</v>
      </c>
      <c r="D138">
        <v>92.299239496019396</v>
      </c>
      <c r="E138">
        <v>89.374713949781423</v>
      </c>
      <c r="F138">
        <v>81.945289091538243</v>
      </c>
      <c r="G138">
        <v>84.316400000000002</v>
      </c>
      <c r="H138">
        <v>79.313199999999995</v>
      </c>
      <c r="I138" s="147">
        <v>84.455801628983579</v>
      </c>
      <c r="J138" s="112"/>
      <c r="K138" s="112"/>
      <c r="L138" s="126"/>
      <c r="M138" s="112"/>
      <c r="N138" s="126"/>
      <c r="O138" s="147"/>
      <c r="P138" s="147"/>
      <c r="Q138" s="147"/>
      <c r="R138" s="112"/>
      <c r="S138" s="112"/>
      <c r="T138" s="112"/>
      <c r="U138" s="146"/>
      <c r="V138" s="113"/>
      <c r="W138" s="113"/>
      <c r="X138" s="126"/>
      <c r="Y138" s="126"/>
    </row>
    <row r="139" spans="1:25" ht="14.7" customHeight="1">
      <c r="A139" s="131" t="s">
        <v>80</v>
      </c>
      <c r="B139" s="131"/>
      <c r="C139">
        <v>81.871073189402296</v>
      </c>
      <c r="D139">
        <v>86.538551847911975</v>
      </c>
      <c r="E139">
        <v>84.282512440894308</v>
      </c>
      <c r="F139">
        <v>70.366765391699005</v>
      </c>
      <c r="G139">
        <v>78.438500000000005</v>
      </c>
      <c r="H139">
        <v>77.561300000000003</v>
      </c>
      <c r="I139" s="147">
        <v>73.035481687795397</v>
      </c>
      <c r="J139" s="112"/>
      <c r="K139" s="112"/>
      <c r="L139" s="126"/>
      <c r="M139" s="112"/>
      <c r="N139" s="126"/>
      <c r="O139" s="147"/>
      <c r="P139" s="147"/>
      <c r="Q139" s="147"/>
      <c r="R139" s="112"/>
      <c r="S139" s="112"/>
      <c r="T139" s="112"/>
      <c r="U139" s="146"/>
      <c r="V139" s="113"/>
      <c r="W139" s="113"/>
      <c r="X139" s="126"/>
      <c r="Y139" s="126"/>
    </row>
    <row r="140" spans="1:25" ht="14.7" customHeight="1">
      <c r="A140" s="131" t="s">
        <v>81</v>
      </c>
      <c r="B140" s="131"/>
      <c r="C140">
        <v>86.85247734516895</v>
      </c>
      <c r="D140">
        <v>90.416592788243051</v>
      </c>
      <c r="E140">
        <v>88.925954817895658</v>
      </c>
      <c r="F140">
        <v>82.582548887402439</v>
      </c>
      <c r="G140">
        <v>85.020499999999998</v>
      </c>
      <c r="H140">
        <v>80.537800000000004</v>
      </c>
      <c r="I140" s="147">
        <v>86.368889654737089</v>
      </c>
      <c r="J140" s="112"/>
      <c r="K140" s="112"/>
      <c r="L140" s="126"/>
      <c r="M140" s="112"/>
      <c r="N140" s="126"/>
      <c r="O140" s="147"/>
      <c r="P140" s="147"/>
      <c r="Q140" s="147"/>
      <c r="R140" s="112"/>
      <c r="S140" s="112"/>
      <c r="T140" s="112"/>
      <c r="U140" s="146"/>
      <c r="V140" s="113"/>
      <c r="W140" s="113"/>
      <c r="X140" s="126"/>
      <c r="Y140" s="126"/>
    </row>
    <row r="141" spans="1:25" ht="14.7" customHeight="1">
      <c r="A141" s="131" t="s">
        <v>207</v>
      </c>
      <c r="B141" s="131"/>
      <c r="C141">
        <v>88.309093246614395</v>
      </c>
      <c r="D141">
        <v>85.352787261488643</v>
      </c>
      <c r="E141">
        <v>83.773501649911751</v>
      </c>
      <c r="F141">
        <v>79.235747150389329</v>
      </c>
      <c r="G141">
        <v>76.5779</v>
      </c>
      <c r="H141">
        <v>75.067599999999999</v>
      </c>
      <c r="I141" s="147">
        <v>78.909587787374761</v>
      </c>
      <c r="J141" s="112"/>
      <c r="K141" s="112"/>
      <c r="L141" s="126"/>
      <c r="M141" s="112"/>
      <c r="N141" s="126"/>
      <c r="O141" s="147"/>
      <c r="P141" s="147"/>
      <c r="Q141" s="147"/>
      <c r="R141" s="112"/>
      <c r="S141" s="112"/>
      <c r="T141" s="112"/>
      <c r="U141" s="146"/>
      <c r="V141" s="113"/>
      <c r="W141" s="113"/>
      <c r="X141" s="126"/>
      <c r="Y141" s="126"/>
    </row>
    <row r="142" spans="1:25" ht="14.7" customHeight="1">
      <c r="A142" s="131" t="s">
        <v>82</v>
      </c>
      <c r="B142" s="131"/>
      <c r="C142">
        <v>89.621763784789835</v>
      </c>
      <c r="D142">
        <v>90.526972043575256</v>
      </c>
      <c r="E142">
        <v>88.997341260870527</v>
      </c>
      <c r="F142">
        <v>80.213137406551553</v>
      </c>
      <c r="G142">
        <v>86.028300000000002</v>
      </c>
      <c r="H142">
        <v>82.250500000000002</v>
      </c>
      <c r="I142" s="147">
        <v>83.68457648705197</v>
      </c>
      <c r="J142" s="112"/>
      <c r="K142" s="112"/>
      <c r="L142" s="126"/>
      <c r="M142" s="112"/>
      <c r="N142" s="126"/>
      <c r="O142" s="147"/>
      <c r="P142" s="147"/>
      <c r="Q142" s="147"/>
      <c r="R142" s="112"/>
      <c r="S142" s="112"/>
      <c r="T142" s="112"/>
      <c r="U142" s="146"/>
      <c r="V142" s="113"/>
      <c r="W142" s="113"/>
      <c r="X142" s="126"/>
      <c r="Y142" s="126"/>
    </row>
    <row r="143" spans="1:25" ht="14.7" customHeight="1">
      <c r="A143" s="131" t="s">
        <v>269</v>
      </c>
      <c r="B143" s="131"/>
      <c r="C143">
        <v>82.606795900512083</v>
      </c>
      <c r="D143">
        <v>78.784094203706587</v>
      </c>
      <c r="E143">
        <v>83.16900959230702</v>
      </c>
      <c r="F143">
        <v>76.491470989789974</v>
      </c>
      <c r="G143">
        <v>74.702799999999996</v>
      </c>
      <c r="H143">
        <v>73.953999999999994</v>
      </c>
      <c r="I143" s="147">
        <v>73.311168097946918</v>
      </c>
      <c r="J143" s="112"/>
      <c r="K143" s="112"/>
      <c r="L143" s="126"/>
      <c r="M143" s="112"/>
      <c r="N143" s="126"/>
      <c r="O143" s="147"/>
      <c r="P143" s="147"/>
      <c r="Q143" s="147"/>
      <c r="R143" s="112"/>
      <c r="S143" s="112"/>
      <c r="T143" s="112"/>
      <c r="U143" s="146"/>
      <c r="V143" s="113"/>
      <c r="W143" s="113"/>
      <c r="X143" s="126"/>
      <c r="Y143" s="126"/>
    </row>
    <row r="144" spans="1:25" ht="14.7" customHeight="1">
      <c r="A144" s="131" t="s">
        <v>83</v>
      </c>
      <c r="B144" s="131"/>
      <c r="C144">
        <v>85.992902507012062</v>
      </c>
      <c r="D144">
        <v>87.623153712117514</v>
      </c>
      <c r="E144">
        <v>85.441907869527256</v>
      </c>
      <c r="F144">
        <v>83.357868909961454</v>
      </c>
      <c r="G144">
        <v>79.428899999999999</v>
      </c>
      <c r="H144">
        <v>77.959599999999995</v>
      </c>
      <c r="I144" s="147">
        <v>80.295471478328167</v>
      </c>
      <c r="J144" s="112"/>
      <c r="K144" s="112"/>
      <c r="L144" s="126"/>
      <c r="M144" s="112"/>
      <c r="N144" s="126"/>
      <c r="O144" s="147"/>
      <c r="P144" s="147"/>
      <c r="Q144" s="147"/>
      <c r="R144" s="112"/>
      <c r="S144" s="112"/>
      <c r="T144" s="112"/>
      <c r="U144" s="146"/>
      <c r="V144" s="113"/>
      <c r="W144" s="113"/>
      <c r="X144" s="126"/>
      <c r="Y144" s="126"/>
    </row>
    <row r="145" spans="1:25" ht="14.7" customHeight="1">
      <c r="A145" s="131" t="s">
        <v>84</v>
      </c>
      <c r="B145" s="131"/>
      <c r="C145">
        <v>84.884030270773223</v>
      </c>
      <c r="D145">
        <v>84.066087587876453</v>
      </c>
      <c r="E145">
        <v>84.010350748494545</v>
      </c>
      <c r="F145">
        <v>78.952853710691954</v>
      </c>
      <c r="G145">
        <v>82.732700000000008</v>
      </c>
      <c r="H145">
        <v>79.103500000000011</v>
      </c>
      <c r="I145" s="147">
        <v>83.64737913261456</v>
      </c>
      <c r="J145" s="112"/>
      <c r="K145" s="112"/>
      <c r="L145" s="126"/>
      <c r="M145" s="112"/>
      <c r="N145" s="126"/>
      <c r="O145" s="147"/>
      <c r="P145" s="147"/>
      <c r="Q145" s="147"/>
      <c r="R145" s="112"/>
      <c r="S145" s="112"/>
      <c r="T145" s="112"/>
      <c r="U145" s="146"/>
      <c r="V145" s="113"/>
      <c r="W145" s="113"/>
      <c r="X145" s="126"/>
      <c r="Y145" s="126"/>
    </row>
    <row r="146" spans="1:25" ht="14.7" customHeight="1">
      <c r="A146" s="131" t="s">
        <v>208</v>
      </c>
      <c r="B146" s="131"/>
      <c r="C146">
        <v>86.05795920580168</v>
      </c>
      <c r="D146">
        <v>88.991309306241845</v>
      </c>
      <c r="E146">
        <v>87.894491919790184</v>
      </c>
      <c r="F146">
        <v>80.037818444474084</v>
      </c>
      <c r="G146">
        <v>76.5017</v>
      </c>
      <c r="H146">
        <v>79.103700000000003</v>
      </c>
      <c r="I146" s="147">
        <v>82.356060430728292</v>
      </c>
      <c r="J146" s="112"/>
      <c r="K146" s="112"/>
      <c r="L146" s="126"/>
      <c r="M146" s="112"/>
      <c r="N146" s="126"/>
      <c r="O146" s="147"/>
      <c r="P146" s="147"/>
      <c r="Q146" s="147"/>
      <c r="R146" s="112"/>
      <c r="S146" s="112"/>
      <c r="T146" s="112"/>
      <c r="U146" s="146"/>
      <c r="V146" s="113"/>
      <c r="W146" s="113"/>
      <c r="X146" s="126"/>
      <c r="Y146" s="126"/>
    </row>
    <row r="147" spans="1:25" ht="14.7" customHeight="1">
      <c r="A147" s="131" t="s">
        <v>816</v>
      </c>
      <c r="B147" s="131"/>
      <c r="C147">
        <v>87.902155568477667</v>
      </c>
      <c r="D147">
        <v>88.922296898950592</v>
      </c>
      <c r="E147">
        <v>87.308208911642765</v>
      </c>
      <c r="F147">
        <v>78.187334849342136</v>
      </c>
      <c r="G147">
        <v>80.814099999999996</v>
      </c>
      <c r="H147">
        <v>76.078599999999994</v>
      </c>
      <c r="I147" s="147">
        <v>79.906297385362919</v>
      </c>
      <c r="J147" s="112"/>
      <c r="K147" s="112"/>
      <c r="L147" s="126"/>
      <c r="M147" s="112"/>
      <c r="N147" s="126"/>
      <c r="O147" s="147"/>
      <c r="P147" s="147"/>
      <c r="Q147" s="147"/>
      <c r="R147" s="112"/>
      <c r="S147" s="112"/>
      <c r="T147" s="112"/>
      <c r="U147" s="146"/>
      <c r="V147" s="113"/>
      <c r="W147" s="113"/>
      <c r="X147" s="126"/>
      <c r="Y147" s="126"/>
    </row>
    <row r="148" spans="1:25" ht="14.7" customHeight="1">
      <c r="A148" s="131" t="s">
        <v>314</v>
      </c>
      <c r="B148" s="131"/>
      <c r="C148">
        <v>87.860318668783705</v>
      </c>
      <c r="D148">
        <v>89.386162822103572</v>
      </c>
      <c r="E148">
        <v>88.142296752086935</v>
      </c>
      <c r="F148">
        <v>80.892542753534812</v>
      </c>
      <c r="G148">
        <v>81.533500000000004</v>
      </c>
      <c r="H148">
        <v>81.723799999999997</v>
      </c>
      <c r="I148" s="147">
        <v>84.546740883384402</v>
      </c>
      <c r="J148" s="112"/>
      <c r="K148" s="112"/>
      <c r="L148" s="126"/>
      <c r="M148" s="112"/>
      <c r="N148" s="126"/>
      <c r="O148" s="147"/>
      <c r="P148" s="147"/>
      <c r="Q148" s="147"/>
      <c r="R148" s="112"/>
      <c r="S148" s="112"/>
      <c r="T148" s="112"/>
      <c r="U148" s="147"/>
      <c r="V148" s="149"/>
      <c r="W148" s="149"/>
      <c r="X148" s="126"/>
      <c r="Y148" s="126"/>
    </row>
    <row r="149" spans="1:25" ht="14.7" customHeight="1">
      <c r="A149" s="131" t="s">
        <v>85</v>
      </c>
      <c r="B149" s="131"/>
      <c r="C149">
        <v>88.283972268874862</v>
      </c>
      <c r="D149">
        <v>88.732873988854209</v>
      </c>
      <c r="E149">
        <v>87.921149504367179</v>
      </c>
      <c r="F149">
        <v>80.462527278763076</v>
      </c>
      <c r="G149">
        <v>76.293700000000001</v>
      </c>
      <c r="H149">
        <v>79.798199999999994</v>
      </c>
      <c r="I149" s="147">
        <v>86.767004660693942</v>
      </c>
      <c r="J149" s="112"/>
      <c r="K149" s="112"/>
      <c r="L149" s="126"/>
      <c r="M149" s="112"/>
      <c r="N149" s="126"/>
      <c r="O149" s="147"/>
      <c r="P149" s="147"/>
      <c r="Q149" s="147"/>
      <c r="R149" s="112"/>
      <c r="S149" s="112"/>
      <c r="T149" s="112"/>
      <c r="U149" s="147"/>
      <c r="V149" s="149"/>
      <c r="W149" s="149"/>
      <c r="X149" s="126"/>
      <c r="Y149" s="126"/>
    </row>
    <row r="150" spans="1:25" ht="14.7" customHeight="1">
      <c r="A150" s="131" t="s">
        <v>86</v>
      </c>
      <c r="B150" s="131"/>
      <c r="C150">
        <v>89.648634424476171</v>
      </c>
      <c r="D150">
        <v>87.105387758917445</v>
      </c>
      <c r="E150">
        <v>89.964182737875518</v>
      </c>
      <c r="F150">
        <v>80.516668712685373</v>
      </c>
      <c r="G150">
        <v>85.575999999999993</v>
      </c>
      <c r="H150">
        <v>80.783600000000007</v>
      </c>
      <c r="I150" s="147">
        <v>86.790958981324778</v>
      </c>
      <c r="J150" s="112"/>
      <c r="K150" s="112"/>
      <c r="L150" s="126"/>
      <c r="M150" s="112"/>
      <c r="N150" s="126"/>
      <c r="O150" s="147"/>
      <c r="P150" s="147"/>
      <c r="Q150" s="147"/>
      <c r="R150" s="112"/>
      <c r="S150" s="112"/>
      <c r="T150" s="112"/>
      <c r="U150" s="146"/>
      <c r="V150" s="113"/>
      <c r="W150" s="113"/>
      <c r="X150" s="126"/>
      <c r="Y150" s="126"/>
    </row>
    <row r="151" spans="1:25" ht="14.7" customHeight="1">
      <c r="A151" s="131" t="s">
        <v>209</v>
      </c>
      <c r="B151" s="131"/>
      <c r="C151">
        <v>87.508403422115194</v>
      </c>
      <c r="D151">
        <v>86.302543776027306</v>
      </c>
      <c r="E151">
        <v>87.789332503609089</v>
      </c>
      <c r="F151">
        <v>74.943837056229</v>
      </c>
      <c r="G151">
        <v>80.159599999999998</v>
      </c>
      <c r="H151">
        <v>74.751999999999995</v>
      </c>
      <c r="I151" s="146">
        <v>78.753158747871865</v>
      </c>
      <c r="J151" s="144"/>
      <c r="K151" s="144"/>
      <c r="L151" s="126"/>
      <c r="M151" s="144"/>
      <c r="N151" s="126"/>
      <c r="O151" s="146"/>
      <c r="P151" s="146"/>
      <c r="Q151" s="146"/>
      <c r="R151" s="144"/>
      <c r="S151" s="144"/>
      <c r="T151" s="144"/>
      <c r="U151" s="146"/>
      <c r="V151" s="113"/>
      <c r="W151" s="113"/>
      <c r="X151" s="126"/>
      <c r="Y151" s="126"/>
    </row>
    <row r="152" spans="1:25" ht="14.7" customHeight="1">
      <c r="A152" s="131" t="s">
        <v>345</v>
      </c>
      <c r="B152" s="131"/>
      <c r="C152">
        <v>88.17864991873175</v>
      </c>
      <c r="D152">
        <v>89.498712225619684</v>
      </c>
      <c r="E152">
        <v>88.761057411816651</v>
      </c>
      <c r="F152">
        <v>80.857668445959717</v>
      </c>
      <c r="G152">
        <v>79.688000000000002</v>
      </c>
      <c r="H152">
        <v>77.427599999999998</v>
      </c>
      <c r="I152" s="147">
        <v>83.662806862085901</v>
      </c>
      <c r="J152" s="112"/>
      <c r="K152" s="112"/>
      <c r="L152" s="126"/>
      <c r="M152" s="112"/>
      <c r="N152" s="126"/>
      <c r="O152" s="147"/>
      <c r="P152" s="147"/>
      <c r="Q152" s="147"/>
      <c r="R152" s="112"/>
      <c r="S152" s="112"/>
      <c r="T152" s="112"/>
      <c r="U152" s="146"/>
      <c r="V152" s="113"/>
      <c r="W152" s="113"/>
      <c r="X152" s="126"/>
      <c r="Y152" s="126"/>
    </row>
    <row r="153" spans="1:25" ht="14.7" customHeight="1">
      <c r="A153" s="131" t="s">
        <v>87</v>
      </c>
      <c r="B153" s="131"/>
      <c r="C153">
        <v>91.306985516844364</v>
      </c>
      <c r="D153">
        <v>88.541258490073162</v>
      </c>
      <c r="E153">
        <v>92.602967610615565</v>
      </c>
      <c r="F153">
        <v>82.463228608084492</v>
      </c>
      <c r="G153">
        <v>84.882599999999996</v>
      </c>
      <c r="H153">
        <v>83.9375</v>
      </c>
      <c r="I153" s="147">
        <v>85.215066128773415</v>
      </c>
      <c r="J153" s="112"/>
      <c r="K153" s="112"/>
      <c r="L153" s="126"/>
      <c r="M153" s="112"/>
      <c r="N153" s="126"/>
      <c r="O153" s="147"/>
      <c r="P153" s="147"/>
      <c r="Q153" s="147"/>
      <c r="R153" s="112"/>
      <c r="S153" s="112"/>
      <c r="T153" s="112"/>
      <c r="U153" s="146"/>
      <c r="V153" s="113"/>
      <c r="W153" s="113"/>
      <c r="X153" s="126"/>
      <c r="Y153" s="126"/>
    </row>
    <row r="154" spans="1:25" ht="14.7" customHeight="1">
      <c r="A154" s="131" t="s">
        <v>210</v>
      </c>
      <c r="B154" s="131"/>
      <c r="C154">
        <v>87.88821057345136</v>
      </c>
      <c r="D154">
        <v>88.348361548201865</v>
      </c>
      <c r="E154">
        <v>90.66170462791375</v>
      </c>
      <c r="F154">
        <v>72.111216686096242</v>
      </c>
      <c r="G154">
        <v>73.557500000000005</v>
      </c>
      <c r="H154">
        <v>81.35090000000001</v>
      </c>
      <c r="I154" s="147">
        <v>77.019316613640257</v>
      </c>
      <c r="J154" s="112"/>
      <c r="K154" s="112"/>
      <c r="L154" s="126"/>
      <c r="M154" s="112"/>
      <c r="N154" s="126"/>
      <c r="O154" s="147"/>
      <c r="P154" s="147"/>
      <c r="Q154" s="147"/>
      <c r="R154" s="112"/>
      <c r="S154" s="112"/>
      <c r="T154" s="112"/>
      <c r="U154" s="146"/>
      <c r="V154" s="113"/>
      <c r="W154" s="113"/>
      <c r="X154" s="126"/>
      <c r="Y154" s="126"/>
    </row>
    <row r="155" spans="1:25" ht="14.7" customHeight="1">
      <c r="A155" s="131" t="s">
        <v>88</v>
      </c>
      <c r="B155" s="131"/>
      <c r="C155">
        <v>91.259771992345776</v>
      </c>
      <c r="D155">
        <v>87.944832841379053</v>
      </c>
      <c r="E155">
        <v>88.287479010345109</v>
      </c>
      <c r="F155">
        <v>81.806096253053326</v>
      </c>
      <c r="G155">
        <v>80.840999999999994</v>
      </c>
      <c r="H155">
        <v>81.207899999999995</v>
      </c>
      <c r="I155" s="147">
        <v>80.452729669141519</v>
      </c>
      <c r="J155" s="112"/>
      <c r="K155" s="112"/>
      <c r="L155" s="126"/>
      <c r="M155" s="112"/>
      <c r="N155" s="126"/>
      <c r="O155" s="147"/>
      <c r="P155" s="147"/>
      <c r="Q155" s="147"/>
      <c r="R155" s="112"/>
      <c r="S155" s="112"/>
      <c r="T155" s="112"/>
      <c r="U155" s="146"/>
      <c r="V155" s="113"/>
      <c r="W155" s="113"/>
      <c r="X155" s="126"/>
      <c r="Y155" s="126"/>
    </row>
    <row r="156" spans="1:25" ht="14.7" customHeight="1">
      <c r="A156" s="131" t="s">
        <v>89</v>
      </c>
      <c r="B156" s="131"/>
      <c r="C156">
        <v>86.440018487175792</v>
      </c>
      <c r="D156">
        <v>86.10594682854672</v>
      </c>
      <c r="E156">
        <v>82.062241164408363</v>
      </c>
      <c r="F156">
        <v>72.591183760533411</v>
      </c>
      <c r="G156">
        <v>75.325400000000002</v>
      </c>
      <c r="H156">
        <v>67.804299999999998</v>
      </c>
      <c r="I156" s="147">
        <v>77.551421506656155</v>
      </c>
      <c r="J156" s="112"/>
      <c r="K156" s="112"/>
      <c r="L156" s="126"/>
      <c r="M156" s="112"/>
      <c r="N156" s="126"/>
      <c r="O156" s="147"/>
      <c r="P156" s="147"/>
      <c r="Q156" s="147"/>
      <c r="R156" s="112"/>
      <c r="S156" s="112"/>
      <c r="T156" s="112"/>
      <c r="U156" s="146"/>
      <c r="V156" s="113"/>
      <c r="W156" s="113"/>
      <c r="X156" s="126"/>
      <c r="Y156" s="126"/>
    </row>
    <row r="157" spans="1:25" ht="14.7" customHeight="1">
      <c r="A157" s="131" t="s">
        <v>90</v>
      </c>
      <c r="B157" s="131"/>
      <c r="C157">
        <v>89.233542510713178</v>
      </c>
      <c r="D157">
        <v>86.108989905777761</v>
      </c>
      <c r="E157">
        <v>88.142606065961687</v>
      </c>
      <c r="F157">
        <v>79.15224645175779</v>
      </c>
      <c r="G157">
        <v>83.326599999999999</v>
      </c>
      <c r="H157">
        <v>80.445300000000003</v>
      </c>
      <c r="I157" s="147">
        <v>80.378583310933735</v>
      </c>
      <c r="J157" s="112"/>
      <c r="K157" s="112"/>
      <c r="L157" s="126"/>
      <c r="M157" s="112"/>
      <c r="N157" s="126"/>
      <c r="O157" s="147"/>
      <c r="P157" s="147"/>
      <c r="Q157" s="147"/>
      <c r="R157" s="112"/>
      <c r="S157" s="112"/>
      <c r="T157" s="112"/>
      <c r="U157" s="146"/>
      <c r="V157" s="113"/>
      <c r="W157" s="113"/>
      <c r="X157" s="126"/>
      <c r="Y157" s="126"/>
    </row>
    <row r="158" spans="1:25" ht="14.7" customHeight="1">
      <c r="A158" s="131" t="s">
        <v>270</v>
      </c>
      <c r="B158" s="131"/>
      <c r="C158">
        <v>82.708211068643337</v>
      </c>
      <c r="D158">
        <v>87.928474703473469</v>
      </c>
      <c r="E158">
        <v>86.772242076924286</v>
      </c>
      <c r="F158">
        <v>82.493721029657749</v>
      </c>
      <c r="G158">
        <v>79.991100000000003</v>
      </c>
      <c r="H158">
        <v>86.394599999999997</v>
      </c>
      <c r="I158" s="147">
        <v>83.833558960633951</v>
      </c>
      <c r="J158" s="112"/>
      <c r="K158" s="112"/>
      <c r="L158" s="126"/>
      <c r="M158" s="112"/>
      <c r="N158" s="126"/>
      <c r="O158" s="147"/>
      <c r="P158" s="147"/>
      <c r="Q158" s="147"/>
      <c r="R158" s="112"/>
      <c r="S158" s="112"/>
      <c r="T158" s="112"/>
      <c r="U158" s="146"/>
      <c r="V158" s="113"/>
      <c r="W158" s="113"/>
      <c r="X158" s="126"/>
      <c r="Y158" s="126"/>
    </row>
    <row r="159" spans="1:25" ht="14.7" customHeight="1">
      <c r="A159" s="131" t="s">
        <v>2</v>
      </c>
      <c r="B159" s="131"/>
      <c r="C159">
        <v>89.873899016257624</v>
      </c>
      <c r="D159">
        <v>96.312378827716245</v>
      </c>
      <c r="E159">
        <v>94.493117851699296</v>
      </c>
      <c r="F159">
        <v>85.826091201921201</v>
      </c>
      <c r="G159">
        <v>87.510100000000008</v>
      </c>
      <c r="H159">
        <v>87.695599999999999</v>
      </c>
      <c r="I159" s="147">
        <v>88.756613242205489</v>
      </c>
      <c r="J159" s="112"/>
      <c r="K159" s="112"/>
      <c r="L159" s="126"/>
      <c r="M159" s="112"/>
      <c r="N159" s="126"/>
      <c r="O159" s="147"/>
      <c r="P159" s="147"/>
      <c r="Q159" s="147"/>
      <c r="R159" s="112"/>
      <c r="S159" s="112"/>
      <c r="T159" s="112"/>
      <c r="U159" s="146"/>
      <c r="V159" s="113"/>
      <c r="W159" s="113"/>
      <c r="X159" s="126"/>
      <c r="Y159" s="126"/>
    </row>
    <row r="160" spans="1:25" ht="14.7" customHeight="1">
      <c r="A160" s="131" t="s">
        <v>211</v>
      </c>
      <c r="B160" s="131"/>
      <c r="C160">
        <v>94.52679413179608</v>
      </c>
      <c r="D160">
        <v>91.55104108803009</v>
      </c>
      <c r="E160">
        <v>94.641079202701903</v>
      </c>
      <c r="F160">
        <v>86.967847035102864</v>
      </c>
      <c r="G160">
        <v>88.692800000000005</v>
      </c>
      <c r="H160">
        <v>88.081299999999999</v>
      </c>
      <c r="I160" s="147">
        <v>86.484786413352055</v>
      </c>
      <c r="J160" s="112"/>
      <c r="K160" s="112"/>
      <c r="L160" s="126"/>
      <c r="M160" s="112"/>
      <c r="N160" s="126"/>
      <c r="O160" s="147"/>
      <c r="P160" s="147"/>
      <c r="Q160" s="147"/>
      <c r="R160" s="112"/>
      <c r="S160" s="112"/>
      <c r="T160" s="112"/>
      <c r="U160" s="147"/>
      <c r="V160" s="149"/>
      <c r="W160" s="149"/>
      <c r="X160" s="126"/>
      <c r="Y160" s="126"/>
    </row>
    <row r="161" spans="1:25" ht="14.7" customHeight="1">
      <c r="A161" s="131" t="s">
        <v>337</v>
      </c>
      <c r="B161" s="131"/>
      <c r="C161">
        <v>92.761563165863649</v>
      </c>
      <c r="D161">
        <v>91.44925765259363</v>
      </c>
      <c r="E161">
        <v>93.480155430472053</v>
      </c>
      <c r="F161">
        <v>82.265041945907754</v>
      </c>
      <c r="G161">
        <v>83.012699999999995</v>
      </c>
      <c r="H161">
        <v>83.679999999999993</v>
      </c>
      <c r="I161" s="147">
        <v>86.928464667885976</v>
      </c>
      <c r="J161" s="112"/>
      <c r="K161" s="112"/>
      <c r="L161" s="126"/>
      <c r="M161" s="112"/>
      <c r="N161" s="126"/>
      <c r="O161" s="147"/>
      <c r="P161" s="147"/>
      <c r="Q161" s="147"/>
      <c r="R161" s="112"/>
      <c r="S161" s="112"/>
      <c r="T161" s="112"/>
      <c r="U161" s="146"/>
      <c r="V161" s="113"/>
      <c r="W161" s="113"/>
      <c r="X161" s="126"/>
      <c r="Y161" s="126"/>
    </row>
    <row r="162" spans="1:25" ht="14.7" customHeight="1">
      <c r="A162" s="131" t="s">
        <v>315</v>
      </c>
      <c r="B162" s="131"/>
      <c r="C162">
        <v>87.405950202491027</v>
      </c>
      <c r="D162">
        <v>85.786754209467333</v>
      </c>
      <c r="E162">
        <v>87.118782206765658</v>
      </c>
      <c r="F162">
        <v>80.453616476234245</v>
      </c>
      <c r="G162">
        <v>82.303400000000011</v>
      </c>
      <c r="H162">
        <v>81.934200000000004</v>
      </c>
      <c r="I162">
        <v>81.97475543901848</v>
      </c>
      <c r="J162"/>
      <c r="K162"/>
      <c r="L162"/>
      <c r="M162"/>
      <c r="N162"/>
      <c r="O162"/>
      <c r="P162" s="147"/>
      <c r="Q162" s="147"/>
      <c r="R162" s="112"/>
      <c r="S162" s="112"/>
      <c r="T162" s="112"/>
      <c r="U162" s="146"/>
      <c r="V162" s="113"/>
      <c r="W162" s="113"/>
      <c r="X162" s="126"/>
      <c r="Y162" s="126"/>
    </row>
    <row r="163" spans="1:25" ht="14.7" customHeight="1">
      <c r="A163" s="131" t="s">
        <v>91</v>
      </c>
      <c r="B163" s="131"/>
      <c r="C163">
        <v>87.278199965665806</v>
      </c>
      <c r="D163">
        <v>87.111378382400844</v>
      </c>
      <c r="E163">
        <v>84.895051576022738</v>
      </c>
      <c r="F163">
        <v>80.231516688114567</v>
      </c>
      <c r="G163">
        <v>80.416399999999996</v>
      </c>
      <c r="H163">
        <v>76.655000000000001</v>
      </c>
      <c r="I163" s="147">
        <v>81.117393248129574</v>
      </c>
      <c r="J163" s="112"/>
      <c r="K163" s="112"/>
      <c r="L163" s="126"/>
      <c r="M163" s="112"/>
      <c r="N163" s="126"/>
      <c r="O163" s="147"/>
      <c r="P163" s="147"/>
      <c r="Q163" s="147"/>
      <c r="R163" s="112"/>
      <c r="S163" s="112"/>
      <c r="T163" s="112"/>
      <c r="U163" s="147"/>
      <c r="V163" s="113"/>
      <c r="W163" s="113"/>
      <c r="X163" s="126"/>
      <c r="Y163" s="126"/>
    </row>
    <row r="164" spans="1:25" ht="14.7" customHeight="1">
      <c r="A164" s="131" t="s">
        <v>377</v>
      </c>
      <c r="B164" s="131"/>
      <c r="C164">
        <v>87.049673404165986</v>
      </c>
      <c r="D164">
        <v>84.362316822371426</v>
      </c>
      <c r="E164">
        <v>84.015751440536533</v>
      </c>
      <c r="F164">
        <v>78.045877817703669</v>
      </c>
      <c r="G164">
        <v>74.1464</v>
      </c>
      <c r="H164">
        <v>79.159000000000006</v>
      </c>
      <c r="I164" s="147">
        <v>80.638596603709118</v>
      </c>
      <c r="J164" s="112"/>
      <c r="K164" s="112"/>
      <c r="L164" s="126"/>
      <c r="M164" s="112"/>
      <c r="N164" s="126"/>
      <c r="O164" s="147"/>
      <c r="P164" s="147"/>
      <c r="Q164" s="147"/>
      <c r="R164" s="112"/>
      <c r="S164" s="112"/>
      <c r="T164" s="112"/>
      <c r="U164" s="147"/>
      <c r="V164" s="149"/>
      <c r="W164" s="149"/>
      <c r="X164" s="126"/>
      <c r="Y164" s="126"/>
    </row>
    <row r="165" spans="1:25" ht="14.7" customHeight="1">
      <c r="A165" s="132" t="s">
        <v>817</v>
      </c>
      <c r="B165" s="131"/>
      <c r="C165">
        <v>89.079600426196379</v>
      </c>
      <c r="D165">
        <v>86.338450989075582</v>
      </c>
      <c r="E165">
        <v>86.040886808419785</v>
      </c>
      <c r="F165">
        <v>78.969879698045261</v>
      </c>
      <c r="G165">
        <v>75.136200000000002</v>
      </c>
      <c r="H165">
        <v>76.922700000000006</v>
      </c>
      <c r="I165" s="147">
        <v>77.043167515294073</v>
      </c>
      <c r="J165" s="112"/>
      <c r="K165" s="112"/>
      <c r="L165" s="126"/>
      <c r="M165" s="112"/>
      <c r="N165" s="126"/>
      <c r="O165" s="147"/>
      <c r="P165" s="147"/>
      <c r="Q165" s="147"/>
      <c r="R165" s="112"/>
      <c r="S165" s="112"/>
      <c r="T165" s="112"/>
      <c r="U165" s="146"/>
      <c r="V165" s="113"/>
      <c r="W165" s="113"/>
      <c r="X165" s="126"/>
      <c r="Y165" s="126"/>
    </row>
    <row r="166" spans="1:25" ht="14.7" customHeight="1">
      <c r="A166" s="131" t="s">
        <v>393</v>
      </c>
      <c r="B166" s="131"/>
      <c r="C166">
        <v>90.736592420827435</v>
      </c>
      <c r="D166">
        <v>91.935272153010715</v>
      </c>
      <c r="E166">
        <v>92.951556298993083</v>
      </c>
      <c r="F166">
        <v>83.529918564648483</v>
      </c>
      <c r="G166">
        <v>85.059600000000003</v>
      </c>
      <c r="H166">
        <v>90.256900000000002</v>
      </c>
      <c r="I166" s="147">
        <v>87.731085674074009</v>
      </c>
      <c r="J166" s="112"/>
      <c r="K166" s="112"/>
      <c r="L166" s="126"/>
      <c r="M166" s="112"/>
      <c r="N166" s="126"/>
      <c r="O166" s="147"/>
      <c r="P166" s="147"/>
      <c r="Q166" s="147"/>
      <c r="R166" s="112"/>
      <c r="S166" s="112"/>
      <c r="T166" s="112"/>
      <c r="U166" s="146"/>
      <c r="V166" s="113"/>
      <c r="W166" s="113"/>
      <c r="X166" s="126"/>
      <c r="Y166" s="126"/>
    </row>
    <row r="167" spans="1:25" ht="14.7" customHeight="1">
      <c r="A167" s="131" t="s">
        <v>232</v>
      </c>
      <c r="B167" s="131"/>
      <c r="C167">
        <v>85.472415401267199</v>
      </c>
      <c r="D167">
        <v>81.61207568854411</v>
      </c>
      <c r="E167">
        <v>87.182842966490057</v>
      </c>
      <c r="F167">
        <v>75.333741881931601</v>
      </c>
      <c r="G167">
        <v>75.339799999999997</v>
      </c>
      <c r="H167">
        <v>72.530199999999994</v>
      </c>
      <c r="I167" s="147">
        <v>75.564248442620439</v>
      </c>
      <c r="J167" s="112"/>
      <c r="K167" s="112"/>
      <c r="L167" s="126"/>
      <c r="M167" s="112"/>
      <c r="N167" s="126"/>
      <c r="O167" s="147"/>
      <c r="P167" s="147"/>
      <c r="Q167" s="147"/>
      <c r="R167" s="112"/>
      <c r="S167" s="112"/>
      <c r="T167" s="112"/>
      <c r="U167" s="146"/>
      <c r="V167" s="113"/>
      <c r="W167" s="113"/>
      <c r="X167" s="126"/>
      <c r="Y167" s="126"/>
    </row>
    <row r="168" spans="1:25" ht="14.7" customHeight="1">
      <c r="A168" s="131" t="s">
        <v>233</v>
      </c>
      <c r="B168" s="131"/>
      <c r="C168">
        <v>81.331378336222841</v>
      </c>
      <c r="D168">
        <v>75.69332334525761</v>
      </c>
      <c r="E168">
        <v>80.045991613294049</v>
      </c>
      <c r="F168">
        <v>69.980119948670222</v>
      </c>
      <c r="G168">
        <v>74.582099999999997</v>
      </c>
      <c r="H168">
        <v>79.536000000000001</v>
      </c>
      <c r="I168" s="147">
        <v>75.725846653917898</v>
      </c>
      <c r="J168" s="112"/>
      <c r="K168" s="112"/>
      <c r="L168" s="126"/>
      <c r="M168" s="112"/>
      <c r="N168" s="126"/>
      <c r="O168" s="147"/>
      <c r="P168" s="147"/>
      <c r="Q168" s="147"/>
      <c r="R168" s="112"/>
      <c r="S168" s="112"/>
      <c r="T168" s="112"/>
      <c r="U168" s="146"/>
      <c r="V168" s="113"/>
      <c r="W168" s="113"/>
      <c r="X168" s="126"/>
      <c r="Y168" s="126"/>
    </row>
    <row r="169" spans="1:25" ht="14.7" customHeight="1">
      <c r="A169" s="131" t="s">
        <v>212</v>
      </c>
      <c r="B169" s="131"/>
      <c r="C169">
        <v>89.275000569328313</v>
      </c>
      <c r="D169">
        <v>95.853453328920551</v>
      </c>
      <c r="E169">
        <v>90.186420025521201</v>
      </c>
      <c r="F169">
        <v>84.564433583928803</v>
      </c>
      <c r="G169">
        <v>86.048699999999997</v>
      </c>
      <c r="H169">
        <v>87.187600000000003</v>
      </c>
      <c r="I169" s="147">
        <v>86.413932687990538</v>
      </c>
      <c r="J169" s="112"/>
      <c r="K169" s="112"/>
      <c r="L169" s="126"/>
      <c r="M169" s="112"/>
      <c r="N169" s="126"/>
      <c r="O169" s="147"/>
      <c r="P169" s="147"/>
      <c r="Q169" s="147"/>
      <c r="R169" s="112"/>
      <c r="S169" s="112"/>
      <c r="T169" s="112"/>
      <c r="U169" s="146"/>
      <c r="V169" s="113"/>
      <c r="W169" s="113"/>
      <c r="X169" s="126"/>
      <c r="Y169" s="126"/>
    </row>
    <row r="170" spans="1:25" ht="14.7" customHeight="1">
      <c r="A170" s="131" t="s">
        <v>316</v>
      </c>
      <c r="B170" s="131"/>
      <c r="C170">
        <v>86.304917179298741</v>
      </c>
      <c r="D170">
        <v>86.395259464702178</v>
      </c>
      <c r="E170">
        <v>85.934096539383688</v>
      </c>
      <c r="F170">
        <v>78.409739008953494</v>
      </c>
      <c r="G170">
        <v>78.218500000000006</v>
      </c>
      <c r="H170">
        <v>77.692300000000003</v>
      </c>
      <c r="I170" s="147">
        <v>80.040045724221116</v>
      </c>
      <c r="J170" s="112"/>
      <c r="K170" s="112"/>
      <c r="L170" s="126"/>
      <c r="M170" s="112"/>
      <c r="N170" s="126"/>
      <c r="O170" s="147"/>
      <c r="P170" s="147"/>
      <c r="Q170" s="147"/>
      <c r="R170" s="112"/>
      <c r="S170" s="112"/>
      <c r="T170" s="112"/>
      <c r="U170" s="146"/>
      <c r="V170" s="113"/>
      <c r="W170" s="113"/>
      <c r="X170" s="126"/>
      <c r="Y170" s="126"/>
    </row>
    <row r="171" spans="1:25" ht="14.7" customHeight="1">
      <c r="A171" s="131" t="s">
        <v>92</v>
      </c>
      <c r="B171" s="131"/>
      <c r="C171">
        <v>88.907822832314338</v>
      </c>
      <c r="D171">
        <v>89.573745633307922</v>
      </c>
      <c r="E171">
        <v>89.194382705590371</v>
      </c>
      <c r="F171">
        <v>82.886917210731696</v>
      </c>
      <c r="G171">
        <v>85.453599999999994</v>
      </c>
      <c r="H171">
        <v>82.087000000000003</v>
      </c>
      <c r="I171" s="147">
        <v>86.124289461765642</v>
      </c>
      <c r="J171" s="112"/>
      <c r="K171" s="112"/>
      <c r="L171" s="126"/>
      <c r="M171" s="112"/>
      <c r="N171" s="126"/>
      <c r="O171" s="147"/>
      <c r="P171" s="147"/>
      <c r="Q171" s="147"/>
      <c r="R171" s="112"/>
      <c r="S171" s="112"/>
      <c r="T171" s="112"/>
      <c r="U171" s="146"/>
      <c r="V171" s="113"/>
      <c r="W171" s="113"/>
      <c r="X171" s="126"/>
      <c r="Y171" s="126"/>
    </row>
    <row r="172" spans="1:25" ht="14.7" customHeight="1">
      <c r="A172" s="131" t="s">
        <v>234</v>
      </c>
      <c r="B172" s="131"/>
      <c r="C172">
        <v>86.619054341934188</v>
      </c>
      <c r="D172">
        <v>88.441386759525699</v>
      </c>
      <c r="E172">
        <v>90.483063577233978</v>
      </c>
      <c r="F172">
        <v>76.377999517323332</v>
      </c>
      <c r="G172">
        <v>79.212899999999991</v>
      </c>
      <c r="H172">
        <v>81.040999999999997</v>
      </c>
      <c r="I172" s="147">
        <v>82.980296031033774</v>
      </c>
      <c r="J172" s="112"/>
      <c r="K172" s="112"/>
      <c r="L172" s="126"/>
      <c r="M172" s="112"/>
      <c r="N172" s="126"/>
      <c r="O172" s="147"/>
      <c r="P172" s="147"/>
      <c r="Q172" s="147"/>
      <c r="R172" s="112"/>
      <c r="S172" s="112"/>
      <c r="T172" s="112"/>
      <c r="U172" s="146"/>
      <c r="V172" s="113"/>
      <c r="W172" s="113"/>
      <c r="X172" s="126"/>
      <c r="Y172" s="126"/>
    </row>
    <row r="173" spans="1:25" ht="14.7" customHeight="1">
      <c r="A173" s="131" t="s">
        <v>271</v>
      </c>
      <c r="B173" s="131"/>
      <c r="C173">
        <v>82.372534088342803</v>
      </c>
      <c r="D173">
        <v>85.928978956345432</v>
      </c>
      <c r="E173">
        <v>85.776074321363893</v>
      </c>
      <c r="F173">
        <v>71.384317467743529</v>
      </c>
      <c r="G173">
        <v>71.262</v>
      </c>
      <c r="H173">
        <v>73.447099999999992</v>
      </c>
      <c r="I173" s="147">
        <v>75.723490305633817</v>
      </c>
      <c r="J173" s="112"/>
      <c r="K173" s="112"/>
      <c r="L173" s="126"/>
      <c r="M173" s="112"/>
      <c r="N173" s="126"/>
      <c r="O173" s="147"/>
      <c r="P173" s="147"/>
      <c r="Q173" s="147"/>
      <c r="R173" s="112"/>
      <c r="S173" s="112"/>
      <c r="T173" s="112"/>
      <c r="U173" s="146"/>
      <c r="V173" s="113"/>
      <c r="W173" s="113"/>
      <c r="X173" s="126"/>
      <c r="Y173" s="126"/>
    </row>
    <row r="174" spans="1:25" ht="14.7" customHeight="1">
      <c r="A174" s="131" t="s">
        <v>317</v>
      </c>
      <c r="B174" s="131"/>
      <c r="C174">
        <v>88.639848569440332</v>
      </c>
      <c r="D174">
        <v>88.681336113912664</v>
      </c>
      <c r="E174">
        <v>88.36732456171417</v>
      </c>
      <c r="F174">
        <v>80.650875849613755</v>
      </c>
      <c r="G174">
        <v>78.383300000000006</v>
      </c>
      <c r="H174">
        <v>78.170900000000003</v>
      </c>
      <c r="I174" s="147">
        <v>82.463591325799086</v>
      </c>
      <c r="J174" s="112"/>
      <c r="K174" s="112"/>
      <c r="L174" s="126"/>
      <c r="M174" s="112"/>
      <c r="N174" s="126"/>
      <c r="O174" s="147"/>
      <c r="P174" s="147"/>
      <c r="Q174" s="147"/>
      <c r="R174" s="112"/>
      <c r="S174" s="112"/>
      <c r="T174" s="112"/>
      <c r="U174" s="146"/>
      <c r="V174" s="113"/>
      <c r="W174" s="113"/>
      <c r="X174" s="126"/>
      <c r="Y174" s="126"/>
    </row>
    <row r="175" spans="1:25" ht="14.7" customHeight="1">
      <c r="A175" s="131" t="s">
        <v>93</v>
      </c>
      <c r="B175" s="131"/>
      <c r="C175">
        <v>89.257807714778906</v>
      </c>
      <c r="D175">
        <v>89.657638149642167</v>
      </c>
      <c r="E175">
        <v>90.392093711231979</v>
      </c>
      <c r="F175">
        <v>81.534505075928067</v>
      </c>
      <c r="G175">
        <v>80.464399999999998</v>
      </c>
      <c r="H175">
        <v>81.311000000000007</v>
      </c>
      <c r="I175" s="147">
        <v>85.054382684796764</v>
      </c>
      <c r="J175" s="112"/>
      <c r="K175" s="112"/>
      <c r="L175" s="126"/>
      <c r="M175" s="112"/>
      <c r="N175" s="126"/>
      <c r="O175" s="147"/>
      <c r="P175" s="147"/>
      <c r="Q175" s="147"/>
      <c r="R175" s="112"/>
      <c r="S175" s="112"/>
      <c r="T175" s="112"/>
      <c r="U175" s="146"/>
      <c r="V175" s="113"/>
      <c r="W175" s="113"/>
      <c r="X175" s="126"/>
      <c r="Y175" s="126"/>
    </row>
    <row r="176" spans="1:25" ht="14.7" customHeight="1">
      <c r="A176" s="131" t="s">
        <v>213</v>
      </c>
      <c r="B176" s="131"/>
      <c r="C176">
        <v>87.765184956995014</v>
      </c>
      <c r="D176">
        <v>88.623979593922328</v>
      </c>
      <c r="E176">
        <v>88.647153327692891</v>
      </c>
      <c r="F176">
        <v>81.718138447989631</v>
      </c>
      <c r="G176">
        <v>79.063299999999998</v>
      </c>
      <c r="H176">
        <v>84.387199999999993</v>
      </c>
      <c r="I176" s="147">
        <v>87.252054655694749</v>
      </c>
      <c r="J176" s="112"/>
      <c r="K176" s="112"/>
      <c r="L176" s="126"/>
      <c r="M176" s="112"/>
      <c r="N176" s="126"/>
      <c r="O176" s="147"/>
      <c r="P176" s="147"/>
      <c r="Q176" s="147"/>
      <c r="R176" s="112"/>
      <c r="S176" s="112"/>
      <c r="T176" s="112"/>
      <c r="U176" s="146"/>
      <c r="V176" s="113"/>
      <c r="W176" s="113"/>
      <c r="X176" s="126"/>
      <c r="Y176" s="126"/>
    </row>
    <row r="177" spans="1:25" ht="14.7" customHeight="1">
      <c r="A177" s="131" t="s">
        <v>94</v>
      </c>
      <c r="B177" s="131"/>
      <c r="C177">
        <v>86.450565334106969</v>
      </c>
      <c r="D177">
        <v>84.717843963889493</v>
      </c>
      <c r="E177">
        <v>89.161283416947967</v>
      </c>
      <c r="F177">
        <v>77.02153533459591</v>
      </c>
      <c r="G177">
        <v>81.096299999999999</v>
      </c>
      <c r="H177">
        <v>78.850899999999996</v>
      </c>
      <c r="I177" s="147">
        <v>81.685036915300657</v>
      </c>
      <c r="J177" s="112"/>
      <c r="K177" s="112"/>
      <c r="L177" s="126"/>
      <c r="M177" s="112"/>
      <c r="N177" s="126"/>
      <c r="O177" s="147"/>
      <c r="P177" s="147"/>
      <c r="Q177" s="147"/>
      <c r="R177" s="112"/>
      <c r="S177" s="112"/>
      <c r="T177" s="112"/>
      <c r="U177" s="146"/>
      <c r="V177" s="113"/>
      <c r="W177" s="113"/>
      <c r="X177" s="126"/>
      <c r="Y177" s="126"/>
    </row>
    <row r="178" spans="1:25" ht="14.7" customHeight="1">
      <c r="A178" s="131" t="s">
        <v>95</v>
      </c>
      <c r="B178" s="131"/>
      <c r="C178">
        <v>86.69355770534834</v>
      </c>
      <c r="D178">
        <v>85.285427941471227</v>
      </c>
      <c r="E178">
        <v>86.848891283955055</v>
      </c>
      <c r="F178">
        <v>86.008467830045731</v>
      </c>
      <c r="G178">
        <v>81.544600000000003</v>
      </c>
      <c r="H178">
        <v>82.439099999999996</v>
      </c>
      <c r="I178" s="147">
        <v>81.305855513372521</v>
      </c>
      <c r="J178" s="112"/>
      <c r="K178" s="112"/>
      <c r="L178" s="126"/>
      <c r="M178" s="112"/>
      <c r="N178" s="126"/>
      <c r="O178" s="147"/>
      <c r="P178" s="147"/>
      <c r="Q178" s="147"/>
      <c r="R178" s="112"/>
      <c r="S178" s="112"/>
      <c r="T178" s="112"/>
      <c r="U178" s="146"/>
      <c r="V178" s="113"/>
      <c r="W178" s="113"/>
      <c r="X178" s="126"/>
      <c r="Y178" s="126"/>
    </row>
    <row r="179" spans="1:25" ht="14.7" customHeight="1">
      <c r="A179" s="131" t="s">
        <v>318</v>
      </c>
      <c r="B179" s="131"/>
      <c r="C179">
        <v>84.237522629887749</v>
      </c>
      <c r="D179">
        <v>84.550810265331648</v>
      </c>
      <c r="E179">
        <v>86.451944754215219</v>
      </c>
      <c r="F179">
        <v>78.928049841735387</v>
      </c>
      <c r="G179">
        <v>79.395200000000003</v>
      </c>
      <c r="H179">
        <v>77.364699999999999</v>
      </c>
      <c r="I179" s="147">
        <v>78.211534177467797</v>
      </c>
      <c r="J179" s="112"/>
      <c r="K179" s="112"/>
      <c r="L179" s="126"/>
      <c r="M179" s="112"/>
      <c r="N179" s="126"/>
      <c r="O179" s="147"/>
      <c r="P179" s="147"/>
      <c r="Q179" s="147"/>
      <c r="R179" s="112"/>
      <c r="S179" s="112"/>
      <c r="T179" s="112"/>
      <c r="U179" s="146"/>
      <c r="V179" s="113"/>
      <c r="W179" s="113"/>
      <c r="X179" s="126"/>
      <c r="Y179" s="126"/>
    </row>
    <row r="180" spans="1:25" ht="14.7" customHeight="1">
      <c r="A180" s="131" t="s">
        <v>235</v>
      </c>
      <c r="B180" s="131"/>
      <c r="C180">
        <v>84.69122214777272</v>
      </c>
      <c r="D180">
        <v>86.696473592608854</v>
      </c>
      <c r="E180">
        <v>85.423021141712255</v>
      </c>
      <c r="F180">
        <v>79.084719327086447</v>
      </c>
      <c r="G180">
        <v>78.448700000000002</v>
      </c>
      <c r="H180">
        <v>79.982500000000002</v>
      </c>
      <c r="I180" s="147">
        <v>80.332786065105097</v>
      </c>
      <c r="J180" s="112"/>
      <c r="K180" s="112"/>
      <c r="L180" s="126"/>
      <c r="M180" s="112"/>
      <c r="N180" s="126"/>
      <c r="O180" s="147"/>
      <c r="P180" s="147"/>
      <c r="Q180" s="147"/>
      <c r="R180" s="112"/>
      <c r="S180" s="112"/>
      <c r="T180" s="112"/>
      <c r="U180" s="146"/>
      <c r="V180" s="113"/>
      <c r="W180" s="113"/>
      <c r="X180" s="126"/>
      <c r="Y180" s="126"/>
    </row>
    <row r="181" spans="1:25" ht="14.7" customHeight="1">
      <c r="A181" s="131" t="s">
        <v>272</v>
      </c>
      <c r="B181" s="131"/>
      <c r="C181">
        <v>86.174188978004963</v>
      </c>
      <c r="D181">
        <v>81.2026411975841</v>
      </c>
      <c r="E181">
        <v>82.535521228556476</v>
      </c>
      <c r="F181">
        <v>71.587355543611579</v>
      </c>
      <c r="G181">
        <v>72.535499999999999</v>
      </c>
      <c r="H181">
        <v>65.622100000000003</v>
      </c>
      <c r="I181" s="147">
        <v>70.445250278475953</v>
      </c>
      <c r="J181" s="112"/>
      <c r="K181" s="112"/>
      <c r="L181" s="126"/>
      <c r="M181" s="112"/>
      <c r="N181" s="126"/>
      <c r="O181" s="147"/>
      <c r="P181" s="147"/>
      <c r="Q181" s="147"/>
      <c r="R181" s="112"/>
      <c r="S181" s="112"/>
      <c r="T181" s="112"/>
      <c r="U181" s="146"/>
      <c r="V181" s="113"/>
      <c r="W181" s="113"/>
      <c r="X181" s="126"/>
      <c r="Y181" s="126"/>
    </row>
    <row r="182" spans="1:25" ht="14.7" customHeight="1">
      <c r="A182" s="131" t="s">
        <v>96</v>
      </c>
      <c r="B182" s="131"/>
      <c r="C182">
        <v>89.578832070695668</v>
      </c>
      <c r="D182">
        <v>87.328970005843018</v>
      </c>
      <c r="E182">
        <v>90.378485433252322</v>
      </c>
      <c r="F182">
        <v>79.332017606461093</v>
      </c>
      <c r="G182">
        <v>80.922499999999999</v>
      </c>
      <c r="H182">
        <v>81.147899999999993</v>
      </c>
      <c r="I182" s="147">
        <v>79.493690785563018</v>
      </c>
      <c r="J182" s="112"/>
      <c r="K182" s="112"/>
      <c r="L182" s="126"/>
      <c r="M182" s="112"/>
      <c r="N182" s="126"/>
      <c r="O182" s="147"/>
      <c r="P182" s="147"/>
      <c r="Q182" s="147"/>
      <c r="R182" s="112"/>
      <c r="S182" s="112"/>
      <c r="T182" s="112"/>
      <c r="U182" s="146"/>
      <c r="V182" s="113"/>
      <c r="W182" s="113"/>
      <c r="X182" s="126"/>
      <c r="Y182" s="126"/>
    </row>
    <row r="183" spans="1:25" ht="14.7" customHeight="1">
      <c r="A183" s="131" t="s">
        <v>97</v>
      </c>
      <c r="B183" s="131"/>
      <c r="C183">
        <v>86.300066156311999</v>
      </c>
      <c r="D183">
        <v>86.725431272504665</v>
      </c>
      <c r="E183">
        <v>84.370168533656255</v>
      </c>
      <c r="F183">
        <v>76.413032582756955</v>
      </c>
      <c r="G183">
        <v>82.811700000000002</v>
      </c>
      <c r="H183">
        <v>81.416399999999996</v>
      </c>
      <c r="I183" s="147">
        <v>83.768341906905448</v>
      </c>
      <c r="J183" s="112"/>
      <c r="K183" s="112"/>
      <c r="L183" s="126"/>
      <c r="M183" s="112"/>
      <c r="N183" s="126"/>
      <c r="O183" s="147"/>
      <c r="P183" s="147"/>
      <c r="Q183" s="147"/>
      <c r="R183" s="112"/>
      <c r="S183" s="112"/>
      <c r="T183" s="112"/>
      <c r="U183" s="146"/>
      <c r="V183" s="113"/>
      <c r="W183" s="113"/>
      <c r="X183" s="126"/>
      <c r="Y183" s="126"/>
    </row>
    <row r="184" spans="1:25" ht="14.7" customHeight="1">
      <c r="A184" s="131" t="s">
        <v>98</v>
      </c>
      <c r="B184" s="131"/>
      <c r="C184">
        <v>88.056853524283866</v>
      </c>
      <c r="D184">
        <v>84.562393280255677</v>
      </c>
      <c r="E184">
        <v>86.063521741024928</v>
      </c>
      <c r="F184">
        <v>81.129879297742619</v>
      </c>
      <c r="G184">
        <v>83.603300000000004</v>
      </c>
      <c r="H184">
        <v>77.44250000000001</v>
      </c>
      <c r="I184" s="147">
        <v>86.323077218978213</v>
      </c>
      <c r="J184" s="112"/>
      <c r="K184" s="112"/>
      <c r="L184" s="126"/>
      <c r="M184" s="112"/>
      <c r="N184" s="126"/>
      <c r="O184" s="147"/>
      <c r="P184" s="147"/>
      <c r="Q184" s="147"/>
      <c r="R184" s="112"/>
      <c r="S184" s="112"/>
      <c r="T184" s="112"/>
      <c r="U184" s="146"/>
      <c r="V184" s="113"/>
      <c r="W184" s="113"/>
      <c r="X184" s="126"/>
      <c r="Y184" s="126"/>
    </row>
    <row r="185" spans="1:25" ht="14.7" customHeight="1">
      <c r="A185" s="131" t="s">
        <v>236</v>
      </c>
      <c r="B185" s="131"/>
      <c r="C185">
        <v>86.131575040002971</v>
      </c>
      <c r="D185">
        <v>85.703850867626812</v>
      </c>
      <c r="E185">
        <v>85.773371712786656</v>
      </c>
      <c r="F185">
        <v>76.168153969495592</v>
      </c>
      <c r="G185">
        <v>77.908599999999993</v>
      </c>
      <c r="H185">
        <v>78.495899999999992</v>
      </c>
      <c r="I185" s="147">
        <v>78.19634629350422</v>
      </c>
      <c r="J185" s="112"/>
      <c r="K185" s="112"/>
      <c r="L185" s="126"/>
      <c r="M185" s="112"/>
      <c r="N185" s="126"/>
      <c r="O185" s="147"/>
      <c r="P185" s="147"/>
      <c r="Q185" s="147"/>
      <c r="R185" s="112"/>
      <c r="S185" s="112"/>
      <c r="T185" s="112"/>
      <c r="U185" s="146"/>
      <c r="V185" s="113"/>
      <c r="W185" s="113"/>
      <c r="X185" s="126"/>
      <c r="Y185" s="126"/>
    </row>
    <row r="186" spans="1:25" ht="14.7" customHeight="1">
      <c r="A186" s="131" t="s">
        <v>99</v>
      </c>
      <c r="B186" s="131"/>
      <c r="C186">
        <v>84.68152983071559</v>
      </c>
      <c r="D186">
        <v>80.395496494527862</v>
      </c>
      <c r="E186">
        <v>85.410067330540926</v>
      </c>
      <c r="F186">
        <v>75.539746870763054</v>
      </c>
      <c r="G186">
        <v>73.731800000000007</v>
      </c>
      <c r="H186">
        <v>76.966300000000004</v>
      </c>
      <c r="I186" s="147">
        <v>74.692429033356589</v>
      </c>
      <c r="J186" s="112"/>
      <c r="K186" s="112"/>
      <c r="L186" s="126"/>
      <c r="M186" s="112"/>
      <c r="N186" s="126"/>
      <c r="O186" s="147"/>
      <c r="P186" s="147"/>
      <c r="Q186" s="147"/>
      <c r="R186" s="112"/>
      <c r="S186" s="112"/>
      <c r="T186" s="112"/>
      <c r="U186" s="146"/>
      <c r="V186" s="113"/>
      <c r="W186" s="113"/>
      <c r="X186" s="126"/>
      <c r="Y186" s="126"/>
    </row>
    <row r="187" spans="1:25" ht="14.7" customHeight="1">
      <c r="A187" s="131" t="s">
        <v>273</v>
      </c>
      <c r="B187" s="131"/>
      <c r="C187">
        <v>83.423062704099962</v>
      </c>
      <c r="D187">
        <v>83.475886284709901</v>
      </c>
      <c r="E187">
        <v>84.568649628533578</v>
      </c>
      <c r="F187">
        <v>77.066558193938008</v>
      </c>
      <c r="G187">
        <v>76.800700000000006</v>
      </c>
      <c r="H187">
        <v>76.756799999999998</v>
      </c>
      <c r="I187" s="147">
        <v>77.146657569100753</v>
      </c>
      <c r="J187" s="112"/>
      <c r="K187" s="112"/>
      <c r="L187" s="126"/>
      <c r="M187" s="112"/>
      <c r="N187" s="126"/>
      <c r="O187" s="147"/>
      <c r="P187" s="147"/>
      <c r="Q187" s="147"/>
      <c r="R187" s="112"/>
      <c r="S187" s="112"/>
      <c r="T187" s="112"/>
      <c r="U187" s="146"/>
      <c r="V187" s="113"/>
      <c r="W187" s="113"/>
      <c r="X187" s="126"/>
      <c r="Y187" s="126"/>
    </row>
    <row r="188" spans="1:25" ht="14.7" customHeight="1">
      <c r="A188" s="131" t="s">
        <v>100</v>
      </c>
      <c r="B188" s="131"/>
      <c r="C188">
        <v>90.638462262429428</v>
      </c>
      <c r="D188">
        <v>87.880816873116842</v>
      </c>
      <c r="E188">
        <v>85.477028197440092</v>
      </c>
      <c r="F188">
        <v>78.471736662261307</v>
      </c>
      <c r="G188">
        <v>80.346699999999998</v>
      </c>
      <c r="H188">
        <v>81.5886</v>
      </c>
      <c r="I188" s="147">
        <v>81.684854523733151</v>
      </c>
      <c r="J188" s="112"/>
      <c r="K188" s="112"/>
      <c r="L188" s="126"/>
      <c r="M188" s="112"/>
      <c r="N188" s="126"/>
      <c r="O188" s="147"/>
      <c r="P188" s="147"/>
      <c r="Q188" s="147"/>
      <c r="R188" s="112"/>
      <c r="S188" s="112"/>
      <c r="T188" s="112"/>
      <c r="U188" s="146"/>
      <c r="V188" s="113"/>
      <c r="W188" s="113"/>
      <c r="X188" s="126"/>
      <c r="Y188" s="126"/>
    </row>
    <row r="189" spans="1:25" ht="14.7" customHeight="1">
      <c r="A189" s="131" t="s">
        <v>101</v>
      </c>
      <c r="B189" s="131"/>
      <c r="C189">
        <v>88.951191621623636</v>
      </c>
      <c r="D189">
        <v>88.044078832506585</v>
      </c>
      <c r="E189">
        <v>89.033069835640461</v>
      </c>
      <c r="F189">
        <v>83.244994120865556</v>
      </c>
      <c r="G189">
        <v>79.319600000000008</v>
      </c>
      <c r="H189">
        <v>80.437899999999999</v>
      </c>
      <c r="I189" s="147">
        <v>86.158562537308995</v>
      </c>
      <c r="J189" s="112"/>
      <c r="K189" s="112"/>
      <c r="L189" s="126"/>
      <c r="M189" s="112"/>
      <c r="N189" s="126"/>
      <c r="O189" s="147"/>
      <c r="P189" s="147"/>
      <c r="Q189" s="147"/>
      <c r="R189" s="112"/>
      <c r="S189" s="112"/>
      <c r="T189" s="112"/>
      <c r="U189" s="146"/>
      <c r="V189" s="113"/>
      <c r="W189" s="113"/>
      <c r="X189" s="126"/>
      <c r="Y189" s="126"/>
    </row>
    <row r="190" spans="1:25" ht="14.7" customHeight="1">
      <c r="A190" s="131" t="s">
        <v>214</v>
      </c>
      <c r="B190" s="131"/>
      <c r="C190">
        <v>89.783270436805495</v>
      </c>
      <c r="D190">
        <v>90.422046205695125</v>
      </c>
      <c r="E190">
        <v>90.790901928466099</v>
      </c>
      <c r="F190">
        <v>85.326190702678446</v>
      </c>
      <c r="G190">
        <v>82.037800000000004</v>
      </c>
      <c r="H190">
        <v>83.240099999999998</v>
      </c>
      <c r="I190" s="147">
        <v>85.828588747647387</v>
      </c>
      <c r="J190" s="112"/>
      <c r="K190" s="112"/>
      <c r="L190" s="126"/>
      <c r="M190" s="112"/>
      <c r="N190" s="126"/>
      <c r="O190" s="147"/>
      <c r="P190" s="147"/>
      <c r="Q190" s="147"/>
      <c r="R190" s="112"/>
      <c r="S190" s="112"/>
      <c r="T190" s="112"/>
      <c r="U190" s="146"/>
      <c r="V190" s="113"/>
      <c r="W190" s="113"/>
      <c r="X190" s="126"/>
      <c r="Y190" s="126"/>
    </row>
    <row r="191" spans="1:25" ht="14.7" customHeight="1">
      <c r="A191" s="131" t="s">
        <v>102</v>
      </c>
      <c r="B191" s="131"/>
      <c r="C191">
        <v>88.164140008356298</v>
      </c>
      <c r="D191">
        <v>88.717521584560686</v>
      </c>
      <c r="E191">
        <v>90.447039467084011</v>
      </c>
      <c r="F191">
        <v>84.91926593129881</v>
      </c>
      <c r="G191">
        <v>82.920400000000001</v>
      </c>
      <c r="H191">
        <v>82.942599999999999</v>
      </c>
      <c r="I191" s="147">
        <v>87.858171031059385</v>
      </c>
      <c r="J191" s="112"/>
      <c r="K191" s="112"/>
      <c r="L191" s="126"/>
      <c r="M191" s="112"/>
      <c r="N191" s="126"/>
      <c r="O191" s="147"/>
      <c r="P191" s="147"/>
      <c r="Q191" s="147"/>
      <c r="R191" s="112"/>
      <c r="S191" s="112"/>
      <c r="T191" s="112"/>
      <c r="U191" s="146"/>
      <c r="V191" s="113"/>
      <c r="W191" s="113"/>
      <c r="X191" s="126"/>
      <c r="Y191" s="126"/>
    </row>
    <row r="192" spans="1:25" ht="14.7" customHeight="1">
      <c r="A192" s="131" t="s">
        <v>103</v>
      </c>
      <c r="B192" s="131"/>
      <c r="C192">
        <v>88.31781988602043</v>
      </c>
      <c r="D192">
        <v>87.876927426765363</v>
      </c>
      <c r="E192">
        <v>87.613162952676504</v>
      </c>
      <c r="F192">
        <v>81.334638739004447</v>
      </c>
      <c r="G192">
        <v>79.998800000000003</v>
      </c>
      <c r="H192">
        <v>81.270799999999994</v>
      </c>
      <c r="I192" s="147">
        <v>86.064138133544859</v>
      </c>
      <c r="J192" s="112"/>
      <c r="K192" s="112"/>
      <c r="L192" s="126"/>
      <c r="M192" s="112"/>
      <c r="N192" s="126"/>
      <c r="O192" s="147"/>
      <c r="P192" s="147"/>
      <c r="Q192" s="147"/>
      <c r="R192" s="112"/>
      <c r="S192" s="112"/>
      <c r="T192" s="112"/>
      <c r="U192" s="146"/>
      <c r="V192" s="113"/>
      <c r="W192" s="113"/>
      <c r="X192" s="126"/>
      <c r="Y192" s="126"/>
    </row>
    <row r="193" spans="1:196" ht="14.7" customHeight="1">
      <c r="A193" s="131" t="s">
        <v>104</v>
      </c>
      <c r="B193" s="131"/>
      <c r="C193">
        <v>90.457079374178576</v>
      </c>
      <c r="D193">
        <v>92.387976763880246</v>
      </c>
      <c r="E193">
        <v>89.782711746390177</v>
      </c>
      <c r="F193">
        <v>81.407687842579563</v>
      </c>
      <c r="G193">
        <v>83.999200000000002</v>
      </c>
      <c r="H193">
        <v>83.747900000000001</v>
      </c>
      <c r="I193" s="147">
        <v>88.090950078857276</v>
      </c>
      <c r="J193" s="112"/>
      <c r="K193" s="112"/>
      <c r="L193" s="126"/>
      <c r="M193" s="112"/>
      <c r="N193" s="126"/>
      <c r="O193" s="147"/>
      <c r="P193" s="147"/>
      <c r="Q193" s="147"/>
      <c r="R193" s="112"/>
      <c r="S193" s="112"/>
      <c r="T193" s="112"/>
      <c r="U193" s="146"/>
      <c r="V193" s="113"/>
      <c r="W193" s="113"/>
      <c r="X193" s="126"/>
      <c r="Y193" s="126"/>
    </row>
    <row r="194" spans="1:196" ht="14.7" customHeight="1">
      <c r="A194" s="131" t="s">
        <v>274</v>
      </c>
      <c r="B194" s="131"/>
      <c r="C194">
        <v>82.778691870257461</v>
      </c>
      <c r="D194">
        <v>84.459252794577651</v>
      </c>
      <c r="E194">
        <v>82.241888139942247</v>
      </c>
      <c r="F194">
        <v>75.692348970105513</v>
      </c>
      <c r="G194">
        <v>74.639099999999999</v>
      </c>
      <c r="H194">
        <v>68.442000000000007</v>
      </c>
      <c r="I194" s="147">
        <v>71.31898618016173</v>
      </c>
      <c r="J194" s="112"/>
      <c r="K194" s="112"/>
      <c r="L194" s="126"/>
      <c r="M194" s="112"/>
      <c r="N194" s="126"/>
      <c r="O194" s="147"/>
      <c r="P194" s="147"/>
      <c r="Q194" s="147"/>
      <c r="R194" s="112"/>
      <c r="S194" s="112"/>
      <c r="T194" s="112"/>
      <c r="U194" s="146"/>
      <c r="V194" s="113"/>
      <c r="W194" s="113"/>
      <c r="X194" s="126"/>
      <c r="Y194" s="126"/>
    </row>
    <row r="195" spans="1:196" ht="14.7" customHeight="1">
      <c r="A195" s="131" t="s">
        <v>275</v>
      </c>
      <c r="B195" s="131"/>
      <c r="C195">
        <v>87.447508851420423</v>
      </c>
      <c r="D195">
        <v>88.49922724327925</v>
      </c>
      <c r="E195">
        <v>84.469857025421973</v>
      </c>
      <c r="F195">
        <v>79.211667797641567</v>
      </c>
      <c r="G195">
        <v>77.856300000000005</v>
      </c>
      <c r="H195">
        <v>84.072400000000002</v>
      </c>
      <c r="I195" s="147">
        <v>86.259907299488788</v>
      </c>
      <c r="J195" s="112"/>
      <c r="K195" s="112"/>
      <c r="L195" s="126"/>
      <c r="M195" s="112"/>
      <c r="N195" s="126"/>
      <c r="O195" s="147"/>
      <c r="P195" s="147"/>
      <c r="Q195" s="147"/>
      <c r="R195" s="112"/>
      <c r="S195" s="112"/>
      <c r="T195" s="112"/>
      <c r="U195" s="146"/>
      <c r="V195" s="113"/>
      <c r="W195" s="113"/>
      <c r="X195" s="126"/>
      <c r="Y195" s="126"/>
    </row>
    <row r="196" spans="1:196" ht="14.7" customHeight="1">
      <c r="A196" s="131" t="s">
        <v>105</v>
      </c>
      <c r="B196" s="131"/>
      <c r="C196">
        <v>91.254602625214872</v>
      </c>
      <c r="D196">
        <v>91.961103284584624</v>
      </c>
      <c r="E196">
        <v>88.82485653042923</v>
      </c>
      <c r="F196">
        <v>84.083380601205832</v>
      </c>
      <c r="G196">
        <v>81.60260000000001</v>
      </c>
      <c r="H196">
        <v>79.056300000000007</v>
      </c>
      <c r="I196" s="147">
        <v>87.778055448573227</v>
      </c>
      <c r="J196" s="112"/>
      <c r="K196" s="112"/>
      <c r="L196" s="126"/>
      <c r="M196" s="112"/>
      <c r="N196" s="126"/>
      <c r="O196" s="147"/>
      <c r="P196" s="147"/>
      <c r="Q196" s="147"/>
      <c r="R196" s="112"/>
      <c r="S196" s="112"/>
      <c r="T196" s="144"/>
      <c r="U196" s="146"/>
      <c r="V196" s="113"/>
      <c r="W196" s="113"/>
      <c r="X196" s="126"/>
      <c r="Y196" s="126"/>
    </row>
    <row r="197" spans="1:196" ht="14.7" customHeight="1">
      <c r="A197" s="131" t="s">
        <v>106</v>
      </c>
      <c r="B197" s="131"/>
      <c r="C197">
        <v>89.773771711743876</v>
      </c>
      <c r="D197">
        <v>89.082357893373469</v>
      </c>
      <c r="E197">
        <v>89.190630806770088</v>
      </c>
      <c r="F197">
        <v>80.227323524282909</v>
      </c>
      <c r="G197">
        <v>81.663300000000007</v>
      </c>
      <c r="H197">
        <v>85.742499999999993</v>
      </c>
      <c r="I197" s="147">
        <v>85.574582674005825</v>
      </c>
      <c r="J197" s="112"/>
      <c r="K197" s="112"/>
      <c r="L197" s="126"/>
      <c r="M197" s="112"/>
      <c r="N197" s="126"/>
      <c r="O197" s="147"/>
      <c r="P197" s="147"/>
      <c r="Q197" s="147"/>
      <c r="R197" s="112"/>
      <c r="S197" s="112"/>
      <c r="T197" s="112"/>
      <c r="U197" s="146"/>
      <c r="V197" s="113"/>
      <c r="W197" s="113"/>
      <c r="X197" s="126"/>
      <c r="Y197" s="126"/>
    </row>
    <row r="198" spans="1:196" ht="14.7" customHeight="1">
      <c r="A198" s="131" t="s">
        <v>346</v>
      </c>
      <c r="B198" s="131"/>
      <c r="C198">
        <v>85.58445528219336</v>
      </c>
      <c r="D198">
        <v>87.96427422280243</v>
      </c>
      <c r="E198">
        <v>87.901377396279273</v>
      </c>
      <c r="F198">
        <v>75.359238663983078</v>
      </c>
      <c r="G198">
        <v>81.637500000000003</v>
      </c>
      <c r="H198">
        <v>79.288600000000002</v>
      </c>
      <c r="I198" s="147">
        <v>80.124545311152787</v>
      </c>
      <c r="J198" s="112"/>
      <c r="K198" s="112"/>
      <c r="L198" s="126"/>
      <c r="M198" s="112"/>
      <c r="N198" s="126"/>
      <c r="O198" s="147"/>
      <c r="P198" s="147"/>
      <c r="Q198" s="147"/>
      <c r="R198" s="112"/>
      <c r="S198" s="112"/>
      <c r="T198" s="112"/>
      <c r="U198" s="147"/>
      <c r="V198" s="149"/>
      <c r="W198" s="149"/>
      <c r="X198" s="126"/>
      <c r="Y198" s="126"/>
    </row>
    <row r="199" spans="1:196" ht="14.7" customHeight="1">
      <c r="A199" s="131" t="s">
        <v>237</v>
      </c>
      <c r="B199" s="131"/>
      <c r="C199">
        <v>87.958490749224424</v>
      </c>
      <c r="D199">
        <v>88.008096211606997</v>
      </c>
      <c r="E199">
        <v>84.472609754343821</v>
      </c>
      <c r="F199">
        <v>80.744370698177747</v>
      </c>
      <c r="G199">
        <v>81.465500000000006</v>
      </c>
      <c r="H199">
        <v>79.2821</v>
      </c>
      <c r="I199" s="146">
        <v>80.690088061195226</v>
      </c>
      <c r="J199" s="144"/>
      <c r="K199" s="144"/>
      <c r="L199" s="126"/>
      <c r="M199" s="144"/>
      <c r="N199" s="126"/>
      <c r="O199" s="146"/>
      <c r="P199" s="146"/>
      <c r="Q199" s="146"/>
      <c r="R199" s="144"/>
      <c r="S199" s="144"/>
      <c r="T199" s="144"/>
      <c r="U199" s="146"/>
      <c r="V199" s="113"/>
      <c r="W199" s="113"/>
      <c r="X199" s="126"/>
      <c r="Y199" s="126"/>
    </row>
    <row r="200" spans="1:196" ht="14.7" customHeight="1">
      <c r="A200" s="131" t="s">
        <v>107</v>
      </c>
      <c r="B200" s="131"/>
      <c r="C200">
        <v>81.215163856533593</v>
      </c>
      <c r="D200">
        <v>85.506139354775456</v>
      </c>
      <c r="E200">
        <v>80.674469382848997</v>
      </c>
      <c r="F200">
        <v>74.445983106079225</v>
      </c>
      <c r="G200">
        <v>74.274000000000001</v>
      </c>
      <c r="H200">
        <v>75.855099999999993</v>
      </c>
      <c r="I200" s="147">
        <v>77.970266597016874</v>
      </c>
      <c r="J200" s="112"/>
      <c r="K200" s="112"/>
      <c r="L200" s="126"/>
      <c r="M200" s="112"/>
      <c r="N200" s="126"/>
      <c r="O200" s="147"/>
      <c r="P200" s="147"/>
      <c r="Q200" s="147"/>
      <c r="R200" s="112"/>
      <c r="S200" s="112"/>
      <c r="T200" s="112"/>
      <c r="U200" s="147"/>
      <c r="V200" s="149"/>
      <c r="W200" s="149"/>
      <c r="X200" s="126"/>
      <c r="Y200" s="126"/>
    </row>
    <row r="201" spans="1:196" ht="14.7" customHeight="1">
      <c r="A201" s="131" t="s">
        <v>215</v>
      </c>
      <c r="B201" s="131"/>
      <c r="C201">
        <v>82.587567691239997</v>
      </c>
      <c r="D201">
        <v>86.69046135865122</v>
      </c>
      <c r="E201">
        <v>83.042443399280216</v>
      </c>
      <c r="F201">
        <v>77.200108086808299</v>
      </c>
      <c r="G201">
        <v>78.159700000000001</v>
      </c>
      <c r="H201">
        <v>73.899000000000001</v>
      </c>
      <c r="I201" s="147">
        <v>79.226513527376213</v>
      </c>
      <c r="J201" s="112"/>
      <c r="K201" s="112"/>
      <c r="L201" s="126"/>
      <c r="M201" s="112"/>
      <c r="N201" s="126"/>
      <c r="O201" s="147"/>
      <c r="P201" s="147"/>
      <c r="Q201" s="147"/>
      <c r="R201" s="112"/>
      <c r="S201" s="112"/>
      <c r="T201" s="112"/>
      <c r="U201" s="146"/>
      <c r="V201" s="113"/>
      <c r="W201" s="113"/>
      <c r="X201" s="126"/>
      <c r="Y201" s="126"/>
    </row>
    <row r="202" spans="1:196" ht="14.7" customHeight="1">
      <c r="A202" s="131" t="s">
        <v>319</v>
      </c>
      <c r="B202" s="131"/>
      <c r="C202">
        <v>87.270743345184357</v>
      </c>
      <c r="D202">
        <v>87.4919036412293</v>
      </c>
      <c r="E202">
        <v>85.721183274436427</v>
      </c>
      <c r="F202">
        <v>78.510270024588223</v>
      </c>
      <c r="G202">
        <v>81.668499999999995</v>
      </c>
      <c r="H202">
        <v>81.222200000000001</v>
      </c>
      <c r="I202" s="147">
        <v>81.75538355622308</v>
      </c>
      <c r="J202" s="112"/>
      <c r="K202" s="112"/>
      <c r="L202" s="126"/>
      <c r="M202" s="112"/>
      <c r="N202" s="126"/>
      <c r="O202" s="147"/>
      <c r="P202" s="147"/>
      <c r="Q202" s="147"/>
      <c r="R202" s="112"/>
      <c r="S202" s="112"/>
      <c r="T202" s="112"/>
      <c r="U202" s="146"/>
      <c r="V202" s="113"/>
      <c r="W202" s="113"/>
      <c r="X202" s="126"/>
      <c r="Y202" s="126"/>
    </row>
    <row r="203" spans="1:196" ht="14.7" customHeight="1">
      <c r="A203" s="131" t="s">
        <v>108</v>
      </c>
      <c r="B203" s="131"/>
      <c r="C203">
        <v>88.076404755433416</v>
      </c>
      <c r="D203">
        <v>91.171845918199224</v>
      </c>
      <c r="E203">
        <v>88.984467389468037</v>
      </c>
      <c r="F203">
        <v>81.129652221160342</v>
      </c>
      <c r="G203">
        <v>81.588300000000004</v>
      </c>
      <c r="H203">
        <v>84.844099999999997</v>
      </c>
      <c r="I203" s="147">
        <v>81.713744611381074</v>
      </c>
      <c r="J203" s="112"/>
      <c r="K203" s="112"/>
      <c r="L203" s="126"/>
      <c r="M203" s="112"/>
      <c r="N203" s="126"/>
      <c r="O203" s="147"/>
      <c r="P203" s="147"/>
      <c r="Q203" s="147"/>
      <c r="R203" s="112"/>
      <c r="S203" s="112"/>
      <c r="T203" s="112"/>
      <c r="U203" s="146"/>
      <c r="V203" s="113"/>
      <c r="W203" s="113"/>
      <c r="X203" s="126"/>
      <c r="Y203" s="126"/>
    </row>
    <row r="204" spans="1:196" ht="14.7" customHeight="1">
      <c r="A204" s="131" t="s">
        <v>109</v>
      </c>
      <c r="B204" s="131"/>
      <c r="C204">
        <v>87.418351736962975</v>
      </c>
      <c r="D204">
        <v>87.392309780445643</v>
      </c>
      <c r="E204">
        <v>87.198419488698178</v>
      </c>
      <c r="F204">
        <v>78.782917192671704</v>
      </c>
      <c r="G204">
        <v>81.7958</v>
      </c>
      <c r="H204">
        <v>85.591700000000003</v>
      </c>
      <c r="I204" s="147"/>
      <c r="J204" s="112"/>
      <c r="K204" s="112"/>
      <c r="L204" s="126"/>
      <c r="M204" s="112"/>
      <c r="N204" s="126"/>
      <c r="O204" s="147"/>
      <c r="P204" s="147"/>
      <c r="Q204" s="147"/>
      <c r="R204" s="112"/>
      <c r="S204" s="112"/>
      <c r="T204" s="112"/>
      <c r="U204" s="146"/>
      <c r="V204" s="113"/>
      <c r="W204" s="113"/>
      <c r="X204" s="126"/>
      <c r="Y204" s="126"/>
    </row>
    <row r="205" spans="1:196" ht="14.7" customHeight="1">
      <c r="A205" s="131" t="s">
        <v>110</v>
      </c>
      <c r="B205" s="131"/>
      <c r="C205">
        <v>85.939854111308762</v>
      </c>
      <c r="D205">
        <v>81.516497656321818</v>
      </c>
      <c r="E205">
        <v>85.812753030312209</v>
      </c>
      <c r="F205">
        <v>81.25826491098897</v>
      </c>
      <c r="G205">
        <v>77.983100000000007</v>
      </c>
      <c r="H205">
        <v>76.912000000000006</v>
      </c>
      <c r="I205" s="147">
        <v>82.305033352848682</v>
      </c>
      <c r="J205" s="112"/>
      <c r="K205" s="112"/>
      <c r="L205" s="126"/>
      <c r="M205" s="112"/>
      <c r="N205" s="126"/>
      <c r="O205" s="147"/>
      <c r="P205" s="147"/>
      <c r="Q205" s="147"/>
      <c r="R205" s="112"/>
      <c r="S205" s="112"/>
      <c r="T205" s="112"/>
      <c r="U205" s="147"/>
      <c r="V205" s="149"/>
      <c r="W205" s="149"/>
      <c r="X205" s="126"/>
      <c r="Y205" s="126"/>
    </row>
    <row r="206" spans="1:196" ht="14.7" customHeight="1">
      <c r="A206" s="131" t="s">
        <v>276</v>
      </c>
      <c r="B206" s="131"/>
      <c r="C206">
        <v>84.135283917960521</v>
      </c>
      <c r="D206">
        <v>85.71695141856479</v>
      </c>
      <c r="E206">
        <v>86.456301685615983</v>
      </c>
      <c r="F206">
        <v>77.80124185861888</v>
      </c>
      <c r="G206">
        <v>73.987200000000001</v>
      </c>
      <c r="H206">
        <v>71.992100000000008</v>
      </c>
      <c r="I206" s="147">
        <v>74.110753457806638</v>
      </c>
      <c r="J206" s="112"/>
      <c r="K206" s="112"/>
      <c r="L206" s="126"/>
      <c r="M206" s="112"/>
      <c r="N206" s="126"/>
      <c r="O206" s="147"/>
      <c r="P206" s="147"/>
      <c r="Q206" s="147"/>
      <c r="R206" s="112"/>
      <c r="S206" s="112"/>
      <c r="T206" s="112"/>
      <c r="U206" s="146"/>
      <c r="V206" s="113"/>
      <c r="W206" s="113"/>
      <c r="X206" s="126"/>
      <c r="Y206" s="126"/>
    </row>
    <row r="207" spans="1:196" ht="14.7" customHeight="1">
      <c r="A207" s="171" t="s">
        <v>111</v>
      </c>
      <c r="B207" s="171"/>
      <c r="C207">
        <v>90.280853417859703</v>
      </c>
      <c r="D207">
        <v>92.018021913471969</v>
      </c>
      <c r="E207">
        <v>89.446104745121289</v>
      </c>
      <c r="F207">
        <v>82.192561566491008</v>
      </c>
      <c r="G207">
        <v>82.270200000000003</v>
      </c>
      <c r="H207">
        <v>84.456699999999998</v>
      </c>
      <c r="I207" s="147">
        <v>87.469177998201303</v>
      </c>
      <c r="J207" s="112"/>
      <c r="K207" s="112"/>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86.322613060353731</v>
      </c>
      <c r="D208">
        <v>87.377507218596563</v>
      </c>
      <c r="E208">
        <v>85.629886274195783</v>
      </c>
      <c r="F208">
        <v>80.894716590668352</v>
      </c>
      <c r="G208">
        <v>79.2029</v>
      </c>
      <c r="H208">
        <v>79.635100000000008</v>
      </c>
      <c r="I208" s="173">
        <v>81.826191824274247</v>
      </c>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81.227593543776408</v>
      </c>
      <c r="D209">
        <v>80.719337934194314</v>
      </c>
      <c r="E209">
        <v>78.559491945403209</v>
      </c>
      <c r="F209">
        <v>77.897416705201195</v>
      </c>
      <c r="G209">
        <v>77.884699999999995</v>
      </c>
      <c r="H209">
        <v>75.070899999999995</v>
      </c>
      <c r="I209" s="147">
        <v>75.210789842839205</v>
      </c>
      <c r="J209" s="112"/>
      <c r="K209" s="112"/>
      <c r="L209" s="126"/>
      <c r="M209" s="112"/>
      <c r="N209" s="126"/>
      <c r="O209" s="147"/>
      <c r="P209" s="147"/>
      <c r="Q209" s="147"/>
      <c r="R209" s="112"/>
      <c r="S209" s="112"/>
      <c r="T209" s="112"/>
      <c r="U209" s="146"/>
      <c r="V209" s="113"/>
      <c r="W209" s="113"/>
      <c r="X209" s="126"/>
      <c r="Y209" s="126"/>
    </row>
    <row r="210" spans="1:25" ht="14.7" customHeight="1">
      <c r="A210" s="142" t="s">
        <v>113</v>
      </c>
      <c r="B210" s="190"/>
      <c r="C210">
        <v>87.230915285708363</v>
      </c>
      <c r="D210">
        <v>90.194199999999995</v>
      </c>
      <c r="E210">
        <v>83.500832978187589</v>
      </c>
      <c r="F210">
        <v>81.438218522410082</v>
      </c>
      <c r="G210">
        <v>81.884900000000002</v>
      </c>
      <c r="H210">
        <v>85.3005</v>
      </c>
      <c r="I210" s="147">
        <v>83.964601414595634</v>
      </c>
      <c r="J210" s="112"/>
      <c r="K210" s="112"/>
      <c r="L210" s="126"/>
      <c r="M210" s="112"/>
      <c r="N210" s="126"/>
      <c r="O210" s="147"/>
      <c r="P210" s="147"/>
      <c r="Q210" s="147"/>
      <c r="R210" s="112"/>
      <c r="S210" s="112"/>
      <c r="T210" s="112"/>
      <c r="U210" s="146"/>
      <c r="V210" s="113"/>
      <c r="W210" s="113"/>
      <c r="X210" s="126"/>
      <c r="Y210" s="126"/>
    </row>
    <row r="211" spans="1:25" ht="14.7" customHeight="1">
      <c r="A211" s="110" t="s">
        <v>278</v>
      </c>
      <c r="B211" s="190"/>
      <c r="C211">
        <v>86.005953205070156</v>
      </c>
      <c r="D211">
        <v>87.826577193185244</v>
      </c>
      <c r="E211">
        <v>88.018573772221856</v>
      </c>
      <c r="F211">
        <v>80.801997692717578</v>
      </c>
      <c r="G211">
        <v>83.412800000000004</v>
      </c>
      <c r="H211">
        <v>84.479100000000003</v>
      </c>
      <c r="I211" s="147">
        <v>84.047015474190218</v>
      </c>
      <c r="J211" s="112"/>
      <c r="K211" s="112"/>
      <c r="L211" s="126"/>
      <c r="M211" s="112"/>
      <c r="N211" s="126"/>
      <c r="O211" s="147"/>
      <c r="P211" s="147"/>
      <c r="Q211" s="147"/>
      <c r="R211" s="112"/>
      <c r="S211" s="112"/>
      <c r="T211" s="112"/>
      <c r="U211" s="146"/>
      <c r="V211" s="113"/>
      <c r="W211" s="113"/>
      <c r="X211" s="126"/>
      <c r="Y211" s="126"/>
    </row>
    <row r="212" spans="1:25" ht="14.7" customHeight="1">
      <c r="A212" s="110" t="s">
        <v>238</v>
      </c>
      <c r="B212" s="190"/>
      <c r="C212">
        <v>85.262396429932522</v>
      </c>
      <c r="D212">
        <v>89.303386454183268</v>
      </c>
      <c r="E212">
        <v>85.665223464765035</v>
      </c>
      <c r="F212">
        <v>79.169653212586113</v>
      </c>
      <c r="G212">
        <v>81.505799999999994</v>
      </c>
      <c r="H212">
        <v>77.680300000000003</v>
      </c>
      <c r="I212" s="147">
        <v>77.428046096756603</v>
      </c>
      <c r="J212" s="112"/>
      <c r="K212" s="112"/>
      <c r="L212" s="126"/>
      <c r="M212" s="112"/>
      <c r="N212" s="126"/>
      <c r="O212" s="147"/>
      <c r="P212" s="147"/>
      <c r="Q212" s="147"/>
      <c r="R212" s="112"/>
      <c r="S212" s="112"/>
      <c r="T212" s="112"/>
      <c r="U212" s="147"/>
      <c r="V212" s="149"/>
      <c r="W212" s="149"/>
      <c r="X212" s="126"/>
      <c r="Y212" s="126"/>
    </row>
    <row r="213" spans="1:25" ht="14.7" customHeight="1">
      <c r="A213" s="110" t="s">
        <v>114</v>
      </c>
      <c r="B213" s="190"/>
      <c r="C213">
        <v>86.351459523745945</v>
      </c>
      <c r="D213">
        <v>81.646975632984464</v>
      </c>
      <c r="E213">
        <v>85.461358976171965</v>
      </c>
      <c r="F213">
        <v>78.409067893917367</v>
      </c>
      <c r="G213">
        <v>76.585300000000004</v>
      </c>
      <c r="H213">
        <v>80.865200000000002</v>
      </c>
      <c r="I213" s="147">
        <v>77.300064284355642</v>
      </c>
      <c r="J213" s="112"/>
      <c r="K213" s="112"/>
      <c r="L213" s="126"/>
      <c r="M213" s="112"/>
      <c r="N213" s="126"/>
      <c r="O213" s="147"/>
      <c r="P213" s="147"/>
      <c r="Q213" s="147"/>
      <c r="R213" s="112"/>
      <c r="S213" s="112"/>
      <c r="T213" s="112"/>
      <c r="U213" s="146"/>
      <c r="V213" s="113"/>
      <c r="W213" s="113"/>
      <c r="X213" s="126"/>
      <c r="Y213" s="126"/>
    </row>
    <row r="214" spans="1:25" ht="14.7" customHeight="1">
      <c r="A214" s="110" t="s">
        <v>115</v>
      </c>
      <c r="B214" s="190"/>
      <c r="C214">
        <v>87.982903306092439</v>
      </c>
      <c r="D214">
        <v>87.805382560924429</v>
      </c>
      <c r="E214">
        <v>83.774007457261447</v>
      </c>
      <c r="F214">
        <v>75.108238750538121</v>
      </c>
      <c r="G214">
        <v>78.803599999999989</v>
      </c>
      <c r="H214">
        <v>77.100300000000004</v>
      </c>
      <c r="I214" s="147">
        <v>82.385392027866203</v>
      </c>
      <c r="J214" s="112"/>
      <c r="K214" s="112"/>
      <c r="L214" s="126"/>
      <c r="M214" s="112"/>
      <c r="N214" s="126"/>
      <c r="O214" s="147"/>
      <c r="P214" s="147"/>
      <c r="Q214" s="147"/>
      <c r="R214" s="112"/>
      <c r="S214" s="112"/>
      <c r="T214" s="112"/>
      <c r="U214" s="146"/>
      <c r="V214" s="113"/>
      <c r="W214" s="113"/>
      <c r="X214" s="126"/>
      <c r="Y214" s="126"/>
    </row>
    <row r="215" spans="1:25" ht="14.7" customHeight="1">
      <c r="A215" s="110" t="s">
        <v>320</v>
      </c>
      <c r="B215" s="190"/>
      <c r="C215">
        <v>88.327599515654356</v>
      </c>
      <c r="D215">
        <v>88.926774324231388</v>
      </c>
      <c r="E215">
        <v>88.202753893331732</v>
      </c>
      <c r="F215">
        <v>80.339522343284514</v>
      </c>
      <c r="G215">
        <v>83.225099999999998</v>
      </c>
      <c r="H215">
        <v>82.5334</v>
      </c>
      <c r="I215" s="147">
        <v>83.963842489910377</v>
      </c>
      <c r="J215" s="112"/>
      <c r="K215" s="112"/>
      <c r="L215" s="126"/>
      <c r="M215" s="112"/>
      <c r="N215" s="126"/>
      <c r="O215" s="147"/>
      <c r="P215" s="147"/>
      <c r="Q215" s="147"/>
      <c r="R215" s="112"/>
      <c r="S215" s="112"/>
      <c r="T215" s="112"/>
      <c r="U215" s="147"/>
      <c r="V215" s="149"/>
      <c r="W215" s="149"/>
      <c r="X215" s="126"/>
      <c r="Y215" s="126"/>
    </row>
    <row r="216" spans="1:25" ht="14.7" customHeight="1">
      <c r="A216" s="110" t="s">
        <v>116</v>
      </c>
      <c r="B216" s="190"/>
      <c r="C216">
        <v>89.689460915081696</v>
      </c>
      <c r="D216">
        <v>85.193278515620989</v>
      </c>
      <c r="E216">
        <v>86.136657849906726</v>
      </c>
      <c r="F216">
        <v>77.197025711273611</v>
      </c>
      <c r="G216">
        <v>76.798400000000001</v>
      </c>
      <c r="H216">
        <v>74.955700000000007</v>
      </c>
      <c r="I216" s="147">
        <v>75.921860953740193</v>
      </c>
      <c r="J216" s="112"/>
      <c r="K216" s="112"/>
      <c r="L216" s="126"/>
      <c r="M216" s="112"/>
      <c r="N216" s="126"/>
      <c r="O216" s="147"/>
      <c r="P216" s="147"/>
      <c r="Q216" s="147"/>
      <c r="R216" s="112"/>
      <c r="S216" s="112"/>
      <c r="T216" s="112"/>
      <c r="U216" s="146"/>
      <c r="V216" s="113"/>
      <c r="W216" s="113"/>
      <c r="X216" s="126"/>
      <c r="Y216" s="126"/>
    </row>
    <row r="217" spans="1:25" ht="14.7" customHeight="1">
      <c r="A217" s="110" t="s">
        <v>321</v>
      </c>
      <c r="B217" s="190"/>
      <c r="C217">
        <v>87.979747508360546</v>
      </c>
      <c r="D217">
        <v>86.205153224187754</v>
      </c>
      <c r="E217">
        <v>85.894909398675949</v>
      </c>
      <c r="F217">
        <v>78.843598959306831</v>
      </c>
      <c r="G217">
        <v>77.708299999999994</v>
      </c>
      <c r="H217">
        <v>76.165499999999994</v>
      </c>
      <c r="I217" s="147">
        <v>79.79867780945284</v>
      </c>
      <c r="J217" s="112"/>
      <c r="K217" s="112"/>
      <c r="L217" s="126"/>
      <c r="M217" s="112"/>
      <c r="N217" s="126"/>
      <c r="O217" s="147"/>
      <c r="P217" s="147"/>
      <c r="Q217" s="147"/>
      <c r="R217" s="112"/>
      <c r="S217" s="112"/>
      <c r="T217" s="112"/>
      <c r="U217" s="146"/>
      <c r="V217" s="113"/>
      <c r="W217" s="113"/>
      <c r="X217" s="126"/>
      <c r="Y217" s="126"/>
    </row>
    <row r="218" spans="1:25" ht="14.7" customHeight="1">
      <c r="A218" s="110" t="s">
        <v>322</v>
      </c>
      <c r="B218" s="190"/>
      <c r="C218">
        <v>88.360467872841909</v>
      </c>
      <c r="D218">
        <v>89.925963580312711</v>
      </c>
      <c r="E218">
        <v>87.020828950136746</v>
      </c>
      <c r="F218">
        <v>78.895828375138365</v>
      </c>
      <c r="G218">
        <v>80.256299999999996</v>
      </c>
      <c r="H218">
        <v>78.613699999999994</v>
      </c>
      <c r="I218" s="147">
        <v>84.749168702818679</v>
      </c>
      <c r="J218" s="112"/>
      <c r="K218" s="112"/>
      <c r="L218" s="126"/>
      <c r="M218" s="112"/>
      <c r="N218" s="126"/>
      <c r="O218" s="147"/>
      <c r="P218" s="147"/>
      <c r="Q218" s="147"/>
      <c r="R218" s="112"/>
      <c r="S218" s="112"/>
      <c r="T218" s="112"/>
      <c r="U218" s="146"/>
      <c r="V218" s="113"/>
      <c r="W218" s="113"/>
      <c r="X218" s="126"/>
      <c r="Y218" s="126"/>
    </row>
    <row r="219" spans="1:25" ht="14.7" customHeight="1">
      <c r="A219" s="110" t="s">
        <v>117</v>
      </c>
      <c r="B219" s="190"/>
      <c r="C219">
        <v>91.139847908791566</v>
      </c>
      <c r="D219">
        <v>91.345361707681135</v>
      </c>
      <c r="E219">
        <v>91.603739873793003</v>
      </c>
      <c r="F219">
        <v>87.218691766386613</v>
      </c>
      <c r="G219">
        <v>86.369500000000002</v>
      </c>
      <c r="H219">
        <v>85.798200000000008</v>
      </c>
      <c r="I219" s="147">
        <v>87.667255896741864</v>
      </c>
      <c r="J219" s="112"/>
      <c r="K219" s="112"/>
      <c r="L219" s="126"/>
      <c r="M219" s="112"/>
      <c r="N219" s="126"/>
      <c r="O219" s="147"/>
      <c r="P219" s="147"/>
      <c r="Q219" s="147"/>
      <c r="R219" s="112"/>
      <c r="S219" s="112"/>
      <c r="T219" s="112"/>
      <c r="U219" s="146"/>
      <c r="V219" s="113"/>
      <c r="W219" s="113"/>
      <c r="X219" s="126"/>
      <c r="Y219" s="126"/>
    </row>
    <row r="220" spans="1:25" ht="14.7" customHeight="1">
      <c r="A220" s="110" t="s">
        <v>279</v>
      </c>
      <c r="B220" s="190"/>
      <c r="C220">
        <v>85.615645673401431</v>
      </c>
      <c r="D220">
        <v>87.261692643562142</v>
      </c>
      <c r="E220">
        <v>82.848479770216628</v>
      </c>
      <c r="F220">
        <v>76.756300734105494</v>
      </c>
      <c r="G220">
        <v>78.002200000000002</v>
      </c>
      <c r="H220">
        <v>78.478999999999999</v>
      </c>
      <c r="I220" s="147">
        <v>79.213544996271906</v>
      </c>
      <c r="J220" s="112"/>
      <c r="K220" s="112"/>
      <c r="L220" s="126"/>
      <c r="M220" s="112"/>
      <c r="N220" s="126"/>
      <c r="O220" s="147"/>
      <c r="P220" s="147"/>
      <c r="Q220" s="147"/>
      <c r="R220" s="112"/>
      <c r="S220" s="112"/>
      <c r="T220" s="112"/>
      <c r="U220" s="147"/>
      <c r="V220" s="149"/>
      <c r="W220" s="149"/>
      <c r="X220" s="126"/>
      <c r="Y220" s="126"/>
    </row>
    <row r="221" spans="1:25" ht="14.7" customHeight="1">
      <c r="A221" s="110" t="s">
        <v>323</v>
      </c>
      <c r="B221" s="190"/>
      <c r="C221">
        <v>86.914344414725591</v>
      </c>
      <c r="D221">
        <v>86.045942393596022</v>
      </c>
      <c r="E221">
        <v>87.478328187924618</v>
      </c>
      <c r="F221">
        <v>78.083163768629888</v>
      </c>
      <c r="G221">
        <v>79.117699999999999</v>
      </c>
      <c r="H221">
        <v>79.461700000000008</v>
      </c>
      <c r="I221" s="147">
        <v>80.365637953863711</v>
      </c>
      <c r="J221" s="112"/>
      <c r="K221" s="112"/>
      <c r="L221" s="126"/>
      <c r="M221" s="112"/>
      <c r="N221" s="126"/>
      <c r="O221" s="147"/>
      <c r="P221" s="147"/>
      <c r="Q221" s="147"/>
      <c r="R221" s="112"/>
      <c r="S221" s="112"/>
      <c r="T221" s="112"/>
      <c r="U221" s="146"/>
      <c r="V221" s="113"/>
      <c r="W221" s="113"/>
      <c r="X221" s="126"/>
      <c r="Y221" s="126"/>
    </row>
    <row r="222" spans="1:25" ht="14.7" customHeight="1">
      <c r="A222" s="110" t="s">
        <v>347</v>
      </c>
      <c r="B222" s="190"/>
      <c r="C222">
        <v>84.610463877468689</v>
      </c>
      <c r="D222">
        <v>86.368505896200048</v>
      </c>
      <c r="E222">
        <v>87.549998104809987</v>
      </c>
      <c r="F222">
        <v>70.039736286900762</v>
      </c>
      <c r="G222">
        <v>73.355000000000004</v>
      </c>
      <c r="H222">
        <v>78.091499999999996</v>
      </c>
      <c r="I222" s="147">
        <v>74.132264342587916</v>
      </c>
      <c r="J222" s="112"/>
      <c r="K222" s="112"/>
      <c r="L222" s="126"/>
      <c r="M222" s="112"/>
      <c r="N222" s="126"/>
      <c r="O222" s="147"/>
      <c r="P222" s="147"/>
      <c r="Q222" s="147"/>
      <c r="R222" s="112"/>
      <c r="S222" s="112"/>
      <c r="T222" s="112"/>
      <c r="U222" s="146"/>
      <c r="V222" s="113"/>
      <c r="W222" s="113"/>
      <c r="X222" s="126"/>
      <c r="Y222" s="126"/>
    </row>
    <row r="223" spans="1:25" ht="14.7" customHeight="1">
      <c r="A223" s="110" t="s">
        <v>348</v>
      </c>
      <c r="B223" s="190"/>
      <c r="C223">
        <v>88.71702699400214</v>
      </c>
      <c r="D223">
        <v>88.597700304461554</v>
      </c>
      <c r="E223">
        <v>83.330447388555555</v>
      </c>
      <c r="F223">
        <v>78.459269619473332</v>
      </c>
      <c r="G223">
        <v>70.854200000000006</v>
      </c>
      <c r="H223">
        <v>73.594899999999996</v>
      </c>
      <c r="I223" s="147">
        <v>79.971389270307597</v>
      </c>
      <c r="J223" s="112"/>
      <c r="K223" s="112"/>
      <c r="L223" s="126"/>
      <c r="M223" s="112"/>
      <c r="N223" s="126"/>
      <c r="O223" s="147"/>
      <c r="P223" s="147"/>
      <c r="Q223" s="147"/>
      <c r="R223" s="112"/>
      <c r="S223" s="112"/>
      <c r="T223" s="112"/>
      <c r="U223" s="146"/>
      <c r="V223" s="113"/>
      <c r="W223" s="113"/>
      <c r="X223" s="126"/>
      <c r="Y223" s="126"/>
    </row>
    <row r="224" spans="1:25" ht="14.7" customHeight="1">
      <c r="A224" s="110" t="s">
        <v>239</v>
      </c>
      <c r="B224" s="190"/>
      <c r="C224">
        <v>84.154456604252573</v>
      </c>
      <c r="D224">
        <v>81.246296783962606</v>
      </c>
      <c r="E224">
        <v>84.470376674085657</v>
      </c>
      <c r="F224">
        <v>77.946562362327654</v>
      </c>
      <c r="G224">
        <v>71.953999999999994</v>
      </c>
      <c r="H224">
        <v>71.332999999999998</v>
      </c>
      <c r="I224" s="147">
        <v>71.172151536990555</v>
      </c>
      <c r="J224" s="112"/>
      <c r="K224" s="112"/>
      <c r="L224" s="126"/>
      <c r="M224" s="112"/>
      <c r="N224" s="126"/>
      <c r="O224" s="147"/>
      <c r="P224" s="147"/>
      <c r="Q224" s="147"/>
      <c r="R224" s="112"/>
      <c r="S224" s="112"/>
      <c r="T224" s="112"/>
      <c r="U224" s="146"/>
      <c r="V224" s="113"/>
      <c r="W224" s="113"/>
      <c r="X224" s="126"/>
      <c r="Y224" s="126"/>
    </row>
    <row r="225" spans="1:25" ht="14.7" customHeight="1">
      <c r="A225" s="110" t="s">
        <v>118</v>
      </c>
      <c r="B225" s="190"/>
      <c r="C225">
        <v>93.732409709678805</v>
      </c>
      <c r="D225">
        <v>91.966773136856716</v>
      </c>
      <c r="E225">
        <v>92.757802504248346</v>
      </c>
      <c r="F225">
        <v>89.871919114577565</v>
      </c>
      <c r="G225">
        <v>84.79379999999999</v>
      </c>
      <c r="H225">
        <v>89.169499999999999</v>
      </c>
      <c r="I225" s="147">
        <v>90.450497364548298</v>
      </c>
      <c r="J225" s="112"/>
      <c r="K225" s="112"/>
      <c r="L225" s="126"/>
      <c r="M225" s="112"/>
      <c r="N225" s="126"/>
      <c r="O225" s="147"/>
      <c r="P225" s="147"/>
      <c r="Q225" s="147"/>
      <c r="R225" s="112"/>
      <c r="S225" s="112"/>
      <c r="T225" s="112"/>
      <c r="U225" s="146"/>
      <c r="V225" s="113"/>
      <c r="W225" s="113"/>
      <c r="X225" s="126"/>
      <c r="Y225" s="126"/>
    </row>
    <row r="226" spans="1:25" ht="14.7" customHeight="1">
      <c r="A226" s="110" t="s">
        <v>324</v>
      </c>
      <c r="B226" s="190"/>
      <c r="C226">
        <v>91.437304608546725</v>
      </c>
      <c r="D226">
        <v>90.575477125033302</v>
      </c>
      <c r="E226">
        <v>89.754903943056448</v>
      </c>
      <c r="F226">
        <v>84.21962209314276</v>
      </c>
      <c r="G226">
        <v>83.221599999999995</v>
      </c>
      <c r="H226">
        <v>86.718900000000005</v>
      </c>
      <c r="I226" s="147">
        <v>87.874989098739817</v>
      </c>
      <c r="J226" s="112"/>
      <c r="K226" s="112"/>
      <c r="L226" s="126"/>
      <c r="M226" s="112"/>
      <c r="N226" s="126"/>
      <c r="O226" s="147"/>
      <c r="P226" s="147"/>
      <c r="Q226" s="147"/>
      <c r="R226" s="112"/>
      <c r="S226" s="112"/>
      <c r="T226" s="112"/>
      <c r="U226" s="146"/>
      <c r="V226" s="113"/>
      <c r="W226" s="113"/>
      <c r="X226" s="126"/>
      <c r="Y226" s="126"/>
    </row>
    <row r="227" spans="1:25" ht="14.7" customHeight="1">
      <c r="A227" s="110" t="s">
        <v>119</v>
      </c>
      <c r="B227" s="190"/>
      <c r="C227">
        <v>85.760036297043513</v>
      </c>
      <c r="D227">
        <v>80.340432266599564</v>
      </c>
      <c r="E227">
        <v>85.330393316840556</v>
      </c>
      <c r="F227">
        <v>71.035576366899036</v>
      </c>
      <c r="G227">
        <v>75.520299999999992</v>
      </c>
      <c r="H227">
        <v>67.229200000000006</v>
      </c>
      <c r="I227" s="147">
        <v>75.635752488429077</v>
      </c>
      <c r="J227" s="112"/>
      <c r="K227" s="112"/>
      <c r="L227" s="126"/>
      <c r="M227" s="112"/>
      <c r="N227" s="126"/>
      <c r="O227" s="147"/>
      <c r="P227" s="147"/>
      <c r="Q227" s="147"/>
      <c r="R227" s="112"/>
      <c r="S227" s="112"/>
      <c r="T227" s="112"/>
      <c r="U227" s="147"/>
      <c r="V227" s="149"/>
      <c r="W227" s="149"/>
      <c r="X227" s="126"/>
      <c r="Y227" s="126"/>
    </row>
    <row r="228" spans="1:25" ht="14.7" customHeight="1">
      <c r="A228" s="110" t="s">
        <v>280</v>
      </c>
      <c r="B228" s="190"/>
      <c r="C228">
        <v>84.235165733999636</v>
      </c>
      <c r="D228">
        <v>86.265118888503864</v>
      </c>
      <c r="E228">
        <v>85.741036268016614</v>
      </c>
      <c r="F228">
        <v>77.162970177679028</v>
      </c>
      <c r="G228">
        <v>80.429099999999991</v>
      </c>
      <c r="H228">
        <v>76.956699999999998</v>
      </c>
      <c r="I228" s="147">
        <v>78.442350379171074</v>
      </c>
      <c r="J228" s="112"/>
      <c r="K228" s="112"/>
      <c r="L228" s="126"/>
      <c r="M228" s="112"/>
      <c r="N228" s="126"/>
      <c r="O228" s="147"/>
      <c r="P228" s="147"/>
      <c r="Q228" s="147"/>
      <c r="R228" s="112"/>
      <c r="S228" s="112"/>
      <c r="T228" s="112"/>
      <c r="U228" s="146"/>
      <c r="V228" s="113"/>
      <c r="W228" s="113"/>
      <c r="X228" s="126"/>
      <c r="Y228" s="126"/>
    </row>
    <row r="229" spans="1:25" ht="14.7" customHeight="1">
      <c r="A229" s="110" t="s">
        <v>281</v>
      </c>
      <c r="B229" s="190"/>
      <c r="C229">
        <v>88.410118414041264</v>
      </c>
      <c r="D229">
        <v>87.985274768230738</v>
      </c>
      <c r="E229">
        <v>85.335752460212589</v>
      </c>
      <c r="F229">
        <v>81.813643548819044</v>
      </c>
      <c r="G229">
        <v>79.593599999999995</v>
      </c>
      <c r="H229">
        <v>77.491100000000003</v>
      </c>
      <c r="I229" s="147">
        <v>81.902072060518705</v>
      </c>
      <c r="J229" s="112"/>
      <c r="K229" s="112"/>
      <c r="L229" s="126"/>
      <c r="M229" s="112"/>
      <c r="N229" s="126"/>
      <c r="O229" s="147"/>
      <c r="P229" s="147"/>
      <c r="Q229" s="147"/>
      <c r="R229" s="112"/>
      <c r="S229" s="112"/>
      <c r="T229" s="112"/>
      <c r="U229" s="147"/>
      <c r="V229" s="149"/>
      <c r="W229" s="149"/>
      <c r="X229" s="126"/>
      <c r="Y229" s="126"/>
    </row>
    <row r="230" spans="1:25" ht="14.7" customHeight="1">
      <c r="A230" s="110" t="s">
        <v>282</v>
      </c>
      <c r="B230" s="190"/>
      <c r="C230">
        <v>86.446655508894054</v>
      </c>
      <c r="D230">
        <v>88.474083994396551</v>
      </c>
      <c r="E230">
        <v>87.899852654593857</v>
      </c>
      <c r="F230">
        <v>77.016533903503088</v>
      </c>
      <c r="G230">
        <v>88.738</v>
      </c>
      <c r="H230">
        <v>82.905799999999999</v>
      </c>
      <c r="I230" s="147"/>
      <c r="J230" s="112"/>
      <c r="K230" s="112"/>
      <c r="L230" s="126"/>
      <c r="M230" s="112"/>
      <c r="N230" s="126"/>
      <c r="O230" s="147"/>
      <c r="P230" s="147"/>
      <c r="Q230" s="147"/>
      <c r="R230" s="112"/>
      <c r="S230" s="112"/>
      <c r="T230" s="112"/>
      <c r="U230" s="146"/>
      <c r="V230" s="113"/>
      <c r="W230" s="113"/>
      <c r="X230" s="126"/>
      <c r="Y230" s="126"/>
    </row>
    <row r="231" spans="1:25" ht="14.7" customHeight="1">
      <c r="A231" s="110" t="s">
        <v>283</v>
      </c>
      <c r="B231" s="190"/>
      <c r="C231">
        <v>90.056627069746241</v>
      </c>
      <c r="D231">
        <v>88.59978644429755</v>
      </c>
      <c r="E231">
        <v>88.323501501677768</v>
      </c>
      <c r="F231">
        <v>84.510655480309964</v>
      </c>
      <c r="G231">
        <v>82.460999999999999</v>
      </c>
      <c r="H231">
        <v>86.90870000000001</v>
      </c>
      <c r="I231" s="147">
        <v>83.722046138343117</v>
      </c>
      <c r="J231" s="112"/>
      <c r="K231" s="112"/>
      <c r="L231" s="126"/>
      <c r="M231" s="112"/>
      <c r="N231" s="126"/>
      <c r="O231" s="147"/>
      <c r="P231" s="147"/>
      <c r="Q231" s="147"/>
      <c r="R231" s="112"/>
      <c r="S231" s="112"/>
      <c r="T231" s="112"/>
      <c r="U231" s="147"/>
      <c r="V231" s="113"/>
      <c r="W231" s="113"/>
      <c r="X231" s="126"/>
      <c r="Y231" s="126"/>
    </row>
    <row r="232" spans="1:25" ht="14.7" customHeight="1">
      <c r="A232" s="110" t="s">
        <v>120</v>
      </c>
      <c r="B232" s="190"/>
      <c r="C232">
        <v>84.91486928820062</v>
      </c>
      <c r="D232">
        <v>85.742451034151316</v>
      </c>
      <c r="E232">
        <v>83.941018712978732</v>
      </c>
      <c r="F232">
        <v>78.546550114743326</v>
      </c>
      <c r="G232">
        <v>76.532799999999995</v>
      </c>
      <c r="H232">
        <v>79.496299999999991</v>
      </c>
      <c r="I232" s="147">
        <v>79.710929981788055</v>
      </c>
      <c r="J232" s="112"/>
      <c r="K232" s="112"/>
      <c r="L232" s="126"/>
      <c r="M232" s="112"/>
      <c r="N232" s="126"/>
      <c r="O232" s="147"/>
      <c r="P232" s="147"/>
      <c r="Q232" s="147"/>
      <c r="R232" s="112"/>
      <c r="S232" s="112"/>
      <c r="T232" s="112"/>
      <c r="U232" s="146"/>
      <c r="V232" s="113"/>
      <c r="W232" s="113"/>
      <c r="X232" s="126"/>
      <c r="Y232" s="126"/>
    </row>
    <row r="233" spans="1:25" ht="14.7" customHeight="1">
      <c r="A233" s="110" t="s">
        <v>121</v>
      </c>
      <c r="B233" s="189"/>
      <c r="C233">
        <v>90.144482206140111</v>
      </c>
      <c r="D233">
        <v>87.61913185768303</v>
      </c>
      <c r="E233">
        <v>89.059111888196611</v>
      </c>
      <c r="F233">
        <v>84.37053370602456</v>
      </c>
      <c r="G233">
        <v>84.751800000000003</v>
      </c>
      <c r="H233">
        <v>83.436900000000009</v>
      </c>
      <c r="I233" s="146"/>
      <c r="J233" s="144"/>
      <c r="K233" s="144"/>
      <c r="L233" s="126"/>
      <c r="M233" s="144"/>
      <c r="N233" s="126"/>
      <c r="O233" s="146"/>
      <c r="P233" s="146"/>
      <c r="Q233" s="146"/>
      <c r="R233" s="144"/>
      <c r="S233" s="144"/>
      <c r="T233" s="144"/>
      <c r="U233" s="146"/>
      <c r="V233" s="113"/>
      <c r="W233" s="113"/>
      <c r="X233" s="126"/>
      <c r="Y233" s="126"/>
    </row>
    <row r="234" spans="1:25" ht="14.7" customHeight="1">
      <c r="A234" s="110" t="s">
        <v>284</v>
      </c>
      <c r="B234" s="190"/>
      <c r="C234">
        <v>87.623581389878183</v>
      </c>
      <c r="D234">
        <v>88.846705267756619</v>
      </c>
      <c r="E234">
        <v>85.833346443685784</v>
      </c>
      <c r="F234">
        <v>80.504833085253154</v>
      </c>
      <c r="G234">
        <v>84.446699999999993</v>
      </c>
      <c r="H234">
        <v>85.2517</v>
      </c>
      <c r="I234" s="147">
        <v>79.30048938847051</v>
      </c>
      <c r="J234" s="112"/>
      <c r="K234" s="112"/>
      <c r="L234" s="126"/>
      <c r="M234" s="112"/>
      <c r="N234" s="126"/>
      <c r="O234" s="147"/>
      <c r="P234" s="147"/>
      <c r="Q234" s="147"/>
      <c r="R234" s="112"/>
      <c r="S234" s="112"/>
      <c r="T234" s="112"/>
      <c r="U234" s="147"/>
      <c r="V234" s="149"/>
      <c r="W234" s="149"/>
      <c r="X234" s="126"/>
      <c r="Y234" s="126"/>
    </row>
    <row r="235" spans="1:25" ht="14.7" customHeight="1">
      <c r="A235" s="110" t="s">
        <v>216</v>
      </c>
      <c r="B235" s="190"/>
      <c r="C235">
        <v>85.880475885632833</v>
      </c>
      <c r="D235">
        <v>85.307225336052824</v>
      </c>
      <c r="E235">
        <v>85.14273536742428</v>
      </c>
      <c r="F235">
        <v>75.135256927449518</v>
      </c>
      <c r="G235">
        <v>79.270200000000003</v>
      </c>
      <c r="H235">
        <v>71.495800000000003</v>
      </c>
      <c r="I235" s="147">
        <v>76.104783692477454</v>
      </c>
      <c r="J235" s="112"/>
      <c r="K235" s="112"/>
      <c r="L235" s="126"/>
      <c r="M235" s="112"/>
      <c r="N235" s="126"/>
      <c r="O235" s="147"/>
      <c r="P235" s="147"/>
      <c r="Q235" s="147"/>
      <c r="R235" s="112"/>
      <c r="S235" s="112"/>
      <c r="T235" s="112"/>
      <c r="U235" s="146"/>
      <c r="V235" s="113"/>
      <c r="W235" s="113"/>
      <c r="X235" s="126"/>
      <c r="Y235" s="126"/>
    </row>
    <row r="236" spans="1:25" ht="14.7" customHeight="1">
      <c r="A236" s="110" t="s">
        <v>809</v>
      </c>
      <c r="B236" s="190"/>
      <c r="C236">
        <v>86.998937918640877</v>
      </c>
      <c r="D236">
        <v>80.36127103046752</v>
      </c>
      <c r="E236">
        <v>85.456549042822985</v>
      </c>
      <c r="F236">
        <v>78.05113739385942</v>
      </c>
      <c r="G236">
        <v>77.009100000000004</v>
      </c>
      <c r="H236">
        <v>77.095799999999997</v>
      </c>
      <c r="I236" s="147">
        <v>81.614039414475286</v>
      </c>
      <c r="J236" s="112"/>
      <c r="K236" s="112"/>
      <c r="L236" s="126"/>
      <c r="M236" s="112"/>
      <c r="N236" s="126"/>
      <c r="O236" s="147"/>
      <c r="P236" s="147"/>
      <c r="Q236" s="147"/>
      <c r="R236" s="112"/>
      <c r="S236" s="112"/>
      <c r="T236" s="112"/>
      <c r="U236" s="146"/>
      <c r="V236" s="113"/>
      <c r="W236" s="113"/>
      <c r="X236" s="126"/>
      <c r="Y236" s="126"/>
    </row>
    <row r="237" spans="1:25" ht="14.7" customHeight="1">
      <c r="A237" s="110" t="s">
        <v>122</v>
      </c>
      <c r="B237" s="190"/>
      <c r="C237">
        <v>85.540972266189584</v>
      </c>
      <c r="D237">
        <v>86.652453672277346</v>
      </c>
      <c r="E237">
        <v>84.289935601984936</v>
      </c>
      <c r="F237">
        <v>76.469752648473943</v>
      </c>
      <c r="G237">
        <v>76.784300000000002</v>
      </c>
      <c r="H237">
        <v>81.114900000000006</v>
      </c>
      <c r="I237" s="147">
        <v>76.059769934592339</v>
      </c>
      <c r="J237" s="112"/>
      <c r="K237" s="112"/>
      <c r="L237" s="126"/>
      <c r="M237" s="112"/>
      <c r="N237" s="126"/>
      <c r="O237" s="147"/>
      <c r="P237" s="147"/>
      <c r="Q237" s="147"/>
      <c r="R237" s="112"/>
      <c r="S237" s="112"/>
      <c r="T237" s="112"/>
      <c r="U237" s="146"/>
      <c r="V237" s="113"/>
      <c r="W237" s="113"/>
      <c r="X237" s="126"/>
      <c r="Y237" s="126"/>
    </row>
    <row r="238" spans="1:25" ht="14.7" customHeight="1">
      <c r="A238" s="110" t="s">
        <v>349</v>
      </c>
      <c r="B238" s="190"/>
      <c r="C238">
        <v>91.598364136213519</v>
      </c>
      <c r="D238">
        <v>89.464323635591427</v>
      </c>
      <c r="E238">
        <v>88.959149302835669</v>
      </c>
      <c r="F238">
        <v>81.71055341204297</v>
      </c>
      <c r="G238">
        <v>85.211199999999991</v>
      </c>
      <c r="H238">
        <v>83.855999999999995</v>
      </c>
      <c r="I238" s="147">
        <v>83.841518911555866</v>
      </c>
      <c r="J238" s="112"/>
      <c r="K238" s="112"/>
      <c r="L238" s="126"/>
      <c r="M238" s="112"/>
      <c r="N238" s="126"/>
      <c r="O238" s="147"/>
      <c r="P238" s="147"/>
      <c r="Q238" s="147"/>
      <c r="R238" s="112"/>
      <c r="S238" s="112"/>
      <c r="T238" s="112"/>
      <c r="U238" s="147"/>
      <c r="V238" s="149"/>
      <c r="W238" s="149"/>
      <c r="X238" s="126"/>
      <c r="Y238" s="126"/>
    </row>
    <row r="239" spans="1:25" ht="14.7" customHeight="1">
      <c r="A239" s="26" t="s">
        <v>123</v>
      </c>
      <c r="B239" s="190"/>
      <c r="C239">
        <v>89.609932293139082</v>
      </c>
      <c r="D239">
        <v>89.371288226645092</v>
      </c>
      <c r="E239">
        <v>90.611287950818209</v>
      </c>
      <c r="F239">
        <v>83.159463668209654</v>
      </c>
      <c r="G239">
        <v>76.388400000000004</v>
      </c>
      <c r="H239">
        <v>79.130700000000004</v>
      </c>
      <c r="I239" s="147">
        <v>86.534664357842871</v>
      </c>
      <c r="J239" s="112"/>
      <c r="K239" s="112"/>
      <c r="L239" s="126"/>
      <c r="M239" s="112"/>
      <c r="N239" s="126"/>
      <c r="O239" s="147"/>
      <c r="P239" s="147"/>
      <c r="Q239" s="147"/>
      <c r="R239" s="112"/>
      <c r="S239" s="112"/>
      <c r="T239" s="112"/>
      <c r="U239" s="146"/>
      <c r="V239" s="113"/>
      <c r="W239" s="113"/>
      <c r="X239" s="126"/>
      <c r="Y239" s="126"/>
    </row>
    <row r="240" spans="1:25" ht="14.7" customHeight="1">
      <c r="A240" s="26" t="s">
        <v>394</v>
      </c>
      <c r="B240" s="190"/>
      <c r="C240">
        <v>94.007495920293096</v>
      </c>
      <c r="D240">
        <v>92.074097685366809</v>
      </c>
      <c r="E240">
        <v>94.762281721117745</v>
      </c>
      <c r="F240">
        <v>89.097239608715967</v>
      </c>
      <c r="G240">
        <v>89.462800000000001</v>
      </c>
      <c r="H240">
        <v>90.354100000000003</v>
      </c>
      <c r="I240" s="147">
        <v>91.991643707185773</v>
      </c>
      <c r="J240" s="112"/>
      <c r="K240" s="112"/>
      <c r="L240" s="126"/>
      <c r="M240" s="112"/>
      <c r="N240" s="126"/>
      <c r="O240" s="147"/>
      <c r="P240" s="147"/>
      <c r="Q240" s="147"/>
      <c r="R240" s="112"/>
      <c r="S240" s="112"/>
      <c r="T240" s="112"/>
      <c r="U240" s="146"/>
      <c r="V240" s="113"/>
      <c r="W240" s="113"/>
      <c r="X240" s="126"/>
      <c r="Y240" s="126"/>
    </row>
    <row r="241" spans="1:25" ht="14.7" customHeight="1">
      <c r="A241" s="110" t="s">
        <v>124</v>
      </c>
      <c r="B241" s="190"/>
      <c r="C241">
        <v>89.076214134329788</v>
      </c>
      <c r="D241">
        <v>85.779128337695539</v>
      </c>
      <c r="E241">
        <v>90.329590582782544</v>
      </c>
      <c r="F241">
        <v>78.342800767251305</v>
      </c>
      <c r="G241">
        <v>85.784599999999998</v>
      </c>
      <c r="H241">
        <v>86.960000000000008</v>
      </c>
      <c r="I241" s="147">
        <v>85.027168137497483</v>
      </c>
      <c r="J241" s="112"/>
      <c r="K241" s="112"/>
      <c r="L241" s="126"/>
      <c r="M241" s="112"/>
      <c r="N241" s="126"/>
      <c r="O241" s="147"/>
      <c r="P241" s="147"/>
      <c r="Q241" s="147"/>
      <c r="R241" s="112"/>
      <c r="S241" s="112"/>
      <c r="T241" s="112"/>
      <c r="U241" s="146"/>
      <c r="V241" s="113"/>
      <c r="W241" s="113"/>
      <c r="X241" s="126"/>
      <c r="Y241" s="126"/>
    </row>
    <row r="242" spans="1:25" ht="14.7" customHeight="1">
      <c r="A242" s="110" t="s">
        <v>240</v>
      </c>
      <c r="B242" s="190"/>
      <c r="C242">
        <v>82.249672822378585</v>
      </c>
      <c r="D242">
        <v>83.89173537595876</v>
      </c>
      <c r="E242">
        <v>84.957682903893172</v>
      </c>
      <c r="F242">
        <v>69.614241695408481</v>
      </c>
      <c r="G242">
        <v>71.378699999999995</v>
      </c>
      <c r="H242">
        <v>71.692999999999998</v>
      </c>
      <c r="I242" s="147">
        <v>75.291741438130259</v>
      </c>
      <c r="J242" s="112"/>
      <c r="K242" s="112"/>
      <c r="L242" s="126"/>
      <c r="M242" s="112"/>
      <c r="N242" s="126"/>
      <c r="O242" s="147"/>
      <c r="P242" s="147"/>
      <c r="Q242" s="147"/>
      <c r="R242" s="112"/>
      <c r="S242" s="112"/>
      <c r="T242" s="112"/>
      <c r="U242" s="146"/>
      <c r="V242" s="113"/>
      <c r="W242" s="113"/>
      <c r="X242" s="126"/>
      <c r="Y242" s="126"/>
    </row>
    <row r="243" spans="1:25" ht="14.7" customHeight="1">
      <c r="A243" s="110" t="s">
        <v>125</v>
      </c>
      <c r="B243" s="190"/>
      <c r="C243">
        <v>85.56796161408046</v>
      </c>
      <c r="D243">
        <v>86.739827459176155</v>
      </c>
      <c r="E243">
        <v>85.318985703783682</v>
      </c>
      <c r="F243">
        <v>77.773152460030573</v>
      </c>
      <c r="G243">
        <v>79.908699999999996</v>
      </c>
      <c r="H243">
        <v>78.809799999999996</v>
      </c>
      <c r="I243" s="147">
        <v>86.613854711442926</v>
      </c>
      <c r="J243" s="112"/>
      <c r="K243" s="112"/>
      <c r="L243" s="126"/>
      <c r="M243" s="112"/>
      <c r="N243" s="126"/>
      <c r="O243" s="147"/>
      <c r="P243" s="147"/>
      <c r="Q243" s="147"/>
      <c r="R243" s="112"/>
      <c r="S243" s="112"/>
      <c r="T243" s="112"/>
      <c r="U243" s="146"/>
      <c r="V243" s="113"/>
      <c r="W243" s="113"/>
      <c r="X243" s="126"/>
      <c r="Y243" s="126"/>
    </row>
    <row r="244" spans="1:25" ht="14.7" customHeight="1">
      <c r="A244" s="110" t="s">
        <v>126</v>
      </c>
      <c r="B244" s="190"/>
      <c r="C244">
        <v>86.47213789525037</v>
      </c>
      <c r="D244">
        <v>79.294307568128531</v>
      </c>
      <c r="E244">
        <v>83.689845521498953</v>
      </c>
      <c r="F244">
        <v>75.505192415784819</v>
      </c>
      <c r="G244">
        <v>74.4208</v>
      </c>
      <c r="H244">
        <v>78.809600000000003</v>
      </c>
      <c r="I244" s="147">
        <v>76.997319645735686</v>
      </c>
      <c r="J244" s="112"/>
      <c r="K244" s="112"/>
      <c r="L244" s="126"/>
      <c r="M244" s="112"/>
      <c r="N244" s="126"/>
      <c r="O244" s="147"/>
      <c r="P244" s="147"/>
      <c r="Q244" s="147"/>
      <c r="R244" s="112"/>
      <c r="S244" s="112"/>
      <c r="T244" s="112"/>
      <c r="U244" s="146"/>
      <c r="V244" s="113"/>
      <c r="W244" s="113"/>
      <c r="X244" s="126"/>
      <c r="Y244" s="126"/>
    </row>
    <row r="245" spans="1:25" ht="14.7" customHeight="1">
      <c r="A245" s="110" t="s">
        <v>127</v>
      </c>
      <c r="B245" s="190"/>
      <c r="C245">
        <v>86.526890488006686</v>
      </c>
      <c r="D245">
        <v>81.920082904574727</v>
      </c>
      <c r="E245">
        <v>85.799132933508218</v>
      </c>
      <c r="F245">
        <v>78.275156814591725</v>
      </c>
      <c r="G245">
        <v>80.265799999999999</v>
      </c>
      <c r="H245">
        <v>79.908699999999996</v>
      </c>
      <c r="I245" s="147">
        <v>83.007360126079334</v>
      </c>
      <c r="J245" s="112"/>
      <c r="K245" s="112"/>
      <c r="L245" s="126"/>
      <c r="M245" s="112"/>
      <c r="N245" s="126"/>
      <c r="O245" s="147"/>
      <c r="P245" s="147"/>
      <c r="Q245" s="147"/>
      <c r="R245" s="112"/>
      <c r="S245" s="112"/>
      <c r="T245" s="112"/>
      <c r="U245" s="146"/>
      <c r="V245" s="113"/>
      <c r="W245" s="113"/>
      <c r="X245" s="126"/>
      <c r="Y245" s="126"/>
    </row>
    <row r="246" spans="1:25" ht="14.7" customHeight="1">
      <c r="A246" s="110" t="s">
        <v>241</v>
      </c>
      <c r="B246" s="190"/>
      <c r="C246">
        <v>84.660294271150988</v>
      </c>
      <c r="D246">
        <v>82.568855889081561</v>
      </c>
      <c r="E246">
        <v>82.93642324718985</v>
      </c>
      <c r="F246">
        <v>74.920518790344971</v>
      </c>
      <c r="G246">
        <v>71.074300000000008</v>
      </c>
      <c r="H246">
        <v>69.492500000000007</v>
      </c>
      <c r="I246" s="147">
        <v>74.957151826490644</v>
      </c>
      <c r="J246" s="112"/>
      <c r="K246" s="112"/>
      <c r="L246" s="126"/>
      <c r="M246" s="112"/>
      <c r="N246" s="126"/>
      <c r="O246" s="147"/>
      <c r="P246" s="147"/>
      <c r="Q246" s="147"/>
      <c r="R246" s="112"/>
      <c r="S246" s="112"/>
      <c r="T246" s="112"/>
      <c r="U246" s="146"/>
      <c r="V246" s="113"/>
      <c r="W246" s="113"/>
      <c r="X246" s="126"/>
      <c r="Y246" s="126"/>
    </row>
    <row r="247" spans="1:25" ht="14.7" customHeight="1">
      <c r="A247" s="110" t="s">
        <v>128</v>
      </c>
      <c r="B247" s="190"/>
      <c r="C247">
        <v>86.755753702972626</v>
      </c>
      <c r="D247">
        <v>86.975625044230782</v>
      </c>
      <c r="E247">
        <v>84.451746214559122</v>
      </c>
      <c r="F247">
        <v>76.334278285418279</v>
      </c>
      <c r="G247">
        <v>78.258700000000005</v>
      </c>
      <c r="H247">
        <v>74.731300000000005</v>
      </c>
      <c r="I247" s="147">
        <v>75.92105706500837</v>
      </c>
      <c r="J247" s="112"/>
      <c r="K247" s="112"/>
      <c r="L247" s="126"/>
      <c r="M247" s="112"/>
      <c r="N247" s="126"/>
      <c r="O247" s="147"/>
      <c r="P247" s="147"/>
      <c r="Q247" s="147"/>
      <c r="R247" s="112"/>
      <c r="S247" s="112"/>
      <c r="T247" s="112"/>
      <c r="U247" s="146"/>
      <c r="V247" s="113"/>
      <c r="W247" s="113"/>
      <c r="X247" s="126"/>
      <c r="Y247" s="126"/>
    </row>
    <row r="248" spans="1:25" ht="14.7" customHeight="1">
      <c r="A248" s="110" t="s">
        <v>129</v>
      </c>
      <c r="B248" s="190"/>
      <c r="C248">
        <v>86.667153754754068</v>
      </c>
      <c r="D248">
        <v>85.784851699857796</v>
      </c>
      <c r="E248">
        <v>83.637417788487667</v>
      </c>
      <c r="F248">
        <v>76.049706889740605</v>
      </c>
      <c r="G248">
        <v>80.773399999999995</v>
      </c>
      <c r="H248">
        <v>81.924300000000002</v>
      </c>
      <c r="I248" s="147">
        <v>84.329753971580772</v>
      </c>
      <c r="J248" s="112"/>
      <c r="K248" s="112"/>
      <c r="L248" s="126"/>
      <c r="M248" s="112"/>
      <c r="N248" s="126"/>
      <c r="O248" s="147"/>
      <c r="P248" s="147"/>
      <c r="Q248" s="147"/>
      <c r="R248" s="112"/>
      <c r="S248" s="112"/>
      <c r="T248" s="112"/>
      <c r="U248" s="146"/>
      <c r="V248" s="113"/>
      <c r="W248" s="113"/>
      <c r="X248" s="126"/>
      <c r="Y248" s="126"/>
    </row>
    <row r="249" spans="1:25" ht="14.7" customHeight="1">
      <c r="A249" s="110" t="s">
        <v>130</v>
      </c>
      <c r="B249" s="190"/>
      <c r="C249">
        <v>91.312437910951289</v>
      </c>
      <c r="D249">
        <v>86.234167212185369</v>
      </c>
      <c r="E249">
        <v>89.26452172712662</v>
      </c>
      <c r="F249">
        <v>81.926762810907306</v>
      </c>
      <c r="G249">
        <v>81.737499999999997</v>
      </c>
      <c r="H249">
        <v>86.358000000000004</v>
      </c>
      <c r="I249" s="147">
        <v>83.438744533859193</v>
      </c>
      <c r="J249" s="112"/>
      <c r="K249" s="112"/>
      <c r="L249" s="126"/>
      <c r="M249" s="112"/>
      <c r="N249" s="126"/>
      <c r="O249" s="147"/>
      <c r="P249" s="147"/>
      <c r="Q249" s="147"/>
      <c r="R249" s="112"/>
      <c r="S249" s="112"/>
      <c r="T249" s="112"/>
      <c r="U249" s="146"/>
      <c r="V249" s="113"/>
      <c r="W249" s="113"/>
      <c r="X249" s="126"/>
      <c r="Y249" s="126"/>
    </row>
    <row r="250" spans="1:25" ht="14.7" customHeight="1">
      <c r="A250" s="110" t="s">
        <v>131</v>
      </c>
      <c r="B250" s="190"/>
      <c r="C250">
        <v>84.757370371807525</v>
      </c>
      <c r="D250">
        <v>84.23347328149454</v>
      </c>
      <c r="E250">
        <v>88.876287704511839</v>
      </c>
      <c r="F250">
        <v>74.736623379630885</v>
      </c>
      <c r="G250">
        <v>78.866799999999998</v>
      </c>
      <c r="H250">
        <v>76.068600000000004</v>
      </c>
      <c r="I250" s="147">
        <v>78.312667209779903</v>
      </c>
      <c r="J250" s="112"/>
      <c r="K250" s="112"/>
      <c r="L250" s="126"/>
      <c r="M250" s="112"/>
      <c r="N250" s="126"/>
      <c r="O250" s="147"/>
      <c r="P250" s="147"/>
      <c r="Q250" s="147"/>
      <c r="R250" s="112"/>
      <c r="S250" s="112"/>
      <c r="T250" s="112"/>
      <c r="U250" s="146"/>
      <c r="V250" s="113"/>
      <c r="W250" s="113"/>
      <c r="X250" s="126"/>
      <c r="Y250" s="126"/>
    </row>
    <row r="251" spans="1:25" ht="14.7" customHeight="1">
      <c r="A251" s="110" t="s">
        <v>285</v>
      </c>
      <c r="B251" s="190"/>
      <c r="C251">
        <v>91.676854247705521</v>
      </c>
      <c r="D251">
        <v>90.934377020221774</v>
      </c>
      <c r="E251">
        <v>88.851370262856946</v>
      </c>
      <c r="F251">
        <v>83.984855997792479</v>
      </c>
      <c r="G251">
        <v>80.710499999999996</v>
      </c>
      <c r="H251">
        <v>79.055900000000008</v>
      </c>
      <c r="I251" s="147">
        <v>81.61192367139229</v>
      </c>
      <c r="J251" s="112"/>
      <c r="K251" s="112"/>
      <c r="L251" s="126"/>
      <c r="M251" s="112"/>
      <c r="N251" s="126"/>
      <c r="O251" s="147"/>
      <c r="P251" s="147"/>
      <c r="Q251" s="147"/>
      <c r="R251" s="112"/>
      <c r="S251" s="112"/>
      <c r="T251" s="112"/>
      <c r="U251" s="146"/>
      <c r="V251" s="113"/>
      <c r="W251" s="113"/>
      <c r="X251" s="126"/>
      <c r="Y251" s="126"/>
    </row>
    <row r="252" spans="1:25" ht="14.7" customHeight="1">
      <c r="A252" s="110" t="s">
        <v>132</v>
      </c>
      <c r="B252" s="190"/>
      <c r="C252">
        <v>89.351958222168122</v>
      </c>
      <c r="D252">
        <v>89.697112238219901</v>
      </c>
      <c r="E252">
        <v>89.765199127489339</v>
      </c>
      <c r="F252">
        <v>79.267179282518484</v>
      </c>
      <c r="G252">
        <v>84.7303</v>
      </c>
      <c r="H252">
        <v>83.522899999999993</v>
      </c>
      <c r="I252" s="147">
        <v>82.233358963034703</v>
      </c>
      <c r="J252" s="112"/>
      <c r="K252" s="112"/>
      <c r="L252" s="126"/>
      <c r="M252" s="112"/>
      <c r="N252" s="126"/>
      <c r="O252" s="147"/>
      <c r="P252" s="147"/>
      <c r="Q252" s="147"/>
      <c r="R252" s="112"/>
      <c r="S252" s="112"/>
      <c r="T252" s="112"/>
      <c r="U252" s="146"/>
      <c r="V252" s="113"/>
      <c r="W252" s="113"/>
      <c r="X252" s="126"/>
      <c r="Y252" s="126"/>
    </row>
    <row r="253" spans="1:25" ht="14.7" customHeight="1">
      <c r="A253" s="110" t="s">
        <v>242</v>
      </c>
      <c r="B253" s="190"/>
      <c r="C253">
        <v>84.34864459572421</v>
      </c>
      <c r="D253">
        <v>84.140677917979787</v>
      </c>
      <c r="E253">
        <v>79.827819578804892</v>
      </c>
      <c r="F253">
        <v>75.256822761546488</v>
      </c>
      <c r="G253">
        <v>76.492599999999996</v>
      </c>
      <c r="H253">
        <v>77.400500000000008</v>
      </c>
      <c r="I253" s="147">
        <v>81.544853660043032</v>
      </c>
      <c r="J253" s="112"/>
      <c r="K253" s="112"/>
      <c r="L253" s="126"/>
      <c r="M253" s="112"/>
      <c r="N253" s="126"/>
      <c r="O253" s="147"/>
      <c r="P253" s="147"/>
      <c r="Q253" s="147"/>
      <c r="R253" s="112"/>
      <c r="S253" s="112"/>
      <c r="T253" s="112"/>
      <c r="U253" s="146"/>
      <c r="V253" s="113"/>
      <c r="W253" s="113"/>
      <c r="X253" s="126"/>
      <c r="Y253" s="126"/>
    </row>
    <row r="254" spans="1:25" ht="14.7" customHeight="1">
      <c r="A254" s="110" t="s">
        <v>243</v>
      </c>
      <c r="B254" s="190"/>
      <c r="C254">
        <v>81.898669246923234</v>
      </c>
      <c r="D254">
        <v>80.339820350014136</v>
      </c>
      <c r="E254">
        <v>80.944821301227861</v>
      </c>
      <c r="F254">
        <v>65.412356488251419</v>
      </c>
      <c r="G254">
        <v>68.259299999999996</v>
      </c>
      <c r="H254">
        <v>71.015900000000002</v>
      </c>
      <c r="I254" s="147">
        <v>66.072755904419523</v>
      </c>
      <c r="J254" s="112"/>
      <c r="K254" s="112"/>
      <c r="L254" s="126"/>
      <c r="M254" s="112"/>
      <c r="N254" s="126"/>
      <c r="O254" s="147"/>
      <c r="P254" s="147"/>
      <c r="Q254" s="147"/>
      <c r="R254" s="112"/>
      <c r="S254" s="112"/>
      <c r="T254" s="112"/>
      <c r="U254" s="146"/>
      <c r="V254" s="113"/>
      <c r="W254" s="113"/>
      <c r="X254" s="126"/>
      <c r="Y254" s="126"/>
    </row>
    <row r="255" spans="1:25" ht="14.7" customHeight="1">
      <c r="A255" s="110" t="s">
        <v>133</v>
      </c>
      <c r="B255" s="190"/>
      <c r="C255">
        <v>88.221710666254438</v>
      </c>
      <c r="D255">
        <v>89.285844689577942</v>
      </c>
      <c r="E255">
        <v>84.595679647783598</v>
      </c>
      <c r="F255">
        <v>77.151902340281325</v>
      </c>
      <c r="G255">
        <v>81.304400000000001</v>
      </c>
      <c r="H255">
        <v>84.115099999999998</v>
      </c>
      <c r="I255" s="147">
        <v>82.576163755771162</v>
      </c>
      <c r="J255" s="112"/>
      <c r="K255" s="112"/>
      <c r="L255" s="126"/>
      <c r="M255" s="112"/>
      <c r="N255" s="126"/>
      <c r="O255" s="147"/>
      <c r="P255" s="147"/>
      <c r="Q255" s="147"/>
      <c r="R255" s="112"/>
      <c r="S255" s="112"/>
      <c r="T255" s="112"/>
      <c r="U255" s="146"/>
      <c r="V255" s="113"/>
      <c r="W255" s="113"/>
      <c r="X255" s="126"/>
      <c r="Y255" s="126"/>
    </row>
    <row r="256" spans="1:25" ht="14.7" customHeight="1">
      <c r="A256" s="110" t="s">
        <v>134</v>
      </c>
      <c r="B256" s="190"/>
      <c r="C256">
        <v>86.130707113952155</v>
      </c>
      <c r="D256">
        <v>81.897351819218827</v>
      </c>
      <c r="E256">
        <v>81.947946084596083</v>
      </c>
      <c r="F256">
        <v>72.566677140668247</v>
      </c>
      <c r="G256">
        <v>78.639200000000002</v>
      </c>
      <c r="H256">
        <v>81.230599999999995</v>
      </c>
      <c r="I256" s="147">
        <v>80.987988076128133</v>
      </c>
      <c r="J256" s="112"/>
      <c r="K256" s="112"/>
      <c r="L256" s="126"/>
      <c r="M256" s="112"/>
      <c r="N256" s="126"/>
      <c r="O256" s="147"/>
      <c r="P256" s="147"/>
      <c r="Q256" s="147"/>
      <c r="R256" s="112"/>
      <c r="S256" s="112"/>
      <c r="T256" s="112"/>
      <c r="U256" s="146"/>
      <c r="V256" s="113"/>
      <c r="W256" s="113"/>
      <c r="X256" s="126"/>
      <c r="Y256" s="126"/>
    </row>
    <row r="257" spans="1:25" ht="14.7" customHeight="1">
      <c r="A257" s="110" t="s">
        <v>244</v>
      </c>
      <c r="B257" s="190"/>
      <c r="C257">
        <v>84.457749865397844</v>
      </c>
      <c r="D257">
        <v>87.593275730758265</v>
      </c>
      <c r="E257">
        <v>85.547288872758756</v>
      </c>
      <c r="F257">
        <v>77.173409693539313</v>
      </c>
      <c r="G257">
        <v>79.211799999999997</v>
      </c>
      <c r="H257">
        <v>78.291200000000003</v>
      </c>
      <c r="I257" s="147">
        <v>79.853902396339464</v>
      </c>
      <c r="J257" s="112"/>
      <c r="K257" s="112"/>
      <c r="L257" s="126"/>
      <c r="M257" s="112"/>
      <c r="N257" s="126"/>
      <c r="O257" s="147"/>
      <c r="P257" s="147"/>
      <c r="Q257" s="147"/>
      <c r="R257" s="112"/>
      <c r="S257" s="112"/>
      <c r="T257" s="112"/>
      <c r="U257" s="146"/>
      <c r="V257" s="113"/>
      <c r="W257" s="113"/>
      <c r="X257" s="126"/>
      <c r="Y257" s="126"/>
    </row>
    <row r="258" spans="1:25" ht="14.7" customHeight="1">
      <c r="A258" s="110" t="s">
        <v>135</v>
      </c>
      <c r="B258" s="190"/>
      <c r="C258">
        <v>87.53492852160538</v>
      </c>
      <c r="D258">
        <v>86.177238207729047</v>
      </c>
      <c r="E258">
        <v>86.727213765824047</v>
      </c>
      <c r="F258">
        <v>80.913329995326862</v>
      </c>
      <c r="G258">
        <v>77.439499999999995</v>
      </c>
      <c r="H258">
        <v>82.511700000000005</v>
      </c>
      <c r="I258" s="147">
        <v>82.07013394594594</v>
      </c>
      <c r="J258" s="112"/>
      <c r="K258" s="112"/>
      <c r="L258" s="126"/>
      <c r="M258" s="112"/>
      <c r="N258" s="126"/>
      <c r="O258" s="147"/>
      <c r="P258" s="147"/>
      <c r="Q258" s="147"/>
      <c r="R258" s="112"/>
      <c r="S258" s="112"/>
      <c r="T258" s="112"/>
      <c r="U258" s="146"/>
      <c r="V258" s="113"/>
      <c r="W258" s="113"/>
      <c r="X258" s="126"/>
      <c r="Y258" s="126"/>
    </row>
    <row r="259" spans="1:25" ht="14.7" customHeight="1">
      <c r="A259" s="110" t="s">
        <v>136</v>
      </c>
      <c r="B259" s="190"/>
      <c r="C259">
        <v>87.069333875031944</v>
      </c>
      <c r="D259">
        <v>87.356570288969962</v>
      </c>
      <c r="E259">
        <v>87.609253158541634</v>
      </c>
      <c r="F259">
        <v>80.977661985403842</v>
      </c>
      <c r="G259">
        <v>82.513099999999994</v>
      </c>
      <c r="H259">
        <v>82.240300000000005</v>
      </c>
      <c r="I259" s="147">
        <v>83.403242624283962</v>
      </c>
      <c r="J259" s="112"/>
      <c r="K259" s="112"/>
      <c r="L259" s="126"/>
      <c r="M259" s="112"/>
      <c r="N259" s="126"/>
      <c r="O259" s="147"/>
      <c r="P259" s="147"/>
      <c r="Q259" s="147"/>
      <c r="R259" s="112"/>
      <c r="S259" s="112"/>
      <c r="T259" s="112"/>
      <c r="U259" s="146"/>
      <c r="V259" s="113"/>
      <c r="W259" s="113"/>
      <c r="X259" s="126"/>
      <c r="Y259" s="126"/>
    </row>
    <row r="260" spans="1:25" ht="14.7" customHeight="1">
      <c r="A260" s="110" t="s">
        <v>245</v>
      </c>
      <c r="B260" s="190"/>
      <c r="C260">
        <v>90.745376359557866</v>
      </c>
      <c r="D260">
        <v>87.07982131667778</v>
      </c>
      <c r="E260">
        <v>88.812741653818762</v>
      </c>
      <c r="F260">
        <v>77.734382488347848</v>
      </c>
      <c r="G260">
        <v>78.369699999999995</v>
      </c>
      <c r="H260">
        <v>79.277900000000002</v>
      </c>
      <c r="I260" s="147">
        <v>80.057201862067416</v>
      </c>
      <c r="J260" s="112"/>
      <c r="K260" s="112"/>
      <c r="L260" s="126"/>
      <c r="M260" s="112"/>
      <c r="N260" s="126"/>
      <c r="O260" s="147"/>
      <c r="P260" s="147"/>
      <c r="Q260" s="147"/>
      <c r="R260" s="112"/>
      <c r="S260" s="112"/>
      <c r="T260" s="112"/>
      <c r="U260" s="146"/>
      <c r="V260" s="113"/>
      <c r="W260" s="113"/>
      <c r="X260" s="126"/>
      <c r="Y260" s="126"/>
    </row>
    <row r="261" spans="1:25" ht="14.7" customHeight="1">
      <c r="A261" s="26" t="s">
        <v>325</v>
      </c>
      <c r="B261" s="190"/>
      <c r="C261">
        <v>88.441781498695306</v>
      </c>
      <c r="D261">
        <v>88.35108125487848</v>
      </c>
      <c r="E261">
        <v>88.022932750335912</v>
      </c>
      <c r="F261">
        <v>79.447898088880223</v>
      </c>
      <c r="G261">
        <v>81.064000000000007</v>
      </c>
      <c r="H261">
        <v>79.623100000000008</v>
      </c>
      <c r="I261" s="147">
        <v>81.262706667325276</v>
      </c>
      <c r="J261" s="112"/>
      <c r="K261" s="112"/>
      <c r="L261" s="126"/>
      <c r="M261" s="112"/>
      <c r="N261" s="126"/>
      <c r="O261" s="147"/>
      <c r="P261" s="147"/>
      <c r="Q261" s="147"/>
      <c r="R261" s="112"/>
      <c r="S261" s="112"/>
      <c r="T261" s="112"/>
      <c r="U261" s="146"/>
      <c r="V261" s="113"/>
      <c r="W261" s="113"/>
      <c r="X261" s="126"/>
      <c r="Y261" s="126"/>
    </row>
    <row r="262" spans="1:25" ht="14.7" customHeight="1">
      <c r="A262" s="110" t="s">
        <v>286</v>
      </c>
      <c r="B262" s="190"/>
      <c r="C262">
        <v>87.210052355582377</v>
      </c>
      <c r="D262">
        <v>87.331067957195017</v>
      </c>
      <c r="E262">
        <v>87.228691684304565</v>
      </c>
      <c r="F262">
        <v>73.908072750311362</v>
      </c>
      <c r="G262">
        <v>69.677000000000007</v>
      </c>
      <c r="H262">
        <v>69.687799999999996</v>
      </c>
      <c r="I262" s="147">
        <v>71.66128613397585</v>
      </c>
      <c r="J262" s="112"/>
      <c r="K262" s="112"/>
      <c r="L262" s="126"/>
      <c r="M262" s="112"/>
      <c r="N262" s="126"/>
      <c r="O262" s="147"/>
      <c r="P262" s="147"/>
      <c r="Q262" s="147"/>
      <c r="R262" s="112"/>
      <c r="S262" s="112"/>
      <c r="T262" s="112"/>
      <c r="U262" s="146"/>
      <c r="V262" s="113"/>
      <c r="W262" s="113"/>
      <c r="X262" s="126"/>
      <c r="Y262" s="126"/>
    </row>
    <row r="263" spans="1:25" ht="14.7" customHeight="1">
      <c r="A263" s="110" t="s">
        <v>246</v>
      </c>
      <c r="B263" s="190"/>
      <c r="C263">
        <v>87.843195023089066</v>
      </c>
      <c r="D263">
        <v>88.486911979802031</v>
      </c>
      <c r="E263">
        <v>87.275991595607735</v>
      </c>
      <c r="F263">
        <v>75.867810092548368</v>
      </c>
      <c r="G263">
        <v>76.348399999999998</v>
      </c>
      <c r="H263">
        <v>77.84020000000001</v>
      </c>
      <c r="I263" s="147">
        <v>83.574346282408229</v>
      </c>
      <c r="J263" s="112"/>
      <c r="K263" s="112"/>
      <c r="L263" s="126"/>
      <c r="M263" s="112"/>
      <c r="N263" s="126"/>
      <c r="O263" s="147"/>
      <c r="P263" s="147"/>
      <c r="Q263" s="147"/>
      <c r="R263" s="112"/>
      <c r="S263" s="112"/>
      <c r="T263" s="112"/>
      <c r="U263" s="146"/>
      <c r="V263" s="113"/>
      <c r="W263" s="113"/>
      <c r="X263" s="126"/>
      <c r="Y263" s="126"/>
    </row>
    <row r="264" spans="1:25" ht="14.7" customHeight="1">
      <c r="A264" s="26" t="s">
        <v>326</v>
      </c>
      <c r="B264" s="190"/>
      <c r="C264">
        <v>87.548785441840323</v>
      </c>
      <c r="D264">
        <v>86.610018955132986</v>
      </c>
      <c r="E264">
        <v>86.262118797186034</v>
      </c>
      <c r="F264">
        <v>79.579414279737563</v>
      </c>
      <c r="G264">
        <v>81.145499999999998</v>
      </c>
      <c r="H264">
        <v>79.932099999999991</v>
      </c>
      <c r="I264" s="147">
        <v>83.236095220846323</v>
      </c>
      <c r="J264" s="112"/>
      <c r="K264" s="112"/>
      <c r="L264" s="126"/>
      <c r="M264" s="112"/>
      <c r="N264" s="126"/>
      <c r="O264" s="147"/>
      <c r="P264" s="147"/>
      <c r="Q264" s="147"/>
      <c r="R264" s="112"/>
      <c r="S264" s="112"/>
      <c r="T264" s="112"/>
      <c r="U264" s="147"/>
      <c r="V264" s="149"/>
      <c r="W264" s="149"/>
      <c r="X264" s="126"/>
      <c r="Y264" s="126"/>
    </row>
    <row r="265" spans="1:25" ht="14.7" customHeight="1">
      <c r="A265" s="110" t="s">
        <v>906</v>
      </c>
      <c r="B265" s="190"/>
      <c r="C265"/>
      <c r="D265"/>
      <c r="E265"/>
      <c r="F265"/>
      <c r="G265"/>
      <c r="H265"/>
      <c r="I265" s="147">
        <v>83.146927184978921</v>
      </c>
      <c r="J265" s="112"/>
      <c r="K265" s="112"/>
      <c r="L265" s="126"/>
      <c r="M265" s="112"/>
      <c r="N265" s="126"/>
      <c r="O265" s="147"/>
      <c r="P265" s="147"/>
      <c r="Q265" s="147"/>
      <c r="R265" s="112"/>
      <c r="S265" s="112"/>
      <c r="T265" s="112"/>
      <c r="U265" s="147"/>
      <c r="V265" s="149"/>
      <c r="W265" s="149"/>
      <c r="X265" s="126"/>
      <c r="Y265" s="126"/>
    </row>
    <row r="266" spans="1:25" ht="14.7" customHeight="1">
      <c r="A266" s="26" t="s">
        <v>137</v>
      </c>
      <c r="B266" s="190"/>
      <c r="C266">
        <v>87.294810222630318</v>
      </c>
      <c r="D266">
        <v>89.296000658327856</v>
      </c>
      <c r="E266">
        <v>85.754259771468213</v>
      </c>
      <c r="F266">
        <v>84.093369893029276</v>
      </c>
      <c r="G266">
        <v>82.778099999999995</v>
      </c>
      <c r="H266">
        <v>78.803399999999996</v>
      </c>
      <c r="I266" s="147">
        <v>80.06415858676192</v>
      </c>
      <c r="J266" s="112"/>
      <c r="K266" s="112"/>
      <c r="L266" s="126"/>
      <c r="M266" s="112"/>
      <c r="N266" s="126"/>
      <c r="O266" s="147"/>
      <c r="P266" s="147"/>
      <c r="Q266" s="147"/>
      <c r="R266" s="112"/>
      <c r="S266" s="112"/>
      <c r="T266" s="112"/>
      <c r="U266" s="146"/>
      <c r="V266" s="113"/>
      <c r="W266" s="113"/>
      <c r="X266" s="126"/>
      <c r="Y266" s="126"/>
    </row>
    <row r="267" spans="1:25" ht="14.7" customHeight="1">
      <c r="A267" s="110" t="s">
        <v>138</v>
      </c>
      <c r="B267" s="190"/>
      <c r="C267">
        <v>89.56119654403048</v>
      </c>
      <c r="D267">
        <v>91.036859924947052</v>
      </c>
      <c r="E267">
        <v>91.683673871417653</v>
      </c>
      <c r="F267">
        <v>82.504225517294643</v>
      </c>
      <c r="G267">
        <v>89.591800000000006</v>
      </c>
      <c r="H267">
        <v>80.010099999999994</v>
      </c>
      <c r="I267" s="147">
        <v>85.854298338940708</v>
      </c>
      <c r="J267" s="112"/>
      <c r="K267" s="112"/>
      <c r="L267" s="126"/>
      <c r="M267" s="112"/>
      <c r="N267" s="126"/>
      <c r="O267" s="147"/>
      <c r="P267" s="147"/>
      <c r="Q267" s="147"/>
      <c r="R267" s="112"/>
      <c r="S267" s="112"/>
      <c r="T267" s="112"/>
      <c r="U267" s="146"/>
      <c r="V267" s="113"/>
      <c r="W267" s="113"/>
      <c r="X267" s="126"/>
      <c r="Y267" s="126"/>
    </row>
    <row r="268" spans="1:25" ht="14.7" customHeight="1">
      <c r="A268" s="110" t="s">
        <v>139</v>
      </c>
      <c r="B268" s="190"/>
      <c r="C268">
        <v>87.392576893495757</v>
      </c>
      <c r="D268">
        <v>88.375276232761351</v>
      </c>
      <c r="E268">
        <v>88.635853691372077</v>
      </c>
      <c r="F268">
        <v>78.205530061580916</v>
      </c>
      <c r="G268">
        <v>83.666300000000007</v>
      </c>
      <c r="H268">
        <v>79.698000000000008</v>
      </c>
      <c r="I268" s="147">
        <v>76.551521459605794</v>
      </c>
      <c r="J268" s="112"/>
      <c r="K268" s="112"/>
      <c r="L268" s="126"/>
      <c r="M268" s="112"/>
      <c r="N268" s="126"/>
      <c r="O268" s="147"/>
      <c r="P268" s="147"/>
      <c r="Q268" s="147"/>
      <c r="R268" s="112"/>
      <c r="S268" s="112"/>
      <c r="T268" s="112"/>
      <c r="U268" s="146"/>
      <c r="V268" s="113"/>
      <c r="W268" s="113"/>
      <c r="X268" s="126"/>
      <c r="Y268" s="126"/>
    </row>
    <row r="269" spans="1:25" ht="14.7" customHeight="1">
      <c r="A269" s="110" t="s">
        <v>287</v>
      </c>
      <c r="B269" s="190"/>
      <c r="C269">
        <v>89.426992780435498</v>
      </c>
      <c r="D269">
        <v>89.889039231172688</v>
      </c>
      <c r="E269">
        <v>87.283177586404165</v>
      </c>
      <c r="F269">
        <v>81.767746782996781</v>
      </c>
      <c r="G269">
        <v>83.550600000000003</v>
      </c>
      <c r="H269">
        <v>79.4923</v>
      </c>
      <c r="I269" s="147">
        <v>86.169250060231562</v>
      </c>
      <c r="J269" s="112"/>
      <c r="K269" s="112"/>
      <c r="L269" s="126"/>
      <c r="M269" s="112"/>
      <c r="N269" s="126"/>
      <c r="O269" s="147"/>
      <c r="P269" s="147"/>
      <c r="Q269" s="147"/>
      <c r="R269" s="112"/>
      <c r="S269" s="112"/>
      <c r="T269" s="112"/>
      <c r="U269" s="147"/>
      <c r="V269" s="149"/>
      <c r="W269" s="149"/>
      <c r="X269" s="126"/>
      <c r="Y269" s="126"/>
    </row>
    <row r="270" spans="1:25" ht="14.7" customHeight="1">
      <c r="A270" s="26" t="s">
        <v>140</v>
      </c>
      <c r="B270" s="190"/>
      <c r="C270">
        <v>88.37549423870415</v>
      </c>
      <c r="D270">
        <v>87.972186746133104</v>
      </c>
      <c r="E270">
        <v>86.939626219921777</v>
      </c>
      <c r="F270">
        <v>81.605937228539872</v>
      </c>
      <c r="G270">
        <v>85.041799999999995</v>
      </c>
      <c r="H270">
        <v>84.060599999999994</v>
      </c>
      <c r="I270" s="147">
        <v>88.114833574245324</v>
      </c>
      <c r="J270" s="112"/>
      <c r="K270" s="112"/>
      <c r="L270" s="126"/>
      <c r="M270" s="112"/>
      <c r="N270" s="126"/>
      <c r="O270" s="147"/>
      <c r="P270" s="147"/>
      <c r="Q270" s="147"/>
      <c r="R270" s="112"/>
      <c r="S270" s="112"/>
      <c r="T270" s="112"/>
      <c r="U270" s="146"/>
      <c r="V270" s="113"/>
      <c r="W270" s="113"/>
      <c r="X270" s="126"/>
      <c r="Y270" s="126"/>
    </row>
    <row r="271" spans="1:25" ht="14.7" customHeight="1">
      <c r="A271" s="26" t="s">
        <v>141</v>
      </c>
      <c r="B271" s="190"/>
      <c r="C271">
        <v>78.44698319418751</v>
      </c>
      <c r="D271">
        <v>83.778512436824485</v>
      </c>
      <c r="E271">
        <v>80.927651898215203</v>
      </c>
      <c r="F271">
        <v>72.060279402112513</v>
      </c>
      <c r="G271">
        <v>70.673900000000003</v>
      </c>
      <c r="H271">
        <v>71.415899999999993</v>
      </c>
      <c r="I271" s="147">
        <v>74.535433975926495</v>
      </c>
      <c r="J271" s="112"/>
      <c r="K271" s="112"/>
      <c r="L271" s="126"/>
      <c r="M271" s="112"/>
      <c r="N271" s="126"/>
      <c r="O271" s="147"/>
      <c r="P271" s="147"/>
      <c r="Q271" s="147"/>
      <c r="R271" s="112"/>
      <c r="S271" s="112"/>
      <c r="T271" s="112"/>
      <c r="U271" s="147"/>
      <c r="V271" s="149"/>
      <c r="W271" s="149"/>
      <c r="X271" s="126"/>
      <c r="Y271" s="126"/>
    </row>
    <row r="272" spans="1:25" ht="14.7" customHeight="1">
      <c r="A272" s="110" t="s">
        <v>142</v>
      </c>
      <c r="B272" s="190"/>
      <c r="C272">
        <v>88.698786210945059</v>
      </c>
      <c r="D272">
        <v>87.558626991362615</v>
      </c>
      <c r="E272">
        <v>90.099987924641852</v>
      </c>
      <c r="F272">
        <v>75.608394164317161</v>
      </c>
      <c r="G272">
        <v>83.305099999999996</v>
      </c>
      <c r="H272">
        <v>81.820800000000006</v>
      </c>
      <c r="I272" s="147">
        <v>76.277737156810716</v>
      </c>
      <c r="J272" s="112"/>
      <c r="K272" s="112"/>
      <c r="L272" s="126"/>
      <c r="M272" s="112"/>
      <c r="N272" s="126"/>
      <c r="O272" s="147"/>
      <c r="P272" s="147"/>
      <c r="Q272" s="147"/>
      <c r="R272" s="112"/>
      <c r="S272" s="112"/>
      <c r="T272" s="112"/>
      <c r="U272" s="146"/>
      <c r="V272" s="113"/>
      <c r="W272" s="113"/>
      <c r="X272" s="126"/>
      <c r="Y272" s="126"/>
    </row>
    <row r="273" spans="1:25" ht="14.7" customHeight="1">
      <c r="A273" s="110" t="s">
        <v>143</v>
      </c>
      <c r="B273" s="190"/>
      <c r="C273">
        <v>88.752680503429758</v>
      </c>
      <c r="D273">
        <v>89.530199158462466</v>
      </c>
      <c r="E273">
        <v>90.072975140336808</v>
      </c>
      <c r="F273">
        <v>82.337795354784092</v>
      </c>
      <c r="G273">
        <v>82.258399999999995</v>
      </c>
      <c r="H273">
        <v>83.526700000000005</v>
      </c>
      <c r="I273" s="147">
        <v>86.127920184335537</v>
      </c>
      <c r="J273" s="112"/>
      <c r="K273" s="112"/>
      <c r="L273" s="126"/>
      <c r="M273" s="112"/>
      <c r="N273" s="126"/>
      <c r="O273" s="147"/>
      <c r="P273" s="147"/>
      <c r="Q273" s="147"/>
      <c r="R273" s="112"/>
      <c r="S273" s="112"/>
      <c r="T273" s="112"/>
      <c r="U273" s="146"/>
      <c r="V273" s="113"/>
      <c r="W273" s="113"/>
      <c r="X273" s="126"/>
      <c r="Y273" s="126"/>
    </row>
    <row r="274" spans="1:25" ht="14.7" customHeight="1">
      <c r="A274" s="110" t="s">
        <v>144</v>
      </c>
      <c r="B274" s="190"/>
      <c r="C274">
        <v>89.977523438726877</v>
      </c>
      <c r="D274">
        <v>87.853483091884513</v>
      </c>
      <c r="E274">
        <v>86.44701839946795</v>
      </c>
      <c r="F274">
        <v>80.974207430765489</v>
      </c>
      <c r="G274">
        <v>84.490899999999996</v>
      </c>
      <c r="H274">
        <v>85.689099999999996</v>
      </c>
      <c r="I274" s="147">
        <v>83.687660389800357</v>
      </c>
      <c r="J274" s="112"/>
      <c r="K274" s="112"/>
      <c r="L274" s="126"/>
      <c r="M274" s="112"/>
      <c r="N274" s="126"/>
      <c r="O274" s="147"/>
      <c r="P274" s="147"/>
      <c r="Q274" s="147"/>
      <c r="R274" s="112"/>
      <c r="S274" s="112"/>
      <c r="T274" s="112"/>
      <c r="U274" s="146"/>
      <c r="V274" s="113"/>
      <c r="W274" s="113"/>
      <c r="X274" s="126"/>
      <c r="Y274" s="126"/>
    </row>
    <row r="275" spans="1:25" ht="14.7" customHeight="1">
      <c r="A275" s="110" t="s">
        <v>145</v>
      </c>
      <c r="B275" s="190"/>
      <c r="C275">
        <v>88.472399897837334</v>
      </c>
      <c r="D275">
        <v>89.314065266627594</v>
      </c>
      <c r="E275">
        <v>90.60564533881751</v>
      </c>
      <c r="F275">
        <v>79.640256450667167</v>
      </c>
      <c r="G275">
        <v>78.497500000000002</v>
      </c>
      <c r="H275">
        <v>80.031599999999997</v>
      </c>
      <c r="I275" s="147">
        <v>83.691511995421209</v>
      </c>
      <c r="J275" s="112"/>
      <c r="K275" s="112"/>
      <c r="L275" s="126"/>
      <c r="M275" s="112"/>
      <c r="N275" s="126"/>
      <c r="O275" s="147"/>
      <c r="P275" s="147"/>
      <c r="Q275" s="147"/>
      <c r="R275" s="112"/>
      <c r="S275" s="112"/>
      <c r="T275" s="112"/>
      <c r="U275" s="146"/>
      <c r="V275" s="113"/>
      <c r="W275" s="113"/>
      <c r="X275" s="126"/>
      <c r="Y275" s="126"/>
    </row>
    <row r="276" spans="1:25" ht="14.7" customHeight="1">
      <c r="A276" s="110" t="s">
        <v>146</v>
      </c>
      <c r="B276" s="190"/>
      <c r="C276">
        <v>90.590791571286942</v>
      </c>
      <c r="D276">
        <v>91.716787818407681</v>
      </c>
      <c r="E276">
        <v>89.496077675403058</v>
      </c>
      <c r="F276">
        <v>82.154701717121867</v>
      </c>
      <c r="G276">
        <v>81.166899999999998</v>
      </c>
      <c r="H276">
        <v>86.233499999999992</v>
      </c>
      <c r="I276" s="147">
        <v>86.607379837809205</v>
      </c>
      <c r="J276" s="112"/>
      <c r="K276" s="112"/>
      <c r="L276" s="126"/>
      <c r="M276" s="112"/>
      <c r="N276" s="126"/>
      <c r="O276" s="147"/>
      <c r="P276" s="147"/>
      <c r="Q276" s="147"/>
      <c r="R276" s="112"/>
      <c r="S276" s="112"/>
      <c r="T276" s="112"/>
      <c r="U276" s="146"/>
      <c r="V276" s="113"/>
      <c r="W276" s="113"/>
      <c r="X276" s="126"/>
      <c r="Y276" s="126"/>
    </row>
    <row r="277" spans="1:25" ht="14.7" customHeight="1">
      <c r="A277" s="110" t="s">
        <v>147</v>
      </c>
      <c r="B277" s="190"/>
      <c r="C277">
        <v>88.683616847029768</v>
      </c>
      <c r="D277">
        <v>82.152386961521643</v>
      </c>
      <c r="E277">
        <v>87.951202122400431</v>
      </c>
      <c r="F277">
        <v>78.851003427688312</v>
      </c>
      <c r="G277">
        <v>79.203999999999994</v>
      </c>
      <c r="H277">
        <v>79.5916</v>
      </c>
      <c r="I277" s="147">
        <v>83.096861801507984</v>
      </c>
      <c r="J277" s="112"/>
      <c r="K277" s="112"/>
      <c r="L277" s="126"/>
      <c r="M277" s="112"/>
      <c r="N277" s="126"/>
      <c r="O277" s="147"/>
      <c r="P277" s="147"/>
      <c r="Q277" s="147"/>
      <c r="R277" s="112"/>
      <c r="S277" s="112"/>
      <c r="T277" s="112"/>
      <c r="U277" s="146"/>
      <c r="V277" s="113"/>
      <c r="W277" s="113"/>
      <c r="X277" s="126"/>
      <c r="Y277" s="126"/>
    </row>
    <row r="278" spans="1:25" ht="14.7" customHeight="1">
      <c r="A278" s="26" t="s">
        <v>148</v>
      </c>
      <c r="B278" s="190"/>
      <c r="C278">
        <v>87.517321483961965</v>
      </c>
      <c r="D278">
        <v>88.826636395573857</v>
      </c>
      <c r="E278">
        <v>87.527827962002448</v>
      </c>
      <c r="F278">
        <v>80.856446913331524</v>
      </c>
      <c r="G278">
        <v>78.466999999999999</v>
      </c>
      <c r="H278">
        <v>80.817700000000002</v>
      </c>
      <c r="I278" s="147">
        <v>82.960311715456797</v>
      </c>
      <c r="J278" s="112"/>
      <c r="K278" s="112"/>
      <c r="L278" s="126"/>
      <c r="M278" s="112"/>
      <c r="N278" s="126"/>
      <c r="O278" s="147"/>
      <c r="P278" s="147"/>
      <c r="Q278" s="147"/>
      <c r="R278" s="112"/>
      <c r="S278" s="112"/>
      <c r="T278" s="112"/>
      <c r="U278" s="146"/>
      <c r="V278" s="113"/>
      <c r="W278" s="113"/>
      <c r="X278" s="126"/>
      <c r="Y278" s="126"/>
    </row>
    <row r="279" spans="1:25" ht="14.7" customHeight="1">
      <c r="A279" s="110" t="s">
        <v>149</v>
      </c>
      <c r="B279" s="190"/>
      <c r="C279">
        <v>84.948341566081041</v>
      </c>
      <c r="D279">
        <v>83.962146145407203</v>
      </c>
      <c r="E279">
        <v>85.638768243534059</v>
      </c>
      <c r="F279">
        <v>77.711307597333274</v>
      </c>
      <c r="G279">
        <v>79.947000000000003</v>
      </c>
      <c r="H279">
        <v>78.986699999999999</v>
      </c>
      <c r="I279" s="147">
        <v>77.878464707712496</v>
      </c>
      <c r="J279" s="112"/>
      <c r="K279" s="112"/>
      <c r="L279" s="126"/>
      <c r="M279" s="112"/>
      <c r="N279" s="126"/>
      <c r="O279" s="147"/>
      <c r="P279" s="147"/>
      <c r="Q279" s="147"/>
      <c r="R279" s="112"/>
      <c r="S279" s="112"/>
      <c r="T279" s="112"/>
      <c r="U279" s="146"/>
      <c r="V279" s="113"/>
      <c r="W279" s="113"/>
      <c r="X279" s="126"/>
      <c r="Y279" s="126"/>
    </row>
    <row r="280" spans="1:25" ht="14.7" customHeight="1">
      <c r="A280" s="110" t="s">
        <v>247</v>
      </c>
      <c r="B280" s="190"/>
      <c r="C280">
        <v>83.811679447098129</v>
      </c>
      <c r="D280">
        <v>85.121522209442716</v>
      </c>
      <c r="E280">
        <v>85.332970464819113</v>
      </c>
      <c r="F280">
        <v>73.710163353975716</v>
      </c>
      <c r="G280">
        <v>75.673000000000002</v>
      </c>
      <c r="H280">
        <v>79.056899999999999</v>
      </c>
      <c r="I280" s="147">
        <v>79.897493596827786</v>
      </c>
      <c r="J280" s="112"/>
      <c r="K280" s="112"/>
      <c r="L280" s="126"/>
      <c r="M280" s="112"/>
      <c r="N280" s="126"/>
      <c r="O280" s="147"/>
      <c r="P280" s="147"/>
      <c r="Q280" s="147"/>
      <c r="R280" s="112"/>
      <c r="S280" s="112"/>
      <c r="T280" s="112"/>
      <c r="U280" s="147"/>
      <c r="V280" s="149"/>
      <c r="W280" s="149"/>
      <c r="X280" s="126"/>
      <c r="Y280" s="126"/>
    </row>
    <row r="281" spans="1:25" ht="14.7" customHeight="1">
      <c r="A281" s="26" t="s">
        <v>288</v>
      </c>
      <c r="B281" s="190"/>
      <c r="C281">
        <v>88.324891178286251</v>
      </c>
      <c r="D281">
        <v>90.530204664599992</v>
      </c>
      <c r="E281">
        <v>84.318712752344922</v>
      </c>
      <c r="F281">
        <v>79.538843080239872</v>
      </c>
      <c r="G281">
        <v>81.427999999999997</v>
      </c>
      <c r="H281">
        <v>80.920400000000001</v>
      </c>
      <c r="I281" s="147">
        <v>84.463162833012163</v>
      </c>
      <c r="J281" s="112"/>
      <c r="K281" s="112"/>
      <c r="L281" s="126"/>
      <c r="M281" s="112"/>
      <c r="N281" s="126"/>
      <c r="O281" s="147"/>
      <c r="P281" s="147"/>
      <c r="Q281" s="147"/>
      <c r="R281" s="112"/>
      <c r="S281" s="112"/>
      <c r="T281" s="112"/>
      <c r="U281" s="146"/>
      <c r="V281" s="113"/>
      <c r="W281" s="113"/>
      <c r="X281" s="126"/>
      <c r="Y281" s="126"/>
    </row>
    <row r="282" spans="1:25" ht="14.7" customHeight="1">
      <c r="A282" s="110" t="s">
        <v>289</v>
      </c>
      <c r="B282" s="190"/>
      <c r="C282">
        <v>85.992832278342959</v>
      </c>
      <c r="D282">
        <v>87.889744552967699</v>
      </c>
      <c r="E282">
        <v>86.249588938129307</v>
      </c>
      <c r="F282">
        <v>83.025001923220316</v>
      </c>
      <c r="G282">
        <v>80.055399999999992</v>
      </c>
      <c r="H282">
        <v>79.992400000000004</v>
      </c>
      <c r="I282" s="147">
        <v>76.94998961504443</v>
      </c>
      <c r="J282" s="112"/>
      <c r="K282" s="112"/>
      <c r="L282" s="126"/>
      <c r="M282" s="112"/>
      <c r="N282" s="126"/>
      <c r="O282" s="147"/>
      <c r="P282" s="147"/>
      <c r="Q282" s="147"/>
      <c r="R282" s="112"/>
      <c r="S282" s="112"/>
      <c r="T282" s="112"/>
      <c r="U282" s="146"/>
      <c r="V282" s="113"/>
      <c r="W282" s="113"/>
      <c r="X282" s="126"/>
      <c r="Y282" s="126"/>
    </row>
    <row r="283" spans="1:25" ht="14.7" customHeight="1">
      <c r="A283" s="110" t="s">
        <v>217</v>
      </c>
      <c r="B283" s="190"/>
      <c r="C283">
        <v>92.608187215517091</v>
      </c>
      <c r="D283">
        <v>93.484797252835136</v>
      </c>
      <c r="E283">
        <v>92.411694759799403</v>
      </c>
      <c r="F283">
        <v>85.025539795798153</v>
      </c>
      <c r="G283">
        <v>84.191199999999995</v>
      </c>
      <c r="H283">
        <v>83.902900000000002</v>
      </c>
      <c r="I283" s="147">
        <v>84.343569969916516</v>
      </c>
      <c r="J283" s="112"/>
      <c r="K283" s="112"/>
      <c r="L283" s="126"/>
      <c r="M283" s="112"/>
      <c r="N283" s="126"/>
      <c r="O283" s="147"/>
      <c r="P283" s="147"/>
      <c r="Q283" s="147"/>
      <c r="R283" s="112"/>
      <c r="S283" s="112"/>
      <c r="T283" s="112"/>
      <c r="U283" s="146"/>
      <c r="V283" s="113"/>
      <c r="W283" s="113"/>
      <c r="X283" s="126"/>
      <c r="Y283" s="126"/>
    </row>
    <row r="284" spans="1:25" ht="14.7" customHeight="1">
      <c r="A284" s="110" t="s">
        <v>150</v>
      </c>
      <c r="B284" s="190"/>
      <c r="C284">
        <v>85.455096205050239</v>
      </c>
      <c r="D284">
        <v>87.572192209730545</v>
      </c>
      <c r="E284">
        <v>85.52103514389826</v>
      </c>
      <c r="F284">
        <v>80.145823997034896</v>
      </c>
      <c r="G284">
        <v>79.816500000000005</v>
      </c>
      <c r="H284">
        <v>80.418199999999999</v>
      </c>
      <c r="I284" s="147">
        <v>82.285651741674101</v>
      </c>
      <c r="J284" s="112"/>
      <c r="K284" s="112"/>
      <c r="L284" s="126"/>
      <c r="M284" s="112"/>
      <c r="N284" s="126"/>
      <c r="O284" s="147"/>
      <c r="P284" s="147"/>
      <c r="Q284" s="147"/>
      <c r="R284" s="112"/>
      <c r="S284" s="112"/>
      <c r="T284" s="112"/>
      <c r="U284" s="146"/>
      <c r="V284" s="113"/>
      <c r="W284" s="113"/>
      <c r="X284" s="126"/>
      <c r="Y284" s="126"/>
    </row>
    <row r="285" spans="1:25" ht="14.7" customHeight="1">
      <c r="A285" s="110" t="s">
        <v>151</v>
      </c>
      <c r="B285" s="190"/>
      <c r="C285">
        <v>90.136033796816932</v>
      </c>
      <c r="D285">
        <v>90.367252954444595</v>
      </c>
      <c r="E285">
        <v>89.007731418544608</v>
      </c>
      <c r="F285">
        <v>81.847864230782349</v>
      </c>
      <c r="G285">
        <v>85.532399999999996</v>
      </c>
      <c r="H285">
        <v>87.205200000000005</v>
      </c>
      <c r="I285" s="147">
        <v>86.168577447552352</v>
      </c>
      <c r="J285" s="112"/>
      <c r="K285" s="112"/>
      <c r="L285" s="126"/>
      <c r="M285" s="112"/>
      <c r="N285" s="126"/>
      <c r="O285" s="147"/>
      <c r="P285" s="147"/>
      <c r="Q285" s="147"/>
      <c r="R285" s="112"/>
      <c r="S285" s="112"/>
      <c r="T285" s="112"/>
      <c r="U285" s="146"/>
      <c r="V285" s="113"/>
      <c r="W285" s="113"/>
      <c r="X285" s="126"/>
      <c r="Y285" s="126"/>
    </row>
    <row r="286" spans="1:25" ht="14.7" customHeight="1">
      <c r="A286" s="110" t="s">
        <v>152</v>
      </c>
      <c r="B286" s="190"/>
      <c r="C286">
        <v>89.147472219390579</v>
      </c>
      <c r="D286">
        <v>87.561225652124378</v>
      </c>
      <c r="E286">
        <v>90.579947575360407</v>
      </c>
      <c r="F286">
        <v>75.647444236615385</v>
      </c>
      <c r="G286">
        <v>83.056100000000001</v>
      </c>
      <c r="H286">
        <v>80.337400000000002</v>
      </c>
      <c r="I286" s="147"/>
      <c r="J286" s="112"/>
      <c r="K286" s="112"/>
      <c r="L286" s="126"/>
      <c r="M286" s="112"/>
      <c r="N286" s="126"/>
      <c r="O286" s="147"/>
      <c r="P286" s="147"/>
      <c r="Q286" s="147"/>
      <c r="R286" s="112"/>
      <c r="S286" s="112"/>
      <c r="T286" s="112"/>
      <c r="U286" s="146"/>
      <c r="V286" s="113"/>
      <c r="W286" s="113"/>
      <c r="X286" s="126"/>
      <c r="Y286" s="126"/>
    </row>
    <row r="287" spans="1:25" ht="14.7" customHeight="1">
      <c r="A287" s="110" t="s">
        <v>248</v>
      </c>
      <c r="B287" s="190"/>
      <c r="C287">
        <v>82.661291054524668</v>
      </c>
      <c r="D287">
        <v>86.372122348548444</v>
      </c>
      <c r="E287">
        <v>79.746061603573949</v>
      </c>
      <c r="F287">
        <v>77.721285997907245</v>
      </c>
      <c r="G287">
        <v>74.055400000000006</v>
      </c>
      <c r="H287">
        <v>76.637599999999992</v>
      </c>
      <c r="I287" s="147">
        <v>77.535024896980801</v>
      </c>
      <c r="J287" s="112"/>
      <c r="K287" s="112"/>
      <c r="L287" s="126"/>
      <c r="M287" s="112"/>
      <c r="N287" s="126"/>
      <c r="O287" s="147"/>
      <c r="P287" s="147"/>
      <c r="Q287" s="147"/>
      <c r="R287" s="112"/>
      <c r="S287" s="112"/>
      <c r="T287" s="112"/>
      <c r="U287" s="146"/>
      <c r="V287" s="113"/>
      <c r="W287" s="113"/>
      <c r="X287" s="126"/>
      <c r="Y287" s="126"/>
    </row>
    <row r="288" spans="1:25" ht="14.7" customHeight="1">
      <c r="A288" s="110" t="s">
        <v>153</v>
      </c>
      <c r="B288" s="190"/>
      <c r="C288">
        <v>85.057378970998599</v>
      </c>
      <c r="D288">
        <v>89.032862415270927</v>
      </c>
      <c r="E288">
        <v>87.054838741718569</v>
      </c>
      <c r="F288">
        <v>80.166771049623293</v>
      </c>
      <c r="G288">
        <v>81.259199999999993</v>
      </c>
      <c r="H288">
        <v>76.266500000000008</v>
      </c>
      <c r="I288" s="147">
        <v>80.628429131598295</v>
      </c>
      <c r="J288" s="112"/>
      <c r="K288" s="112"/>
      <c r="L288" s="126"/>
      <c r="M288" s="112"/>
      <c r="N288" s="126"/>
      <c r="O288" s="147"/>
      <c r="P288" s="147"/>
      <c r="Q288" s="147"/>
      <c r="R288" s="112"/>
      <c r="S288" s="112"/>
      <c r="T288" s="112"/>
      <c r="U288" s="146"/>
      <c r="V288" s="113"/>
      <c r="W288" s="113"/>
      <c r="X288" s="126"/>
      <c r="Y288" s="126"/>
    </row>
    <row r="289" spans="1:25" ht="14.7" customHeight="1">
      <c r="A289" s="110" t="s">
        <v>327</v>
      </c>
      <c r="B289" s="190"/>
      <c r="C289">
        <v>84.764372694685434</v>
      </c>
      <c r="D289">
        <v>85.14894270282889</v>
      </c>
      <c r="E289">
        <v>84.678337336987454</v>
      </c>
      <c r="F289">
        <v>76.365549290069183</v>
      </c>
      <c r="G289">
        <v>77.363199999999992</v>
      </c>
      <c r="H289">
        <v>77.305199999999999</v>
      </c>
      <c r="I289" s="147">
        <v>78.750029660967968</v>
      </c>
      <c r="J289" s="112"/>
      <c r="K289" s="112"/>
      <c r="L289" s="126"/>
      <c r="M289" s="112"/>
      <c r="N289" s="126"/>
      <c r="O289" s="147"/>
      <c r="P289" s="147"/>
      <c r="Q289" s="147"/>
      <c r="R289" s="112"/>
      <c r="S289" s="112"/>
      <c r="T289" s="112"/>
      <c r="U289" s="146"/>
      <c r="V289" s="113"/>
      <c r="W289" s="113"/>
      <c r="X289" s="126"/>
      <c r="Y289" s="126"/>
    </row>
    <row r="290" spans="1:25" ht="14.7" customHeight="1">
      <c r="A290" s="110" t="s">
        <v>154</v>
      </c>
      <c r="B290" s="190"/>
      <c r="C290">
        <v>86.610179798266401</v>
      </c>
      <c r="D290">
        <v>86.463346278576296</v>
      </c>
      <c r="E290">
        <v>87.216639823072668</v>
      </c>
      <c r="F290">
        <v>68.869895507332927</v>
      </c>
      <c r="G290">
        <v>79.456599999999995</v>
      </c>
      <c r="H290">
        <v>76.174299999999988</v>
      </c>
      <c r="I290" s="147">
        <v>78.783205335978252</v>
      </c>
      <c r="J290" s="112"/>
      <c r="K290" s="112"/>
      <c r="L290" s="126"/>
      <c r="M290" s="112"/>
      <c r="N290" s="126"/>
      <c r="O290" s="147"/>
      <c r="P290" s="147"/>
      <c r="Q290" s="147"/>
      <c r="R290" s="112"/>
      <c r="S290" s="112"/>
      <c r="T290" s="112"/>
      <c r="U290" s="147"/>
      <c r="V290" s="149"/>
      <c r="W290" s="149"/>
      <c r="X290" s="126"/>
      <c r="Y290" s="126"/>
    </row>
    <row r="291" spans="1:25" ht="14.7" customHeight="1">
      <c r="A291" s="110" t="s">
        <v>155</v>
      </c>
      <c r="B291" s="190"/>
      <c r="C291">
        <v>82.322153019545212</v>
      </c>
      <c r="D291">
        <v>87.69747267647972</v>
      </c>
      <c r="E291">
        <v>85.322528700223444</v>
      </c>
      <c r="F291">
        <v>77.97578489155967</v>
      </c>
      <c r="G291">
        <v>77.792900000000003</v>
      </c>
      <c r="H291">
        <v>80.365399999999994</v>
      </c>
      <c r="I291" s="147">
        <v>80.749600024003115</v>
      </c>
      <c r="J291" s="112"/>
      <c r="K291" s="112"/>
      <c r="L291" s="126"/>
      <c r="M291" s="112"/>
      <c r="N291" s="126"/>
      <c r="O291" s="147"/>
      <c r="P291" s="147"/>
      <c r="Q291" s="147"/>
      <c r="R291" s="112"/>
      <c r="S291" s="112"/>
      <c r="T291" s="112"/>
      <c r="U291" s="147"/>
      <c r="V291" s="149"/>
      <c r="W291" s="149"/>
      <c r="X291" s="126"/>
      <c r="Y291" s="126"/>
    </row>
    <row r="292" spans="1:25" ht="14.7" customHeight="1">
      <c r="A292" s="110" t="s">
        <v>249</v>
      </c>
      <c r="B292" s="190"/>
      <c r="C292">
        <v>87.064681083151612</v>
      </c>
      <c r="D292">
        <v>86.227741784529996</v>
      </c>
      <c r="E292">
        <v>86.067354960836767</v>
      </c>
      <c r="F292">
        <v>82.904797291578419</v>
      </c>
      <c r="G292">
        <v>83.150199999999998</v>
      </c>
      <c r="H292">
        <v>80.191100000000006</v>
      </c>
      <c r="I292" s="147">
        <v>79.423947416717681</v>
      </c>
      <c r="J292" s="112"/>
      <c r="K292" s="112"/>
      <c r="L292" s="126"/>
      <c r="M292" s="112"/>
      <c r="N292" s="126"/>
      <c r="O292" s="147"/>
      <c r="P292" s="147"/>
      <c r="Q292" s="147"/>
      <c r="R292" s="112"/>
      <c r="S292" s="112"/>
      <c r="T292" s="112"/>
      <c r="U292" s="146"/>
      <c r="V292" s="113"/>
      <c r="W292" s="113"/>
      <c r="X292" s="126"/>
      <c r="Y292" s="126"/>
    </row>
    <row r="293" spans="1:25" ht="14.7" customHeight="1">
      <c r="A293" s="26" t="s">
        <v>290</v>
      </c>
      <c r="B293" s="190"/>
      <c r="C293">
        <v>86.611817302604322</v>
      </c>
      <c r="D293">
        <v>83.822177975187614</v>
      </c>
      <c r="E293">
        <v>85.1787164433116</v>
      </c>
      <c r="F293">
        <v>78.815768250421641</v>
      </c>
      <c r="G293">
        <v>74.335499999999996</v>
      </c>
      <c r="H293">
        <v>74.146299999999997</v>
      </c>
      <c r="I293" s="147">
        <v>78.520943762207935</v>
      </c>
      <c r="J293" s="112"/>
      <c r="K293" s="112"/>
      <c r="L293" s="126"/>
      <c r="M293" s="112"/>
      <c r="N293" s="126"/>
      <c r="O293" s="147"/>
      <c r="P293" s="147"/>
      <c r="Q293" s="147"/>
      <c r="R293" s="112"/>
      <c r="S293" s="112"/>
      <c r="T293" s="112"/>
      <c r="U293" s="146"/>
      <c r="V293" s="113"/>
      <c r="W293" s="113"/>
      <c r="X293" s="126"/>
      <c r="Y293" s="126"/>
    </row>
    <row r="294" spans="1:25" ht="14.7" customHeight="1">
      <c r="A294" s="110" t="s">
        <v>291</v>
      </c>
      <c r="B294" s="190"/>
      <c r="C294">
        <v>79.407973651435228</v>
      </c>
      <c r="D294">
        <v>83.558282705384826</v>
      </c>
      <c r="E294">
        <v>82.453134388739159</v>
      </c>
      <c r="F294">
        <v>75.21072304548521</v>
      </c>
      <c r="G294">
        <v>70.614400000000003</v>
      </c>
      <c r="H294">
        <v>74.495100000000008</v>
      </c>
      <c r="I294" s="147">
        <v>70.543197211140722</v>
      </c>
      <c r="J294" s="112"/>
      <c r="K294" s="112"/>
      <c r="L294" s="126"/>
      <c r="M294" s="112"/>
      <c r="N294" s="126"/>
      <c r="O294" s="147"/>
      <c r="P294" s="147"/>
      <c r="Q294" s="147"/>
      <c r="R294" s="112"/>
      <c r="S294" s="112"/>
      <c r="T294" s="112"/>
      <c r="U294" s="146"/>
      <c r="V294" s="113"/>
      <c r="W294" s="113"/>
      <c r="X294" s="126"/>
      <c r="Y294" s="126"/>
    </row>
    <row r="295" spans="1:25" ht="14.7" customHeight="1">
      <c r="A295" s="110" t="s">
        <v>156</v>
      </c>
      <c r="B295" s="190"/>
      <c r="C295">
        <v>89.049620951172983</v>
      </c>
      <c r="D295">
        <v>87.659599156540224</v>
      </c>
      <c r="E295">
        <v>89.686716097838897</v>
      </c>
      <c r="F295">
        <v>78.004844294408841</v>
      </c>
      <c r="G295">
        <v>83.489599999999996</v>
      </c>
      <c r="H295">
        <v>83.165199999999999</v>
      </c>
      <c r="I295" s="147">
        <v>81.494755210460639</v>
      </c>
      <c r="J295" s="112"/>
      <c r="K295" s="112"/>
      <c r="L295" s="126"/>
      <c r="M295" s="112"/>
      <c r="N295" s="126"/>
      <c r="O295" s="147"/>
      <c r="P295" s="147"/>
      <c r="Q295" s="147"/>
      <c r="R295" s="112"/>
      <c r="S295" s="112"/>
      <c r="T295" s="112"/>
      <c r="U295" s="146"/>
      <c r="V295" s="113"/>
      <c r="W295" s="113"/>
      <c r="X295" s="126"/>
      <c r="Y295" s="126"/>
    </row>
    <row r="296" spans="1:25" ht="14.7" customHeight="1">
      <c r="A296" s="26" t="s">
        <v>157</v>
      </c>
      <c r="B296" s="190"/>
      <c r="C296">
        <v>85.767523484101304</v>
      </c>
      <c r="D296">
        <v>89.571587544707555</v>
      </c>
      <c r="E296">
        <v>90.942561443857571</v>
      </c>
      <c r="F296">
        <v>82.345906665135658</v>
      </c>
      <c r="G296">
        <v>81.528199999999998</v>
      </c>
      <c r="H296">
        <v>84.446699999999993</v>
      </c>
      <c r="I296" s="147">
        <v>86.591064229964161</v>
      </c>
      <c r="J296" s="112"/>
      <c r="K296" s="112"/>
      <c r="L296" s="126"/>
      <c r="M296" s="112"/>
      <c r="N296" s="126"/>
      <c r="O296" s="147"/>
      <c r="P296" s="147"/>
      <c r="Q296" s="147"/>
      <c r="R296" s="112"/>
      <c r="S296" s="112"/>
      <c r="T296" s="112"/>
      <c r="U296" s="146"/>
      <c r="V296" s="113"/>
      <c r="W296" s="113"/>
      <c r="X296" s="126"/>
      <c r="Y296" s="126"/>
    </row>
    <row r="297" spans="1:25" ht="14.7" customHeight="1">
      <c r="A297" s="110" t="s">
        <v>328</v>
      </c>
      <c r="B297" s="190"/>
      <c r="C297">
        <v>88.447092519392925</v>
      </c>
      <c r="D297">
        <v>88.66487154504658</v>
      </c>
      <c r="E297">
        <v>88.518203937206991</v>
      </c>
      <c r="F297">
        <v>80.065312047807794</v>
      </c>
      <c r="G297">
        <v>81.861599999999996</v>
      </c>
      <c r="H297">
        <v>80.037300000000002</v>
      </c>
      <c r="I297" s="147">
        <v>82.364696744200316</v>
      </c>
      <c r="J297" s="112"/>
      <c r="K297" s="112"/>
      <c r="L297" s="126"/>
      <c r="M297" s="112"/>
      <c r="N297" s="126"/>
      <c r="O297" s="147"/>
      <c r="P297" s="147"/>
      <c r="Q297" s="147"/>
      <c r="R297" s="112"/>
      <c r="S297" s="112"/>
      <c r="T297" s="112"/>
      <c r="U297" s="146"/>
      <c r="V297" s="113"/>
      <c r="W297" s="113"/>
      <c r="X297" s="126"/>
      <c r="Y297" s="126"/>
    </row>
    <row r="298" spans="1:25" ht="14.7" customHeight="1">
      <c r="A298" s="26" t="s">
        <v>158</v>
      </c>
      <c r="B298" s="190"/>
      <c r="C298">
        <v>91.87566389674582</v>
      </c>
      <c r="D298">
        <v>92.504071553615404</v>
      </c>
      <c r="E298">
        <v>90.969392111657072</v>
      </c>
      <c r="F298">
        <v>82.516113319327076</v>
      </c>
      <c r="G298">
        <v>81.538899999999998</v>
      </c>
      <c r="H298">
        <v>80.579800000000006</v>
      </c>
      <c r="I298" s="147"/>
      <c r="J298" s="112"/>
      <c r="K298" s="112"/>
      <c r="L298" s="126"/>
      <c r="M298" s="112"/>
      <c r="N298" s="126"/>
      <c r="O298" s="147"/>
      <c r="P298" s="147"/>
      <c r="Q298" s="147"/>
      <c r="R298" s="112"/>
      <c r="S298" s="112"/>
      <c r="T298" s="112"/>
      <c r="U298" s="146"/>
      <c r="V298" s="113"/>
      <c r="W298" s="113"/>
      <c r="X298" s="126"/>
      <c r="Y298" s="126"/>
    </row>
    <row r="299" spans="1:25" ht="14.7" customHeight="1">
      <c r="A299" s="110" t="s">
        <v>250</v>
      </c>
      <c r="B299" s="190"/>
      <c r="C299">
        <v>83.797621609292833</v>
      </c>
      <c r="D299">
        <v>84.111678572383539</v>
      </c>
      <c r="E299">
        <v>83.188805332123593</v>
      </c>
      <c r="F299">
        <v>72.706798866580826</v>
      </c>
      <c r="G299">
        <v>75.521000000000001</v>
      </c>
      <c r="H299">
        <v>77.7333</v>
      </c>
      <c r="I299" s="147">
        <v>72.967386372492712</v>
      </c>
      <c r="J299" s="112"/>
      <c r="K299" s="112"/>
      <c r="L299" s="126"/>
      <c r="M299" s="112"/>
      <c r="N299" s="126"/>
      <c r="O299" s="147"/>
      <c r="P299" s="147"/>
      <c r="Q299" s="147"/>
      <c r="R299" s="112"/>
      <c r="S299" s="112"/>
      <c r="T299" s="112"/>
      <c r="U299" s="147"/>
      <c r="V299" s="149"/>
      <c r="W299" s="149"/>
      <c r="X299" s="126"/>
      <c r="Y299" s="126"/>
    </row>
    <row r="300" spans="1:25" ht="14.7" customHeight="1">
      <c r="A300" s="110" t="s">
        <v>329</v>
      </c>
      <c r="B300" s="190"/>
      <c r="C300">
        <v>88.965923708779883</v>
      </c>
      <c r="D300">
        <v>89.832987985286664</v>
      </c>
      <c r="E300">
        <v>89.396485380617023</v>
      </c>
      <c r="F300">
        <v>82.125422424167908</v>
      </c>
      <c r="G300">
        <v>83.60990000000001</v>
      </c>
      <c r="H300">
        <v>83.020499999999998</v>
      </c>
      <c r="I300" s="147">
        <v>84.966154875457107</v>
      </c>
      <c r="J300" s="112"/>
      <c r="K300" s="112"/>
      <c r="L300" s="126"/>
      <c r="M300" s="112"/>
      <c r="N300" s="126"/>
      <c r="O300" s="147"/>
      <c r="P300" s="147"/>
      <c r="Q300" s="147"/>
      <c r="R300" s="112"/>
      <c r="S300" s="112"/>
      <c r="T300" s="112"/>
      <c r="U300" s="146"/>
      <c r="V300" s="113"/>
      <c r="W300" s="113"/>
      <c r="X300" s="126"/>
      <c r="Y300" s="126"/>
    </row>
    <row r="301" spans="1:25" ht="14.7" customHeight="1">
      <c r="A301" s="110" t="s">
        <v>159</v>
      </c>
      <c r="B301" s="189"/>
      <c r="C301">
        <v>88.088368117779396</v>
      </c>
      <c r="D301">
        <v>87.913394037690153</v>
      </c>
      <c r="E301">
        <v>87.967237863015157</v>
      </c>
      <c r="F301">
        <v>74.18034111221985</v>
      </c>
      <c r="G301">
        <v>79.870699999999999</v>
      </c>
      <c r="H301">
        <v>80.031399999999991</v>
      </c>
      <c r="I301" s="146">
        <v>83.863003731213638</v>
      </c>
      <c r="J301" s="144"/>
      <c r="K301" s="144"/>
      <c r="L301" s="126"/>
      <c r="M301" s="144"/>
      <c r="N301" s="126"/>
      <c r="O301" s="146"/>
      <c r="P301" s="146"/>
      <c r="Q301" s="146"/>
      <c r="R301" s="144"/>
      <c r="S301" s="144"/>
      <c r="T301" s="144"/>
      <c r="U301" s="146"/>
      <c r="V301" s="113"/>
      <c r="W301" s="113"/>
      <c r="X301" s="126"/>
      <c r="Y301" s="126"/>
    </row>
    <row r="302" spans="1:25" ht="14.7" customHeight="1">
      <c r="A302" s="26" t="s">
        <v>218</v>
      </c>
      <c r="B302" s="190"/>
      <c r="C302">
        <v>87.580568658912597</v>
      </c>
      <c r="D302">
        <v>88.520055892630339</v>
      </c>
      <c r="E302">
        <v>91.812899542521464</v>
      </c>
      <c r="F302">
        <v>79.508716236590416</v>
      </c>
      <c r="G302">
        <v>80.0899</v>
      </c>
      <c r="H302">
        <v>78.493600000000001</v>
      </c>
      <c r="I302" s="147">
        <v>81.70288423607785</v>
      </c>
      <c r="J302" s="112"/>
      <c r="K302" s="112"/>
      <c r="L302" s="126"/>
      <c r="M302" s="112"/>
      <c r="N302" s="126"/>
      <c r="O302" s="147"/>
      <c r="P302" s="147"/>
      <c r="Q302" s="147"/>
      <c r="R302" s="112"/>
      <c r="S302" s="112"/>
      <c r="T302" s="112"/>
      <c r="U302" s="146"/>
      <c r="V302" s="113"/>
      <c r="W302" s="113"/>
      <c r="X302" s="126"/>
      <c r="Y302" s="126"/>
    </row>
    <row r="303" spans="1:25" ht="14.7" customHeight="1">
      <c r="A303" s="26" t="s">
        <v>160</v>
      </c>
      <c r="B303" s="190"/>
      <c r="C303">
        <v>84.984331898406296</v>
      </c>
      <c r="D303">
        <v>81.660126286538954</v>
      </c>
      <c r="E303">
        <v>85.182619281696816</v>
      </c>
      <c r="F303">
        <v>82.911976137442934</v>
      </c>
      <c r="G303">
        <v>77.767499999999998</v>
      </c>
      <c r="H303">
        <v>77.7286</v>
      </c>
      <c r="I303" s="147">
        <v>77.923250980222676</v>
      </c>
      <c r="J303" s="112"/>
      <c r="K303" s="112"/>
      <c r="L303" s="126"/>
      <c r="M303" s="112"/>
      <c r="N303" s="126"/>
      <c r="O303" s="147"/>
      <c r="P303" s="147"/>
      <c r="Q303" s="147"/>
      <c r="R303" s="112"/>
      <c r="S303" s="112"/>
      <c r="T303" s="112"/>
      <c r="U303" s="146"/>
      <c r="V303" s="113"/>
      <c r="W303" s="113"/>
      <c r="X303" s="126"/>
      <c r="Y303" s="126"/>
    </row>
    <row r="304" spans="1:25" ht="14.7" customHeight="1">
      <c r="A304" s="26" t="s">
        <v>292</v>
      </c>
      <c r="B304" s="190"/>
      <c r="C304">
        <v>85.253071404856797</v>
      </c>
      <c r="D304">
        <v>86.972224892271996</v>
      </c>
      <c r="E304">
        <v>86.225423112751287</v>
      </c>
      <c r="F304">
        <v>77.671089864140285</v>
      </c>
      <c r="G304">
        <v>82.951499999999996</v>
      </c>
      <c r="H304">
        <v>78.025599999999997</v>
      </c>
      <c r="I304" s="147">
        <v>78.592708651842358</v>
      </c>
      <c r="J304" s="112"/>
      <c r="K304" s="112"/>
      <c r="L304" s="126"/>
      <c r="M304" s="112"/>
      <c r="N304" s="126"/>
      <c r="O304" s="147"/>
      <c r="P304" s="147"/>
      <c r="Q304" s="147"/>
      <c r="R304" s="112"/>
      <c r="S304" s="112"/>
      <c r="T304" s="112"/>
      <c r="U304" s="147"/>
      <c r="V304" s="149"/>
      <c r="W304" s="149"/>
      <c r="X304" s="126"/>
      <c r="Y304" s="126"/>
    </row>
    <row r="305" spans="1:25" ht="14.7" customHeight="1">
      <c r="A305" s="110" t="s">
        <v>251</v>
      </c>
      <c r="B305" s="190"/>
      <c r="C305">
        <v>85.555108308052667</v>
      </c>
      <c r="D305">
        <v>85.817983904503322</v>
      </c>
      <c r="E305">
        <v>80.002309224765852</v>
      </c>
      <c r="F305">
        <v>75.800603934163547</v>
      </c>
      <c r="G305">
        <v>71.792000000000002</v>
      </c>
      <c r="H305">
        <v>72.962000000000003</v>
      </c>
      <c r="I305" s="147">
        <v>77.951891590323129</v>
      </c>
      <c r="J305" s="112"/>
      <c r="K305" s="112"/>
      <c r="L305" s="126"/>
      <c r="M305" s="112"/>
      <c r="N305" s="126"/>
      <c r="O305" s="147"/>
      <c r="P305" s="147"/>
      <c r="Q305" s="147"/>
      <c r="R305" s="112"/>
      <c r="S305" s="112"/>
      <c r="T305" s="112"/>
      <c r="U305" s="146"/>
      <c r="V305" s="113"/>
      <c r="W305" s="113"/>
      <c r="X305" s="126"/>
      <c r="Y305" s="126"/>
    </row>
    <row r="306" spans="1:25" ht="14.7" customHeight="1">
      <c r="A306" s="110" t="s">
        <v>161</v>
      </c>
      <c r="B306" s="190"/>
      <c r="C306">
        <v>84.246152649983088</v>
      </c>
      <c r="D306">
        <v>83.674303183749373</v>
      </c>
      <c r="E306">
        <v>82.407585907754594</v>
      </c>
      <c r="F306">
        <v>74.330724484885991</v>
      </c>
      <c r="G306">
        <v>76.29010000000001</v>
      </c>
      <c r="H306">
        <v>77.409199999999998</v>
      </c>
      <c r="I306" s="147">
        <v>80.519686940843357</v>
      </c>
      <c r="J306" s="112"/>
      <c r="K306" s="112"/>
      <c r="L306" s="126"/>
      <c r="M306" s="112"/>
      <c r="N306" s="126"/>
      <c r="O306" s="147"/>
      <c r="P306" s="147"/>
      <c r="Q306" s="147"/>
      <c r="R306" s="112"/>
      <c r="S306" s="112"/>
      <c r="T306" s="112"/>
      <c r="U306" s="146"/>
      <c r="V306" s="113"/>
      <c r="W306" s="113"/>
      <c r="X306" s="126"/>
      <c r="Y306" s="126"/>
    </row>
    <row r="307" spans="1:25" ht="14.7" customHeight="1">
      <c r="A307" s="26" t="s">
        <v>162</v>
      </c>
      <c r="B307" s="190"/>
      <c r="C307">
        <v>87.594268873576695</v>
      </c>
      <c r="D307">
        <v>90.402561216618594</v>
      </c>
      <c r="E307">
        <v>86.021098024201265</v>
      </c>
      <c r="F307">
        <v>76.017644760558412</v>
      </c>
      <c r="G307">
        <v>82.552199999999999</v>
      </c>
      <c r="H307">
        <v>80.0929</v>
      </c>
      <c r="I307" s="147">
        <v>80.236066546602927</v>
      </c>
      <c r="J307" s="112"/>
      <c r="K307" s="112"/>
      <c r="L307" s="126"/>
      <c r="M307" s="112"/>
      <c r="N307" s="126"/>
      <c r="O307" s="147"/>
      <c r="P307" s="147"/>
      <c r="Q307" s="147"/>
      <c r="R307" s="112"/>
      <c r="S307" s="112"/>
      <c r="T307" s="112"/>
      <c r="U307" s="147"/>
      <c r="V307" s="149"/>
      <c r="W307" s="149"/>
      <c r="X307" s="126"/>
      <c r="Y307" s="126"/>
    </row>
    <row r="308" spans="1:25" ht="14.7" customHeight="1">
      <c r="A308" s="110" t="s">
        <v>163</v>
      </c>
      <c r="B308" s="190"/>
      <c r="C308">
        <v>86.628538708951012</v>
      </c>
      <c r="D308">
        <v>87.124697138366841</v>
      </c>
      <c r="E308">
        <v>86.173442501750003</v>
      </c>
      <c r="F308">
        <v>82.04518416409617</v>
      </c>
      <c r="G308">
        <v>87.7453</v>
      </c>
      <c r="H308">
        <v>76.407800000000009</v>
      </c>
      <c r="I308" s="147"/>
      <c r="J308" s="112"/>
      <c r="K308" s="112"/>
      <c r="L308" s="126"/>
      <c r="M308" s="112"/>
      <c r="N308" s="126"/>
      <c r="O308" s="147"/>
      <c r="P308" s="147"/>
      <c r="Q308" s="147"/>
      <c r="R308" s="112"/>
      <c r="S308" s="112"/>
      <c r="T308" s="112"/>
      <c r="U308" s="146"/>
      <c r="V308" s="113"/>
      <c r="W308" s="113"/>
      <c r="X308" s="126"/>
      <c r="Y308" s="126"/>
    </row>
    <row r="309" spans="1:25" ht="14.7" customHeight="1">
      <c r="A309" s="110" t="s">
        <v>164</v>
      </c>
      <c r="B309" s="190"/>
      <c r="C309">
        <v>86.598271477349996</v>
      </c>
      <c r="D309">
        <v>88.621943220063642</v>
      </c>
      <c r="E309">
        <v>89.510410738000388</v>
      </c>
      <c r="F309">
        <v>81.273733914718832</v>
      </c>
      <c r="G309">
        <v>85.881600000000006</v>
      </c>
      <c r="H309">
        <v>83.028500000000008</v>
      </c>
      <c r="I309" s="147">
        <v>86.165762834249961</v>
      </c>
      <c r="J309" s="112"/>
      <c r="K309" s="112"/>
      <c r="L309" s="126"/>
      <c r="M309" s="112"/>
      <c r="N309" s="126"/>
      <c r="O309" s="147"/>
      <c r="P309" s="147"/>
      <c r="Q309" s="147"/>
      <c r="R309" s="112"/>
      <c r="S309" s="112"/>
      <c r="T309" s="112"/>
      <c r="U309" s="146"/>
      <c r="V309" s="113"/>
      <c r="W309" s="113"/>
      <c r="X309" s="126"/>
      <c r="Y309" s="126"/>
    </row>
    <row r="310" spans="1:25" ht="14.7" customHeight="1">
      <c r="A310" s="110" t="s">
        <v>813</v>
      </c>
      <c r="B310" s="190"/>
      <c r="C310">
        <v>83.850652676850785</v>
      </c>
      <c r="D310">
        <v>83.032031556894083</v>
      </c>
      <c r="E310">
        <v>84.427741755601559</v>
      </c>
      <c r="F310">
        <v>73.818653563978771</v>
      </c>
      <c r="G310">
        <v>70.601699999999994</v>
      </c>
      <c r="H310">
        <v>77.272899999999993</v>
      </c>
      <c r="I310" s="147">
        <v>79.331956276130626</v>
      </c>
      <c r="J310" s="112"/>
      <c r="K310" s="112"/>
      <c r="L310" s="126"/>
      <c r="M310" s="112"/>
      <c r="N310" s="126"/>
      <c r="O310" s="147"/>
      <c r="P310" s="147"/>
      <c r="Q310" s="147"/>
      <c r="R310" s="112"/>
      <c r="S310" s="112"/>
      <c r="T310" s="112"/>
      <c r="U310" s="146"/>
      <c r="V310" s="113"/>
      <c r="W310" s="113"/>
      <c r="X310" s="126"/>
      <c r="Y310" s="126"/>
    </row>
    <row r="311" spans="1:25" ht="14.7" customHeight="1">
      <c r="A311" s="110" t="s">
        <v>165</v>
      </c>
      <c r="B311" s="190"/>
      <c r="C311">
        <v>82.365951378115014</v>
      </c>
      <c r="D311">
        <v>80.842626466253591</v>
      </c>
      <c r="E311">
        <v>83.158279241391028</v>
      </c>
      <c r="F311">
        <v>74.825656401236955</v>
      </c>
      <c r="G311">
        <v>79.333200000000005</v>
      </c>
      <c r="H311">
        <v>78.138599999999997</v>
      </c>
      <c r="I311" s="147">
        <v>79.378053689378845</v>
      </c>
      <c r="J311" s="112"/>
      <c r="K311" s="112"/>
      <c r="L311" s="126"/>
      <c r="M311" s="112"/>
      <c r="N311" s="126"/>
      <c r="O311" s="147"/>
      <c r="P311" s="147"/>
      <c r="Q311" s="147"/>
      <c r="R311" s="112"/>
      <c r="S311" s="112"/>
      <c r="T311" s="112"/>
      <c r="U311" s="146"/>
      <c r="V311" s="113"/>
      <c r="W311" s="113"/>
      <c r="X311" s="126"/>
      <c r="Y311" s="126"/>
    </row>
    <row r="312" spans="1:25" ht="14.7" customHeight="1">
      <c r="A312" s="110" t="s">
        <v>166</v>
      </c>
      <c r="B312" s="190"/>
      <c r="C312">
        <v>89.097955788692019</v>
      </c>
      <c r="D312">
        <v>86.489306102352273</v>
      </c>
      <c r="E312">
        <v>92.052166630107465</v>
      </c>
      <c r="F312">
        <v>78.85362529157409</v>
      </c>
      <c r="G312">
        <v>86.904600000000002</v>
      </c>
      <c r="H312">
        <v>87.396000000000001</v>
      </c>
      <c r="I312" s="147">
        <v>81.629870580627141</v>
      </c>
      <c r="J312" s="112"/>
      <c r="K312" s="112"/>
      <c r="L312" s="126"/>
      <c r="M312" s="112"/>
      <c r="N312" s="126"/>
      <c r="O312" s="147"/>
      <c r="P312" s="147"/>
      <c r="Q312" s="147"/>
      <c r="R312" s="112"/>
      <c r="S312" s="112"/>
      <c r="T312" s="112"/>
      <c r="U312" s="146"/>
      <c r="V312" s="113"/>
      <c r="W312" s="113"/>
      <c r="X312" s="126"/>
      <c r="Y312" s="126"/>
    </row>
    <row r="313" spans="1:25" ht="14.7" customHeight="1">
      <c r="A313" s="110" t="s">
        <v>167</v>
      </c>
      <c r="B313" s="190"/>
      <c r="C313">
        <v>88.98911533928154</v>
      </c>
      <c r="D313">
        <v>87.342707580707255</v>
      </c>
      <c r="E313">
        <v>88.067980120695779</v>
      </c>
      <c r="F313">
        <v>80.133652759576194</v>
      </c>
      <c r="G313">
        <v>81.106400000000008</v>
      </c>
      <c r="H313">
        <v>80.261600000000001</v>
      </c>
      <c r="I313" s="147">
        <v>84.392635536883759</v>
      </c>
      <c r="J313" s="112"/>
      <c r="K313" s="112"/>
      <c r="L313" s="126"/>
      <c r="M313" s="112"/>
      <c r="N313" s="126"/>
      <c r="O313" s="147"/>
      <c r="P313" s="147"/>
      <c r="Q313" s="147"/>
      <c r="R313" s="112"/>
      <c r="S313" s="112"/>
      <c r="T313" s="112"/>
      <c r="U313" s="146"/>
      <c r="V313" s="113"/>
      <c r="W313" s="113"/>
      <c r="X313" s="126"/>
      <c r="Y313" s="126"/>
    </row>
    <row r="314" spans="1:25" ht="14.7" customHeight="1">
      <c r="A314" s="110" t="s">
        <v>168</v>
      </c>
      <c r="B314" s="189"/>
      <c r="C314">
        <v>84.731501077989265</v>
      </c>
      <c r="D314">
        <v>80.630140263173374</v>
      </c>
      <c r="E314">
        <v>85.975092989312117</v>
      </c>
      <c r="F314">
        <v>77.582273006106902</v>
      </c>
      <c r="G314">
        <v>81.218900000000005</v>
      </c>
      <c r="H314">
        <v>79.603099999999998</v>
      </c>
      <c r="I314" s="147">
        <v>83.903318587367835</v>
      </c>
      <c r="J314" s="112"/>
      <c r="K314" s="112"/>
      <c r="L314" s="126"/>
      <c r="M314" s="112"/>
      <c r="N314" s="126"/>
      <c r="O314" s="147"/>
      <c r="P314" s="147"/>
      <c r="Q314" s="147"/>
      <c r="R314" s="112"/>
      <c r="S314" s="112"/>
      <c r="T314" s="112"/>
      <c r="U314" s="146"/>
      <c r="V314" s="113"/>
      <c r="W314" s="113"/>
      <c r="X314" s="126"/>
      <c r="Y314" s="126"/>
    </row>
    <row r="315" spans="1:25" ht="14.7" customHeight="1">
      <c r="A315" s="110" t="s">
        <v>169</v>
      </c>
      <c r="B315" s="190"/>
      <c r="C315">
        <v>86.417515034811601</v>
      </c>
      <c r="D315">
        <v>88.631923953999703</v>
      </c>
      <c r="E315">
        <v>86.277419225124163</v>
      </c>
      <c r="F315">
        <v>81.366123930478338</v>
      </c>
      <c r="G315">
        <v>84.568100000000001</v>
      </c>
      <c r="H315">
        <v>83.908600000000007</v>
      </c>
      <c r="I315" s="147">
        <v>83.278576579806554</v>
      </c>
      <c r="J315" s="112"/>
      <c r="K315" s="112"/>
      <c r="L315" s="126"/>
      <c r="M315" s="112"/>
      <c r="N315" s="126"/>
      <c r="O315" s="147"/>
      <c r="P315" s="147"/>
      <c r="Q315" s="147"/>
      <c r="R315" s="112"/>
      <c r="S315" s="112"/>
      <c r="T315" s="112"/>
      <c r="U315" s="146"/>
      <c r="V315" s="113"/>
      <c r="W315" s="113"/>
      <c r="X315" s="126"/>
      <c r="Y315" s="126"/>
    </row>
    <row r="316" spans="1:25" ht="14.7" customHeight="1">
      <c r="A316" s="110" t="s">
        <v>293</v>
      </c>
      <c r="B316" s="190"/>
      <c r="C316">
        <v>85.498973245667031</v>
      </c>
      <c r="D316">
        <v>86.2340454769584</v>
      </c>
      <c r="E316">
        <v>83.270789508379963</v>
      </c>
      <c r="F316">
        <v>73.155148836481715</v>
      </c>
      <c r="G316">
        <v>73.9893</v>
      </c>
      <c r="H316">
        <v>73.548100000000005</v>
      </c>
      <c r="I316" s="147">
        <v>75.422032795731582</v>
      </c>
      <c r="J316" s="112"/>
      <c r="K316" s="112"/>
      <c r="L316" s="126"/>
      <c r="M316" s="112"/>
      <c r="N316" s="126"/>
      <c r="O316" s="147"/>
      <c r="P316" s="147"/>
      <c r="Q316" s="147"/>
      <c r="R316" s="112"/>
      <c r="S316" s="112"/>
      <c r="T316" s="112"/>
      <c r="U316" s="146"/>
      <c r="V316" s="113"/>
      <c r="W316" s="113"/>
      <c r="X316" s="126"/>
      <c r="Y316" s="126"/>
    </row>
    <row r="317" spans="1:25" ht="14.7" customHeight="1">
      <c r="A317" s="110" t="s">
        <v>350</v>
      </c>
      <c r="B317" s="190"/>
      <c r="C317">
        <v>88.709601936059556</v>
      </c>
      <c r="D317">
        <v>88.059655646931617</v>
      </c>
      <c r="E317">
        <v>90.69221178922264</v>
      </c>
      <c r="F317">
        <v>83.60555392569816</v>
      </c>
      <c r="G317">
        <v>82.9221</v>
      </c>
      <c r="H317">
        <v>84.38839999999999</v>
      </c>
      <c r="I317" s="147">
        <v>84.822746132255403</v>
      </c>
      <c r="J317" s="112"/>
      <c r="K317" s="112"/>
      <c r="L317" s="126"/>
      <c r="M317" s="112"/>
      <c r="N317" s="126"/>
      <c r="O317" s="147"/>
      <c r="P317" s="147"/>
      <c r="Q317" s="147"/>
      <c r="R317" s="112"/>
      <c r="S317" s="112"/>
      <c r="T317" s="112"/>
      <c r="U317" s="146"/>
      <c r="V317" s="113"/>
      <c r="W317" s="113"/>
      <c r="X317" s="126"/>
      <c r="Y317" s="126"/>
    </row>
    <row r="318" spans="1:25" ht="14.7" customHeight="1">
      <c r="A318" s="110" t="s">
        <v>294</v>
      </c>
      <c r="B318" s="190"/>
      <c r="C318">
        <v>87.290042868631659</v>
      </c>
      <c r="D318">
        <v>86.825514347894369</v>
      </c>
      <c r="E318">
        <v>85.010992214832797</v>
      </c>
      <c r="F318">
        <v>81.01711839295632</v>
      </c>
      <c r="G318">
        <v>84.026600000000002</v>
      </c>
      <c r="H318">
        <v>77.634900000000002</v>
      </c>
      <c r="I318" s="147">
        <v>81.982597529541096</v>
      </c>
      <c r="J318" s="112"/>
      <c r="K318" s="112"/>
      <c r="L318" s="126"/>
      <c r="M318" s="112"/>
      <c r="N318" s="126"/>
      <c r="O318" s="147"/>
      <c r="P318" s="147"/>
      <c r="Q318" s="147"/>
      <c r="R318" s="112"/>
      <c r="S318" s="112"/>
      <c r="T318" s="112"/>
      <c r="U318" s="146"/>
      <c r="V318" s="113"/>
      <c r="W318" s="113"/>
      <c r="X318" s="126"/>
      <c r="Y318" s="126"/>
    </row>
    <row r="319" spans="1:25" ht="14.7" customHeight="1">
      <c r="A319" s="26" t="s">
        <v>170</v>
      </c>
      <c r="B319" s="190"/>
      <c r="C319">
        <v>88.048483671869974</v>
      </c>
      <c r="D319">
        <v>87.691020802421804</v>
      </c>
      <c r="E319">
        <v>84.339658005136315</v>
      </c>
      <c r="F319">
        <v>78.205636733917203</v>
      </c>
      <c r="G319">
        <v>81.525000000000006</v>
      </c>
      <c r="H319">
        <v>83.808800000000005</v>
      </c>
      <c r="I319" s="147">
        <v>78.94026222564095</v>
      </c>
      <c r="J319" s="112"/>
      <c r="K319" s="112"/>
      <c r="L319" s="126"/>
      <c r="M319" s="112"/>
      <c r="N319" s="126"/>
      <c r="O319" s="147"/>
      <c r="P319" s="147"/>
      <c r="Q319" s="147"/>
      <c r="R319" s="112"/>
      <c r="S319" s="112"/>
      <c r="T319" s="112"/>
      <c r="U319" s="146"/>
      <c r="V319" s="113"/>
      <c r="W319" s="113"/>
      <c r="X319" s="126"/>
      <c r="Y319" s="126"/>
    </row>
    <row r="320" spans="1:25" ht="14.7" customHeight="1">
      <c r="A320" s="26" t="s">
        <v>219</v>
      </c>
      <c r="B320" s="190"/>
      <c r="C320">
        <v>92.915435064556249</v>
      </c>
      <c r="D320">
        <v>89.325453491495693</v>
      </c>
      <c r="E320">
        <v>92.57354610835803</v>
      </c>
      <c r="F320">
        <v>83.014483660467988</v>
      </c>
      <c r="G320">
        <v>83.435999999999993</v>
      </c>
      <c r="H320">
        <v>83.875799999999998</v>
      </c>
      <c r="I320" s="147">
        <v>85.727763301209819</v>
      </c>
      <c r="J320" s="112"/>
      <c r="K320" s="112"/>
      <c r="L320" s="126"/>
      <c r="M320" s="112"/>
      <c r="N320" s="126"/>
      <c r="O320" s="147"/>
      <c r="P320" s="147"/>
      <c r="Q320" s="147"/>
      <c r="R320" s="112"/>
      <c r="S320" s="112"/>
      <c r="T320" s="112"/>
      <c r="U320" s="146"/>
      <c r="V320" s="113"/>
      <c r="W320" s="113"/>
      <c r="X320" s="126"/>
      <c r="Y320" s="126"/>
    </row>
    <row r="321" spans="1:25" ht="14.7" customHeight="1">
      <c r="A321" s="26" t="s">
        <v>252</v>
      </c>
      <c r="B321" s="190"/>
      <c r="C321">
        <v>90.68176198233607</v>
      </c>
      <c r="D321">
        <v>88.249184269277009</v>
      </c>
      <c r="E321">
        <v>83.954878488837295</v>
      </c>
      <c r="F321">
        <v>81.766304479028193</v>
      </c>
      <c r="G321">
        <v>81.110500000000002</v>
      </c>
      <c r="H321">
        <v>81.759299999999996</v>
      </c>
      <c r="I321" s="147">
        <v>84.433069740392156</v>
      </c>
      <c r="J321" s="112"/>
      <c r="K321" s="112"/>
      <c r="L321" s="126"/>
      <c r="M321" s="112"/>
      <c r="N321" s="126"/>
      <c r="O321" s="147"/>
      <c r="P321" s="147"/>
      <c r="Q321" s="147"/>
      <c r="R321" s="112"/>
      <c r="S321" s="112"/>
      <c r="T321" s="112"/>
      <c r="U321" s="146"/>
      <c r="V321" s="113"/>
      <c r="W321" s="113"/>
      <c r="X321" s="126"/>
      <c r="Y321" s="126"/>
    </row>
    <row r="322" spans="1:25" ht="14.7" customHeight="1">
      <c r="A322" s="110" t="s">
        <v>171</v>
      </c>
      <c r="B322" s="190"/>
      <c r="C322">
        <v>90.071886913780901</v>
      </c>
      <c r="D322">
        <v>88.559944047072037</v>
      </c>
      <c r="E322">
        <v>88.255611740376651</v>
      </c>
      <c r="F322">
        <v>83.734700791043593</v>
      </c>
      <c r="G322">
        <v>85.686099999999996</v>
      </c>
      <c r="H322">
        <v>86.128399999999999</v>
      </c>
      <c r="I322" s="147">
        <v>87.850206267883763</v>
      </c>
      <c r="J322" s="112"/>
      <c r="K322" s="112"/>
      <c r="L322" s="126"/>
      <c r="M322" s="112"/>
      <c r="N322" s="126"/>
      <c r="O322" s="147"/>
      <c r="P322" s="147"/>
      <c r="Q322" s="147"/>
      <c r="R322" s="112"/>
      <c r="S322" s="112"/>
      <c r="T322" s="112"/>
      <c r="U322" s="147"/>
      <c r="V322" s="149"/>
      <c r="W322" s="149"/>
      <c r="X322" s="126"/>
      <c r="Y322" s="126"/>
    </row>
    <row r="323" spans="1:25" ht="14.7" customHeight="1">
      <c r="A323" s="110" t="s">
        <v>172</v>
      </c>
      <c r="B323" s="190"/>
      <c r="C323">
        <v>89.560557722545767</v>
      </c>
      <c r="D323">
        <v>87.446737097176907</v>
      </c>
      <c r="E323">
        <v>89.84728484139886</v>
      </c>
      <c r="F323">
        <v>83.512755101597676</v>
      </c>
      <c r="G323">
        <v>81.1267</v>
      </c>
      <c r="H323">
        <v>83.354100000000003</v>
      </c>
      <c r="I323" s="147">
        <v>84.209913044611554</v>
      </c>
      <c r="J323" s="112"/>
      <c r="K323" s="112"/>
      <c r="L323" s="126"/>
      <c r="M323" s="112"/>
      <c r="N323" s="126"/>
      <c r="O323" s="147"/>
      <c r="P323" s="147"/>
      <c r="Q323" s="147"/>
      <c r="R323" s="112"/>
      <c r="S323" s="112"/>
      <c r="T323" s="112"/>
      <c r="U323" s="147"/>
      <c r="V323" s="149"/>
      <c r="W323" s="149"/>
      <c r="X323" s="126"/>
      <c r="Y323" s="126"/>
    </row>
    <row r="324" spans="1:25" ht="14.7" customHeight="1">
      <c r="A324" s="26" t="s">
        <v>173</v>
      </c>
      <c r="B324" s="190"/>
      <c r="C324">
        <v>90.977834248648492</v>
      </c>
      <c r="D324">
        <v>90.530461438518856</v>
      </c>
      <c r="E324">
        <v>88.089037797929549</v>
      </c>
      <c r="F324">
        <v>84.532785427565358</v>
      </c>
      <c r="G324">
        <v>86.090100000000007</v>
      </c>
      <c r="H324">
        <v>88.068799999999996</v>
      </c>
      <c r="I324" s="147">
        <v>89.410573933239718</v>
      </c>
      <c r="J324" s="112"/>
      <c r="K324" s="112"/>
      <c r="L324" s="126"/>
      <c r="M324" s="112"/>
      <c r="N324" s="126"/>
      <c r="O324" s="147"/>
      <c r="P324" s="147"/>
      <c r="Q324" s="147"/>
      <c r="R324" s="112"/>
      <c r="S324" s="112"/>
      <c r="T324" s="112"/>
      <c r="U324" s="146"/>
      <c r="V324" s="113"/>
      <c r="W324" s="113"/>
      <c r="X324" s="126"/>
      <c r="Y324" s="126"/>
    </row>
    <row r="325" spans="1:25" ht="14.7" customHeight="1">
      <c r="A325" s="110" t="s">
        <v>253</v>
      </c>
      <c r="B325" s="190"/>
      <c r="C325">
        <v>81.32967928021236</v>
      </c>
      <c r="D325">
        <v>84.784805217338047</v>
      </c>
      <c r="E325">
        <v>80.784987088138649</v>
      </c>
      <c r="F325">
        <v>76.553350665967329</v>
      </c>
      <c r="G325">
        <v>76.861699999999999</v>
      </c>
      <c r="H325">
        <v>72.441599999999994</v>
      </c>
      <c r="I325" s="147">
        <v>79.059075341871832</v>
      </c>
      <c r="J325" s="112"/>
      <c r="K325" s="112"/>
      <c r="L325" s="126"/>
      <c r="M325" s="112"/>
      <c r="N325" s="126"/>
      <c r="O325" s="147"/>
      <c r="P325" s="147"/>
      <c r="Q325" s="147"/>
      <c r="R325" s="112"/>
      <c r="S325" s="112"/>
      <c r="T325" s="112"/>
      <c r="U325" s="146"/>
      <c r="V325" s="113"/>
      <c r="W325" s="113"/>
      <c r="X325" s="126"/>
      <c r="Y325" s="126"/>
    </row>
    <row r="326" spans="1:25" ht="14.7" customHeight="1">
      <c r="A326" s="110" t="s">
        <v>254</v>
      </c>
      <c r="B326" s="190"/>
      <c r="C326">
        <v>84.808818688082397</v>
      </c>
      <c r="D326">
        <v>80.082326140992677</v>
      </c>
      <c r="E326">
        <v>83.379832523089945</v>
      </c>
      <c r="F326">
        <v>70.393081665954043</v>
      </c>
      <c r="G326">
        <v>71.207799999999992</v>
      </c>
      <c r="H326">
        <v>75.220200000000006</v>
      </c>
      <c r="I326" s="147">
        <v>71.556342339670266</v>
      </c>
      <c r="J326" s="112"/>
      <c r="K326" s="112"/>
      <c r="L326" s="126"/>
      <c r="M326" s="112"/>
      <c r="N326" s="126"/>
      <c r="O326" s="147"/>
      <c r="P326" s="147"/>
      <c r="Q326" s="147"/>
      <c r="R326" s="112"/>
      <c r="S326" s="112"/>
      <c r="T326" s="112"/>
      <c r="U326" s="146"/>
      <c r="V326" s="113"/>
      <c r="W326" s="113"/>
      <c r="X326" s="126"/>
      <c r="Y326" s="126"/>
    </row>
    <row r="327" spans="1:25" ht="14.7" customHeight="1">
      <c r="A327" s="110" t="s">
        <v>220</v>
      </c>
      <c r="B327" s="190"/>
      <c r="C327">
        <v>86.825779132388078</v>
      </c>
      <c r="D327">
        <v>91.408630470016192</v>
      </c>
      <c r="E327">
        <v>91.527567854932386</v>
      </c>
      <c r="F327">
        <v>81.162761970687995</v>
      </c>
      <c r="G327">
        <v>84.8459</v>
      </c>
      <c r="H327">
        <v>79.111000000000004</v>
      </c>
      <c r="I327" s="147">
        <v>82.817142083257067</v>
      </c>
      <c r="J327" s="112"/>
      <c r="K327" s="112"/>
      <c r="L327" s="126"/>
      <c r="M327" s="112"/>
      <c r="N327" s="126"/>
      <c r="O327" s="147"/>
      <c r="P327" s="147"/>
      <c r="Q327" s="147"/>
      <c r="R327" s="112"/>
      <c r="S327" s="112"/>
      <c r="T327" s="112"/>
      <c r="U327" s="147"/>
      <c r="V327" s="113"/>
      <c r="W327" s="113"/>
      <c r="X327" s="126"/>
      <c r="Y327" s="126"/>
    </row>
    <row r="328" spans="1:25" ht="14.7" customHeight="1">
      <c r="A328" s="26" t="s">
        <v>221</v>
      </c>
      <c r="B328" s="190"/>
      <c r="C328">
        <v>93.68992324010307</v>
      </c>
      <c r="D328">
        <v>95.104892285861709</v>
      </c>
      <c r="E328">
        <v>96.359134862428206</v>
      </c>
      <c r="F328">
        <v>87.136133956975499</v>
      </c>
      <c r="G328">
        <v>89.323399999999992</v>
      </c>
      <c r="H328">
        <v>87.963000000000008</v>
      </c>
      <c r="I328" s="147">
        <v>91.6899005614966</v>
      </c>
      <c r="J328" s="112"/>
      <c r="K328" s="112"/>
      <c r="L328" s="126"/>
      <c r="M328" s="112"/>
      <c r="N328" s="126"/>
      <c r="O328" s="147"/>
      <c r="P328" s="147"/>
      <c r="Q328" s="147"/>
      <c r="R328" s="112"/>
      <c r="S328" s="112"/>
      <c r="T328" s="112"/>
      <c r="U328" s="146"/>
      <c r="V328" s="113"/>
      <c r="W328" s="113"/>
      <c r="X328" s="126"/>
      <c r="Y328" s="126"/>
    </row>
    <row r="329" spans="1:25" ht="14.7" customHeight="1">
      <c r="A329" s="110" t="s">
        <v>295</v>
      </c>
      <c r="B329" s="190"/>
      <c r="C329">
        <v>86.35194324294045</v>
      </c>
      <c r="D329">
        <v>80.997225634808927</v>
      </c>
      <c r="E329">
        <v>86.058092272586819</v>
      </c>
      <c r="F329">
        <v>79.059910621505153</v>
      </c>
      <c r="G329">
        <v>78.334199999999996</v>
      </c>
      <c r="H329">
        <v>78.72</v>
      </c>
      <c r="I329" s="147">
        <v>81.030229891384977</v>
      </c>
      <c r="J329" s="112"/>
      <c r="K329" s="112"/>
      <c r="L329" s="126"/>
      <c r="M329" s="112"/>
      <c r="N329" s="126"/>
      <c r="O329" s="147"/>
      <c r="P329" s="147"/>
      <c r="Q329" s="147"/>
      <c r="R329" s="112"/>
      <c r="S329" s="112"/>
      <c r="T329" s="112"/>
      <c r="U329" s="147"/>
      <c r="V329" s="149"/>
      <c r="W329" s="149"/>
      <c r="X329" s="126"/>
      <c r="Y329" s="126"/>
    </row>
    <row r="330" spans="1:25" ht="14.7" customHeight="1">
      <c r="A330" s="110" t="s">
        <v>174</v>
      </c>
      <c r="B330" s="190"/>
      <c r="C330">
        <v>91.764000592950168</v>
      </c>
      <c r="D330">
        <v>90.696663008576181</v>
      </c>
      <c r="E330">
        <v>92.590259835226448</v>
      </c>
      <c r="F330">
        <v>89.184106932559715</v>
      </c>
      <c r="G330">
        <v>82.008800000000008</v>
      </c>
      <c r="H330">
        <v>82.810900000000004</v>
      </c>
      <c r="I330" s="147">
        <v>79.937146240817597</v>
      </c>
      <c r="J330" s="112"/>
      <c r="K330" s="112"/>
      <c r="L330" s="126"/>
      <c r="M330" s="112"/>
      <c r="N330" s="126"/>
      <c r="O330" s="147"/>
      <c r="P330" s="147"/>
      <c r="Q330" s="147"/>
      <c r="R330" s="112"/>
      <c r="S330" s="112"/>
      <c r="T330" s="112"/>
      <c r="U330" s="147"/>
      <c r="V330" s="149"/>
      <c r="W330" s="149"/>
      <c r="X330" s="126"/>
      <c r="Y330" s="126"/>
    </row>
    <row r="331" spans="1:25" ht="14.7" customHeight="1">
      <c r="A331" s="110" t="s">
        <v>330</v>
      </c>
      <c r="B331" s="190"/>
      <c r="C331">
        <v>88.027590309873617</v>
      </c>
      <c r="D331">
        <v>87.336428102210959</v>
      </c>
      <c r="E331">
        <v>88.515835364017519</v>
      </c>
      <c r="F331">
        <v>78.852080025228858</v>
      </c>
      <c r="G331">
        <v>79.103800000000007</v>
      </c>
      <c r="H331">
        <v>80.142300000000006</v>
      </c>
      <c r="I331" s="147">
        <v>77.957041174917606</v>
      </c>
      <c r="J331" s="112"/>
      <c r="K331" s="112"/>
      <c r="L331" s="126"/>
      <c r="M331" s="112"/>
      <c r="N331" s="126"/>
      <c r="O331" s="147"/>
      <c r="P331" s="147"/>
      <c r="Q331" s="147"/>
      <c r="R331" s="112"/>
      <c r="S331" s="112"/>
      <c r="T331" s="112"/>
      <c r="U331" s="147"/>
      <c r="V331" s="149"/>
      <c r="W331" s="149"/>
      <c r="X331" s="126"/>
      <c r="Y331" s="126"/>
    </row>
    <row r="332" spans="1:25" ht="14.7" customHeight="1">
      <c r="A332" s="26" t="s">
        <v>175</v>
      </c>
      <c r="B332" s="190"/>
      <c r="C332">
        <v>86.910566062482332</v>
      </c>
      <c r="D332">
        <v>86.207597323947098</v>
      </c>
      <c r="E332">
        <v>87.476003564330398</v>
      </c>
      <c r="F332">
        <v>82.135593165548926</v>
      </c>
      <c r="G332">
        <v>82.580799999999996</v>
      </c>
      <c r="H332">
        <v>76.552099999999996</v>
      </c>
      <c r="I332" s="147">
        <v>82.368862451168795</v>
      </c>
      <c r="J332" s="112"/>
      <c r="K332" s="112"/>
      <c r="L332" s="126"/>
      <c r="M332" s="112"/>
      <c r="N332" s="126"/>
      <c r="O332" s="147"/>
      <c r="P332" s="147"/>
      <c r="Q332" s="147"/>
      <c r="R332" s="112"/>
      <c r="S332" s="112"/>
      <c r="T332" s="112"/>
      <c r="U332" s="146"/>
      <c r="V332" s="113"/>
      <c r="W332" s="113"/>
      <c r="X332" s="126"/>
      <c r="Y332" s="126"/>
    </row>
    <row r="333" spans="1:25" ht="14.7" customHeight="1">
      <c r="A333" s="110" t="s">
        <v>176</v>
      </c>
      <c r="B333" s="190"/>
      <c r="C333">
        <v>83.322843326817306</v>
      </c>
      <c r="D333">
        <v>88.541178237738279</v>
      </c>
      <c r="E333">
        <v>87.595638148390037</v>
      </c>
      <c r="F333">
        <v>81.945110169871811</v>
      </c>
      <c r="G333">
        <v>80.582799999999992</v>
      </c>
      <c r="H333">
        <v>79.274699999999996</v>
      </c>
      <c r="I333" s="147"/>
      <c r="J333" s="112"/>
      <c r="K333" s="112"/>
      <c r="L333" s="126"/>
      <c r="M333" s="112"/>
      <c r="N333" s="126"/>
      <c r="O333" s="147"/>
      <c r="P333" s="147"/>
      <c r="Q333" s="147"/>
      <c r="R333" s="112"/>
      <c r="S333" s="112"/>
      <c r="T333" s="112"/>
      <c r="U333" s="146"/>
      <c r="V333" s="113"/>
      <c r="W333" s="113"/>
      <c r="X333" s="126"/>
      <c r="Y333" s="126"/>
    </row>
    <row r="334" spans="1:25" ht="14.7" customHeight="1">
      <c r="A334" s="110" t="s">
        <v>177</v>
      </c>
      <c r="B334" s="147"/>
      <c r="C334" s="155">
        <v>90.956887255094273</v>
      </c>
      <c r="D334" s="155">
        <v>91.396558542298294</v>
      </c>
      <c r="E334" s="155">
        <v>91.977389708432682</v>
      </c>
      <c r="F334" s="155">
        <v>85.22706174717564</v>
      </c>
      <c r="G334" s="147">
        <v>85.639399999999995</v>
      </c>
      <c r="H334" s="147">
        <v>82.240000000000009</v>
      </c>
      <c r="I334" s="147">
        <v>89.385768010507832</v>
      </c>
      <c r="J334" s="112"/>
      <c r="K334" s="112"/>
      <c r="L334" s="126"/>
      <c r="M334" s="112"/>
      <c r="N334" s="126"/>
      <c r="O334" s="147"/>
      <c r="P334" s="147"/>
      <c r="Q334" s="147"/>
      <c r="R334" s="112"/>
      <c r="S334" s="112"/>
      <c r="T334" s="112"/>
      <c r="U334" s="147"/>
      <c r="V334" s="149"/>
      <c r="W334" s="149"/>
      <c r="X334" s="126"/>
      <c r="Y334" s="126"/>
    </row>
    <row r="335" spans="1:25" ht="14.7" customHeight="1">
      <c r="A335" s="110" t="s">
        <v>178</v>
      </c>
      <c r="B335" s="147"/>
      <c r="C335" s="155">
        <v>89.020346660274996</v>
      </c>
      <c r="D335" s="155">
        <v>86.325445501324154</v>
      </c>
      <c r="E335" s="155">
        <v>91.379258938279307</v>
      </c>
      <c r="F335" s="155">
        <v>82.886222701607196</v>
      </c>
      <c r="G335" s="147">
        <v>81.661600000000007</v>
      </c>
      <c r="H335" s="147">
        <v>80.782499999999999</v>
      </c>
      <c r="I335" s="147">
        <v>82.162549633028988</v>
      </c>
      <c r="J335" s="112"/>
      <c r="K335" s="112"/>
      <c r="L335" s="126"/>
      <c r="M335" s="112"/>
      <c r="N335" s="126"/>
      <c r="O335" s="147"/>
      <c r="P335" s="147"/>
      <c r="Q335" s="147"/>
      <c r="R335" s="112"/>
      <c r="S335" s="112"/>
      <c r="T335" s="112"/>
      <c r="U335" s="147"/>
      <c r="V335" s="149"/>
      <c r="W335" s="149"/>
      <c r="X335" s="126"/>
      <c r="Y335" s="126"/>
    </row>
    <row r="336" spans="1:25" ht="14.7" customHeight="1">
      <c r="A336" s="110" t="s">
        <v>179</v>
      </c>
      <c r="B336" s="147"/>
      <c r="C336" s="155">
        <v>86.470584691379202</v>
      </c>
      <c r="D336" s="155">
        <v>85.184196961887153</v>
      </c>
      <c r="E336" s="155">
        <v>83.139992174926689</v>
      </c>
      <c r="F336" s="155">
        <v>78.706523921314897</v>
      </c>
      <c r="G336" s="147">
        <v>73.208799999999997</v>
      </c>
      <c r="H336" s="147">
        <v>68.683999999999997</v>
      </c>
      <c r="I336" s="147">
        <v>81.003820275127808</v>
      </c>
      <c r="J336" s="112"/>
      <c r="K336" s="112"/>
      <c r="L336" s="126"/>
      <c r="M336" s="112"/>
      <c r="N336" s="126"/>
      <c r="O336" s="147"/>
      <c r="P336" s="147"/>
      <c r="Q336" s="147"/>
      <c r="R336" s="112"/>
      <c r="S336" s="112"/>
      <c r="T336" s="144"/>
      <c r="U336" s="146"/>
      <c r="V336" s="113"/>
      <c r="W336" s="113"/>
      <c r="X336" s="126"/>
      <c r="Y336" s="126"/>
    </row>
    <row r="337" spans="1:25" ht="14.7" customHeight="1">
      <c r="A337" s="26" t="s">
        <v>180</v>
      </c>
      <c r="B337" s="147"/>
      <c r="C337" s="155">
        <v>84.830795825570732</v>
      </c>
      <c r="D337" s="155">
        <v>91.09579811343869</v>
      </c>
      <c r="E337" s="155">
        <v>88.28066215199398</v>
      </c>
      <c r="F337" s="155">
        <v>76.432814686698464</v>
      </c>
      <c r="G337" s="146">
        <v>80.012</v>
      </c>
      <c r="H337" s="147">
        <v>80.008300000000006</v>
      </c>
      <c r="I337" s="147">
        <v>80.306839481483934</v>
      </c>
      <c r="J337" s="112"/>
      <c r="K337" s="112"/>
      <c r="L337" s="126"/>
      <c r="M337" s="112"/>
      <c r="N337" s="126"/>
      <c r="O337" s="147"/>
      <c r="P337" s="147"/>
      <c r="Q337" s="147"/>
      <c r="R337" s="112"/>
      <c r="S337" s="112"/>
      <c r="T337" s="112"/>
      <c r="U337" s="146"/>
      <c r="V337" s="113"/>
      <c r="W337" s="113"/>
      <c r="X337" s="126"/>
      <c r="Y337" s="126"/>
    </row>
    <row r="338" spans="1:25" ht="14.7" customHeight="1">
      <c r="A338" s="26" t="s">
        <v>296</v>
      </c>
      <c r="B338" s="147"/>
      <c r="C338" s="155">
        <v>88.588130350194575</v>
      </c>
      <c r="D338" s="155">
        <v>87.812885948715447</v>
      </c>
      <c r="E338" s="155">
        <v>87.344940089057047</v>
      </c>
      <c r="F338" s="155">
        <v>82.242399599519018</v>
      </c>
      <c r="G338" s="147">
        <v>85.209900000000005</v>
      </c>
      <c r="H338" s="147">
        <v>82.512700000000009</v>
      </c>
      <c r="I338" s="147">
        <v>83.677896886079182</v>
      </c>
      <c r="J338" s="112"/>
      <c r="K338" s="112"/>
      <c r="L338" s="126"/>
      <c r="M338" s="112"/>
      <c r="N338" s="126"/>
      <c r="O338" s="147"/>
      <c r="P338" s="147"/>
      <c r="Q338" s="147"/>
      <c r="R338" s="112"/>
      <c r="S338" s="112"/>
      <c r="T338" s="112"/>
      <c r="U338" s="147"/>
      <c r="V338" s="149"/>
      <c r="W338" s="149"/>
      <c r="X338" s="126"/>
      <c r="Y338" s="126"/>
    </row>
    <row r="339" spans="1:25" ht="14.7" customHeight="1">
      <c r="A339" s="110" t="s">
        <v>181</v>
      </c>
      <c r="B339" s="146"/>
      <c r="C339" s="155">
        <v>89.664103281623142</v>
      </c>
      <c r="D339" s="155">
        <v>89.906036649995215</v>
      </c>
      <c r="E339" s="155">
        <v>89.098787405305814</v>
      </c>
      <c r="F339" s="155">
        <v>84.190969266860421</v>
      </c>
      <c r="G339" s="146">
        <v>84.554200000000009</v>
      </c>
      <c r="H339" s="146">
        <v>83.030799999999999</v>
      </c>
      <c r="I339" s="146">
        <v>84.546138016991605</v>
      </c>
      <c r="J339" s="144"/>
      <c r="K339" s="144"/>
      <c r="L339" s="126"/>
      <c r="M339" s="144"/>
      <c r="N339" s="126"/>
      <c r="O339" s="146"/>
      <c r="P339" s="146"/>
      <c r="Q339" s="146"/>
      <c r="R339" s="144"/>
      <c r="S339" s="144"/>
      <c r="T339" s="144"/>
      <c r="U339" s="146"/>
      <c r="V339" s="113"/>
      <c r="W339" s="113"/>
      <c r="X339" s="126"/>
      <c r="Y339" s="126"/>
    </row>
    <row r="340" spans="1:25" ht="14.7" customHeight="1">
      <c r="A340" s="108" t="s">
        <v>182</v>
      </c>
      <c r="B340" s="148"/>
      <c r="C340" s="155">
        <v>89.476406648329387</v>
      </c>
      <c r="D340" s="155">
        <v>91.230776328431688</v>
      </c>
      <c r="E340" s="155">
        <v>88.98007175374596</v>
      </c>
      <c r="F340" s="155">
        <v>85.091112190789872</v>
      </c>
      <c r="G340" s="148">
        <v>82.614100000000008</v>
      </c>
      <c r="H340" s="148">
        <v>82.903400000000005</v>
      </c>
      <c r="I340" s="148"/>
      <c r="J340" s="109"/>
      <c r="K340" s="109"/>
      <c r="L340" s="126"/>
      <c r="M340" s="109"/>
      <c r="N340" s="126"/>
      <c r="O340" s="148"/>
      <c r="P340" s="148"/>
      <c r="Q340" s="148"/>
      <c r="R340" s="109"/>
      <c r="S340" s="109"/>
      <c r="T340" s="109"/>
      <c r="U340" s="148"/>
      <c r="V340" s="150"/>
      <c r="W340" s="150"/>
      <c r="X340" s="126"/>
      <c r="Y340" s="126"/>
    </row>
    <row r="341" spans="1:25" ht="14.7" customHeight="1">
      <c r="A341" s="110" t="s">
        <v>183</v>
      </c>
      <c r="B341" s="146"/>
      <c r="C341" s="155">
        <v>80.782748094812504</v>
      </c>
      <c r="D341" s="155">
        <v>86.45988740107687</v>
      </c>
      <c r="E341" s="155">
        <v>84.164654555801008</v>
      </c>
      <c r="F341" s="155">
        <v>78.844862350458826</v>
      </c>
      <c r="G341" s="146">
        <v>76.224599999999995</v>
      </c>
      <c r="H341" s="146">
        <v>78.433899999999994</v>
      </c>
      <c r="I341" s="146">
        <v>76.980907264177205</v>
      </c>
      <c r="J341" s="144"/>
      <c r="K341" s="144"/>
      <c r="L341" s="126"/>
      <c r="M341" s="144"/>
      <c r="N341" s="126"/>
      <c r="O341" s="146"/>
      <c r="P341" s="146"/>
      <c r="Q341" s="146"/>
      <c r="R341" s="144"/>
      <c r="S341" s="144"/>
      <c r="T341" s="144"/>
      <c r="U341" s="146"/>
      <c r="V341" s="113"/>
      <c r="W341" s="113"/>
      <c r="X341" s="126"/>
      <c r="Y341" s="126"/>
    </row>
    <row r="342" spans="1:25" ht="14.7" customHeight="1">
      <c r="A342" s="110" t="s">
        <v>184</v>
      </c>
      <c r="B342" s="147"/>
      <c r="C342" s="155">
        <v>87.580479792157078</v>
      </c>
      <c r="D342" s="155">
        <v>84.23993512649929</v>
      </c>
      <c r="E342" s="155">
        <v>86.08746456285364</v>
      </c>
      <c r="F342" s="155">
        <v>76.527230694696655</v>
      </c>
      <c r="G342" s="146">
        <v>84.725399999999993</v>
      </c>
      <c r="H342" s="147">
        <v>79.7881</v>
      </c>
      <c r="I342" s="147">
        <v>72.682938952922342</v>
      </c>
      <c r="J342" s="112"/>
      <c r="K342" s="112"/>
      <c r="L342" s="126"/>
      <c r="M342" s="112"/>
      <c r="N342" s="126"/>
      <c r="O342" s="147"/>
      <c r="P342" s="147"/>
      <c r="Q342" s="147"/>
      <c r="R342" s="112"/>
      <c r="S342" s="112"/>
      <c r="T342" s="112"/>
      <c r="U342" s="146"/>
      <c r="V342" s="113"/>
      <c r="W342" s="113"/>
      <c r="X342" s="126"/>
      <c r="Y342" s="126"/>
    </row>
    <row r="343" spans="1:25" ht="14.7" customHeight="1">
      <c r="A343" s="110" t="s">
        <v>185</v>
      </c>
      <c r="B343" s="146"/>
      <c r="C343" s="155">
        <v>89.699068271091036</v>
      </c>
      <c r="D343" s="155">
        <v>90.505829806859836</v>
      </c>
      <c r="E343" s="155">
        <v>89.713710860544083</v>
      </c>
      <c r="F343" s="155">
        <v>83.414118607204657</v>
      </c>
      <c r="G343" s="146">
        <v>82.35860000000001</v>
      </c>
      <c r="H343" s="147">
        <v>86.020300000000006</v>
      </c>
      <c r="I343" s="147">
        <v>85.541862026731749</v>
      </c>
      <c r="J343" s="112"/>
      <c r="K343" s="112"/>
      <c r="L343" s="126"/>
      <c r="M343" s="112"/>
      <c r="N343" s="126"/>
      <c r="O343" s="147"/>
      <c r="P343" s="147"/>
      <c r="Q343" s="147"/>
      <c r="R343" s="112"/>
      <c r="S343" s="112"/>
      <c r="T343" s="112"/>
      <c r="U343" s="146"/>
      <c r="V343" s="113"/>
      <c r="W343" s="113"/>
      <c r="X343" s="126"/>
      <c r="Y343" s="126"/>
    </row>
    <row r="344" spans="1:25" ht="14.7" customHeight="1">
      <c r="A344" s="110" t="s">
        <v>186</v>
      </c>
      <c r="B344" s="147"/>
      <c r="C344" s="154">
        <v>90.802459487966956</v>
      </c>
      <c r="D344" s="154">
        <v>85.755169848242403</v>
      </c>
      <c r="E344" s="154">
        <v>86.361561423286389</v>
      </c>
      <c r="F344" s="154">
        <v>77.558191120116533</v>
      </c>
      <c r="G344" s="146">
        <v>86.540199999999999</v>
      </c>
      <c r="H344" s="147">
        <v>81.329899999999995</v>
      </c>
      <c r="I344" s="147"/>
      <c r="J344" s="112"/>
      <c r="K344" s="112"/>
      <c r="L344" s="126"/>
      <c r="M344" s="112"/>
      <c r="N344" s="126"/>
      <c r="O344" s="147"/>
      <c r="P344" s="147"/>
      <c r="Q344" s="147"/>
      <c r="R344" s="112"/>
      <c r="S344" s="112"/>
      <c r="T344" s="112"/>
      <c r="U344" s="146"/>
      <c r="V344" s="113"/>
      <c r="W344" s="113"/>
      <c r="X344" s="126"/>
      <c r="Y344" s="126"/>
    </row>
    <row r="345" spans="1:25" ht="14.7" customHeight="1">
      <c r="A345" s="110" t="s">
        <v>907</v>
      </c>
      <c r="B345" s="147"/>
      <c r="C345" s="153"/>
      <c r="D345" s="153"/>
      <c r="E345" s="153"/>
      <c r="F345" s="153"/>
      <c r="G345" s="147"/>
      <c r="H345" s="147"/>
      <c r="I345" s="147">
        <v>84.445353929306265</v>
      </c>
      <c r="J345" s="112"/>
      <c r="K345" s="112"/>
      <c r="L345" s="126"/>
      <c r="M345" s="112"/>
      <c r="N345" s="126"/>
      <c r="O345" s="147"/>
      <c r="P345" s="147"/>
      <c r="Q345" s="147"/>
      <c r="R345" s="112"/>
      <c r="S345" s="112"/>
      <c r="T345" s="112"/>
      <c r="U345" s="147"/>
      <c r="V345" s="149"/>
      <c r="W345" s="149"/>
      <c r="X345" s="126"/>
      <c r="Y345" s="126"/>
    </row>
    <row r="346" spans="1:25" ht="14.7" customHeight="1">
      <c r="A346" s="110" t="s">
        <v>331</v>
      </c>
      <c r="B346" s="147"/>
      <c r="C346" s="154">
        <v>89.745266679651095</v>
      </c>
      <c r="D346" s="154">
        <v>88.183512510631175</v>
      </c>
      <c r="E346" s="154">
        <v>88.662856142281811</v>
      </c>
      <c r="F346" s="154">
        <v>83.815915306333679</v>
      </c>
      <c r="G346" s="146">
        <v>83.922399999999996</v>
      </c>
      <c r="H346" s="147">
        <v>83.175200000000004</v>
      </c>
      <c r="I346" s="147">
        <v>84.411781583716433</v>
      </c>
      <c r="J346" s="112"/>
      <c r="K346" s="112"/>
      <c r="L346" s="126"/>
      <c r="M346" s="112"/>
      <c r="N346" s="126"/>
      <c r="O346" s="147"/>
      <c r="P346" s="147"/>
      <c r="Q346" s="147"/>
      <c r="R346" s="112"/>
      <c r="S346" s="112"/>
      <c r="T346" s="112"/>
      <c r="U346" s="146"/>
      <c r="V346" s="113"/>
      <c r="W346" s="113"/>
      <c r="X346" s="126"/>
      <c r="Y346" s="126"/>
    </row>
    <row r="347" spans="1:25" ht="14.7" customHeight="1">
      <c r="A347" s="110" t="s">
        <v>187</v>
      </c>
      <c r="B347" s="147"/>
      <c r="C347" s="155">
        <v>93.109661013022077</v>
      </c>
      <c r="D347" s="155">
        <v>94.2658385294487</v>
      </c>
      <c r="E347" s="155">
        <v>91.933234016825864</v>
      </c>
      <c r="F347" s="155">
        <v>81.42061383935102</v>
      </c>
      <c r="G347" s="146">
        <v>83.858999999999995</v>
      </c>
      <c r="H347" s="147">
        <v>86.385300000000001</v>
      </c>
      <c r="I347" s="147">
        <v>89.092278053533519</v>
      </c>
      <c r="J347" s="112"/>
      <c r="K347" s="112"/>
      <c r="L347" s="126"/>
      <c r="M347" s="112"/>
      <c r="N347" s="126"/>
      <c r="O347" s="147"/>
      <c r="P347" s="147"/>
      <c r="Q347" s="147"/>
      <c r="R347" s="112"/>
      <c r="S347" s="112"/>
      <c r="T347" s="112"/>
      <c r="U347" s="146"/>
      <c r="V347" s="113"/>
      <c r="W347" s="113"/>
      <c r="X347" s="126"/>
      <c r="Y347" s="126"/>
    </row>
    <row r="348" spans="1:25" ht="14.7" customHeight="1">
      <c r="A348" s="110" t="s">
        <v>351</v>
      </c>
      <c r="B348" s="146"/>
      <c r="C348" s="154">
        <v>88.33404836255464</v>
      </c>
      <c r="D348" s="155">
        <v>85.481482380646028</v>
      </c>
      <c r="E348" s="155">
        <v>89.221773476390211</v>
      </c>
      <c r="F348" s="154">
        <v>80.972528118303373</v>
      </c>
      <c r="G348" s="146">
        <v>84.490399999999994</v>
      </c>
      <c r="H348" s="147">
        <v>83.238699999999994</v>
      </c>
      <c r="I348" s="147"/>
      <c r="J348" s="112"/>
      <c r="K348" s="112"/>
      <c r="L348" s="126"/>
      <c r="M348" s="112"/>
      <c r="N348" s="126"/>
      <c r="O348" s="147"/>
      <c r="P348" s="147"/>
      <c r="Q348" s="147"/>
      <c r="R348" s="112"/>
      <c r="S348" s="112"/>
      <c r="T348" s="112"/>
      <c r="U348" s="146"/>
      <c r="V348" s="113"/>
      <c r="W348" s="113"/>
      <c r="X348" s="126"/>
      <c r="Y348" s="126"/>
    </row>
    <row r="349" spans="1:25" ht="14.7" customHeight="1">
      <c r="A349" s="110" t="s">
        <v>255</v>
      </c>
      <c r="B349" s="147"/>
      <c r="C349" s="154">
        <v>86.735896909106614</v>
      </c>
      <c r="D349" s="155">
        <v>80.70014058003764</v>
      </c>
      <c r="E349" s="155">
        <v>80.951957002649593</v>
      </c>
      <c r="F349" s="154">
        <v>71.809200014743595</v>
      </c>
      <c r="G349" s="146">
        <v>75.582700000000003</v>
      </c>
      <c r="H349" s="147">
        <v>75.504300000000001</v>
      </c>
      <c r="I349" s="147">
        <v>78.483402859974234</v>
      </c>
      <c r="J349" s="112"/>
      <c r="K349" s="112"/>
      <c r="L349" s="126"/>
      <c r="M349" s="112"/>
      <c r="N349" s="126"/>
      <c r="O349" s="147"/>
      <c r="P349" s="147"/>
      <c r="Q349" s="147"/>
      <c r="R349" s="112"/>
      <c r="S349" s="112"/>
      <c r="T349" s="112"/>
      <c r="U349" s="146"/>
      <c r="V349" s="113"/>
      <c r="W349" s="113"/>
      <c r="X349" s="126"/>
      <c r="Y349" s="126"/>
    </row>
    <row r="350" spans="1:25" ht="14.7" customHeight="1">
      <c r="A350" s="110" t="s">
        <v>297</v>
      </c>
      <c r="B350" s="147"/>
      <c r="C350" s="155">
        <v>88.645233844285244</v>
      </c>
      <c r="D350" s="155">
        <v>87.52898058352379</v>
      </c>
      <c r="E350" s="155">
        <v>93.147535930901142</v>
      </c>
      <c r="F350" s="155">
        <v>82.374465127703871</v>
      </c>
      <c r="G350" s="146">
        <v>82.877299999999991</v>
      </c>
      <c r="H350" s="147">
        <v>82.627799999999993</v>
      </c>
      <c r="I350" s="147">
        <v>86.966877840269134</v>
      </c>
      <c r="J350" s="112"/>
      <c r="K350" s="112"/>
      <c r="L350" s="126"/>
      <c r="M350" s="112"/>
      <c r="N350" s="126"/>
      <c r="O350" s="147"/>
      <c r="P350" s="147"/>
      <c r="Q350" s="147"/>
      <c r="R350" s="112"/>
      <c r="S350" s="112"/>
      <c r="T350" s="112"/>
      <c r="U350" s="146"/>
      <c r="V350" s="113"/>
      <c r="W350" s="113"/>
      <c r="X350" s="126"/>
      <c r="Y350" s="126"/>
    </row>
    <row r="351" spans="1:25">
      <c r="A351" s="113" t="s">
        <v>188</v>
      </c>
      <c r="B351" s="146"/>
      <c r="C351" s="155">
        <v>91.727011826782572</v>
      </c>
      <c r="D351" s="155">
        <v>90.297722661015214</v>
      </c>
      <c r="E351" s="155">
        <v>94.240857576235996</v>
      </c>
      <c r="F351" s="155">
        <v>84.053724123685669</v>
      </c>
      <c r="G351" s="146">
        <v>88.776399999999995</v>
      </c>
      <c r="H351" s="146">
        <v>84.804999999999993</v>
      </c>
      <c r="I351" s="146">
        <v>88.154799004680399</v>
      </c>
      <c r="J351" s="146"/>
      <c r="K351" s="146"/>
      <c r="L351" s="144"/>
      <c r="M351" s="144"/>
      <c r="N351" s="144"/>
      <c r="O351" s="144"/>
      <c r="P351" s="144"/>
      <c r="Q351" s="144"/>
      <c r="R351" s="146"/>
      <c r="S351" s="146"/>
      <c r="T351" s="144"/>
      <c r="U351" s="144"/>
      <c r="V351" s="144"/>
      <c r="W351" s="146"/>
      <c r="X351" s="146"/>
      <c r="Y351" s="126"/>
    </row>
    <row r="352" spans="1:25">
      <c r="A352" s="113" t="s">
        <v>814</v>
      </c>
      <c r="B352" s="146"/>
      <c r="C352" s="155">
        <v>89.436250769415537</v>
      </c>
      <c r="D352" s="155">
        <v>89.755614879559673</v>
      </c>
      <c r="E352" s="155">
        <v>91.499457994046793</v>
      </c>
      <c r="F352" s="155">
        <v>84.158032824924689</v>
      </c>
      <c r="G352" s="146">
        <v>83.528300000000002</v>
      </c>
      <c r="H352" s="146">
        <v>83.933000000000007</v>
      </c>
      <c r="I352" s="146">
        <v>88.075317677372368</v>
      </c>
      <c r="J352" s="146"/>
      <c r="K352" s="146"/>
      <c r="L352" s="144"/>
      <c r="M352" s="144"/>
      <c r="N352" s="144"/>
      <c r="O352" s="144"/>
      <c r="P352" s="144"/>
      <c r="Q352" s="144"/>
      <c r="R352" s="146"/>
      <c r="S352" s="146"/>
      <c r="T352" s="144"/>
      <c r="U352" s="144"/>
      <c r="V352" s="144"/>
      <c r="W352" s="146"/>
      <c r="X352" s="146"/>
      <c r="Y352" s="126"/>
    </row>
    <row r="353" spans="1:25" ht="12.75" customHeight="1">
      <c r="A353" s="151" t="s">
        <v>256</v>
      </c>
      <c r="B353" s="151"/>
      <c r="C353" s="154">
        <v>84.846509220298046</v>
      </c>
      <c r="D353" s="155">
        <v>79.23448715575573</v>
      </c>
      <c r="E353" s="155">
        <v>85.739773716275025</v>
      </c>
      <c r="F353" s="154">
        <v>78.841125775092195</v>
      </c>
      <c r="G353" s="151">
        <v>83.647000000000006</v>
      </c>
      <c r="H353" s="151">
        <v>76.134500000000003</v>
      </c>
      <c r="I353" s="151">
        <v>81.957688718342894</v>
      </c>
      <c r="J353" s="151"/>
      <c r="K353" s="151"/>
      <c r="L353" s="151"/>
      <c r="M353" s="151"/>
      <c r="N353" s="151"/>
      <c r="O353" s="151"/>
      <c r="P353" s="151"/>
      <c r="Q353" s="151"/>
      <c r="R353" s="151"/>
      <c r="S353" s="151"/>
      <c r="T353" s="151"/>
      <c r="U353" s="151"/>
      <c r="V353" s="151"/>
      <c r="W353" s="126"/>
      <c r="X353" s="126"/>
      <c r="Y353" s="126"/>
    </row>
    <row r="354" spans="1:25" ht="12.75" customHeight="1">
      <c r="A354" s="152" t="s">
        <v>189</v>
      </c>
      <c r="B354" s="152"/>
      <c r="C354" s="155">
        <v>90.368184904514834</v>
      </c>
      <c r="D354" s="155">
        <v>92.241591367519973</v>
      </c>
      <c r="E354" s="155">
        <v>88.700601228125777</v>
      </c>
      <c r="F354" s="155">
        <v>84.029246174204687</v>
      </c>
      <c r="G354" s="152">
        <v>82.720800000000011</v>
      </c>
      <c r="H354" s="152">
        <v>83.778800000000004</v>
      </c>
      <c r="I354" s="152">
        <v>82.398000952590905</v>
      </c>
      <c r="J354" s="152"/>
      <c r="K354" s="152"/>
      <c r="L354" s="152"/>
      <c r="M354" s="152"/>
      <c r="N354" s="152"/>
      <c r="O354" s="152"/>
      <c r="P354" s="152"/>
      <c r="Q354" s="152"/>
      <c r="R354" s="152"/>
      <c r="S354" s="152"/>
      <c r="T354" s="152"/>
      <c r="U354" s="152"/>
      <c r="V354" s="152"/>
      <c r="W354" s="152"/>
      <c r="X354" s="152"/>
      <c r="Y354" s="126"/>
    </row>
    <row r="355" spans="1:25">
      <c r="A355" s="105" t="s">
        <v>298</v>
      </c>
      <c r="B355" s="107"/>
      <c r="C355" s="155">
        <v>90.534377922664049</v>
      </c>
      <c r="D355" s="155">
        <v>91.92497091260671</v>
      </c>
      <c r="E355" s="155">
        <v>92.897590688636186</v>
      </c>
      <c r="F355" s="155">
        <v>84.163768540590823</v>
      </c>
      <c r="G355" s="107">
        <v>82.155299999999997</v>
      </c>
      <c r="H355" s="107">
        <v>85.487800000000007</v>
      </c>
      <c r="I355" s="107">
        <v>89.743171006484772</v>
      </c>
      <c r="J355" s="107"/>
      <c r="K355" s="107"/>
      <c r="L355" s="107"/>
      <c r="M355" s="107"/>
      <c r="N355" s="107"/>
      <c r="O355" s="107"/>
      <c r="P355" s="107"/>
      <c r="Q355" s="107"/>
      <c r="R355" s="107"/>
      <c r="S355" s="107"/>
      <c r="T355" s="107"/>
      <c r="U355" s="107"/>
      <c r="V355" s="107"/>
      <c r="W355" s="107"/>
      <c r="X355" s="107"/>
      <c r="Y355" s="126"/>
    </row>
    <row r="356" spans="1:25">
      <c r="A356" s="107" t="s">
        <v>257</v>
      </c>
      <c r="B356" s="107"/>
      <c r="C356" s="156">
        <v>83.280407797423095</v>
      </c>
      <c r="D356" s="163">
        <v>84.367871485943766</v>
      </c>
      <c r="E356" s="163">
        <v>83.609862785634206</v>
      </c>
      <c r="F356" s="156">
        <v>70.683667229428337</v>
      </c>
      <c r="G356" s="107">
        <v>70.08959999999999</v>
      </c>
      <c r="H356" s="107">
        <v>69.775400000000005</v>
      </c>
      <c r="I356" s="107">
        <v>68.163622444981812</v>
      </c>
      <c r="J356" s="107"/>
      <c r="K356" s="107"/>
      <c r="L356" s="107"/>
      <c r="M356" s="107"/>
      <c r="N356" s="107"/>
      <c r="O356" s="107"/>
      <c r="P356" s="107"/>
      <c r="Q356" s="107"/>
      <c r="R356" s="107"/>
      <c r="S356" s="107"/>
      <c r="T356" s="107"/>
      <c r="U356" s="107"/>
      <c r="V356" s="107"/>
      <c r="W356" s="126"/>
      <c r="X356" s="126"/>
      <c r="Y356" s="126"/>
    </row>
    <row r="357" spans="1:25">
      <c r="A357" s="126" t="s">
        <v>190</v>
      </c>
      <c r="B357" s="126"/>
      <c r="C357" s="157">
        <v>90.990694191608767</v>
      </c>
      <c r="D357" s="126">
        <v>92.105579226151335</v>
      </c>
      <c r="E357" s="164">
        <v>90.258294411338369</v>
      </c>
      <c r="F357" s="157">
        <v>81.336008274358178</v>
      </c>
      <c r="G357" s="126">
        <v>81.697000000000003</v>
      </c>
      <c r="H357" s="126">
        <v>79.428699999999992</v>
      </c>
      <c r="I357" s="126">
        <v>84.592552123348014</v>
      </c>
      <c r="J357" s="126"/>
      <c r="K357" s="126"/>
      <c r="L357" s="126"/>
      <c r="M357" s="126"/>
      <c r="N357" s="126"/>
      <c r="O357" s="126"/>
      <c r="P357" s="126"/>
      <c r="Q357" s="126"/>
      <c r="R357" s="126"/>
      <c r="S357" s="126"/>
      <c r="T357" s="126"/>
      <c r="U357" s="126"/>
      <c r="V357" s="126"/>
      <c r="W357" s="126"/>
      <c r="X357" s="126"/>
      <c r="Y357" s="126"/>
    </row>
    <row r="358" spans="1:25">
      <c r="A358" s="145" t="s">
        <v>332</v>
      </c>
      <c r="B358" s="126"/>
      <c r="C358" s="151">
        <v>87.973790111756614</v>
      </c>
      <c r="D358" s="126">
        <v>86.830342680966439</v>
      </c>
      <c r="E358" s="151">
        <v>86.618817365264462</v>
      </c>
      <c r="F358" s="151">
        <v>79.856716481958046</v>
      </c>
      <c r="G358" s="126">
        <v>79.563500000000005</v>
      </c>
      <c r="H358" s="126">
        <v>78.743499999999997</v>
      </c>
      <c r="I358" s="126">
        <v>83.530583979642358</v>
      </c>
      <c r="J358" s="126"/>
      <c r="K358" s="126"/>
      <c r="L358" s="126"/>
      <c r="M358" s="126"/>
      <c r="N358" s="126"/>
      <c r="O358" s="126"/>
      <c r="P358" s="126"/>
      <c r="Q358" s="126"/>
      <c r="R358" s="126"/>
      <c r="S358" s="126"/>
      <c r="T358" s="126"/>
      <c r="U358" s="126"/>
      <c r="V358" s="126"/>
      <c r="W358" s="126"/>
      <c r="X358" s="126"/>
      <c r="Y358" s="126"/>
    </row>
    <row r="359" spans="1:25" ht="12.75" customHeight="1">
      <c r="A359" s="145" t="s">
        <v>191</v>
      </c>
      <c r="B359" s="145"/>
      <c r="C359" s="158">
        <v>89.838437026451501</v>
      </c>
      <c r="D359" s="114">
        <v>91.105861945615175</v>
      </c>
      <c r="E359" s="158">
        <v>86.701913485449055</v>
      </c>
      <c r="F359" s="158">
        <v>86.731495176323492</v>
      </c>
      <c r="G359" s="114">
        <v>87.445899999999995</v>
      </c>
      <c r="H359" s="114">
        <v>86.471800000000002</v>
      </c>
      <c r="I359" s="114">
        <v>84.019006352306462</v>
      </c>
      <c r="J359" s="114"/>
      <c r="K359" s="114"/>
      <c r="L359" s="114"/>
      <c r="M359" s="114"/>
      <c r="N359" s="114"/>
      <c r="O359" s="114"/>
      <c r="P359" s="114"/>
      <c r="Q359" s="114"/>
      <c r="R359" s="114"/>
      <c r="S359" s="114"/>
      <c r="T359" s="114"/>
      <c r="U359" s="114"/>
      <c r="V359" s="114"/>
      <c r="W359" s="114"/>
      <c r="X359" s="114"/>
      <c r="Y359" s="126"/>
    </row>
    <row r="360" spans="1:25">
      <c r="A360" s="145" t="s">
        <v>192</v>
      </c>
      <c r="B360" s="114"/>
      <c r="C360" s="159">
        <v>85.823623170365778</v>
      </c>
      <c r="D360" s="114">
        <v>85.063889899186776</v>
      </c>
      <c r="E360" s="159">
        <v>87.091181923918299</v>
      </c>
      <c r="F360" s="159">
        <v>81.312750152758284</v>
      </c>
      <c r="G360" s="114">
        <v>77.532700000000006</v>
      </c>
      <c r="H360" s="114">
        <v>79.631600000000006</v>
      </c>
      <c r="I360" s="114">
        <v>84.856066522804923</v>
      </c>
      <c r="J360" s="114"/>
      <c r="K360" s="114"/>
      <c r="L360" s="114"/>
      <c r="M360" s="114"/>
      <c r="N360" s="114"/>
      <c r="O360" s="114"/>
      <c r="P360" s="114"/>
      <c r="Q360" s="114"/>
      <c r="R360" s="114"/>
      <c r="S360" s="114"/>
      <c r="T360" s="114"/>
      <c r="U360" s="114"/>
      <c r="V360" s="114"/>
      <c r="W360" s="114"/>
      <c r="X360" s="114"/>
      <c r="Y360" s="126"/>
    </row>
    <row r="361" spans="1:25" ht="12.75" customHeight="1">
      <c r="A361" s="145" t="s">
        <v>193</v>
      </c>
      <c r="B361" s="145"/>
      <c r="C361" s="159">
        <v>90.004282637681939</v>
      </c>
      <c r="D361" s="114">
        <v>89.33940774487472</v>
      </c>
      <c r="E361" s="159">
        <v>90.602992435918708</v>
      </c>
      <c r="F361" s="159">
        <v>81.314718605343018</v>
      </c>
      <c r="G361" s="114">
        <v>82.177700000000002</v>
      </c>
      <c r="H361" s="114">
        <v>77.595299999999995</v>
      </c>
      <c r="I361" s="114">
        <v>85.906816780393342</v>
      </c>
      <c r="J361" s="114"/>
      <c r="K361" s="114"/>
      <c r="L361" s="114"/>
      <c r="M361" s="114"/>
      <c r="N361" s="114"/>
      <c r="O361" s="114"/>
      <c r="P361" s="114"/>
      <c r="Q361" s="114"/>
      <c r="R361" s="114"/>
      <c r="S361" s="114"/>
      <c r="T361" s="114"/>
      <c r="U361" s="114"/>
      <c r="V361" s="114"/>
      <c r="W361" s="114"/>
      <c r="X361" s="114"/>
      <c r="Y361" s="126"/>
    </row>
    <row r="362" spans="1:25">
      <c r="A362" s="126" t="s">
        <v>194</v>
      </c>
      <c r="B362" s="126"/>
      <c r="C362" s="160">
        <v>85.623323080600471</v>
      </c>
      <c r="D362" s="126">
        <v>89.539854111273556</v>
      </c>
      <c r="E362" s="160">
        <v>85.589932803318064</v>
      </c>
      <c r="F362" s="160">
        <v>75.536286644589453</v>
      </c>
      <c r="G362" s="126">
        <v>75.13539999999999</v>
      </c>
      <c r="H362" s="126">
        <v>79.423100000000005</v>
      </c>
      <c r="I362" s="126">
        <v>79.146909289786848</v>
      </c>
      <c r="J362" s="126"/>
      <c r="K362" s="126"/>
      <c r="L362" s="126"/>
      <c r="M362" s="126"/>
      <c r="N362" s="126"/>
      <c r="O362" s="126"/>
      <c r="P362" s="126"/>
      <c r="Q362" s="126"/>
      <c r="R362" s="126"/>
      <c r="S362" s="126"/>
      <c r="T362" s="126"/>
      <c r="U362" s="126"/>
      <c r="V362" s="126"/>
      <c r="W362" s="126"/>
      <c r="X362" s="126"/>
      <c r="Y362" s="126"/>
    </row>
    <row r="363" spans="1:25">
      <c r="A363" s="16" t="s">
        <v>195</v>
      </c>
      <c r="B363" s="114"/>
      <c r="C363" s="160">
        <v>88.699549994684389</v>
      </c>
      <c r="D363" s="114">
        <v>85.571369886185153</v>
      </c>
      <c r="E363" s="160">
        <v>86.271237188902248</v>
      </c>
      <c r="F363" s="160">
        <v>80.120515778378135</v>
      </c>
      <c r="G363" s="114">
        <v>80.0976</v>
      </c>
      <c r="H363" s="114">
        <v>76.989800000000002</v>
      </c>
      <c r="I363" s="114">
        <v>83.369638917778488</v>
      </c>
      <c r="J363" s="114"/>
      <c r="K363" s="114"/>
      <c r="L363" s="114"/>
      <c r="M363" s="114"/>
      <c r="N363" s="114"/>
      <c r="O363" s="114"/>
      <c r="P363" s="114"/>
      <c r="Q363" s="114"/>
      <c r="R363" s="114"/>
      <c r="S363" s="114"/>
      <c r="T363" s="115"/>
      <c r="U363" s="116"/>
      <c r="V363" s="126"/>
      <c r="W363" s="126"/>
      <c r="X363" s="126"/>
      <c r="Y363" s="126"/>
    </row>
    <row r="364" spans="1:25">
      <c r="A364" s="16" t="s">
        <v>299</v>
      </c>
      <c r="B364" s="114"/>
      <c r="C364" s="161">
        <v>88.065852310212577</v>
      </c>
      <c r="D364" s="114">
        <v>90.180977269124938</v>
      </c>
      <c r="E364" s="161">
        <v>89.945522059431525</v>
      </c>
      <c r="F364" s="161">
        <v>87.208642244582506</v>
      </c>
      <c r="G364" s="114">
        <v>88.294499999999999</v>
      </c>
      <c r="H364" s="114">
        <v>88.841700000000003</v>
      </c>
      <c r="I364" s="114">
        <v>85.5900498530129</v>
      </c>
      <c r="J364" s="114"/>
      <c r="K364" s="114"/>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2"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2"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404</v>
      </c>
      <c r="C1" s="6" t="s">
        <v>413</v>
      </c>
      <c r="D1" s="6" t="s">
        <v>412</v>
      </c>
      <c r="E1" s="7" t="s">
        <v>339</v>
      </c>
      <c r="F1" s="7" t="s">
        <v>398</v>
      </c>
      <c r="G1" s="7" t="s">
        <v>378</v>
      </c>
      <c r="H1" s="6" t="s">
        <v>379</v>
      </c>
      <c r="I1" s="6" t="s">
        <v>380</v>
      </c>
      <c r="J1" s="6" t="s">
        <v>301</v>
      </c>
      <c r="K1" s="6" t="s">
        <v>373</v>
      </c>
      <c r="M1">
        <f>SUBTOTAL(3,K:K)</f>
        <v>111</v>
      </c>
    </row>
    <row r="2" spans="1:13" ht="14.4">
      <c r="A2" s="5" t="str">
        <f>F2&amp;(COUNTIFS(F$2:F2,F2,K$2:K2,"Sparse"))</f>
        <v>SD0</v>
      </c>
      <c r="B2" s="5" t="str">
        <f>J2&amp;(COUNTIF(J$2:J2,J2))</f>
        <v>West Sussex1</v>
      </c>
      <c r="C2" s="8" t="s">
        <v>4</v>
      </c>
      <c r="D2" s="8" t="s">
        <v>4</v>
      </c>
      <c r="E2" s="9" t="s">
        <v>0</v>
      </c>
      <c r="F2" s="9" t="s">
        <v>381</v>
      </c>
      <c r="G2" s="9" t="s">
        <v>5</v>
      </c>
      <c r="H2" s="10" t="s">
        <v>888</v>
      </c>
      <c r="I2" s="11" t="s">
        <v>384</v>
      </c>
      <c r="J2" t="s">
        <v>331</v>
      </c>
      <c r="K2" s="21"/>
    </row>
    <row r="3" spans="1:13" ht="14.4">
      <c r="A3" s="5" t="str">
        <f>F3&amp;(COUNTIFS(F$2:F3,F3,K$2:K3,"Sparse"))</f>
        <v>SD1</v>
      </c>
      <c r="B3" s="5" t="str">
        <f>J3&amp;(COUNTIF(J$2:J3,J3))</f>
        <v>Cumbria1</v>
      </c>
      <c r="C3" s="8" t="s">
        <v>6</v>
      </c>
      <c r="D3" s="8" t="s">
        <v>6</v>
      </c>
      <c r="E3" s="9" t="s">
        <v>376</v>
      </c>
      <c r="F3" s="9" t="s">
        <v>381</v>
      </c>
      <c r="G3" s="9" t="s">
        <v>5</v>
      </c>
      <c r="H3" s="10" t="s">
        <v>889</v>
      </c>
      <c r="I3" s="11" t="s">
        <v>382</v>
      </c>
      <c r="J3" t="s">
        <v>306</v>
      </c>
      <c r="K3" s="21" t="s">
        <v>335</v>
      </c>
    </row>
    <row r="4" spans="1:13" ht="14.4">
      <c r="A4" s="5" t="str">
        <f>F4&amp;(COUNTIFS(F$2:F4,F4,K$2:K4,"Sparse"))</f>
        <v>SD1</v>
      </c>
      <c r="B4" s="5" t="str">
        <f>J4&amp;(COUNTIF(J$2:J4,J4))</f>
        <v>Derbyshire1</v>
      </c>
      <c r="C4" s="8" t="s">
        <v>7</v>
      </c>
      <c r="D4" s="8" t="s">
        <v>7</v>
      </c>
      <c r="E4" s="9" t="s">
        <v>367</v>
      </c>
      <c r="F4" s="9" t="s">
        <v>381</v>
      </c>
      <c r="G4" s="9" t="s">
        <v>5</v>
      </c>
      <c r="H4" s="12" t="s">
        <v>890</v>
      </c>
      <c r="I4" s="11" t="s">
        <v>384</v>
      </c>
      <c r="J4" t="s">
        <v>307</v>
      </c>
      <c r="K4" s="21"/>
    </row>
    <row r="5" spans="1:13" ht="14.4">
      <c r="A5" s="5" t="str">
        <f>F5&amp;(COUNTIFS(F$2:F5,F5,K$2:K5,"Sparse"))</f>
        <v>SD1</v>
      </c>
      <c r="B5" s="5" t="str">
        <f>J5&amp;(COUNTIF(J$2:J5,J5))</f>
        <v>West Sussex2</v>
      </c>
      <c r="C5" s="8" t="s">
        <v>8</v>
      </c>
      <c r="D5" s="8" t="s">
        <v>8</v>
      </c>
      <c r="E5" s="9" t="s">
        <v>0</v>
      </c>
      <c r="F5" s="9" t="s">
        <v>381</v>
      </c>
      <c r="G5" s="9" t="s">
        <v>5</v>
      </c>
      <c r="H5" s="10" t="s">
        <v>888</v>
      </c>
      <c r="I5" s="11" t="s">
        <v>384</v>
      </c>
      <c r="J5" t="s">
        <v>331</v>
      </c>
      <c r="K5" s="21"/>
    </row>
    <row r="6" spans="1:13" ht="14.4">
      <c r="A6" s="5" t="str">
        <f>F6&amp;(COUNTIFS(F$2:F6,F6,K$2:K6,"Sparse"))</f>
        <v>SD1</v>
      </c>
      <c r="B6" s="5" t="str">
        <f>J6&amp;(COUNTIF(J$2:J6,J6))</f>
        <v>Nottinghamshire1</v>
      </c>
      <c r="C6" s="8" t="s">
        <v>9</v>
      </c>
      <c r="D6" s="8" t="s">
        <v>9</v>
      </c>
      <c r="E6" s="9" t="s">
        <v>367</v>
      </c>
      <c r="F6" s="9" t="s">
        <v>381</v>
      </c>
      <c r="G6" s="9" t="s">
        <v>5</v>
      </c>
      <c r="H6" s="10" t="s">
        <v>888</v>
      </c>
      <c r="I6" s="11" t="s">
        <v>384</v>
      </c>
      <c r="J6" t="s">
        <v>323</v>
      </c>
      <c r="K6" s="21"/>
    </row>
    <row r="7" spans="1:13" ht="14.4">
      <c r="A7" s="5" t="str">
        <f>F7&amp;(COUNTIFS(F$2:F7,F7,K$2:K7,"Sparse"))</f>
        <v>SD2</v>
      </c>
      <c r="B7" s="5" t="str">
        <f>J7&amp;(COUNTIF(J$2:J7,J7))</f>
        <v>Kent1</v>
      </c>
      <c r="C7" s="8" t="s">
        <v>10</v>
      </c>
      <c r="D7" s="8" t="s">
        <v>10</v>
      </c>
      <c r="E7" s="9" t="s">
        <v>0</v>
      </c>
      <c r="F7" s="9" t="s">
        <v>381</v>
      </c>
      <c r="G7" s="9" t="s">
        <v>5</v>
      </c>
      <c r="H7" s="12" t="s">
        <v>891</v>
      </c>
      <c r="I7" s="11" t="s">
        <v>371</v>
      </c>
      <c r="J7" t="s">
        <v>315</v>
      </c>
      <c r="K7" s="21" t="s">
        <v>335</v>
      </c>
    </row>
    <row r="8" spans="1:13" ht="14.4">
      <c r="A8" s="5" t="str">
        <f>F8&amp;(COUNTIFS(F$2:F8,F8,K$2:K8,"Sparse"))</f>
        <v>SD2</v>
      </c>
      <c r="B8" s="5" t="str">
        <f>J8&amp;(COUNTIF(J$2:J8,J8))</f>
        <v>Buckinghamshire1</v>
      </c>
      <c r="C8" s="8" t="s">
        <v>11</v>
      </c>
      <c r="D8" s="8" t="s">
        <v>11</v>
      </c>
      <c r="E8" s="9" t="s">
        <v>0</v>
      </c>
      <c r="F8" s="9" t="s">
        <v>381</v>
      </c>
      <c r="G8" s="9" t="s">
        <v>5</v>
      </c>
      <c r="H8" s="10" t="s">
        <v>892</v>
      </c>
      <c r="I8" s="11" t="s">
        <v>382</v>
      </c>
      <c r="J8" t="s">
        <v>300</v>
      </c>
      <c r="K8" s="21"/>
    </row>
    <row r="9" spans="1:13" ht="14.4">
      <c r="A9" s="5" t="str">
        <f>F9&amp;(COUNTIFS(F$2:F9,F9,K$2:K9,"Sparse"))</f>
        <v>SD3</v>
      </c>
      <c r="B9" s="5" t="str">
        <f>J9&amp;(COUNTIF(J$2:J9,J9))</f>
        <v>Suffolk1</v>
      </c>
      <c r="C9" s="8" t="s">
        <v>12</v>
      </c>
      <c r="D9" s="8" t="s">
        <v>12</v>
      </c>
      <c r="E9" s="9" t="s">
        <v>369</v>
      </c>
      <c r="F9" s="9" t="s">
        <v>381</v>
      </c>
      <c r="G9" s="9" t="s">
        <v>5</v>
      </c>
      <c r="H9" s="10" t="s">
        <v>889</v>
      </c>
      <c r="I9" s="11" t="s">
        <v>382</v>
      </c>
      <c r="J9" t="s">
        <v>328</v>
      </c>
      <c r="K9" s="21" t="s">
        <v>335</v>
      </c>
    </row>
    <row r="10" spans="1:13" ht="14.4">
      <c r="A10" s="5" t="str">
        <f>F10&amp;(COUNTIFS(F$2:F10,F10,K$2:K10,"Sparse"))</f>
        <v>L0</v>
      </c>
      <c r="B10" s="5" t="str">
        <f>J10&amp;(COUNTIF(J$2:J10,J10))</f>
        <v>London1</v>
      </c>
      <c r="C10" s="8" t="s">
        <v>338</v>
      </c>
      <c r="D10" s="8" t="s">
        <v>338</v>
      </c>
      <c r="E10" s="9" t="s">
        <v>383</v>
      </c>
      <c r="F10" s="9" t="s">
        <v>359</v>
      </c>
      <c r="G10" s="9" t="s">
        <v>383</v>
      </c>
      <c r="H10" s="10" t="s">
        <v>893</v>
      </c>
      <c r="I10" s="11" t="s">
        <v>384</v>
      </c>
      <c r="J10" t="str">
        <f>G10</f>
        <v>London</v>
      </c>
      <c r="K10" s="21"/>
    </row>
    <row r="11" spans="1:13" ht="14.4">
      <c r="A11" s="5" t="str">
        <f>F11&amp;(COUNTIFS(F$2:F11,F11,K$2:K11,"Sparse"))</f>
        <v>L0</v>
      </c>
      <c r="B11" s="5" t="str">
        <f>J11&amp;(COUNTIF(J$2:J11,J11))</f>
        <v>London2</v>
      </c>
      <c r="C11" s="8" t="s">
        <v>196</v>
      </c>
      <c r="D11" s="8" t="s">
        <v>196</v>
      </c>
      <c r="E11" s="9" t="s">
        <v>383</v>
      </c>
      <c r="F11" s="9" t="s">
        <v>359</v>
      </c>
      <c r="G11" s="9" t="s">
        <v>383</v>
      </c>
      <c r="H11" s="10" t="s">
        <v>893</v>
      </c>
      <c r="I11" s="11" t="s">
        <v>384</v>
      </c>
      <c r="J11" t="str">
        <f>G11</f>
        <v>London</v>
      </c>
      <c r="K11" s="21"/>
    </row>
    <row r="12" spans="1:13" ht="14.4">
      <c r="A12" s="5" t="str">
        <f>F12&amp;(COUNTIFS(F$2:F12,F12,K$2:K12,"Sparse"))</f>
        <v>MD0</v>
      </c>
      <c r="B12" s="5" t="str">
        <f>J12&amp;(COUNTIF(J$2:J12,J12))</f>
        <v>Barnsley1</v>
      </c>
      <c r="C12" s="8" t="s">
        <v>222</v>
      </c>
      <c r="D12" s="8" t="s">
        <v>222</v>
      </c>
      <c r="E12" s="9" t="s">
        <v>385</v>
      </c>
      <c r="F12" s="9" t="s">
        <v>386</v>
      </c>
      <c r="G12" s="9" t="s">
        <v>397</v>
      </c>
      <c r="H12" s="10" t="s">
        <v>890</v>
      </c>
      <c r="I12" s="11" t="s">
        <v>384</v>
      </c>
      <c r="J12" t="str">
        <f>C12</f>
        <v>Barnsley</v>
      </c>
      <c r="K12" s="21"/>
    </row>
    <row r="13" spans="1:13" ht="14.4">
      <c r="A13" s="5" t="str">
        <f>F13&amp;(COUNTIFS(F$2:F13,F13,K$2:K13,"Sparse"))</f>
        <v>SD3</v>
      </c>
      <c r="B13" s="5" t="str">
        <f>J13&amp;(COUNTIF(J$2:J13,J13))</f>
        <v>Cumbria2</v>
      </c>
      <c r="C13" s="8" t="s">
        <v>13</v>
      </c>
      <c r="D13" s="8" t="s">
        <v>13</v>
      </c>
      <c r="E13" s="9" t="s">
        <v>376</v>
      </c>
      <c r="F13" s="9" t="s">
        <v>381</v>
      </c>
      <c r="G13" s="9" t="s">
        <v>5</v>
      </c>
      <c r="H13" s="10" t="s">
        <v>891</v>
      </c>
      <c r="I13" s="11" t="s">
        <v>371</v>
      </c>
      <c r="J13" t="s">
        <v>306</v>
      </c>
      <c r="K13" s="21"/>
    </row>
    <row r="14" spans="1:13" ht="14.4">
      <c r="A14" s="5" t="str">
        <f>F14&amp;(COUNTIFS(F$2:F14,F14,K$2:K14,"Sparse"))</f>
        <v>SD3</v>
      </c>
      <c r="B14" s="5" t="str">
        <f>J14&amp;(COUNTIF(J$2:J14,J14))</f>
        <v>Essex1</v>
      </c>
      <c r="C14" s="8" t="s">
        <v>14</v>
      </c>
      <c r="D14" s="8" t="s">
        <v>14</v>
      </c>
      <c r="E14" s="9" t="s">
        <v>369</v>
      </c>
      <c r="F14" s="9" t="s">
        <v>381</v>
      </c>
      <c r="G14" s="9" t="s">
        <v>5</v>
      </c>
      <c r="H14" s="10" t="s">
        <v>888</v>
      </c>
      <c r="I14" s="11" t="s">
        <v>384</v>
      </c>
      <c r="J14" t="s">
        <v>311</v>
      </c>
      <c r="K14" s="21"/>
    </row>
    <row r="15" spans="1:13" ht="14.4">
      <c r="A15" s="5" t="str">
        <f>F15&amp;(COUNTIFS(F$2:F15,F15,K$2:K15,"Sparse"))</f>
        <v>SD3</v>
      </c>
      <c r="B15" s="5" t="str">
        <f>J15&amp;(COUNTIF(J$2:J15,J15))</f>
        <v>Hampshire1</v>
      </c>
      <c r="C15" s="8" t="s">
        <v>343</v>
      </c>
      <c r="D15" s="8" t="s">
        <v>343</v>
      </c>
      <c r="E15" s="9" t="s">
        <v>0</v>
      </c>
      <c r="F15" s="9" t="s">
        <v>381</v>
      </c>
      <c r="G15" s="9" t="s">
        <v>5</v>
      </c>
      <c r="H15" s="12" t="s">
        <v>891</v>
      </c>
      <c r="I15" s="11" t="s">
        <v>371</v>
      </c>
      <c r="J15" t="s">
        <v>313</v>
      </c>
      <c r="K15" s="21"/>
    </row>
    <row r="16" spans="1:13" ht="14.4">
      <c r="A16" s="5" t="str">
        <f>F16&amp;(COUNTIFS(F$2:F16,F16,K$2:K16,"Sparse"))</f>
        <v>SD3</v>
      </c>
      <c r="B16" s="5" t="str">
        <f>J16&amp;(COUNTIF(J$2:J16,J16))</f>
        <v>Nottinghamshire2</v>
      </c>
      <c r="C16" s="8" t="s">
        <v>15</v>
      </c>
      <c r="D16" s="8" t="s">
        <v>15</v>
      </c>
      <c r="E16" s="9" t="s">
        <v>367</v>
      </c>
      <c r="F16" s="9" t="s">
        <v>381</v>
      </c>
      <c r="G16" s="9" t="s">
        <v>5</v>
      </c>
      <c r="H16" s="10" t="s">
        <v>892</v>
      </c>
      <c r="I16" s="11" t="s">
        <v>382</v>
      </c>
      <c r="J16" t="s">
        <v>323</v>
      </c>
      <c r="K16" s="21"/>
    </row>
    <row r="17" spans="1:11" ht="14.4">
      <c r="A17" s="5" t="str">
        <f>F17&amp;(COUNTIFS(F$2:F17,F17,K$2:K17,"Sparse"))</f>
        <v>UA0</v>
      </c>
      <c r="B17" s="5" t="str">
        <f>J17&amp;(COUNTIF(J$2:J17,J17))</f>
        <v>Unitary1</v>
      </c>
      <c r="C17" s="8" t="s">
        <v>258</v>
      </c>
      <c r="D17" s="8" t="s">
        <v>258</v>
      </c>
      <c r="E17" s="9" t="s">
        <v>1</v>
      </c>
      <c r="F17" s="9" t="s">
        <v>387</v>
      </c>
      <c r="G17" s="9" t="s">
        <v>396</v>
      </c>
      <c r="H17" s="12" t="s">
        <v>891</v>
      </c>
      <c r="I17" s="11" t="s">
        <v>371</v>
      </c>
      <c r="J17" s="22" t="s">
        <v>396</v>
      </c>
      <c r="K17" s="14"/>
    </row>
    <row r="18" spans="1:11" ht="14.4">
      <c r="A18" s="5" t="str">
        <f>F18&amp;(COUNTIFS(F$2:F18,F18,K$2:K18,"Sparse"))</f>
        <v>UA0</v>
      </c>
      <c r="B18" s="5" t="str">
        <f>J18&amp;(COUNTIF(J$2:J18,J18))</f>
        <v>Unitary2</v>
      </c>
      <c r="C18" s="8" t="s">
        <v>259</v>
      </c>
      <c r="D18" s="8" t="s">
        <v>259</v>
      </c>
      <c r="E18" s="9" t="s">
        <v>369</v>
      </c>
      <c r="F18" s="9" t="s">
        <v>387</v>
      </c>
      <c r="G18" s="9" t="s">
        <v>396</v>
      </c>
      <c r="H18" s="12" t="s">
        <v>891</v>
      </c>
      <c r="I18" s="11" t="s">
        <v>371</v>
      </c>
      <c r="J18" s="22" t="s">
        <v>396</v>
      </c>
      <c r="K18" s="21"/>
    </row>
    <row r="19" spans="1:11" ht="14.4">
      <c r="A19" s="5" t="str">
        <f>F19&amp;(COUNTIFS(F$2:F19,F19,K$2:K19,"Sparse"))</f>
        <v>L0</v>
      </c>
      <c r="B19" s="5" t="str">
        <f>J19&amp;(COUNTIF(J$2:J19,J19))</f>
        <v>London3</v>
      </c>
      <c r="C19" s="8" t="s">
        <v>197</v>
      </c>
      <c r="D19" s="8" t="s">
        <v>197</v>
      </c>
      <c r="E19" s="9" t="s">
        <v>383</v>
      </c>
      <c r="F19" s="9" t="s">
        <v>359</v>
      </c>
      <c r="G19" s="9" t="s">
        <v>383</v>
      </c>
      <c r="H19" s="10" t="s">
        <v>893</v>
      </c>
      <c r="I19" s="11" t="s">
        <v>384</v>
      </c>
      <c r="J19" t="str">
        <f>G19</f>
        <v>London</v>
      </c>
      <c r="K19" s="21"/>
    </row>
    <row r="20" spans="1:11" ht="14.4">
      <c r="A20" s="5" t="str">
        <f>F20&amp;(COUNTIFS(F$2:F20,F20,K$2:K20,"Sparse"))</f>
        <v>MD0</v>
      </c>
      <c r="B20" s="5" t="str">
        <f>J20&amp;(COUNTIF(J$2:J20,J20))</f>
        <v>Birmingham1</v>
      </c>
      <c r="C20" s="8" t="s">
        <v>223</v>
      </c>
      <c r="D20" s="8" t="s">
        <v>223</v>
      </c>
      <c r="E20" s="9" t="s">
        <v>368</v>
      </c>
      <c r="F20" s="9" t="s">
        <v>386</v>
      </c>
      <c r="G20" s="9" t="s">
        <v>397</v>
      </c>
      <c r="H20" s="10" t="s">
        <v>893</v>
      </c>
      <c r="I20" s="11" t="s">
        <v>384</v>
      </c>
      <c r="J20" t="str">
        <f>C20</f>
        <v>Birmingham</v>
      </c>
      <c r="K20" s="21"/>
    </row>
    <row r="21" spans="1:11" ht="14.4">
      <c r="A21" s="5" t="str">
        <f>F21&amp;(COUNTIFS(F$2:F21,F21,K$2:K21,"Sparse"))</f>
        <v>SD3</v>
      </c>
      <c r="B21" s="5" t="str">
        <f>J21&amp;(COUNTIF(J$2:J21,J21))</f>
        <v>Leicestershire1</v>
      </c>
      <c r="C21" s="8" t="s">
        <v>16</v>
      </c>
      <c r="D21" s="8" t="s">
        <v>16</v>
      </c>
      <c r="E21" s="9" t="s">
        <v>367</v>
      </c>
      <c r="F21" s="9" t="s">
        <v>381</v>
      </c>
      <c r="G21" s="9" t="s">
        <v>5</v>
      </c>
      <c r="H21" s="10" t="s">
        <v>888</v>
      </c>
      <c r="I21" s="11" t="s">
        <v>384</v>
      </c>
      <c r="J21" t="s">
        <v>317</v>
      </c>
      <c r="K21" s="21"/>
    </row>
    <row r="22" spans="1:11" ht="14.4">
      <c r="A22" s="5" t="str">
        <f>F22&amp;(COUNTIFS(F$2:F22,F22,K$2:K22,"Sparse"))</f>
        <v>UA0</v>
      </c>
      <c r="B22" s="5" t="str">
        <f>J22&amp;(COUNTIF(J$2:J22,J22))</f>
        <v>Unitary3</v>
      </c>
      <c r="C22" s="8" t="s">
        <v>260</v>
      </c>
      <c r="D22" s="8" t="s">
        <v>260</v>
      </c>
      <c r="E22" s="9" t="s">
        <v>376</v>
      </c>
      <c r="F22" s="9" t="s">
        <v>387</v>
      </c>
      <c r="G22" s="9" t="s">
        <v>396</v>
      </c>
      <c r="H22" s="10" t="s">
        <v>888</v>
      </c>
      <c r="I22" s="11" t="s">
        <v>384</v>
      </c>
      <c r="J22" s="22" t="s">
        <v>396</v>
      </c>
      <c r="K22" s="21"/>
    </row>
    <row r="23" spans="1:11" ht="14.4">
      <c r="A23" s="5" t="str">
        <f>F23&amp;(COUNTIFS(F$2:F23,F23,K$2:K23,"Sparse"))</f>
        <v>UA0</v>
      </c>
      <c r="B23" s="5" t="str">
        <f>J23&amp;(COUNTIF(J$2:J23,J23))</f>
        <v>Unitary4</v>
      </c>
      <c r="C23" s="8" t="s">
        <v>261</v>
      </c>
      <c r="D23" s="8" t="s">
        <v>261</v>
      </c>
      <c r="E23" s="9" t="s">
        <v>376</v>
      </c>
      <c r="F23" s="9" t="s">
        <v>387</v>
      </c>
      <c r="G23" s="9" t="s">
        <v>396</v>
      </c>
      <c r="H23" s="10" t="s">
        <v>888</v>
      </c>
      <c r="I23" s="11" t="s">
        <v>384</v>
      </c>
      <c r="J23" s="22" t="s">
        <v>396</v>
      </c>
      <c r="K23" s="21"/>
    </row>
    <row r="24" spans="1:11" ht="14.4">
      <c r="A24" s="5" t="str">
        <f>F24&amp;(COUNTIFS(F$2:F24,F24,K$2:K24,"Sparse"))</f>
        <v>SD3</v>
      </c>
      <c r="B24" s="5" t="str">
        <f>J24&amp;(COUNTIF(J$2:J24,J24))</f>
        <v>Derbyshire2</v>
      </c>
      <c r="C24" s="8" t="s">
        <v>17</v>
      </c>
      <c r="D24" s="8" t="s">
        <v>17</v>
      </c>
      <c r="E24" s="9" t="s">
        <v>367</v>
      </c>
      <c r="F24" s="9" t="s">
        <v>381</v>
      </c>
      <c r="G24" s="9" t="s">
        <v>5</v>
      </c>
      <c r="H24" s="12" t="s">
        <v>891</v>
      </c>
      <c r="I24" s="11" t="s">
        <v>371</v>
      </c>
      <c r="J24" t="s">
        <v>307</v>
      </c>
      <c r="K24" s="21"/>
    </row>
    <row r="25" spans="1:11" ht="14.4">
      <c r="A25" s="5" t="str">
        <f>F25&amp;(COUNTIFS(F$2:F25,F25,K$2:K25,"Sparse"))</f>
        <v>MD0</v>
      </c>
      <c r="B25" s="5" t="str">
        <f>J25&amp;(COUNTIF(J$2:J25,J25))</f>
        <v>Bolton1</v>
      </c>
      <c r="C25" s="8" t="s">
        <v>224</v>
      </c>
      <c r="D25" s="8" t="s">
        <v>224</v>
      </c>
      <c r="E25" s="9" t="s">
        <v>376</v>
      </c>
      <c r="F25" s="9" t="s">
        <v>386</v>
      </c>
      <c r="G25" s="9" t="s">
        <v>397</v>
      </c>
      <c r="H25" s="10" t="s">
        <v>893</v>
      </c>
      <c r="I25" s="11" t="s">
        <v>384</v>
      </c>
      <c r="J25" t="str">
        <f>C25</f>
        <v>Bolton</v>
      </c>
      <c r="K25" s="21"/>
    </row>
    <row r="26" spans="1:11" ht="14.4">
      <c r="A26" s="5" t="str">
        <f>F26&amp;(COUNTIFS(F$2:F26,F26,K$2:K26,"Sparse"))</f>
        <v>SD4</v>
      </c>
      <c r="B26" s="5" t="str">
        <f>J26&amp;(COUNTIF(J$2:J26,J26))</f>
        <v>Lincolnshire1</v>
      </c>
      <c r="C26" s="8" t="s">
        <v>18</v>
      </c>
      <c r="D26" s="8" t="s">
        <v>18</v>
      </c>
      <c r="E26" s="9" t="s">
        <v>367</v>
      </c>
      <c r="F26" s="9" t="s">
        <v>381</v>
      </c>
      <c r="G26" s="9" t="s">
        <v>5</v>
      </c>
      <c r="H26" s="12" t="s">
        <v>891</v>
      </c>
      <c r="I26" s="11" t="s">
        <v>371</v>
      </c>
      <c r="J26" t="s">
        <v>318</v>
      </c>
      <c r="K26" s="21" t="s">
        <v>335</v>
      </c>
    </row>
    <row r="27" spans="1:11" ht="14.4">
      <c r="A27" s="5" t="str">
        <f>F27&amp;(COUNTIFS(F$2:F27,F27,K$2:K27,"Sparse"))</f>
        <v>UA0</v>
      </c>
      <c r="B27" s="5" t="str">
        <f>J27&amp;(COUNTIF(J$2:J27,J27))</f>
        <v>Unitary5</v>
      </c>
      <c r="C27" s="8" t="s">
        <v>262</v>
      </c>
      <c r="D27" s="8" t="s">
        <v>262</v>
      </c>
      <c r="E27" s="9" t="s">
        <v>1</v>
      </c>
      <c r="F27" s="9" t="s">
        <v>387</v>
      </c>
      <c r="G27" s="9" t="s">
        <v>396</v>
      </c>
      <c r="H27" s="10" t="s">
        <v>888</v>
      </c>
      <c r="I27" s="11" t="s">
        <v>384</v>
      </c>
      <c r="J27" s="22" t="s">
        <v>396</v>
      </c>
      <c r="K27" s="21"/>
    </row>
    <row r="28" spans="1:11" ht="14.4">
      <c r="A28" s="5" t="str">
        <f>F28&amp;(COUNTIFS(F$2:F28,F28,K$2:K28,"Sparse"))</f>
        <v>UA0</v>
      </c>
      <c r="B28" s="5" t="str">
        <f>J28&amp;(COUNTIF(J$2:J28,J28))</f>
        <v>Unitary6</v>
      </c>
      <c r="C28" t="s">
        <v>909</v>
      </c>
      <c r="D28" t="s">
        <v>909</v>
      </c>
      <c r="E28" s="281" t="s">
        <v>1</v>
      </c>
      <c r="F28" s="281" t="s">
        <v>387</v>
      </c>
      <c r="G28" s="281" t="s">
        <v>396</v>
      </c>
      <c r="H28" s="282" t="s">
        <v>384</v>
      </c>
      <c r="I28" s="283" t="s">
        <v>384</v>
      </c>
      <c r="J28" s="284" t="s">
        <v>396</v>
      </c>
    </row>
    <row r="29" spans="1:11" ht="14.4">
      <c r="A29" s="5" t="str">
        <f>F29&amp;(COUNTIFS(F$2:F29,F29,K$2:K29,"Sparse"))</f>
        <v>UA0</v>
      </c>
      <c r="B29" s="5" t="str">
        <f>J29&amp;(COUNTIF(J$2:J29,J29))</f>
        <v>Unitary7</v>
      </c>
      <c r="C29" s="8" t="s">
        <v>263</v>
      </c>
      <c r="D29" s="8" t="s">
        <v>263</v>
      </c>
      <c r="E29" s="9" t="s">
        <v>0</v>
      </c>
      <c r="F29" s="9" t="s">
        <v>387</v>
      </c>
      <c r="G29" s="9" t="s">
        <v>396</v>
      </c>
      <c r="H29" s="10" t="s">
        <v>888</v>
      </c>
      <c r="I29" s="11" t="s">
        <v>384</v>
      </c>
      <c r="J29" s="22" t="s">
        <v>396</v>
      </c>
      <c r="K29" s="21"/>
    </row>
    <row r="30" spans="1:11" ht="14.4">
      <c r="A30" s="5" t="str">
        <f>F30&amp;(COUNTIFS(F$2:F30,F30,K$2:K30,"Sparse"))</f>
        <v>MD0</v>
      </c>
      <c r="B30" s="5" t="str">
        <f>J30&amp;(COUNTIF(J$2:J30,J30))</f>
        <v>Bradford1</v>
      </c>
      <c r="C30" s="8" t="s">
        <v>225</v>
      </c>
      <c r="D30" s="8" t="s">
        <v>225</v>
      </c>
      <c r="E30" s="9" t="s">
        <v>385</v>
      </c>
      <c r="F30" s="9" t="s">
        <v>386</v>
      </c>
      <c r="G30" s="9" t="s">
        <v>397</v>
      </c>
      <c r="H30" s="10" t="s">
        <v>893</v>
      </c>
      <c r="I30" s="11" t="s">
        <v>384</v>
      </c>
      <c r="J30" t="str">
        <f>C30</f>
        <v>Bradford</v>
      </c>
      <c r="K30" s="21"/>
    </row>
    <row r="31" spans="1:11" ht="14.4">
      <c r="A31" s="5" t="str">
        <f>F31&amp;(COUNTIFS(F$2:F31,F31,K$2:K31,"Sparse"))</f>
        <v>SD5</v>
      </c>
      <c r="B31" s="5" t="str">
        <f>J31&amp;(COUNTIF(J$2:J31,J31))</f>
        <v>Essex2</v>
      </c>
      <c r="C31" s="8" t="s">
        <v>19</v>
      </c>
      <c r="D31" s="8" t="s">
        <v>19</v>
      </c>
      <c r="E31" s="9" t="s">
        <v>369</v>
      </c>
      <c r="F31" s="9" t="s">
        <v>381</v>
      </c>
      <c r="G31" s="9" t="s">
        <v>5</v>
      </c>
      <c r="H31" s="10" t="s">
        <v>892</v>
      </c>
      <c r="I31" s="11" t="s">
        <v>382</v>
      </c>
      <c r="J31" t="s">
        <v>311</v>
      </c>
      <c r="K31" s="21" t="s">
        <v>335</v>
      </c>
    </row>
    <row r="32" spans="1:11" ht="14.4">
      <c r="A32" s="5" t="str">
        <f>F32&amp;(COUNTIFS(F$2:F32,F32,K$2:K32,"Sparse"))</f>
        <v>SD6</v>
      </c>
      <c r="B32" s="5" t="str">
        <f>J32&amp;(COUNTIF(J$2:J32,J32))</f>
        <v>Norfolk1</v>
      </c>
      <c r="C32" s="8" t="s">
        <v>20</v>
      </c>
      <c r="D32" s="8" t="s">
        <v>20</v>
      </c>
      <c r="E32" s="9" t="s">
        <v>369</v>
      </c>
      <c r="F32" s="9" t="s">
        <v>381</v>
      </c>
      <c r="G32" s="9" t="s">
        <v>5</v>
      </c>
      <c r="H32" s="10" t="s">
        <v>889</v>
      </c>
      <c r="I32" s="11" t="s">
        <v>382</v>
      </c>
      <c r="J32" t="s">
        <v>319</v>
      </c>
      <c r="K32" s="21" t="s">
        <v>335</v>
      </c>
    </row>
    <row r="33" spans="1:11" ht="14.4">
      <c r="A33" s="5" t="str">
        <f>F33&amp;(COUNTIFS(F$2:F33,F33,K$2:K33,"Sparse"))</f>
        <v>L0</v>
      </c>
      <c r="B33" s="5" t="str">
        <f>J33&amp;(COUNTIF(J$2:J33,J33))</f>
        <v>London4</v>
      </c>
      <c r="C33" s="8" t="s">
        <v>198</v>
      </c>
      <c r="D33" s="8" t="s">
        <v>198</v>
      </c>
      <c r="E33" s="9" t="s">
        <v>383</v>
      </c>
      <c r="F33" s="9" t="s">
        <v>359</v>
      </c>
      <c r="G33" s="9" t="s">
        <v>383</v>
      </c>
      <c r="H33" s="10" t="s">
        <v>893</v>
      </c>
      <c r="I33" s="11" t="s">
        <v>384</v>
      </c>
      <c r="J33" t="str">
        <f>G33</f>
        <v>London</v>
      </c>
      <c r="K33" s="21"/>
    </row>
    <row r="34" spans="1:11" ht="14.4">
      <c r="A34" s="5" t="str">
        <f>F34&amp;(COUNTIFS(F$2:F34,F34,K$2:K34,"Sparse"))</f>
        <v>SD6</v>
      </c>
      <c r="B34" s="5" t="str">
        <f>J34&amp;(COUNTIF(J$2:J34,J34))</f>
        <v>Essex3</v>
      </c>
      <c r="C34" s="8" t="s">
        <v>21</v>
      </c>
      <c r="D34" s="8" t="s">
        <v>21</v>
      </c>
      <c r="E34" s="9" t="s">
        <v>369</v>
      </c>
      <c r="F34" s="9" t="s">
        <v>381</v>
      </c>
      <c r="G34" s="9" t="s">
        <v>5</v>
      </c>
      <c r="H34" s="12" t="s">
        <v>891</v>
      </c>
      <c r="I34" s="11" t="s">
        <v>371</v>
      </c>
      <c r="J34" t="s">
        <v>311</v>
      </c>
      <c r="K34" s="21"/>
    </row>
    <row r="35" spans="1:11" ht="14.4">
      <c r="A35" s="5" t="str">
        <f>F35&amp;(COUNTIFS(F$2:F35,F35,K$2:K35,"Sparse"))</f>
        <v>UA0</v>
      </c>
      <c r="B35" s="5" t="str">
        <f>J35&amp;(COUNTIF(J$2:J35,J35))</f>
        <v>Unitary8</v>
      </c>
      <c r="C35" s="8" t="s">
        <v>811</v>
      </c>
      <c r="D35" s="8" t="s">
        <v>811</v>
      </c>
      <c r="E35" s="9" t="s">
        <v>0</v>
      </c>
      <c r="F35" s="9" t="s">
        <v>387</v>
      </c>
      <c r="G35" s="9" t="s">
        <v>396</v>
      </c>
      <c r="H35" s="10" t="s">
        <v>888</v>
      </c>
      <c r="I35" s="11" t="s">
        <v>384</v>
      </c>
      <c r="J35" s="22" t="s">
        <v>396</v>
      </c>
      <c r="K35" s="21"/>
    </row>
    <row r="36" spans="1:11" ht="14.4">
      <c r="A36" s="5" t="str">
        <f>F36&amp;(COUNTIFS(F$2:F36,F36,K$2:K36,"Sparse"))</f>
        <v>UA0</v>
      </c>
      <c r="B36" s="5" t="str">
        <f>J36&amp;(COUNTIF(J$2:J36,J36))</f>
        <v>Unitary9</v>
      </c>
      <c r="C36" s="8" t="s">
        <v>815</v>
      </c>
      <c r="D36" s="8" t="s">
        <v>388</v>
      </c>
      <c r="E36" s="9" t="s">
        <v>1</v>
      </c>
      <c r="F36" s="9" t="s">
        <v>387</v>
      </c>
      <c r="G36" s="9" t="s">
        <v>396</v>
      </c>
      <c r="H36" s="10" t="s">
        <v>888</v>
      </c>
      <c r="I36" s="11" t="s">
        <v>384</v>
      </c>
      <c r="J36" s="22" t="s">
        <v>396</v>
      </c>
      <c r="K36" s="21"/>
    </row>
    <row r="37" spans="1:11" ht="14.4">
      <c r="A37" s="5" t="str">
        <f>F37&amp;(COUNTIFS(F$2:F37,F37,K$2:K37,"Sparse"))</f>
        <v>SD6</v>
      </c>
      <c r="B37" s="5" t="str">
        <f>J37&amp;(COUNTIF(J$2:J37,J37))</f>
        <v>Norfolk2</v>
      </c>
      <c r="C37" s="8" t="s">
        <v>22</v>
      </c>
      <c r="D37" s="8" t="s">
        <v>22</v>
      </c>
      <c r="E37" s="9" t="s">
        <v>369</v>
      </c>
      <c r="F37" s="9" t="s">
        <v>381</v>
      </c>
      <c r="G37" s="9" t="s">
        <v>5</v>
      </c>
      <c r="H37" s="12" t="s">
        <v>891</v>
      </c>
      <c r="I37" s="11" t="s">
        <v>371</v>
      </c>
      <c r="J37" t="s">
        <v>319</v>
      </c>
      <c r="K37" s="21"/>
    </row>
    <row r="38" spans="1:11" ht="14.4">
      <c r="A38" s="5" t="str">
        <f>F38&amp;(COUNTIFS(F$2:F38,F38,K$2:K38,"Sparse"))</f>
        <v>L0</v>
      </c>
      <c r="B38" s="5" t="str">
        <f>J38&amp;(COUNTIF(J$2:J38,J38))</f>
        <v>London5</v>
      </c>
      <c r="C38" s="8" t="s">
        <v>199</v>
      </c>
      <c r="D38" s="8" t="s">
        <v>199</v>
      </c>
      <c r="E38" s="9" t="s">
        <v>383</v>
      </c>
      <c r="F38" s="9" t="s">
        <v>359</v>
      </c>
      <c r="G38" s="9" t="s">
        <v>383</v>
      </c>
      <c r="H38" s="10" t="s">
        <v>893</v>
      </c>
      <c r="I38" s="11" t="s">
        <v>384</v>
      </c>
      <c r="J38" t="str">
        <f>G38</f>
        <v>London</v>
      </c>
      <c r="K38" s="21"/>
    </row>
    <row r="39" spans="1:11" ht="14.4">
      <c r="A39" s="5" t="str">
        <f>F39&amp;(COUNTIFS(F$2:F39,F39,K$2:K39,"Sparse"))</f>
        <v>SD6</v>
      </c>
      <c r="B39" s="5" t="str">
        <f>J39&amp;(COUNTIF(J$2:J39,J39))</f>
        <v>Worcestershire1</v>
      </c>
      <c r="C39" s="8" t="s">
        <v>23</v>
      </c>
      <c r="D39" s="8" t="s">
        <v>23</v>
      </c>
      <c r="E39" s="9" t="s">
        <v>368</v>
      </c>
      <c r="F39" s="9" t="s">
        <v>381</v>
      </c>
      <c r="G39" s="9" t="s">
        <v>5</v>
      </c>
      <c r="H39" s="12" t="s">
        <v>888</v>
      </c>
      <c r="I39" s="11" t="s">
        <v>384</v>
      </c>
      <c r="J39" t="s">
        <v>332</v>
      </c>
      <c r="K39" s="21"/>
    </row>
    <row r="40" spans="1:11" ht="14.4">
      <c r="A40" s="5" t="str">
        <f>F40&amp;(COUNTIFS(F$2:F40,F40,K$2:K40,"Sparse"))</f>
        <v>SD6</v>
      </c>
      <c r="B40" s="5" t="str">
        <f>J40&amp;(COUNTIF(J$2:J40,J40))</f>
        <v>Hertfordshire1</v>
      </c>
      <c r="C40" s="8" t="s">
        <v>24</v>
      </c>
      <c r="D40" s="8" t="s">
        <v>24</v>
      </c>
      <c r="E40" s="9" t="s">
        <v>369</v>
      </c>
      <c r="F40" s="9" t="s">
        <v>381</v>
      </c>
      <c r="G40" s="9" t="s">
        <v>5</v>
      </c>
      <c r="H40" s="10" t="s">
        <v>893</v>
      </c>
      <c r="I40" s="11" t="s">
        <v>384</v>
      </c>
      <c r="J40" t="s">
        <v>314</v>
      </c>
      <c r="K40" s="21"/>
    </row>
    <row r="41" spans="1:11" ht="14.4">
      <c r="A41" s="5" t="str">
        <f>F41&amp;(COUNTIFS(F$2:F41,F41,K$2:K41,"Sparse"))</f>
        <v>SD6</v>
      </c>
      <c r="B41" s="5" t="str">
        <f>J41&amp;(COUNTIF(J$2:J41,J41))</f>
        <v>Nottinghamshire3</v>
      </c>
      <c r="C41" s="8" t="s">
        <v>25</v>
      </c>
      <c r="D41" s="8" t="s">
        <v>25</v>
      </c>
      <c r="E41" s="9" t="s">
        <v>367</v>
      </c>
      <c r="F41" s="9" t="s">
        <v>381</v>
      </c>
      <c r="G41" s="9" t="s">
        <v>5</v>
      </c>
      <c r="H41" s="10" t="s">
        <v>890</v>
      </c>
      <c r="I41" s="11" t="s">
        <v>384</v>
      </c>
      <c r="J41" t="s">
        <v>323</v>
      </c>
      <c r="K41" s="21"/>
    </row>
    <row r="42" spans="1:11" ht="14.4">
      <c r="A42" s="5" t="str">
        <f>F42&amp;(COUNTIFS(F$2:F42,F42,K$2:K42,"Sparse"))</f>
        <v>SC0</v>
      </c>
      <c r="B42" s="5" t="str">
        <f>J42&amp;(COUNTIF(J$2:J42,J42))</f>
        <v>Buckinghamshire2</v>
      </c>
      <c r="C42" s="8" t="s">
        <v>300</v>
      </c>
      <c r="D42" s="8" t="s">
        <v>300</v>
      </c>
      <c r="E42" s="9" t="s">
        <v>0</v>
      </c>
      <c r="F42" s="9" t="s">
        <v>389</v>
      </c>
      <c r="G42" s="9" t="s">
        <v>301</v>
      </c>
      <c r="H42" s="11" t="s">
        <v>371</v>
      </c>
      <c r="I42" s="11" t="s">
        <v>371</v>
      </c>
      <c r="J42" t="str">
        <f>C42</f>
        <v>Buckinghamshire</v>
      </c>
      <c r="K42" s="21"/>
    </row>
    <row r="43" spans="1:11" ht="14.4">
      <c r="A43" s="5" t="str">
        <f>F43&amp;(COUNTIFS(F$2:F43,F43,K$2:K43,"Sparse"))</f>
        <v>SD6</v>
      </c>
      <c r="B43" s="5" t="str">
        <f>J43&amp;(COUNTIF(J$2:J43,J43))</f>
        <v>Lancashire1</v>
      </c>
      <c r="C43" s="8" t="s">
        <v>26</v>
      </c>
      <c r="D43" s="8" t="s">
        <v>26</v>
      </c>
      <c r="E43" s="9" t="s">
        <v>376</v>
      </c>
      <c r="F43" s="9" t="s">
        <v>381</v>
      </c>
      <c r="G43" s="9" t="s">
        <v>5</v>
      </c>
      <c r="H43" s="10" t="s">
        <v>888</v>
      </c>
      <c r="I43" s="11" t="s">
        <v>384</v>
      </c>
      <c r="J43" t="s">
        <v>316</v>
      </c>
      <c r="K43" s="21"/>
    </row>
    <row r="44" spans="1:11" ht="14.4">
      <c r="A44" s="5" t="str">
        <f>F44&amp;(COUNTIFS(F$2:F44,F44,K$2:K44,"Sparse"))</f>
        <v>MD0</v>
      </c>
      <c r="B44" s="5" t="str">
        <f>J44&amp;(COUNTIF(J$2:J44,J44))</f>
        <v>Bury1</v>
      </c>
      <c r="C44" s="8" t="s">
        <v>226</v>
      </c>
      <c r="D44" s="8" t="s">
        <v>226</v>
      </c>
      <c r="E44" s="9" t="s">
        <v>376</v>
      </c>
      <c r="F44" s="9" t="s">
        <v>386</v>
      </c>
      <c r="G44" s="9" t="s">
        <v>397</v>
      </c>
      <c r="H44" s="10" t="s">
        <v>893</v>
      </c>
      <c r="I44" s="11" t="s">
        <v>384</v>
      </c>
      <c r="J44" t="str">
        <f>C44</f>
        <v>Bury</v>
      </c>
      <c r="K44" s="21"/>
    </row>
    <row r="45" spans="1:11" ht="14.4">
      <c r="A45" s="5" t="str">
        <f>F45&amp;(COUNTIFS(F$2:F45,F45,K$2:K45,"Sparse"))</f>
        <v>MD0</v>
      </c>
      <c r="B45" s="5" t="str">
        <f>J45&amp;(COUNTIF(J$2:J45,J45))</f>
        <v>Calderdale1</v>
      </c>
      <c r="C45" s="8" t="s">
        <v>227</v>
      </c>
      <c r="D45" s="8" t="s">
        <v>227</v>
      </c>
      <c r="E45" s="9" t="s">
        <v>385</v>
      </c>
      <c r="F45" s="9" t="s">
        <v>386</v>
      </c>
      <c r="G45" s="9" t="s">
        <v>397</v>
      </c>
      <c r="H45" s="12" t="s">
        <v>893</v>
      </c>
      <c r="I45" s="11" t="s">
        <v>384</v>
      </c>
      <c r="J45" t="str">
        <f>C45</f>
        <v>Calderdale</v>
      </c>
      <c r="K45" s="21"/>
    </row>
    <row r="46" spans="1:11" ht="14.4">
      <c r="A46" s="5" t="str">
        <f>F46&amp;(COUNTIFS(F$2:F46,F46,K$2:K46,"Sparse"))</f>
        <v>SD6</v>
      </c>
      <c r="B46" s="5" t="str">
        <f>J46&amp;(COUNTIF(J$2:J46,J46))</f>
        <v>Cambridgeshire1</v>
      </c>
      <c r="C46" s="8" t="s">
        <v>27</v>
      </c>
      <c r="D46" s="8" t="s">
        <v>27</v>
      </c>
      <c r="E46" s="9" t="s">
        <v>369</v>
      </c>
      <c r="F46" s="9" t="s">
        <v>381</v>
      </c>
      <c r="G46" s="9" t="s">
        <v>5</v>
      </c>
      <c r="H46" s="10" t="s">
        <v>888</v>
      </c>
      <c r="I46" s="11" t="s">
        <v>384</v>
      </c>
      <c r="J46" t="s">
        <v>302</v>
      </c>
      <c r="K46" s="21"/>
    </row>
    <row r="47" spans="1:11" ht="14.4">
      <c r="A47" s="5" t="str">
        <f>F47&amp;(COUNTIFS(F$2:F47,F47,K$2:K47,"Sparse"))</f>
        <v>SC0</v>
      </c>
      <c r="B47" s="5" t="str">
        <f>J47&amp;(COUNTIF(J$2:J47,J47))</f>
        <v>Cambridgeshire2</v>
      </c>
      <c r="C47" s="8" t="s">
        <v>302</v>
      </c>
      <c r="D47" s="8" t="s">
        <v>302</v>
      </c>
      <c r="E47" s="9" t="s">
        <v>369</v>
      </c>
      <c r="F47" s="9" t="s">
        <v>389</v>
      </c>
      <c r="G47" s="9" t="s">
        <v>301</v>
      </c>
      <c r="H47" s="11" t="s">
        <v>382</v>
      </c>
      <c r="I47" s="11" t="s">
        <v>382</v>
      </c>
      <c r="J47" t="str">
        <f>C47</f>
        <v>Cambridgeshire</v>
      </c>
      <c r="K47" s="21"/>
    </row>
    <row r="48" spans="1:11" ht="14.4">
      <c r="A48" s="5" t="str">
        <f>F48&amp;(COUNTIFS(F$2:F48,F48,K$2:K48,"Sparse"))</f>
        <v>L0</v>
      </c>
      <c r="B48" s="5" t="str">
        <f>J48&amp;(COUNTIF(J$2:J48,J48))</f>
        <v>London6</v>
      </c>
      <c r="C48" s="8" t="s">
        <v>200</v>
      </c>
      <c r="D48" s="8" t="s">
        <v>200</v>
      </c>
      <c r="E48" s="9" t="s">
        <v>383</v>
      </c>
      <c r="F48" s="9" t="s">
        <v>359</v>
      </c>
      <c r="G48" s="9" t="s">
        <v>383</v>
      </c>
      <c r="H48" s="10" t="s">
        <v>893</v>
      </c>
      <c r="I48" s="11" t="s">
        <v>384</v>
      </c>
      <c r="J48" t="str">
        <f>G48</f>
        <v>London</v>
      </c>
      <c r="K48" s="21"/>
    </row>
    <row r="49" spans="1:11" ht="14.4">
      <c r="A49" s="5" t="str">
        <f>F49&amp;(COUNTIFS(F$2:F49,F49,K$2:K49,"Sparse"))</f>
        <v>SD6</v>
      </c>
      <c r="B49" s="5" t="str">
        <f>J49&amp;(COUNTIF(J$2:J49,J49))</f>
        <v>Staffordshire1</v>
      </c>
      <c r="C49" s="8" t="s">
        <v>28</v>
      </c>
      <c r="D49" s="8" t="s">
        <v>28</v>
      </c>
      <c r="E49" s="9" t="s">
        <v>368</v>
      </c>
      <c r="F49" s="9" t="s">
        <v>381</v>
      </c>
      <c r="G49" s="9" t="s">
        <v>5</v>
      </c>
      <c r="H49" s="12" t="s">
        <v>891</v>
      </c>
      <c r="I49" s="11" t="s">
        <v>371</v>
      </c>
      <c r="J49" t="s">
        <v>327</v>
      </c>
      <c r="K49" s="21"/>
    </row>
    <row r="50" spans="1:11" ht="14.4">
      <c r="A50" s="5" t="str">
        <f>F50&amp;(COUNTIFS(F$2:F50,F50,K$2:K50,"Sparse"))</f>
        <v>SD6</v>
      </c>
      <c r="B50" s="5" t="str">
        <f>J50&amp;(COUNTIF(J$2:J50,J50))</f>
        <v>Kent2</v>
      </c>
      <c r="C50" s="8" t="s">
        <v>29</v>
      </c>
      <c r="D50" s="8" t="s">
        <v>29</v>
      </c>
      <c r="E50" s="9" t="s">
        <v>0</v>
      </c>
      <c r="F50" s="9" t="s">
        <v>381</v>
      </c>
      <c r="G50" s="9" t="s">
        <v>5</v>
      </c>
      <c r="H50" s="10" t="s">
        <v>888</v>
      </c>
      <c r="I50" s="11" t="s">
        <v>384</v>
      </c>
      <c r="J50" t="s">
        <v>315</v>
      </c>
      <c r="K50" s="21"/>
    </row>
    <row r="51" spans="1:11" ht="14.4">
      <c r="A51" s="5" t="str">
        <f>F51&amp;(COUNTIFS(F$2:F51,F51,K$2:K51,"Sparse"))</f>
        <v>SD6</v>
      </c>
      <c r="B51" s="5" t="str">
        <f>J51&amp;(COUNTIF(J$2:J51,J51))</f>
        <v>Cumbria3</v>
      </c>
      <c r="C51" s="8" t="s">
        <v>30</v>
      </c>
      <c r="D51" s="8" t="s">
        <v>30</v>
      </c>
      <c r="E51" s="9" t="s">
        <v>376</v>
      </c>
      <c r="F51" s="9" t="s">
        <v>381</v>
      </c>
      <c r="G51" s="9" t="s">
        <v>5</v>
      </c>
      <c r="H51" s="12" t="s">
        <v>891</v>
      </c>
      <c r="I51" s="11" t="s">
        <v>371</v>
      </c>
      <c r="J51" t="s">
        <v>306</v>
      </c>
      <c r="K51" s="21"/>
    </row>
    <row r="52" spans="1:11" ht="14.4">
      <c r="A52" s="5" t="str">
        <f>F52&amp;(COUNTIFS(F$2:F52,F52,K$2:K52,"Sparse"))</f>
        <v>SD6</v>
      </c>
      <c r="B52" s="5" t="str">
        <f>J52&amp;(COUNTIF(J$2:J52,J52))</f>
        <v>Essex4</v>
      </c>
      <c r="C52" s="8" t="s">
        <v>31</v>
      </c>
      <c r="D52" s="8" t="s">
        <v>31</v>
      </c>
      <c r="E52" s="9" t="s">
        <v>369</v>
      </c>
      <c r="F52" s="9" t="s">
        <v>381</v>
      </c>
      <c r="G52" s="9" t="s">
        <v>5</v>
      </c>
      <c r="H52" s="10" t="s">
        <v>888</v>
      </c>
      <c r="I52" s="11" t="s">
        <v>384</v>
      </c>
      <c r="J52" t="s">
        <v>311</v>
      </c>
      <c r="K52" s="21"/>
    </row>
    <row r="53" spans="1:11" ht="14.4">
      <c r="A53" s="5" t="str">
        <f>F53&amp;(COUNTIFS(F$2:F53,F53,K$2:K53,"Sparse"))</f>
        <v>UA0</v>
      </c>
      <c r="B53" s="5" t="str">
        <f>J53&amp;(COUNTIF(J$2:J53,J53))</f>
        <v>Unitary10</v>
      </c>
      <c r="C53" s="8" t="s">
        <v>303</v>
      </c>
      <c r="D53" s="8" t="s">
        <v>303</v>
      </c>
      <c r="E53" s="9" t="s">
        <v>369</v>
      </c>
      <c r="F53" s="9" t="s">
        <v>387</v>
      </c>
      <c r="G53" s="9" t="s">
        <v>396</v>
      </c>
      <c r="H53" s="12" t="s">
        <v>892</v>
      </c>
      <c r="I53" s="11" t="s">
        <v>382</v>
      </c>
      <c r="J53" s="22" t="s">
        <v>396</v>
      </c>
      <c r="K53" s="21"/>
    </row>
    <row r="54" spans="1:11" ht="14.4">
      <c r="A54" s="5" t="str">
        <f>F54&amp;(COUNTIFS(F$2:F54,F54,K$2:K54,"Sparse"))</f>
        <v>SD6</v>
      </c>
      <c r="B54" s="5" t="str">
        <f>J54&amp;(COUNTIF(J$2:J54,J54))</f>
        <v>Leicestershire2</v>
      </c>
      <c r="C54" s="8" t="s">
        <v>32</v>
      </c>
      <c r="D54" s="8" t="s">
        <v>32</v>
      </c>
      <c r="E54" s="9" t="s">
        <v>367</v>
      </c>
      <c r="F54" s="9" t="s">
        <v>381</v>
      </c>
      <c r="G54" s="9" t="s">
        <v>5</v>
      </c>
      <c r="H54" s="10" t="s">
        <v>888</v>
      </c>
      <c r="I54" s="11" t="s">
        <v>384</v>
      </c>
      <c r="J54" t="s">
        <v>317</v>
      </c>
      <c r="K54" s="21"/>
    </row>
    <row r="55" spans="1:11" ht="14.4">
      <c r="A55" s="5" t="str">
        <f>F55&amp;(COUNTIFS(F$2:F55,F55,K$2:K55,"Sparse"))</f>
        <v>SD6</v>
      </c>
      <c r="B55" s="5" t="str">
        <f>J55&amp;(COUNTIF(J$2:J55,J55))</f>
        <v>Essex5</v>
      </c>
      <c r="C55" s="8" t="s">
        <v>33</v>
      </c>
      <c r="D55" s="8" t="s">
        <v>33</v>
      </c>
      <c r="E55" s="9" t="s">
        <v>369</v>
      </c>
      <c r="F55" s="9" t="s">
        <v>381</v>
      </c>
      <c r="G55" s="9" t="s">
        <v>5</v>
      </c>
      <c r="H55" s="10" t="s">
        <v>888</v>
      </c>
      <c r="I55" s="11" t="s">
        <v>384</v>
      </c>
      <c r="J55" t="s">
        <v>311</v>
      </c>
      <c r="K55" s="21"/>
    </row>
    <row r="56" spans="1:11" ht="14.4">
      <c r="A56" s="5" t="str">
        <f>F56&amp;(COUNTIFS(F$2:F56,F56,K$2:K56,"Sparse"))</f>
        <v>SD6</v>
      </c>
      <c r="B56" s="5" t="str">
        <f>J56&amp;(COUNTIF(J$2:J56,J56))</f>
        <v>Gloucestershire1</v>
      </c>
      <c r="C56" s="8" t="s">
        <v>34</v>
      </c>
      <c r="D56" s="8" t="s">
        <v>34</v>
      </c>
      <c r="E56" s="9" t="s">
        <v>1</v>
      </c>
      <c r="F56" s="9" t="s">
        <v>381</v>
      </c>
      <c r="G56" s="9" t="s">
        <v>5</v>
      </c>
      <c r="H56" s="10" t="s">
        <v>888</v>
      </c>
      <c r="I56" s="11" t="s">
        <v>384</v>
      </c>
      <c r="J56" t="s">
        <v>312</v>
      </c>
      <c r="K56" s="21"/>
    </row>
    <row r="57" spans="1:11" ht="14.4">
      <c r="A57" s="5" t="str">
        <f>F57&amp;(COUNTIFS(F$2:F57,F57,K$2:K57,"Sparse"))</f>
        <v>SD7</v>
      </c>
      <c r="B57" s="5" t="str">
        <f>J57&amp;(COUNTIF(J$2:J57,J57))</f>
        <v>Oxfordshire1</v>
      </c>
      <c r="C57" s="8" t="s">
        <v>35</v>
      </c>
      <c r="D57" s="8" t="s">
        <v>35</v>
      </c>
      <c r="E57" s="9" t="s">
        <v>0</v>
      </c>
      <c r="F57" s="9" t="s">
        <v>381</v>
      </c>
      <c r="G57" s="9" t="s">
        <v>5</v>
      </c>
      <c r="H57" s="12" t="s">
        <v>891</v>
      </c>
      <c r="I57" s="11" t="s">
        <v>371</v>
      </c>
      <c r="J57" t="s">
        <v>324</v>
      </c>
      <c r="K57" s="21" t="s">
        <v>335</v>
      </c>
    </row>
    <row r="58" spans="1:11" ht="14.4">
      <c r="A58" s="5" t="str">
        <f>F58&amp;(COUNTIFS(F$2:F58,F58,K$2:K58,"Sparse"))</f>
        <v>UA1</v>
      </c>
      <c r="B58" s="5" t="str">
        <f>J58&amp;(COUNTIF(J$2:J58,J58))</f>
        <v>Unitary11</v>
      </c>
      <c r="C58" s="8" t="s">
        <v>304</v>
      </c>
      <c r="D58" s="8" t="s">
        <v>304</v>
      </c>
      <c r="E58" s="9" t="s">
        <v>376</v>
      </c>
      <c r="F58" s="9" t="s">
        <v>387</v>
      </c>
      <c r="G58" s="9" t="s">
        <v>396</v>
      </c>
      <c r="H58" s="12" t="s">
        <v>891</v>
      </c>
      <c r="I58" s="11" t="s">
        <v>371</v>
      </c>
      <c r="J58" s="22" t="s">
        <v>396</v>
      </c>
      <c r="K58" s="21" t="s">
        <v>335</v>
      </c>
    </row>
    <row r="59" spans="1:11" ht="14.4">
      <c r="A59" s="5" t="str">
        <f>F59&amp;(COUNTIFS(F$2:F59,F59,K$2:K59,"Sparse"))</f>
        <v>UA1</v>
      </c>
      <c r="B59" s="5" t="str">
        <f>J59&amp;(COUNTIF(J$2:J59,J59))</f>
        <v>Unitary12</v>
      </c>
      <c r="C59" s="8" t="s">
        <v>812</v>
      </c>
      <c r="D59" s="8" t="s">
        <v>812</v>
      </c>
      <c r="E59" s="9" t="s">
        <v>376</v>
      </c>
      <c r="F59" s="9" t="s">
        <v>387</v>
      </c>
      <c r="G59" s="9" t="s">
        <v>396</v>
      </c>
      <c r="H59" s="12" t="s">
        <v>891</v>
      </c>
      <c r="I59" s="11" t="s">
        <v>371</v>
      </c>
      <c r="J59" s="22" t="s">
        <v>396</v>
      </c>
      <c r="K59" s="21"/>
    </row>
    <row r="60" spans="1:11" ht="14.4">
      <c r="A60" s="5" t="str">
        <f>F60&amp;(COUNTIFS(F$2:F60,F60,K$2:K60,"Sparse"))</f>
        <v>SD7</v>
      </c>
      <c r="B60" s="5" t="str">
        <f>J60&amp;(COUNTIF(J$2:J60,J60))</f>
        <v>Derbyshire3</v>
      </c>
      <c r="C60" s="8" t="s">
        <v>36</v>
      </c>
      <c r="D60" s="8" t="s">
        <v>36</v>
      </c>
      <c r="E60" s="9" t="s">
        <v>367</v>
      </c>
      <c r="F60" s="9" t="s">
        <v>381</v>
      </c>
      <c r="G60" s="9" t="s">
        <v>5</v>
      </c>
      <c r="H60" s="10" t="s">
        <v>888</v>
      </c>
      <c r="I60" s="11" t="s">
        <v>384</v>
      </c>
      <c r="J60" t="s">
        <v>307</v>
      </c>
      <c r="K60" s="21"/>
    </row>
    <row r="61" spans="1:11" ht="14.4">
      <c r="A61" s="5" t="str">
        <f>F61&amp;(COUNTIFS(F$2:F61,F61,K$2:K61,"Sparse"))</f>
        <v>SD8</v>
      </c>
      <c r="B61" s="5" t="str">
        <f>J61&amp;(COUNTIF(J$2:J61,J61))</f>
        <v>West Sussex3</v>
      </c>
      <c r="C61" s="8" t="s">
        <v>37</v>
      </c>
      <c r="D61" s="8" t="s">
        <v>37</v>
      </c>
      <c r="E61" s="9" t="s">
        <v>0</v>
      </c>
      <c r="F61" s="9" t="s">
        <v>381</v>
      </c>
      <c r="G61" s="9" t="s">
        <v>5</v>
      </c>
      <c r="H61" s="10" t="s">
        <v>892</v>
      </c>
      <c r="I61" s="11" t="s">
        <v>382</v>
      </c>
      <c r="J61" t="s">
        <v>331</v>
      </c>
      <c r="K61" s="21" t="s">
        <v>335</v>
      </c>
    </row>
    <row r="62" spans="1:11" ht="14.4">
      <c r="A62" s="5" t="str">
        <f>F62&amp;(COUNTIFS(F$2:F62,F62,K$2:K62,"Sparse"))</f>
        <v>SD8</v>
      </c>
      <c r="B62" s="5" t="str">
        <f>J62&amp;(COUNTIF(J$2:J62,J62))</f>
        <v>Buckinghamshire3</v>
      </c>
      <c r="C62" s="8" t="s">
        <v>38</v>
      </c>
      <c r="D62" s="8" t="s">
        <v>38</v>
      </c>
      <c r="E62" s="9" t="s">
        <v>0</v>
      </c>
      <c r="F62" s="9" t="s">
        <v>381</v>
      </c>
      <c r="G62" s="9" t="s">
        <v>5</v>
      </c>
      <c r="H62" s="12" t="s">
        <v>891</v>
      </c>
      <c r="I62" s="11" t="s">
        <v>371</v>
      </c>
      <c r="J62" t="s">
        <v>300</v>
      </c>
      <c r="K62" s="21"/>
    </row>
    <row r="63" spans="1:11" ht="14.4">
      <c r="A63" s="5" t="str">
        <f>F63&amp;(COUNTIFS(F$2:F63,F63,K$2:K63,"Sparse"))</f>
        <v>SD8</v>
      </c>
      <c r="B63" s="5" t="str">
        <f>J63&amp;(COUNTIF(J$2:J63,J63))</f>
        <v>Lancashire2</v>
      </c>
      <c r="C63" s="8" t="s">
        <v>39</v>
      </c>
      <c r="D63" s="8" t="s">
        <v>39</v>
      </c>
      <c r="E63" s="9" t="s">
        <v>376</v>
      </c>
      <c r="F63" s="9" t="s">
        <v>381</v>
      </c>
      <c r="G63" s="9" t="s">
        <v>5</v>
      </c>
      <c r="H63" s="12" t="s">
        <v>891</v>
      </c>
      <c r="I63" s="11" t="s">
        <v>371</v>
      </c>
      <c r="J63" t="s">
        <v>316</v>
      </c>
      <c r="K63" s="21"/>
    </row>
    <row r="64" spans="1:11" ht="14.4">
      <c r="A64" s="5" t="str">
        <f>F64&amp;(COUNTIFS(F$2:F64,F64,K$2:K64,"Sparse"))</f>
        <v>SD8</v>
      </c>
      <c r="B64" s="5" t="str">
        <f>J64&amp;(COUNTIF(J$2:J64,J64))</f>
        <v>Dorset1</v>
      </c>
      <c r="C64" s="8" t="s">
        <v>40</v>
      </c>
      <c r="D64" s="8" t="s">
        <v>40</v>
      </c>
      <c r="E64" s="9" t="s">
        <v>1</v>
      </c>
      <c r="F64" s="9" t="s">
        <v>381</v>
      </c>
      <c r="G64" s="9" t="s">
        <v>5</v>
      </c>
      <c r="H64" s="10" t="s">
        <v>888</v>
      </c>
      <c r="I64" s="11" t="s">
        <v>384</v>
      </c>
      <c r="J64" t="s">
        <v>309</v>
      </c>
      <c r="K64" s="21"/>
    </row>
    <row r="65" spans="1:11" ht="14.4">
      <c r="A65" s="5" t="str">
        <f>F65&amp;(COUNTIFS(F$2:F65,F65,K$2:K65,"Sparse"))</f>
        <v>L0</v>
      </c>
      <c r="B65" s="5" t="str">
        <f>J65&amp;(COUNTIF(J$2:J65,J65))</f>
        <v>London7</v>
      </c>
      <c r="C65" s="8" t="s">
        <v>370</v>
      </c>
      <c r="D65" s="8" t="s">
        <v>370</v>
      </c>
      <c r="E65" s="9" t="s">
        <v>383</v>
      </c>
      <c r="F65" s="9" t="s">
        <v>359</v>
      </c>
      <c r="G65" s="9" t="s">
        <v>383</v>
      </c>
      <c r="H65" s="13" t="s">
        <v>893</v>
      </c>
      <c r="I65" s="11" t="s">
        <v>384</v>
      </c>
      <c r="J65" t="str">
        <f>G65</f>
        <v>London</v>
      </c>
      <c r="K65" s="21"/>
    </row>
    <row r="66" spans="1:11" ht="14.4">
      <c r="A66" s="5" t="str">
        <f>F66&amp;(COUNTIFS(F$2:F66,F66,K$2:K66,"Sparse"))</f>
        <v>SD8</v>
      </c>
      <c r="B66" s="5" t="str">
        <f>J66&amp;(COUNTIF(J$2:J66,J66))</f>
        <v>Essex6</v>
      </c>
      <c r="C66" s="8" t="s">
        <v>41</v>
      </c>
      <c r="D66" s="8" t="s">
        <v>41</v>
      </c>
      <c r="E66" s="9" t="s">
        <v>369</v>
      </c>
      <c r="F66" s="9" t="s">
        <v>381</v>
      </c>
      <c r="G66" s="9" t="s">
        <v>5</v>
      </c>
      <c r="H66" s="12" t="s">
        <v>891</v>
      </c>
      <c r="I66" s="11" t="s">
        <v>371</v>
      </c>
      <c r="J66" t="s">
        <v>311</v>
      </c>
      <c r="K66" s="21"/>
    </row>
    <row r="67" spans="1:11" ht="14.4">
      <c r="A67" s="5" t="str">
        <f>F67&amp;(COUNTIFS(F$2:F67,F67,K$2:K67,"Sparse"))</f>
        <v>SD9</v>
      </c>
      <c r="B67" s="5" t="str">
        <f>J67&amp;(COUNTIF(J$2:J67,J67))</f>
        <v>Cumbria4</v>
      </c>
      <c r="C67" s="8" t="s">
        <v>42</v>
      </c>
      <c r="D67" s="8" t="s">
        <v>42</v>
      </c>
      <c r="E67" s="9" t="s">
        <v>376</v>
      </c>
      <c r="F67" s="9" t="s">
        <v>381</v>
      </c>
      <c r="G67" s="9" t="s">
        <v>5</v>
      </c>
      <c r="H67" s="10" t="s">
        <v>889</v>
      </c>
      <c r="I67" s="11" t="s">
        <v>382</v>
      </c>
      <c r="J67" t="s">
        <v>306</v>
      </c>
      <c r="K67" s="21" t="s">
        <v>335</v>
      </c>
    </row>
    <row r="68" spans="1:11" ht="14.4">
      <c r="A68" s="5" t="str">
        <f>F68&amp;(COUNTIFS(F$2:F68,F68,K$2:K68,"Sparse"))</f>
        <v>SD9</v>
      </c>
      <c r="B68" s="5" t="str">
        <f>J68&amp;(COUNTIF(J$2:J68,J68))</f>
        <v>Northamptonshire1</v>
      </c>
      <c r="C68" s="8" t="s">
        <v>43</v>
      </c>
      <c r="D68" s="8" t="s">
        <v>43</v>
      </c>
      <c r="E68" s="9" t="s">
        <v>367</v>
      </c>
      <c r="F68" s="9" t="s">
        <v>381</v>
      </c>
      <c r="G68" s="9" t="s">
        <v>5</v>
      </c>
      <c r="H68" s="10" t="s">
        <v>888</v>
      </c>
      <c r="I68" s="11" t="s">
        <v>384</v>
      </c>
      <c r="J68" t="s">
        <v>321</v>
      </c>
      <c r="K68" s="21"/>
    </row>
    <row r="69" spans="1:11" ht="14.4">
      <c r="A69" s="5" t="str">
        <f>F69&amp;(COUNTIFS(F$2:F69,F69,K$2:K69,"Sparse"))</f>
        <v>UA2</v>
      </c>
      <c r="B69" s="5" t="str">
        <f>J69&amp;(COUNTIF(J$2:J69,J69))</f>
        <v>Unitary13</v>
      </c>
      <c r="C69" s="8" t="s">
        <v>305</v>
      </c>
      <c r="D69" s="8" t="s">
        <v>305</v>
      </c>
      <c r="E69" s="9" t="s">
        <v>1</v>
      </c>
      <c r="F69" s="9" t="s">
        <v>387</v>
      </c>
      <c r="G69" s="9" t="s">
        <v>396</v>
      </c>
      <c r="H69" s="12" t="s">
        <v>889</v>
      </c>
      <c r="I69" s="11" t="s">
        <v>382</v>
      </c>
      <c r="J69" s="22" t="s">
        <v>396</v>
      </c>
      <c r="K69" s="21" t="s">
        <v>335</v>
      </c>
    </row>
    <row r="70" spans="1:11" ht="14.4">
      <c r="A70" s="5" t="str">
        <f>F70&amp;(COUNTIFS(F$2:F70,F70,K$2:K70,"Sparse"))</f>
        <v>SD10</v>
      </c>
      <c r="B70" s="5" t="str">
        <f>J70&amp;(COUNTIF(J$2:J70,J70))</f>
        <v>Gloucestershire2</v>
      </c>
      <c r="C70" s="8" t="s">
        <v>44</v>
      </c>
      <c r="D70" s="8" t="s">
        <v>44</v>
      </c>
      <c r="E70" s="9" t="s">
        <v>1</v>
      </c>
      <c r="F70" s="9" t="s">
        <v>381</v>
      </c>
      <c r="G70" s="9" t="s">
        <v>5</v>
      </c>
      <c r="H70" s="10" t="s">
        <v>889</v>
      </c>
      <c r="I70" s="11" t="s">
        <v>382</v>
      </c>
      <c r="J70" t="s">
        <v>312</v>
      </c>
      <c r="K70" s="21" t="s">
        <v>335</v>
      </c>
    </row>
    <row r="71" spans="1:11" ht="14.4">
      <c r="A71" s="5" t="str">
        <f>F71&amp;(COUNTIFS(F$2:F71,F71,K$2:K71,"Sparse"))</f>
        <v>MD0</v>
      </c>
      <c r="B71" s="5" t="str">
        <f>J71&amp;(COUNTIF(J$2:J71,J71))</f>
        <v>Coventry1</v>
      </c>
      <c r="C71" s="8" t="s">
        <v>228</v>
      </c>
      <c r="D71" s="8" t="s">
        <v>228</v>
      </c>
      <c r="E71" s="9" t="s">
        <v>368</v>
      </c>
      <c r="F71" s="9" t="s">
        <v>386</v>
      </c>
      <c r="G71" s="9" t="s">
        <v>397</v>
      </c>
      <c r="H71" s="10" t="s">
        <v>888</v>
      </c>
      <c r="I71" s="11" t="s">
        <v>384</v>
      </c>
      <c r="J71" t="str">
        <f>C71</f>
        <v>Coventry</v>
      </c>
      <c r="K71" s="21"/>
    </row>
    <row r="72" spans="1:11" ht="14.4">
      <c r="A72" s="5" t="str">
        <f>F72&amp;(COUNTIFS(F$2:F72,F72,K$2:K72,"Sparse"))</f>
        <v>SD11</v>
      </c>
      <c r="B72" s="5" t="str">
        <f>J72&amp;(COUNTIF(J$2:J72,J72))</f>
        <v>North Yorkshire1</v>
      </c>
      <c r="C72" s="8" t="s">
        <v>45</v>
      </c>
      <c r="D72" s="8" t="s">
        <v>45</v>
      </c>
      <c r="E72" s="9" t="s">
        <v>385</v>
      </c>
      <c r="F72" s="9" t="s">
        <v>381</v>
      </c>
      <c r="G72" s="9" t="s">
        <v>5</v>
      </c>
      <c r="H72" s="10" t="s">
        <v>889</v>
      </c>
      <c r="I72" s="11" t="s">
        <v>382</v>
      </c>
      <c r="J72" t="s">
        <v>320</v>
      </c>
      <c r="K72" s="21" t="s">
        <v>335</v>
      </c>
    </row>
    <row r="73" spans="1:11" ht="14.4">
      <c r="A73" s="5" t="str">
        <f>F73&amp;(COUNTIFS(F$2:F73,F73,K$2:K73,"Sparse"))</f>
        <v>SD11</v>
      </c>
      <c r="B73" s="5" t="str">
        <f>J73&amp;(COUNTIF(J$2:J73,J73))</f>
        <v>West Sussex4</v>
      </c>
      <c r="C73" s="8" t="s">
        <v>46</v>
      </c>
      <c r="D73" s="8" t="s">
        <v>46</v>
      </c>
      <c r="E73" s="9" t="s">
        <v>0</v>
      </c>
      <c r="F73" s="9" t="s">
        <v>381</v>
      </c>
      <c r="G73" s="9" t="s">
        <v>5</v>
      </c>
      <c r="H73" s="10" t="s">
        <v>888</v>
      </c>
      <c r="I73" s="11" t="s">
        <v>384</v>
      </c>
      <c r="J73" t="s">
        <v>331</v>
      </c>
      <c r="K73" s="21"/>
    </row>
    <row r="74" spans="1:11" ht="14.4">
      <c r="A74" s="5" t="str">
        <f>F74&amp;(COUNTIFS(F$2:F74,F74,K$2:K74,"Sparse"))</f>
        <v>L0</v>
      </c>
      <c r="B74" s="5" t="str">
        <f>J74&amp;(COUNTIF(J$2:J74,J74))</f>
        <v>London8</v>
      </c>
      <c r="C74" s="8" t="s">
        <v>201</v>
      </c>
      <c r="D74" s="8" t="s">
        <v>201</v>
      </c>
      <c r="E74" s="9" t="s">
        <v>383</v>
      </c>
      <c r="F74" s="9" t="s">
        <v>359</v>
      </c>
      <c r="G74" s="9" t="s">
        <v>383</v>
      </c>
      <c r="H74" s="10" t="s">
        <v>893</v>
      </c>
      <c r="I74" s="11" t="s">
        <v>384</v>
      </c>
      <c r="J74" t="str">
        <f>G74</f>
        <v>London</v>
      </c>
      <c r="K74" s="21"/>
    </row>
    <row r="75" spans="1:11" ht="14.4">
      <c r="A75" s="5" t="str">
        <f>F75&amp;(COUNTIFS(F$2:F75,F75,K$2:K75,"Sparse"))</f>
        <v>SC1</v>
      </c>
      <c r="B75" s="5" t="str">
        <f>J75&amp;(COUNTIF(J$2:J75,J75))</f>
        <v>Cumbria5</v>
      </c>
      <c r="C75" s="8" t="s">
        <v>306</v>
      </c>
      <c r="D75" s="8" t="s">
        <v>306</v>
      </c>
      <c r="E75" s="9" t="s">
        <v>376</v>
      </c>
      <c r="F75" s="9" t="s">
        <v>389</v>
      </c>
      <c r="G75" s="9" t="s">
        <v>301</v>
      </c>
      <c r="H75" s="11" t="s">
        <v>382</v>
      </c>
      <c r="I75" s="11" t="s">
        <v>382</v>
      </c>
      <c r="J75" t="str">
        <f>C75</f>
        <v>Cumbria</v>
      </c>
      <c r="K75" s="21" t="s">
        <v>335</v>
      </c>
    </row>
    <row r="76" spans="1:11" ht="14.4">
      <c r="A76" s="5" t="str">
        <f>F76&amp;(COUNTIFS(F$2:F76,F76,K$2:K76,"Sparse"))</f>
        <v>SD11</v>
      </c>
      <c r="B76" s="5" t="str">
        <f>J76&amp;(COUNTIF(J$2:J76,J76))</f>
        <v>Hertfordshire2</v>
      </c>
      <c r="C76" s="8" t="s">
        <v>47</v>
      </c>
      <c r="D76" s="8" t="s">
        <v>47</v>
      </c>
      <c r="E76" s="9" t="s">
        <v>369</v>
      </c>
      <c r="F76" s="9" t="s">
        <v>381</v>
      </c>
      <c r="G76" s="9" t="s">
        <v>5</v>
      </c>
      <c r="H76" s="12" t="s">
        <v>891</v>
      </c>
      <c r="I76" s="11" t="s">
        <v>371</v>
      </c>
      <c r="J76" t="s">
        <v>314</v>
      </c>
      <c r="K76" s="21"/>
    </row>
    <row r="77" spans="1:11" ht="14.4">
      <c r="A77" s="5" t="str">
        <f>F77&amp;(COUNTIFS(F$2:F77,F77,K$2:K77,"Sparse"))</f>
        <v>UA2</v>
      </c>
      <c r="B77" s="5" t="str">
        <f>J77&amp;(COUNTIF(J$2:J77,J77))</f>
        <v>Unitary14</v>
      </c>
      <c r="C77" s="8" t="s">
        <v>264</v>
      </c>
      <c r="D77" s="8" t="s">
        <v>264</v>
      </c>
      <c r="E77" s="9" t="s">
        <v>390</v>
      </c>
      <c r="F77" s="9" t="s">
        <v>387</v>
      </c>
      <c r="G77" s="9" t="s">
        <v>396</v>
      </c>
      <c r="H77" s="10" t="s">
        <v>888</v>
      </c>
      <c r="I77" s="11" t="s">
        <v>384</v>
      </c>
      <c r="J77" s="22" t="s">
        <v>396</v>
      </c>
      <c r="K77" s="21"/>
    </row>
    <row r="78" spans="1:11" ht="14.4">
      <c r="A78" s="5" t="str">
        <f>F78&amp;(COUNTIFS(F$2:F78,F78,K$2:K78,"Sparse"))</f>
        <v>SD11</v>
      </c>
      <c r="B78" s="5" t="str">
        <f>J78&amp;(COUNTIF(J$2:J78,J78))</f>
        <v>Kent3</v>
      </c>
      <c r="C78" s="8" t="s">
        <v>48</v>
      </c>
      <c r="D78" s="8" t="s">
        <v>48</v>
      </c>
      <c r="E78" s="9" t="s">
        <v>0</v>
      </c>
      <c r="F78" s="9" t="s">
        <v>381</v>
      </c>
      <c r="G78" s="9" t="s">
        <v>5</v>
      </c>
      <c r="H78" s="10" t="s">
        <v>893</v>
      </c>
      <c r="I78" s="11" t="s">
        <v>384</v>
      </c>
      <c r="J78" t="s">
        <v>315</v>
      </c>
      <c r="K78" s="21"/>
    </row>
    <row r="79" spans="1:11" ht="14.4">
      <c r="A79" s="5" t="str">
        <f>F79&amp;(COUNTIFS(F$2:F79,F79,K$2:K79,"Sparse"))</f>
        <v>SD12</v>
      </c>
      <c r="B79" s="5" t="str">
        <f>J79&amp;(COUNTIF(J$2:J79,J79))</f>
        <v>Northamptonshire2</v>
      </c>
      <c r="C79" s="8" t="s">
        <v>49</v>
      </c>
      <c r="D79" s="8" t="s">
        <v>49</v>
      </c>
      <c r="E79" s="9" t="s">
        <v>367</v>
      </c>
      <c r="F79" s="9" t="s">
        <v>381</v>
      </c>
      <c r="G79" s="9" t="s">
        <v>5</v>
      </c>
      <c r="H79" s="10" t="s">
        <v>889</v>
      </c>
      <c r="I79" s="11" t="s">
        <v>382</v>
      </c>
      <c r="J79" t="s">
        <v>321</v>
      </c>
      <c r="K79" s="21" t="s">
        <v>335</v>
      </c>
    </row>
    <row r="80" spans="1:11" ht="14.4">
      <c r="A80" s="5" t="str">
        <f>F80&amp;(COUNTIFS(F$2:F80,F80,K$2:K80,"Sparse"))</f>
        <v>UA2</v>
      </c>
      <c r="B80" s="5" t="str">
        <f>J80&amp;(COUNTIF(J$2:J80,J80))</f>
        <v>Unitary15</v>
      </c>
      <c r="C80" s="8" t="s">
        <v>265</v>
      </c>
      <c r="D80" s="8" t="s">
        <v>265</v>
      </c>
      <c r="E80" s="9" t="s">
        <v>367</v>
      </c>
      <c r="F80" s="9" t="s">
        <v>387</v>
      </c>
      <c r="G80" s="9" t="s">
        <v>396</v>
      </c>
      <c r="H80" s="10" t="s">
        <v>888</v>
      </c>
      <c r="I80" s="11" t="s">
        <v>384</v>
      </c>
      <c r="J80" s="22" t="s">
        <v>396</v>
      </c>
      <c r="K80" s="21"/>
    </row>
    <row r="81" spans="1:11" ht="14.4">
      <c r="A81" s="5" t="str">
        <f>F81&amp;(COUNTIFS(F$2:F81,F81,K$2:K81,"Sparse"))</f>
        <v>SC2</v>
      </c>
      <c r="B81" s="5" t="str">
        <f>J81&amp;(COUNTIF(J$2:J81,J81))</f>
        <v>Derbyshire4</v>
      </c>
      <c r="C81" s="8" t="s">
        <v>307</v>
      </c>
      <c r="D81" s="8" t="s">
        <v>307</v>
      </c>
      <c r="E81" s="9" t="s">
        <v>367</v>
      </c>
      <c r="F81" s="9" t="s">
        <v>389</v>
      </c>
      <c r="G81" s="9" t="s">
        <v>301</v>
      </c>
      <c r="H81" s="11" t="s">
        <v>371</v>
      </c>
      <c r="I81" s="11" t="s">
        <v>371</v>
      </c>
      <c r="J81" t="str">
        <f>C81</f>
        <v>Derbyshire</v>
      </c>
      <c r="K81" s="21" t="s">
        <v>335</v>
      </c>
    </row>
    <row r="82" spans="1:11" ht="14.4">
      <c r="A82" s="5" t="str">
        <f>F82&amp;(COUNTIFS(F$2:F82,F82,K$2:K82,"Sparse"))</f>
        <v>SD13</v>
      </c>
      <c r="B82" s="5" t="str">
        <f>J82&amp;(COUNTIF(J$2:J82,J82))</f>
        <v>Derbyshire5</v>
      </c>
      <c r="C82" s="8" t="s">
        <v>50</v>
      </c>
      <c r="D82" s="8" t="s">
        <v>50</v>
      </c>
      <c r="E82" s="9" t="s">
        <v>367</v>
      </c>
      <c r="F82" s="9" t="s">
        <v>381</v>
      </c>
      <c r="G82" s="9" t="s">
        <v>5</v>
      </c>
      <c r="H82" s="10" t="s">
        <v>889</v>
      </c>
      <c r="I82" s="11" t="s">
        <v>382</v>
      </c>
      <c r="J82" t="s">
        <v>307</v>
      </c>
      <c r="K82" s="21" t="s">
        <v>335</v>
      </c>
    </row>
    <row r="83" spans="1:11" ht="14.4">
      <c r="A83" s="5" t="str">
        <f>F83&amp;(COUNTIFS(F$2:F83,F83,K$2:K83,"Sparse"))</f>
        <v>SC3</v>
      </c>
      <c r="B83" s="5" t="str">
        <f>J83&amp;(COUNTIF(J$2:J83,J83))</f>
        <v>Devon1</v>
      </c>
      <c r="C83" s="8" t="s">
        <v>308</v>
      </c>
      <c r="D83" s="8" t="s">
        <v>308</v>
      </c>
      <c r="E83" s="9" t="s">
        <v>1</v>
      </c>
      <c r="F83" s="9" t="s">
        <v>389</v>
      </c>
      <c r="G83" s="9" t="s">
        <v>301</v>
      </c>
      <c r="H83" s="11" t="s">
        <v>382</v>
      </c>
      <c r="I83" s="11" t="s">
        <v>382</v>
      </c>
      <c r="J83" t="str">
        <f>C83</f>
        <v>Devon</v>
      </c>
      <c r="K83" s="21" t="s">
        <v>335</v>
      </c>
    </row>
    <row r="84" spans="1:11" ht="14.4">
      <c r="A84" s="5" t="str">
        <f>F84&amp;(COUNTIFS(F$2:F84,F84,K$2:K84,"Sparse"))</f>
        <v>MD0</v>
      </c>
      <c r="B84" s="5" t="str">
        <f>J84&amp;(COUNTIF(J$2:J84,J84))</f>
        <v>Doncaster1</v>
      </c>
      <c r="C84" s="8" t="s">
        <v>229</v>
      </c>
      <c r="D84" s="8" t="s">
        <v>229</v>
      </c>
      <c r="E84" s="9" t="s">
        <v>385</v>
      </c>
      <c r="F84" s="9" t="s">
        <v>386</v>
      </c>
      <c r="G84" s="9" t="s">
        <v>397</v>
      </c>
      <c r="H84" s="10" t="s">
        <v>890</v>
      </c>
      <c r="I84" s="11" t="s">
        <v>384</v>
      </c>
      <c r="J84" t="str">
        <f>C84</f>
        <v>Doncaster</v>
      </c>
      <c r="K84" s="21"/>
    </row>
    <row r="85" spans="1:11" ht="14.4">
      <c r="A85" s="5" t="str">
        <f>F85&amp;(COUNTIFS(F$2:F85,F85,K$2:K85,"Sparse"))</f>
        <v>SC3</v>
      </c>
      <c r="B85" s="5" t="str">
        <f>J85&amp;(COUNTIF(J$2:J85,J85))</f>
        <v>Dorset2</v>
      </c>
      <c r="C85" s="8" t="s">
        <v>309</v>
      </c>
      <c r="D85" s="8" t="s">
        <v>309</v>
      </c>
      <c r="E85" s="9" t="s">
        <v>1</v>
      </c>
      <c r="F85" s="9" t="s">
        <v>389</v>
      </c>
      <c r="G85" s="9" t="s">
        <v>301</v>
      </c>
      <c r="H85" s="11" t="s">
        <v>382</v>
      </c>
      <c r="I85" s="11" t="s">
        <v>382</v>
      </c>
      <c r="J85" t="str">
        <f>C85</f>
        <v>Dorset</v>
      </c>
      <c r="K85" s="21"/>
    </row>
    <row r="86" spans="1:11" ht="14.4">
      <c r="A86" s="5" t="str">
        <f>F86&amp;(COUNTIFS(F$2:F86,F86,K$2:K86,"Sparse"))</f>
        <v>UA2</v>
      </c>
      <c r="B86" s="5" t="str">
        <f>J86&amp;(COUNTIF(J$2:J86,J86))</f>
        <v>Unitary16</v>
      </c>
      <c r="C86" t="s">
        <v>904</v>
      </c>
      <c r="D86" t="s">
        <v>904</v>
      </c>
      <c r="E86" s="281" t="s">
        <v>1</v>
      </c>
      <c r="F86" s="284" t="s">
        <v>387</v>
      </c>
      <c r="G86" s="284" t="s">
        <v>396</v>
      </c>
      <c r="H86" s="283" t="s">
        <v>382</v>
      </c>
      <c r="I86" s="283" t="s">
        <v>382</v>
      </c>
      <c r="J86" t="s">
        <v>396</v>
      </c>
    </row>
    <row r="87" spans="1:11" ht="14.4">
      <c r="A87" s="5" t="str">
        <f>F87&amp;(COUNTIFS(F$2:F87,F87,K$2:K87,"Sparse"))</f>
        <v>SD13</v>
      </c>
      <c r="B87" s="5" t="str">
        <f>J87&amp;(COUNTIF(J$2:J87,J87))</f>
        <v>Kent4</v>
      </c>
      <c r="C87" s="19" t="s">
        <v>51</v>
      </c>
      <c r="D87" s="19" t="s">
        <v>51</v>
      </c>
      <c r="E87" s="9" t="s">
        <v>0</v>
      </c>
      <c r="F87" s="9" t="s">
        <v>381</v>
      </c>
      <c r="G87" s="9" t="s">
        <v>5</v>
      </c>
      <c r="H87" s="10" t="s">
        <v>891</v>
      </c>
      <c r="I87" s="11" t="s">
        <v>371</v>
      </c>
      <c r="J87" t="s">
        <v>315</v>
      </c>
      <c r="K87" s="21"/>
    </row>
    <row r="88" spans="1:11" ht="14.4">
      <c r="A88" s="5" t="str">
        <f>F88&amp;(COUNTIFS(F$2:F88,F88,K$2:K88,"Sparse"))</f>
        <v>UA3</v>
      </c>
      <c r="B88" s="5" t="str">
        <f>J88&amp;(COUNTIF(J$2:J88,J88))</f>
        <v>Unitary17</v>
      </c>
      <c r="C88" s="21" t="s">
        <v>266</v>
      </c>
      <c r="D88" s="19" t="s">
        <v>266</v>
      </c>
      <c r="E88" s="9" t="s">
        <v>390</v>
      </c>
      <c r="F88" s="9" t="s">
        <v>387</v>
      </c>
      <c r="G88" s="9" t="s">
        <v>396</v>
      </c>
      <c r="H88" s="12" t="s">
        <v>892</v>
      </c>
      <c r="I88" s="11" t="s">
        <v>382</v>
      </c>
      <c r="J88" s="22" t="s">
        <v>396</v>
      </c>
      <c r="K88" s="21" t="s">
        <v>335</v>
      </c>
    </row>
    <row r="89" spans="1:11" ht="14.4">
      <c r="A89" s="5" t="str">
        <f>F89&amp;(COUNTIFS(F$2:F89,F89,K$2:K89,"Sparse"))</f>
        <v>MD0</v>
      </c>
      <c r="B89" s="5" t="str">
        <f>J89&amp;(COUNTIF(J$2:J89,J89))</f>
        <v>Dudley1</v>
      </c>
      <c r="C89" s="8" t="s">
        <v>230</v>
      </c>
      <c r="D89" s="8" t="s">
        <v>230</v>
      </c>
      <c r="E89" s="9" t="s">
        <v>368</v>
      </c>
      <c r="F89" s="9" t="s">
        <v>386</v>
      </c>
      <c r="G89" s="9" t="s">
        <v>397</v>
      </c>
      <c r="H89" s="10" t="s">
        <v>893</v>
      </c>
      <c r="I89" s="11" t="s">
        <v>384</v>
      </c>
      <c r="J89" t="str">
        <f>C89</f>
        <v>Dudley</v>
      </c>
      <c r="K89" s="21"/>
    </row>
    <row r="90" spans="1:11" ht="14.4">
      <c r="A90" s="5" t="str">
        <f>F90&amp;(COUNTIFS(F$2:F90,F90,K$2:K90,"Sparse"))</f>
        <v>L0</v>
      </c>
      <c r="B90" s="5" t="str">
        <f>J90&amp;(COUNTIF(J$2:J90,J90))</f>
        <v>London9</v>
      </c>
      <c r="C90" s="8" t="s">
        <v>202</v>
      </c>
      <c r="D90" s="8" t="s">
        <v>202</v>
      </c>
      <c r="E90" s="9" t="s">
        <v>383</v>
      </c>
      <c r="F90" s="9" t="s">
        <v>359</v>
      </c>
      <c r="G90" s="9" t="s">
        <v>383</v>
      </c>
      <c r="H90" s="10" t="s">
        <v>893</v>
      </c>
      <c r="I90" s="11" t="s">
        <v>384</v>
      </c>
      <c r="J90" t="str">
        <f>G90</f>
        <v>London</v>
      </c>
      <c r="K90" s="21"/>
    </row>
    <row r="91" spans="1:11" ht="14.4">
      <c r="A91" s="5" t="str">
        <f>F91&amp;(COUNTIFS(F$2:F91,F91,K$2:K91,"Sparse"))</f>
        <v>SD14</v>
      </c>
      <c r="B91" s="5" t="str">
        <f>J91&amp;(COUNTIF(J$2:J91,J91))</f>
        <v>Cambridgeshire3</v>
      </c>
      <c r="C91" s="8" t="s">
        <v>52</v>
      </c>
      <c r="D91" s="8" t="s">
        <v>52</v>
      </c>
      <c r="E91" s="9" t="s">
        <v>369</v>
      </c>
      <c r="F91" s="9" t="s">
        <v>381</v>
      </c>
      <c r="G91" s="9" t="s">
        <v>5</v>
      </c>
      <c r="H91" s="10" t="s">
        <v>889</v>
      </c>
      <c r="I91" s="11" t="s">
        <v>382</v>
      </c>
      <c r="J91" t="s">
        <v>302</v>
      </c>
      <c r="K91" s="21" t="s">
        <v>335</v>
      </c>
    </row>
    <row r="92" spans="1:11" ht="14.4">
      <c r="A92" s="5" t="str">
        <f>F92&amp;(COUNTIFS(F$2:F92,F92,K$2:K92,"Sparse"))</f>
        <v>SD15</v>
      </c>
      <c r="B92" s="5" t="str">
        <f>J92&amp;(COUNTIF(J$2:J92,J92))</f>
        <v>Devon2</v>
      </c>
      <c r="C92" s="8" t="s">
        <v>53</v>
      </c>
      <c r="D92" s="8" t="s">
        <v>53</v>
      </c>
      <c r="E92" s="9" t="s">
        <v>1</v>
      </c>
      <c r="F92" s="9" t="s">
        <v>381</v>
      </c>
      <c r="G92" s="9" t="s">
        <v>5</v>
      </c>
      <c r="H92" s="10" t="s">
        <v>892</v>
      </c>
      <c r="I92" s="11" t="s">
        <v>382</v>
      </c>
      <c r="J92" t="s">
        <v>308</v>
      </c>
      <c r="K92" s="21" t="s">
        <v>335</v>
      </c>
    </row>
    <row r="93" spans="1:11" ht="14.4">
      <c r="A93" s="5" t="str">
        <f>F93&amp;(COUNTIFS(F$2:F93,F93,K$2:K93,"Sparse"))</f>
        <v>SD15</v>
      </c>
      <c r="B93" s="5" t="str">
        <f>J93&amp;(COUNTIF(J$2:J93,J93))</f>
        <v>Dorset3</v>
      </c>
      <c r="C93" s="8" t="s">
        <v>54</v>
      </c>
      <c r="D93" s="8" t="s">
        <v>54</v>
      </c>
      <c r="E93" s="9" t="s">
        <v>1</v>
      </c>
      <c r="F93" s="9" t="s">
        <v>381</v>
      </c>
      <c r="G93" s="9" t="s">
        <v>5</v>
      </c>
      <c r="H93" s="10" t="s">
        <v>891</v>
      </c>
      <c r="I93" s="11" t="s">
        <v>371</v>
      </c>
      <c r="J93" t="s">
        <v>309</v>
      </c>
      <c r="K93" s="21"/>
    </row>
    <row r="94" spans="1:11" ht="14.4">
      <c r="A94" s="5" t="str">
        <f>F94&amp;(COUNTIFS(F$2:F94,F94,K$2:K94,"Sparse"))</f>
        <v>SD15</v>
      </c>
      <c r="B94" s="5" t="str">
        <f>J94&amp;(COUNTIF(J$2:J94,J94))</f>
        <v>Hampshire2</v>
      </c>
      <c r="C94" s="8" t="s">
        <v>55</v>
      </c>
      <c r="D94" s="8" t="s">
        <v>55</v>
      </c>
      <c r="E94" s="9" t="s">
        <v>0</v>
      </c>
      <c r="F94" s="9" t="s">
        <v>381</v>
      </c>
      <c r="G94" s="9" t="s">
        <v>5</v>
      </c>
      <c r="H94" s="10" t="s">
        <v>889</v>
      </c>
      <c r="I94" s="11" t="s">
        <v>382</v>
      </c>
      <c r="J94" t="s">
        <v>313</v>
      </c>
      <c r="K94" s="21"/>
    </row>
    <row r="95" spans="1:11" ht="14.4">
      <c r="A95" s="5" t="str">
        <f>F95&amp;(COUNTIFS(F$2:F95,F95,K$2:K95,"Sparse"))</f>
        <v>SD16</v>
      </c>
      <c r="B95" s="5" t="str">
        <f>J95&amp;(COUNTIF(J$2:J95,J95))</f>
        <v>Hertfordshire3</v>
      </c>
      <c r="C95" s="8" t="s">
        <v>56</v>
      </c>
      <c r="D95" s="8" t="s">
        <v>56</v>
      </c>
      <c r="E95" s="9" t="s">
        <v>369</v>
      </c>
      <c r="F95" s="9" t="s">
        <v>381</v>
      </c>
      <c r="G95" s="9" t="s">
        <v>5</v>
      </c>
      <c r="H95" s="12" t="s">
        <v>891</v>
      </c>
      <c r="I95" s="11" t="s">
        <v>371</v>
      </c>
      <c r="J95" t="s">
        <v>314</v>
      </c>
      <c r="K95" s="21" t="s">
        <v>335</v>
      </c>
    </row>
    <row r="96" spans="1:11" ht="14.4">
      <c r="A96" s="5" t="str">
        <f>F96&amp;(COUNTIFS(F$2:F96,F96,K$2:K96,"Sparse"))</f>
        <v>SD17</v>
      </c>
      <c r="B96" s="5" t="str">
        <f>J96&amp;(COUNTIF(J$2:J96,J96))</f>
        <v>Lincolnshire2</v>
      </c>
      <c r="C96" s="8" t="s">
        <v>57</v>
      </c>
      <c r="D96" s="8" t="s">
        <v>57</v>
      </c>
      <c r="E96" s="9" t="s">
        <v>367</v>
      </c>
      <c r="F96" s="9" t="s">
        <v>381</v>
      </c>
      <c r="G96" s="9" t="s">
        <v>5</v>
      </c>
      <c r="H96" s="10" t="s">
        <v>889</v>
      </c>
      <c r="I96" s="11" t="s">
        <v>382</v>
      </c>
      <c r="J96" t="s">
        <v>318</v>
      </c>
      <c r="K96" s="21" t="s">
        <v>335</v>
      </c>
    </row>
    <row r="97" spans="1:11" ht="14.4">
      <c r="A97" s="5" t="str">
        <f>F97&amp;(COUNTIFS(F$2:F97,F97,K$2:K97,"Sparse"))</f>
        <v>SD18</v>
      </c>
      <c r="B97" s="5" t="str">
        <f>J97&amp;(COUNTIF(J$2:J97,J97))</f>
        <v>Northamptonshire3</v>
      </c>
      <c r="C97" s="8" t="s">
        <v>58</v>
      </c>
      <c r="D97" s="8" t="s">
        <v>58</v>
      </c>
      <c r="E97" s="9" t="s">
        <v>367</v>
      </c>
      <c r="F97" s="9" t="s">
        <v>381</v>
      </c>
      <c r="G97" s="9" t="s">
        <v>5</v>
      </c>
      <c r="H97" s="10" t="s">
        <v>892</v>
      </c>
      <c r="I97" s="11" t="s">
        <v>382</v>
      </c>
      <c r="J97" t="s">
        <v>321</v>
      </c>
      <c r="K97" s="21" t="s">
        <v>335</v>
      </c>
    </row>
    <row r="98" spans="1:11" ht="14.4">
      <c r="A98" s="5" t="str">
        <f>F98&amp;(COUNTIFS(F$2:F98,F98,K$2:K98,"Sparse"))</f>
        <v>UA4</v>
      </c>
      <c r="B98" s="5" t="str">
        <f>J98&amp;(COUNTIF(J$2:J98,J98))</f>
        <v>Unitary18</v>
      </c>
      <c r="C98" s="8" t="s">
        <v>267</v>
      </c>
      <c r="D98" s="8" t="s">
        <v>267</v>
      </c>
      <c r="E98" s="9" t="s">
        <v>385</v>
      </c>
      <c r="F98" s="9" t="s">
        <v>387</v>
      </c>
      <c r="G98" s="9" t="s">
        <v>396</v>
      </c>
      <c r="H98" s="10" t="s">
        <v>892</v>
      </c>
      <c r="I98" s="11" t="s">
        <v>382</v>
      </c>
      <c r="J98" s="22" t="s">
        <v>396</v>
      </c>
      <c r="K98" s="21" t="s">
        <v>335</v>
      </c>
    </row>
    <row r="99" spans="1:11" ht="14.4">
      <c r="A99" s="5" t="str">
        <f>F99&amp;(COUNTIFS(F$2:F99,F99,K$2:K99,"Sparse"))</f>
        <v>SD18</v>
      </c>
      <c r="B99" s="5" t="str">
        <f>J99&amp;(COUNTIF(J$2:J99,J99))</f>
        <v>Staffordshire2</v>
      </c>
      <c r="C99" s="8" t="s">
        <v>59</v>
      </c>
      <c r="D99" s="8" t="s">
        <v>59</v>
      </c>
      <c r="E99" s="9" t="s">
        <v>368</v>
      </c>
      <c r="F99" s="9" t="s">
        <v>381</v>
      </c>
      <c r="G99" s="9" t="s">
        <v>5</v>
      </c>
      <c r="H99" s="12" t="s">
        <v>891</v>
      </c>
      <c r="I99" s="11" t="s">
        <v>371</v>
      </c>
      <c r="J99" t="s">
        <v>327</v>
      </c>
      <c r="K99" s="21"/>
    </row>
    <row r="100" spans="1:11">
      <c r="A100" s="5" t="str">
        <f>F100&amp;(COUNTIFS(F$2:F100,F100,K$2:K100,"Sparse"))</f>
        <v>SD19</v>
      </c>
      <c r="B100" s="5" t="str">
        <f>J100&amp;(COUNTIF(J$2:J100,J100))</f>
        <v>Suffolk2</v>
      </c>
      <c r="C100" t="s">
        <v>905</v>
      </c>
      <c r="D100" t="s">
        <v>905</v>
      </c>
      <c r="E100" s="281" t="s">
        <v>369</v>
      </c>
      <c r="F100" s="281" t="s">
        <v>381</v>
      </c>
      <c r="G100" s="281" t="s">
        <v>5</v>
      </c>
      <c r="H100" s="282" t="s">
        <v>910</v>
      </c>
      <c r="I100" s="282" t="s">
        <v>910</v>
      </c>
      <c r="J100" t="s">
        <v>328</v>
      </c>
      <c r="K100" t="s">
        <v>335</v>
      </c>
    </row>
    <row r="101" spans="1:11" ht="14.4">
      <c r="A101" s="5" t="str">
        <f>F101&amp;(COUNTIFS(F$2:F101,F101,K$2:K101,"Sparse"))</f>
        <v>SC4</v>
      </c>
      <c r="B101" s="5" t="str">
        <f>J101&amp;(COUNTIF(J$2:J101,J101))</f>
        <v>East Sussex1</v>
      </c>
      <c r="C101" s="8" t="s">
        <v>310</v>
      </c>
      <c r="D101" s="8" t="s">
        <v>310</v>
      </c>
      <c r="E101" s="9" t="s">
        <v>0</v>
      </c>
      <c r="F101" s="9" t="s">
        <v>389</v>
      </c>
      <c r="G101" s="9" t="s">
        <v>301</v>
      </c>
      <c r="H101" s="11" t="s">
        <v>371</v>
      </c>
      <c r="I101" s="11" t="s">
        <v>371</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381</v>
      </c>
      <c r="G102" s="9" t="s">
        <v>5</v>
      </c>
      <c r="H102" s="10" t="s">
        <v>888</v>
      </c>
      <c r="I102" s="11" t="s">
        <v>384</v>
      </c>
      <c r="J102" t="s">
        <v>310</v>
      </c>
      <c r="K102" s="21"/>
    </row>
    <row r="103" spans="1:11" ht="14.4">
      <c r="A103" s="5" t="str">
        <f>F103&amp;(COUNTIFS(F$2:F103,F103,K$2:K103,"Sparse"))</f>
        <v>SD19</v>
      </c>
      <c r="B103" s="5" t="str">
        <f>J103&amp;(COUNTIF(J$2:J103,J103))</f>
        <v>Hampshire3</v>
      </c>
      <c r="C103" s="8" t="s">
        <v>61</v>
      </c>
      <c r="D103" s="8" t="s">
        <v>61</v>
      </c>
      <c r="E103" s="9" t="s">
        <v>0</v>
      </c>
      <c r="F103" s="9" t="s">
        <v>381</v>
      </c>
      <c r="G103" s="9" t="s">
        <v>5</v>
      </c>
      <c r="H103" s="12" t="s">
        <v>888</v>
      </c>
      <c r="I103" s="11" t="s">
        <v>384</v>
      </c>
      <c r="J103" t="s">
        <v>313</v>
      </c>
      <c r="K103" s="21"/>
    </row>
    <row r="104" spans="1:11" ht="14.4">
      <c r="A104" s="5" t="str">
        <f>F104&amp;(COUNTIFS(F$2:F104,F104,K$2:K104,"Sparse"))</f>
        <v>SD20</v>
      </c>
      <c r="B104" s="5" t="str">
        <f>J104&amp;(COUNTIF(J$2:J104,J104))</f>
        <v>Cumbria6</v>
      </c>
      <c r="C104" s="8" t="s">
        <v>62</v>
      </c>
      <c r="D104" s="8" t="s">
        <v>62</v>
      </c>
      <c r="E104" s="9" t="s">
        <v>376</v>
      </c>
      <c r="F104" s="9" t="s">
        <v>381</v>
      </c>
      <c r="G104" s="9" t="s">
        <v>5</v>
      </c>
      <c r="H104" s="10" t="s">
        <v>889</v>
      </c>
      <c r="I104" s="11" t="s">
        <v>382</v>
      </c>
      <c r="J104" t="s">
        <v>306</v>
      </c>
      <c r="K104" s="21" t="s">
        <v>335</v>
      </c>
    </row>
    <row r="105" spans="1:11" ht="14.4">
      <c r="A105" s="5" t="str">
        <f>F105&amp;(COUNTIFS(F$2:F105,F105,K$2:K105,"Sparse"))</f>
        <v>SD20</v>
      </c>
      <c r="B105" s="5" t="str">
        <f>J105&amp;(COUNTIF(J$2:J105,J105))</f>
        <v>Surrey1</v>
      </c>
      <c r="C105" s="8" t="s">
        <v>63</v>
      </c>
      <c r="D105" s="8" t="s">
        <v>63</v>
      </c>
      <c r="E105" s="9" t="s">
        <v>0</v>
      </c>
      <c r="F105" s="9" t="s">
        <v>381</v>
      </c>
      <c r="G105" s="9" t="s">
        <v>5</v>
      </c>
      <c r="H105" s="10" t="s">
        <v>893</v>
      </c>
      <c r="I105" s="11" t="s">
        <v>384</v>
      </c>
      <c r="J105" t="s">
        <v>329</v>
      </c>
      <c r="K105" s="21"/>
    </row>
    <row r="106" spans="1:11" ht="14.4">
      <c r="A106" s="5" t="str">
        <f>F106&amp;(COUNTIFS(F$2:F106,F106,K$2:K106,"Sparse"))</f>
        <v>L0</v>
      </c>
      <c r="B106" s="5" t="str">
        <f>J106&amp;(COUNTIF(J$2:J106,J106))</f>
        <v>London10</v>
      </c>
      <c r="C106" s="8" t="s">
        <v>203</v>
      </c>
      <c r="D106" s="8" t="s">
        <v>203</v>
      </c>
      <c r="E106" s="9" t="s">
        <v>383</v>
      </c>
      <c r="F106" s="9" t="s">
        <v>359</v>
      </c>
      <c r="G106" s="9" t="s">
        <v>383</v>
      </c>
      <c r="H106" s="10" t="s">
        <v>893</v>
      </c>
      <c r="I106" s="11" t="s">
        <v>384</v>
      </c>
      <c r="J106" t="str">
        <f>G106</f>
        <v>London</v>
      </c>
      <c r="K106" s="21"/>
    </row>
    <row r="107" spans="1:11" ht="14.4">
      <c r="A107" s="5" t="str">
        <f>F107&amp;(COUNTIFS(F$2:F107,F107,K$2:K107,"Sparse"))</f>
        <v>SD20</v>
      </c>
      <c r="B107" s="5" t="str">
        <f>J107&amp;(COUNTIF(J$2:J107,J107))</f>
        <v>Essex7</v>
      </c>
      <c r="C107" s="8" t="s">
        <v>64</v>
      </c>
      <c r="D107" s="8" t="s">
        <v>64</v>
      </c>
      <c r="E107" s="9" t="s">
        <v>369</v>
      </c>
      <c r="F107" s="9" t="s">
        <v>381</v>
      </c>
      <c r="G107" s="9" t="s">
        <v>5</v>
      </c>
      <c r="H107" s="12" t="s">
        <v>891</v>
      </c>
      <c r="I107" s="11" t="s">
        <v>371</v>
      </c>
      <c r="J107" t="s">
        <v>311</v>
      </c>
      <c r="K107" s="21"/>
    </row>
    <row r="108" spans="1:11" ht="14.4">
      <c r="A108" s="5" t="str">
        <f>F108&amp;(COUNTIFS(F$2:F108,F108,K$2:K108,"Sparse"))</f>
        <v>SD20</v>
      </c>
      <c r="B108" s="5" t="str">
        <f>J108&amp;(COUNTIF(J$2:J108,J108))</f>
        <v>Surrey2</v>
      </c>
      <c r="C108" s="8" t="s">
        <v>344</v>
      </c>
      <c r="D108" s="8" t="s">
        <v>344</v>
      </c>
      <c r="E108" s="9" t="s">
        <v>0</v>
      </c>
      <c r="F108" s="9" t="s">
        <v>381</v>
      </c>
      <c r="G108" s="9" t="s">
        <v>5</v>
      </c>
      <c r="H108" s="10" t="s">
        <v>893</v>
      </c>
      <c r="I108" s="11" t="s">
        <v>384</v>
      </c>
      <c r="J108" t="s">
        <v>329</v>
      </c>
      <c r="K108" s="21"/>
    </row>
    <row r="109" spans="1:11" ht="14.4">
      <c r="A109" s="5" t="str">
        <f>F109&amp;(COUNTIFS(F$2:F109,F109,K$2:K109,"Sparse"))</f>
        <v>SD20</v>
      </c>
      <c r="B109" s="5" t="str">
        <f>J109&amp;(COUNTIF(J$2:J109,J109))</f>
        <v>Derbyshire6</v>
      </c>
      <c r="C109" s="8" t="s">
        <v>65</v>
      </c>
      <c r="D109" s="8" t="s">
        <v>65</v>
      </c>
      <c r="E109" s="9" t="s">
        <v>367</v>
      </c>
      <c r="F109" s="9" t="s">
        <v>381</v>
      </c>
      <c r="G109" s="9" t="s">
        <v>5</v>
      </c>
      <c r="H109" s="10" t="s">
        <v>890</v>
      </c>
      <c r="I109" s="11" t="s">
        <v>384</v>
      </c>
      <c r="J109" t="s">
        <v>307</v>
      </c>
      <c r="K109" s="21"/>
    </row>
    <row r="110" spans="1:11" ht="14.4">
      <c r="A110" s="5" t="str">
        <f>F110&amp;(COUNTIFS(F$2:F110,F110,K$2:K110,"Sparse"))</f>
        <v>SC5</v>
      </c>
      <c r="B110" s="5" t="str">
        <f>J110&amp;(COUNTIF(J$2:J110,J110))</f>
        <v>Essex8</v>
      </c>
      <c r="C110" s="11" t="s">
        <v>311</v>
      </c>
      <c r="D110" s="11" t="s">
        <v>311</v>
      </c>
      <c r="E110" s="9" t="s">
        <v>369</v>
      </c>
      <c r="F110" s="9" t="s">
        <v>389</v>
      </c>
      <c r="G110" s="9" t="s">
        <v>301</v>
      </c>
      <c r="H110" s="11" t="s">
        <v>371</v>
      </c>
      <c r="I110" s="11" t="s">
        <v>371</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381</v>
      </c>
      <c r="G111" s="9" t="s">
        <v>5</v>
      </c>
      <c r="H111" s="10" t="s">
        <v>888</v>
      </c>
      <c r="I111" s="11" t="s">
        <v>384</v>
      </c>
      <c r="J111" t="s">
        <v>308</v>
      </c>
      <c r="K111" s="21"/>
    </row>
    <row r="112" spans="1:11" ht="14.4">
      <c r="A112" s="5" t="str">
        <f>F112&amp;(COUNTIFS(F$2:F112,F112,K$2:K112,"Sparse"))</f>
        <v>SD20</v>
      </c>
      <c r="B112" s="5" t="str">
        <f>J112&amp;(COUNTIF(J$2:J112,J112))</f>
        <v>Hampshire4</v>
      </c>
      <c r="C112" s="8" t="s">
        <v>67</v>
      </c>
      <c r="D112" s="8" t="s">
        <v>67</v>
      </c>
      <c r="E112" s="9" t="s">
        <v>0</v>
      </c>
      <c r="F112" s="9" t="s">
        <v>381</v>
      </c>
      <c r="G112" s="9" t="s">
        <v>5</v>
      </c>
      <c r="H112" s="10" t="s">
        <v>888</v>
      </c>
      <c r="I112" s="11" t="s">
        <v>384</v>
      </c>
      <c r="J112" t="s">
        <v>313</v>
      </c>
      <c r="K112" s="21"/>
    </row>
    <row r="113" spans="1:11" ht="14.4">
      <c r="A113" s="5" t="str">
        <f>F113&amp;(COUNTIFS(F$2:F113,F113,K$2:K113,"Sparse"))</f>
        <v>SD20</v>
      </c>
      <c r="B113" s="5" t="str">
        <f>J113&amp;(COUNTIF(J$2:J113,J113))</f>
        <v>Cambridgeshire4</v>
      </c>
      <c r="C113" s="8" t="s">
        <v>68</v>
      </c>
      <c r="D113" s="8" t="s">
        <v>68</v>
      </c>
      <c r="E113" s="9" t="s">
        <v>369</v>
      </c>
      <c r="F113" s="9" t="s">
        <v>381</v>
      </c>
      <c r="G113" s="9" t="s">
        <v>5</v>
      </c>
      <c r="H113" s="10" t="s">
        <v>892</v>
      </c>
      <c r="I113" s="11" t="s">
        <v>382</v>
      </c>
      <c r="J113" t="s">
        <v>302</v>
      </c>
      <c r="K113" s="21"/>
    </row>
    <row r="114" spans="1:11" ht="14.4">
      <c r="A114" s="5" t="str">
        <f>F114&amp;(COUNTIFS(F$2:F114,F114,K$2:K114,"Sparse"))</f>
        <v>SD21</v>
      </c>
      <c r="B114" s="5" t="str">
        <f>J114&amp;(COUNTIF(J$2:J114,J114))</f>
        <v>Suffolk3</v>
      </c>
      <c r="C114" s="8" t="s">
        <v>69</v>
      </c>
      <c r="D114" s="8" t="s">
        <v>69</v>
      </c>
      <c r="E114" s="9" t="s">
        <v>369</v>
      </c>
      <c r="F114" s="9" t="s">
        <v>381</v>
      </c>
      <c r="G114" s="9" t="s">
        <v>5</v>
      </c>
      <c r="H114" s="10" t="s">
        <v>889</v>
      </c>
      <c r="I114" s="11" t="s">
        <v>382</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381</v>
      </c>
      <c r="G115" s="9" t="s">
        <v>5</v>
      </c>
      <c r="H115" s="10" t="s">
        <v>889</v>
      </c>
      <c r="I115" s="11" t="s">
        <v>382</v>
      </c>
      <c r="J115" t="s">
        <v>312</v>
      </c>
      <c r="K115" s="21" t="s">
        <v>335</v>
      </c>
    </row>
    <row r="116" spans="1:11" ht="14.4">
      <c r="A116" s="5" t="str">
        <f>F116&amp;(COUNTIFS(F$2:F116,F116,K$2:K116,"Sparse"))</f>
        <v>SD22</v>
      </c>
      <c r="B116" s="5" t="str">
        <f>J116&amp;(COUNTIF(J$2:J116,J116))</f>
        <v>Lancashire3</v>
      </c>
      <c r="C116" s="8" t="s">
        <v>71</v>
      </c>
      <c r="D116" s="8" t="s">
        <v>71</v>
      </c>
      <c r="E116" s="9" t="s">
        <v>376</v>
      </c>
      <c r="F116" s="9" t="s">
        <v>381</v>
      </c>
      <c r="G116" s="9" t="s">
        <v>5</v>
      </c>
      <c r="H116" s="12" t="s">
        <v>888</v>
      </c>
      <c r="I116" s="11" t="s">
        <v>384</v>
      </c>
      <c r="J116" t="s">
        <v>316</v>
      </c>
      <c r="K116" s="21"/>
    </row>
    <row r="117" spans="1:11" ht="14.4">
      <c r="A117" s="5" t="str">
        <f>F117&amp;(COUNTIFS(F$2:F117,F117,K$2:K117,"Sparse"))</f>
        <v>MD0</v>
      </c>
      <c r="B117" s="5" t="str">
        <f>J117&amp;(COUNTIF(J$2:J117,J117))</f>
        <v>Gateshead1</v>
      </c>
      <c r="C117" s="8" t="s">
        <v>231</v>
      </c>
      <c r="D117" s="8" t="s">
        <v>231</v>
      </c>
      <c r="E117" s="9" t="s">
        <v>390</v>
      </c>
      <c r="F117" s="9" t="s">
        <v>386</v>
      </c>
      <c r="G117" s="9" t="s">
        <v>397</v>
      </c>
      <c r="H117" s="10" t="s">
        <v>893</v>
      </c>
      <c r="I117" s="11" t="s">
        <v>384</v>
      </c>
      <c r="J117" t="str">
        <f>C117</f>
        <v>Gateshead</v>
      </c>
      <c r="K117" s="21"/>
    </row>
    <row r="118" spans="1:11" ht="14.4">
      <c r="A118" s="5" t="str">
        <f>F118&amp;(COUNTIFS(F$2:F118,F118,K$2:K118,"Sparse"))</f>
        <v>SD22</v>
      </c>
      <c r="B118" s="5" t="str">
        <f>J118&amp;(COUNTIF(J$2:J118,J118))</f>
        <v>Nottinghamshire4</v>
      </c>
      <c r="C118" s="8" t="s">
        <v>72</v>
      </c>
      <c r="D118" s="8" t="s">
        <v>72</v>
      </c>
      <c r="E118" s="9" t="s">
        <v>367</v>
      </c>
      <c r="F118" s="9" t="s">
        <v>381</v>
      </c>
      <c r="G118" s="9" t="s">
        <v>5</v>
      </c>
      <c r="H118" s="10" t="s">
        <v>890</v>
      </c>
      <c r="I118" s="11" t="s">
        <v>384</v>
      </c>
      <c r="J118" t="s">
        <v>323</v>
      </c>
      <c r="K118" s="21"/>
    </row>
    <row r="119" spans="1:11" ht="14.4">
      <c r="A119" s="5" t="str">
        <f>F119&amp;(COUNTIFS(F$2:F119,F119,K$2:K119,"Sparse"))</f>
        <v>SD22</v>
      </c>
      <c r="B119" s="5" t="str">
        <f>J119&amp;(COUNTIF(J$2:J119,J119))</f>
        <v>Gloucestershire4</v>
      </c>
      <c r="C119" s="8" t="s">
        <v>73</v>
      </c>
      <c r="D119" s="8" t="s">
        <v>73</v>
      </c>
      <c r="E119" s="9" t="s">
        <v>1</v>
      </c>
      <c r="F119" s="9" t="s">
        <v>381</v>
      </c>
      <c r="G119" s="9" t="s">
        <v>5</v>
      </c>
      <c r="H119" s="10" t="s">
        <v>888</v>
      </c>
      <c r="I119" s="11" t="s">
        <v>384</v>
      </c>
      <c r="J119" t="s">
        <v>312</v>
      </c>
      <c r="K119" s="21"/>
    </row>
    <row r="120" spans="1:11" ht="14.4">
      <c r="A120" s="5" t="str">
        <f>F120&amp;(COUNTIFS(F$2:F120,F120,K$2:K120,"Sparse"))</f>
        <v>SC5</v>
      </c>
      <c r="B120" s="5" t="str">
        <f>J120&amp;(COUNTIF(J$2:J120,J120))</f>
        <v>Gloucestershire5</v>
      </c>
      <c r="C120" s="11" t="s">
        <v>312</v>
      </c>
      <c r="D120" s="11" t="s">
        <v>312</v>
      </c>
      <c r="E120" s="9" t="s">
        <v>1</v>
      </c>
      <c r="F120" s="9" t="s">
        <v>389</v>
      </c>
      <c r="G120" s="9" t="s">
        <v>301</v>
      </c>
      <c r="H120" s="11" t="s">
        <v>371</v>
      </c>
      <c r="I120" s="11" t="s">
        <v>371</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381</v>
      </c>
      <c r="G121" s="9" t="s">
        <v>5</v>
      </c>
      <c r="H121" s="10" t="s">
        <v>888</v>
      </c>
      <c r="I121" s="11" t="s">
        <v>384</v>
      </c>
      <c r="J121" t="s">
        <v>313</v>
      </c>
      <c r="K121" s="21"/>
    </row>
    <row r="122" spans="1:11" ht="14.4">
      <c r="A122" s="5" t="str">
        <f>F122&amp;(COUNTIFS(F$2:F122,F122,K$2:K122,"Sparse"))</f>
        <v>SD22</v>
      </c>
      <c r="B122" s="5" t="str">
        <f>J122&amp;(COUNTIF(J$2:J122,J122))</f>
        <v>Kent5</v>
      </c>
      <c r="C122" s="8" t="s">
        <v>75</v>
      </c>
      <c r="D122" s="8" t="s">
        <v>75</v>
      </c>
      <c r="E122" s="9" t="s">
        <v>0</v>
      </c>
      <c r="F122" s="9" t="s">
        <v>381</v>
      </c>
      <c r="G122" s="9" t="s">
        <v>5</v>
      </c>
      <c r="H122" s="10" t="s">
        <v>893</v>
      </c>
      <c r="I122" s="11" t="s">
        <v>384</v>
      </c>
      <c r="J122" t="s">
        <v>315</v>
      </c>
      <c r="K122" s="21"/>
    </row>
    <row r="123" spans="1:11" ht="14.4">
      <c r="A123" s="5" t="str">
        <f>F123&amp;(COUNTIFS(F$2:F123,F123,K$2:K123,"Sparse"))</f>
        <v>SD22</v>
      </c>
      <c r="B123" s="5" t="str">
        <f>J123&amp;(COUNTIF(J$2:J123,J123))</f>
        <v>Norfolk3</v>
      </c>
      <c r="C123" s="8" t="s">
        <v>76</v>
      </c>
      <c r="D123" s="8" t="s">
        <v>76</v>
      </c>
      <c r="E123" s="9" t="s">
        <v>369</v>
      </c>
      <c r="F123" s="9" t="s">
        <v>381</v>
      </c>
      <c r="G123" s="9" t="s">
        <v>5</v>
      </c>
      <c r="H123" s="12" t="s">
        <v>891</v>
      </c>
      <c r="I123" s="11" t="s">
        <v>371</v>
      </c>
      <c r="J123" t="s">
        <v>319</v>
      </c>
      <c r="K123" s="21"/>
    </row>
    <row r="124" spans="1:11" ht="14.4">
      <c r="A124" s="5" t="str">
        <f>F124&amp;(COUNTIFS(F$2:F124,F124,K$2:K124,"Sparse"))</f>
        <v>L0</v>
      </c>
      <c r="B124" s="5" t="str">
        <f>J124&amp;(COUNTIF(J$2:J124,J124))</f>
        <v>London11</v>
      </c>
      <c r="C124" s="8" t="s">
        <v>204</v>
      </c>
      <c r="D124" s="8" t="s">
        <v>204</v>
      </c>
      <c r="E124" s="9" t="s">
        <v>383</v>
      </c>
      <c r="F124" s="9" t="s">
        <v>359</v>
      </c>
      <c r="G124" s="9" t="s">
        <v>383</v>
      </c>
      <c r="H124" s="10" t="s">
        <v>893</v>
      </c>
      <c r="I124" s="11" t="s">
        <v>384</v>
      </c>
      <c r="J124" t="str">
        <f>G124</f>
        <v>London</v>
      </c>
      <c r="K124" s="21"/>
    </row>
    <row r="125" spans="1:11" ht="14.4">
      <c r="A125" s="5" t="str">
        <f>F125&amp;(COUNTIFS(F$2:F125,F125,K$2:K125,"Sparse"))</f>
        <v>SD22</v>
      </c>
      <c r="B125" s="5" t="str">
        <f>J125&amp;(COUNTIF(J$2:J125,J125))</f>
        <v>Surrey3</v>
      </c>
      <c r="C125" s="8" t="s">
        <v>77</v>
      </c>
      <c r="D125" s="8" t="s">
        <v>77</v>
      </c>
      <c r="E125" s="9" t="s">
        <v>0</v>
      </c>
      <c r="F125" s="9" t="s">
        <v>381</v>
      </c>
      <c r="G125" s="9" t="s">
        <v>5</v>
      </c>
      <c r="H125" s="12" t="s">
        <v>888</v>
      </c>
      <c r="I125" s="11" t="s">
        <v>384</v>
      </c>
      <c r="J125" t="s">
        <v>329</v>
      </c>
      <c r="K125" s="21"/>
    </row>
    <row r="126" spans="1:11" ht="14.4">
      <c r="A126" s="5" t="str">
        <f>F126&amp;(COUNTIFS(F$2:F126,F126,K$2:K126,"Sparse"))</f>
        <v>L0</v>
      </c>
      <c r="B126" s="5" t="str">
        <f>J126&amp;(COUNTIF(J$2:J126,J126))</f>
        <v>London12</v>
      </c>
      <c r="C126" s="8" t="s">
        <v>205</v>
      </c>
      <c r="D126" s="8" t="s">
        <v>205</v>
      </c>
      <c r="E126" s="9" t="s">
        <v>383</v>
      </c>
      <c r="F126" s="9" t="s">
        <v>359</v>
      </c>
      <c r="G126" s="9" t="s">
        <v>383</v>
      </c>
      <c r="H126" s="10" t="s">
        <v>893</v>
      </c>
      <c r="I126" s="11" t="s">
        <v>384</v>
      </c>
      <c r="J126" t="str">
        <f>G126</f>
        <v>London</v>
      </c>
      <c r="K126" s="21"/>
    </row>
    <row r="127" spans="1:11" ht="14.4">
      <c r="A127" s="5" t="str">
        <f>F127&amp;(COUNTIFS(F$2:F127,F127,K$2:K127,"Sparse"))</f>
        <v>UA4</v>
      </c>
      <c r="B127" s="5" t="str">
        <f>J127&amp;(COUNTIF(J$2:J127,J127))</f>
        <v>Unitary19</v>
      </c>
      <c r="C127" s="8" t="s">
        <v>268</v>
      </c>
      <c r="D127" s="8" t="s">
        <v>268</v>
      </c>
      <c r="E127" s="9" t="s">
        <v>376</v>
      </c>
      <c r="F127" s="9" t="s">
        <v>387</v>
      </c>
      <c r="G127" s="9" t="s">
        <v>396</v>
      </c>
      <c r="H127" s="10" t="s">
        <v>888</v>
      </c>
      <c r="I127" s="11" t="s">
        <v>384</v>
      </c>
      <c r="J127" s="22" t="s">
        <v>396</v>
      </c>
      <c r="K127" s="21"/>
    </row>
    <row r="128" spans="1:11" ht="14.4">
      <c r="A128" s="5" t="str">
        <f>F128&amp;(COUNTIFS(F$2:F128,F128,K$2:K128,"Sparse"))</f>
        <v>SD23</v>
      </c>
      <c r="B128" s="5" t="str">
        <f>J128&amp;(COUNTIF(J$2:J128,J128))</f>
        <v>North Yorkshire2</v>
      </c>
      <c r="C128" s="8" t="s">
        <v>78</v>
      </c>
      <c r="D128" s="8" t="s">
        <v>78</v>
      </c>
      <c r="E128" s="9" t="s">
        <v>385</v>
      </c>
      <c r="F128" s="9" t="s">
        <v>381</v>
      </c>
      <c r="G128" s="9" t="s">
        <v>5</v>
      </c>
      <c r="H128" s="10" t="s">
        <v>889</v>
      </c>
      <c r="I128" s="11" t="s">
        <v>382</v>
      </c>
      <c r="J128" t="s">
        <v>320</v>
      </c>
      <c r="K128" s="21" t="s">
        <v>335</v>
      </c>
    </row>
    <row r="129" spans="1:11" ht="14.4">
      <c r="A129" s="5" t="str">
        <f>F129&amp;(COUNTIFS(F$2:F129,F129,K$2:K129,"Sparse"))</f>
        <v>L0</v>
      </c>
      <c r="B129" s="5" t="str">
        <f>J129&amp;(COUNTIF(J$2:J129,J129))</f>
        <v>London13</v>
      </c>
      <c r="C129" s="8" t="s">
        <v>336</v>
      </c>
      <c r="D129" s="8" t="s">
        <v>336</v>
      </c>
      <c r="E129" s="9" t="s">
        <v>383</v>
      </c>
      <c r="F129" s="9" t="s">
        <v>359</v>
      </c>
      <c r="G129" s="9" t="s">
        <v>383</v>
      </c>
      <c r="H129" s="10" t="s">
        <v>893</v>
      </c>
      <c r="I129" s="11" t="s">
        <v>384</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389</v>
      </c>
      <c r="G130" s="9" t="s">
        <v>301</v>
      </c>
      <c r="H130" s="11" t="s">
        <v>371</v>
      </c>
      <c r="I130" s="11" t="s">
        <v>371</v>
      </c>
      <c r="J130" t="str">
        <f>C130</f>
        <v>Hampshire</v>
      </c>
      <c r="K130" s="21" t="s">
        <v>335</v>
      </c>
    </row>
    <row r="131" spans="1:11" ht="14.4">
      <c r="A131" s="5" t="str">
        <f>F131&amp;(COUNTIFS(F$2:F131,F131,K$2:K131,"Sparse"))</f>
        <v>SD24</v>
      </c>
      <c r="B131" s="5" t="str">
        <f>J131&amp;(COUNTIF(J$2:J131,J131))</f>
        <v>Leicestershire3</v>
      </c>
      <c r="C131" s="8" t="s">
        <v>79</v>
      </c>
      <c r="D131" s="8" t="s">
        <v>79</v>
      </c>
      <c r="E131" s="9" t="s">
        <v>367</v>
      </c>
      <c r="F131" s="9" t="s">
        <v>381</v>
      </c>
      <c r="G131" s="9" t="s">
        <v>5</v>
      </c>
      <c r="H131" s="10" t="s">
        <v>889</v>
      </c>
      <c r="I131" s="11" t="s">
        <v>382</v>
      </c>
      <c r="J131" t="s">
        <v>317</v>
      </c>
      <c r="K131" s="21" t="s">
        <v>335</v>
      </c>
    </row>
    <row r="132" spans="1:11" ht="14.4">
      <c r="A132" s="5" t="str">
        <f>F132&amp;(COUNTIFS(F$2:F132,F132,K$2:K132,"Sparse"))</f>
        <v>L0</v>
      </c>
      <c r="B132" s="5" t="str">
        <f>J132&amp;(COUNTIF(J$2:J132,J132))</f>
        <v>London14</v>
      </c>
      <c r="C132" s="8" t="s">
        <v>206</v>
      </c>
      <c r="D132" s="8" t="s">
        <v>206</v>
      </c>
      <c r="E132" s="9" t="s">
        <v>383</v>
      </c>
      <c r="F132" s="9" t="s">
        <v>359</v>
      </c>
      <c r="G132" s="9" t="s">
        <v>383</v>
      </c>
      <c r="H132" s="10" t="s">
        <v>893</v>
      </c>
      <c r="I132" s="11" t="s">
        <v>384</v>
      </c>
      <c r="J132" t="str">
        <f>G132</f>
        <v>London</v>
      </c>
      <c r="K132" s="21"/>
    </row>
    <row r="133" spans="1:11" ht="14.4">
      <c r="A133" s="5" t="str">
        <f>F133&amp;(COUNTIFS(F$2:F133,F133,K$2:K133,"Sparse"))</f>
        <v>SD24</v>
      </c>
      <c r="B133" s="5" t="str">
        <f>J133&amp;(COUNTIF(J$2:J133,J133))</f>
        <v>Essex9</v>
      </c>
      <c r="C133" s="8" t="s">
        <v>80</v>
      </c>
      <c r="D133" s="8" t="s">
        <v>80</v>
      </c>
      <c r="E133" s="9" t="s">
        <v>369</v>
      </c>
      <c r="F133" s="9" t="s">
        <v>381</v>
      </c>
      <c r="G133" s="9" t="s">
        <v>5</v>
      </c>
      <c r="H133" s="10" t="s">
        <v>888</v>
      </c>
      <c r="I133" s="11" t="s">
        <v>384</v>
      </c>
      <c r="J133" t="s">
        <v>311</v>
      </c>
      <c r="K133" s="21"/>
    </row>
    <row r="134" spans="1:11" ht="14.4">
      <c r="A134" s="5" t="str">
        <f>F134&amp;(COUNTIFS(F$2:F134,F134,K$2:K134,"Sparse"))</f>
        <v>SD25</v>
      </c>
      <c r="B134" s="5" t="str">
        <f>J134&amp;(COUNTIF(J$2:J134,J134))</f>
        <v>North Yorkshire3</v>
      </c>
      <c r="C134" s="8" t="s">
        <v>81</v>
      </c>
      <c r="D134" s="8" t="s">
        <v>81</v>
      </c>
      <c r="E134" s="9" t="s">
        <v>385</v>
      </c>
      <c r="F134" s="9" t="s">
        <v>381</v>
      </c>
      <c r="G134" s="9" t="s">
        <v>5</v>
      </c>
      <c r="H134" s="12" t="s">
        <v>891</v>
      </c>
      <c r="I134" s="11" t="s">
        <v>371</v>
      </c>
      <c r="J134" t="s">
        <v>320</v>
      </c>
      <c r="K134" s="21" t="s">
        <v>335</v>
      </c>
    </row>
    <row r="135" spans="1:11" ht="14.4">
      <c r="A135" s="5" t="str">
        <f>F135&amp;(COUNTIFS(F$2:F135,F135,K$2:K135,"Sparse"))</f>
        <v>L0</v>
      </c>
      <c r="B135" s="5" t="str">
        <f>J135&amp;(COUNTIF(J$2:J135,J135))</f>
        <v>London15</v>
      </c>
      <c r="C135" s="8" t="s">
        <v>207</v>
      </c>
      <c r="D135" s="8" t="s">
        <v>207</v>
      </c>
      <c r="E135" s="9" t="s">
        <v>383</v>
      </c>
      <c r="F135" s="9" t="s">
        <v>359</v>
      </c>
      <c r="G135" s="9" t="s">
        <v>383</v>
      </c>
      <c r="H135" s="10" t="s">
        <v>893</v>
      </c>
      <c r="I135" s="11" t="s">
        <v>384</v>
      </c>
      <c r="J135" t="str">
        <f>G135</f>
        <v>London</v>
      </c>
      <c r="K135" s="21"/>
    </row>
    <row r="136" spans="1:11" ht="14.4">
      <c r="A136" s="5" t="str">
        <f>F136&amp;(COUNTIFS(F$2:F136,F136,K$2:K136,"Sparse"))</f>
        <v>SD25</v>
      </c>
      <c r="B136" s="5" t="str">
        <f>J136&amp;(COUNTIF(J$2:J136,J136))</f>
        <v>Hampshire7</v>
      </c>
      <c r="C136" s="8" t="s">
        <v>82</v>
      </c>
      <c r="D136" s="8" t="s">
        <v>82</v>
      </c>
      <c r="E136" s="9" t="s">
        <v>0</v>
      </c>
      <c r="F136" s="9" t="s">
        <v>381</v>
      </c>
      <c r="G136" s="9" t="s">
        <v>5</v>
      </c>
      <c r="H136" s="12" t="s">
        <v>891</v>
      </c>
      <c r="I136" s="11" t="s">
        <v>371</v>
      </c>
      <c r="J136" t="s">
        <v>313</v>
      </c>
      <c r="K136" s="21"/>
    </row>
    <row r="137" spans="1:11" ht="14.4">
      <c r="A137" s="5" t="str">
        <f>F137&amp;(COUNTIFS(F$2:F137,F137,K$2:K137,"Sparse"))</f>
        <v>UA4</v>
      </c>
      <c r="B137" s="5" t="str">
        <f>J137&amp;(COUNTIF(J$2:J137,J137))</f>
        <v>Unitary20</v>
      </c>
      <c r="C137" s="8" t="s">
        <v>269</v>
      </c>
      <c r="D137" s="8" t="s">
        <v>269</v>
      </c>
      <c r="E137" s="9" t="s">
        <v>390</v>
      </c>
      <c r="F137" s="9" t="s">
        <v>387</v>
      </c>
      <c r="G137" s="9" t="s">
        <v>396</v>
      </c>
      <c r="H137" s="10" t="s">
        <v>888</v>
      </c>
      <c r="I137" s="11" t="s">
        <v>384</v>
      </c>
      <c r="J137" s="22" t="s">
        <v>396</v>
      </c>
      <c r="K137" s="21"/>
    </row>
    <row r="138" spans="1:11" ht="14.4">
      <c r="A138" s="5" t="str">
        <f>F138&amp;(COUNTIFS(F$2:F138,F138,K$2:K138,"Sparse"))</f>
        <v>SD25</v>
      </c>
      <c r="B138" s="5" t="str">
        <f>J138&amp;(COUNTIF(J$2:J138,J138))</f>
        <v>East Sussex3</v>
      </c>
      <c r="C138" s="8" t="s">
        <v>83</v>
      </c>
      <c r="D138" s="8" t="s">
        <v>83</v>
      </c>
      <c r="E138" s="9" t="s">
        <v>0</v>
      </c>
      <c r="F138" s="9" t="s">
        <v>381</v>
      </c>
      <c r="G138" s="9" t="s">
        <v>5</v>
      </c>
      <c r="H138" s="10" t="s">
        <v>888</v>
      </c>
      <c r="I138" s="11" t="s">
        <v>384</v>
      </c>
      <c r="J138" t="s">
        <v>310</v>
      </c>
      <c r="K138" s="21"/>
    </row>
    <row r="139" spans="1:11" ht="14.4">
      <c r="A139" s="5" t="str">
        <f>F139&amp;(COUNTIFS(F$2:F139,F139,K$2:K139,"Sparse"))</f>
        <v>SD25</v>
      </c>
      <c r="B139" s="5" t="str">
        <f>J139&amp;(COUNTIF(J$2:J139,J139))</f>
        <v>Hampshire8</v>
      </c>
      <c r="C139" s="8" t="s">
        <v>84</v>
      </c>
      <c r="D139" s="8" t="s">
        <v>84</v>
      </c>
      <c r="E139" s="9" t="s">
        <v>0</v>
      </c>
      <c r="F139" s="9" t="s">
        <v>381</v>
      </c>
      <c r="G139" s="9" t="s">
        <v>5</v>
      </c>
      <c r="H139" s="10" t="s">
        <v>888</v>
      </c>
      <c r="I139" s="11" t="s">
        <v>384</v>
      </c>
      <c r="J139" t="s">
        <v>313</v>
      </c>
      <c r="K139" s="21"/>
    </row>
    <row r="140" spans="1:11" ht="14.4">
      <c r="A140" s="5" t="str">
        <f>F140&amp;(COUNTIFS(F$2:F140,F140,K$2:K140,"Sparse"))</f>
        <v>L0</v>
      </c>
      <c r="B140" s="5" t="str">
        <f>J140&amp;(COUNTIF(J$2:J140,J140))</f>
        <v>London16</v>
      </c>
      <c r="C140" s="8" t="s">
        <v>208</v>
      </c>
      <c r="D140" s="8" t="s">
        <v>208</v>
      </c>
      <c r="E140" s="9" t="s">
        <v>383</v>
      </c>
      <c r="F140" s="9" t="s">
        <v>359</v>
      </c>
      <c r="G140" s="9" t="s">
        <v>383</v>
      </c>
      <c r="H140" s="10" t="s">
        <v>893</v>
      </c>
      <c r="I140" s="11" t="s">
        <v>384</v>
      </c>
      <c r="J140" t="str">
        <f>G140</f>
        <v>London</v>
      </c>
      <c r="K140" s="21"/>
    </row>
    <row r="141" spans="1:11" ht="14.4">
      <c r="A141" s="5" t="str">
        <f>F141&amp;(COUNTIFS(F$2:F141,F141,K$2:K141,"Sparse"))</f>
        <v>UA5</v>
      </c>
      <c r="B141" s="5" t="str">
        <f>J141&amp;(COUNTIF(J$2:J141,J141))</f>
        <v>Unitary21</v>
      </c>
      <c r="C141" s="8" t="s">
        <v>816</v>
      </c>
      <c r="D141" s="8" t="s">
        <v>391</v>
      </c>
      <c r="E141" s="9" t="s">
        <v>368</v>
      </c>
      <c r="F141" s="9" t="s">
        <v>387</v>
      </c>
      <c r="G141" s="9" t="s">
        <v>396</v>
      </c>
      <c r="H141" s="10" t="s">
        <v>892</v>
      </c>
      <c r="I141" s="11" t="s">
        <v>382</v>
      </c>
      <c r="J141" s="22" t="s">
        <v>396</v>
      </c>
      <c r="K141" s="21" t="s">
        <v>335</v>
      </c>
    </row>
    <row r="142" spans="1:11" ht="14.4">
      <c r="A142" s="5" t="str">
        <f>F142&amp;(COUNTIFS(F$2:F142,F142,K$2:K142,"Sparse"))</f>
        <v>SC6</v>
      </c>
      <c r="B142" s="5" t="str">
        <f>J142&amp;(COUNTIF(J$2:J142,J142))</f>
        <v>Hertfordshire4</v>
      </c>
      <c r="C142" s="11" t="s">
        <v>314</v>
      </c>
      <c r="D142" s="11" t="s">
        <v>314</v>
      </c>
      <c r="E142" s="9" t="s">
        <v>369</v>
      </c>
      <c r="F142" s="9" t="s">
        <v>389</v>
      </c>
      <c r="G142" s="9" t="s">
        <v>301</v>
      </c>
      <c r="H142" s="11" t="s">
        <v>384</v>
      </c>
      <c r="I142" s="11" t="s">
        <v>384</v>
      </c>
      <c r="J142" t="str">
        <f>C142</f>
        <v>Hertfordshire</v>
      </c>
      <c r="K142" s="21"/>
    </row>
    <row r="143" spans="1:11" ht="14.4">
      <c r="A143" s="5" t="str">
        <f>F143&amp;(COUNTIFS(F$2:F143,F143,K$2:K143,"Sparse"))</f>
        <v>SD25</v>
      </c>
      <c r="B143" s="5" t="str">
        <f>J143&amp;(COUNTIF(J$2:J143,J143))</f>
        <v>Hertfordshire5</v>
      </c>
      <c r="C143" s="8" t="s">
        <v>85</v>
      </c>
      <c r="D143" s="8" t="s">
        <v>85</v>
      </c>
      <c r="E143" s="9" t="s">
        <v>369</v>
      </c>
      <c r="F143" s="9" t="s">
        <v>381</v>
      </c>
      <c r="G143" s="9" t="s">
        <v>5</v>
      </c>
      <c r="H143" s="12" t="s">
        <v>893</v>
      </c>
      <c r="I143" s="11" t="s">
        <v>384</v>
      </c>
      <c r="J143" t="s">
        <v>314</v>
      </c>
      <c r="K143" s="21"/>
    </row>
    <row r="144" spans="1:11" ht="14.4">
      <c r="A144" s="5" t="str">
        <f>F144&amp;(COUNTIFS(F$2:F144,F144,K$2:K144,"Sparse"))</f>
        <v>SD25</v>
      </c>
      <c r="B144" s="5" t="str">
        <f>J144&amp;(COUNTIF(J$2:J144,J144))</f>
        <v>Derbyshire7</v>
      </c>
      <c r="C144" s="8" t="s">
        <v>86</v>
      </c>
      <c r="D144" s="8" t="s">
        <v>86</v>
      </c>
      <c r="E144" s="9" t="s">
        <v>367</v>
      </c>
      <c r="F144" s="9" t="s">
        <v>381</v>
      </c>
      <c r="G144" s="9" t="s">
        <v>5</v>
      </c>
      <c r="H144" s="10" t="s">
        <v>892</v>
      </c>
      <c r="I144" s="11" t="s">
        <v>382</v>
      </c>
      <c r="J144" t="s">
        <v>307</v>
      </c>
      <c r="K144" s="21"/>
    </row>
    <row r="145" spans="1:11" ht="14.4">
      <c r="A145" s="5" t="str">
        <f>F145&amp;(COUNTIFS(F$2:F145,F145,K$2:K145,"Sparse"))</f>
        <v>L0</v>
      </c>
      <c r="B145" s="5" t="str">
        <f>J145&amp;(COUNTIF(J$2:J145,J145))</f>
        <v>London17</v>
      </c>
      <c r="C145" s="8" t="s">
        <v>209</v>
      </c>
      <c r="D145" s="8" t="s">
        <v>209</v>
      </c>
      <c r="E145" s="9" t="s">
        <v>383</v>
      </c>
      <c r="F145" s="9" t="s">
        <v>359</v>
      </c>
      <c r="G145" s="9" t="s">
        <v>383</v>
      </c>
      <c r="H145" s="10" t="s">
        <v>893</v>
      </c>
      <c r="I145" s="11" t="s">
        <v>384</v>
      </c>
      <c r="J145" t="str">
        <f>G145</f>
        <v>London</v>
      </c>
      <c r="K145" s="21"/>
    </row>
    <row r="146" spans="1:11" ht="14.4">
      <c r="A146" s="5" t="str">
        <f>F146&amp;(COUNTIFS(F$2:F146,F146,K$2:K146,"Sparse"))</f>
        <v>SD25</v>
      </c>
      <c r="B146" s="5" t="str">
        <f>J146&amp;(COUNTIF(J$2:J146,J146))</f>
        <v>Leicestershire4</v>
      </c>
      <c r="C146" s="8" t="s">
        <v>345</v>
      </c>
      <c r="D146" s="8" t="s">
        <v>345</v>
      </c>
      <c r="E146" s="9" t="s">
        <v>367</v>
      </c>
      <c r="F146" s="9" t="s">
        <v>381</v>
      </c>
      <c r="G146" s="9" t="s">
        <v>5</v>
      </c>
      <c r="H146" s="12" t="s">
        <v>892</v>
      </c>
      <c r="I146" s="11" t="s">
        <v>382</v>
      </c>
      <c r="J146" t="s">
        <v>317</v>
      </c>
      <c r="K146" s="21"/>
    </row>
    <row r="147" spans="1:11" ht="14.4">
      <c r="A147" s="5" t="str">
        <f>F147&amp;(COUNTIFS(F$2:F147,F147,K$2:K147,"Sparse"))</f>
        <v>SD25</v>
      </c>
      <c r="B147" s="5" t="str">
        <f>J147&amp;(COUNTIF(J$2:J147,J147))</f>
        <v>West Sussex5</v>
      </c>
      <c r="C147" s="8" t="s">
        <v>87</v>
      </c>
      <c r="D147" s="8" t="s">
        <v>87</v>
      </c>
      <c r="E147" s="9" t="s">
        <v>0</v>
      </c>
      <c r="F147" s="9" t="s">
        <v>381</v>
      </c>
      <c r="G147" s="9" t="s">
        <v>5</v>
      </c>
      <c r="H147" s="10" t="s">
        <v>892</v>
      </c>
      <c r="I147" s="11" t="s">
        <v>382</v>
      </c>
      <c r="J147" t="s">
        <v>331</v>
      </c>
      <c r="K147" s="21"/>
    </row>
    <row r="148" spans="1:11" ht="14.4">
      <c r="A148" s="5" t="str">
        <f>F148&amp;(COUNTIFS(F$2:F148,F148,K$2:K148,"Sparse"))</f>
        <v>L0</v>
      </c>
      <c r="B148" s="5" t="str">
        <f>J148&amp;(COUNTIF(J$2:J148,J148))</f>
        <v>London18</v>
      </c>
      <c r="C148" s="8" t="s">
        <v>210</v>
      </c>
      <c r="D148" s="8" t="s">
        <v>210</v>
      </c>
      <c r="E148" s="9" t="s">
        <v>383</v>
      </c>
      <c r="F148" s="9" t="s">
        <v>359</v>
      </c>
      <c r="G148" s="9" t="s">
        <v>383</v>
      </c>
      <c r="H148" s="10" t="s">
        <v>893</v>
      </c>
      <c r="I148" s="11" t="s">
        <v>384</v>
      </c>
      <c r="J148" t="str">
        <f>G148</f>
        <v>London</v>
      </c>
      <c r="K148" s="21"/>
    </row>
    <row r="149" spans="1:11" ht="14.4">
      <c r="A149" s="5" t="str">
        <f>F149&amp;(COUNTIFS(F$2:F149,F149,K$2:K149,"Sparse"))</f>
        <v>SD26</v>
      </c>
      <c r="B149" s="5" t="str">
        <f>J149&amp;(COUNTIF(J$2:J149,J149))</f>
        <v>Cambridgeshire5</v>
      </c>
      <c r="C149" s="8" t="s">
        <v>88</v>
      </c>
      <c r="D149" s="8" t="s">
        <v>88</v>
      </c>
      <c r="E149" s="9" t="s">
        <v>369</v>
      </c>
      <c r="F149" s="9" t="s">
        <v>381</v>
      </c>
      <c r="G149" s="9" t="s">
        <v>5</v>
      </c>
      <c r="H149" s="10" t="s">
        <v>889</v>
      </c>
      <c r="I149" s="11" t="s">
        <v>382</v>
      </c>
      <c r="J149" t="s">
        <v>302</v>
      </c>
      <c r="K149" s="21" t="s">
        <v>335</v>
      </c>
    </row>
    <row r="150" spans="1:11" ht="14.4">
      <c r="A150" s="5" t="str">
        <f>F150&amp;(COUNTIFS(F$2:F150,F150,K$2:K150,"Sparse"))</f>
        <v>SD26</v>
      </c>
      <c r="B150" s="5" t="str">
        <f>J150&amp;(COUNTIF(J$2:J150,J150))</f>
        <v>Lancashire4</v>
      </c>
      <c r="C150" s="8" t="s">
        <v>89</v>
      </c>
      <c r="D150" s="8" t="s">
        <v>89</v>
      </c>
      <c r="E150" s="9" t="s">
        <v>376</v>
      </c>
      <c r="F150" s="9" t="s">
        <v>381</v>
      </c>
      <c r="G150" s="9" t="s">
        <v>5</v>
      </c>
      <c r="H150" s="10" t="s">
        <v>888</v>
      </c>
      <c r="I150" s="11" t="s">
        <v>384</v>
      </c>
      <c r="J150" t="s">
        <v>316</v>
      </c>
      <c r="K150" s="21"/>
    </row>
    <row r="151" spans="1:11" ht="14.4">
      <c r="A151" s="5" t="str">
        <f>F151&amp;(COUNTIFS(F$2:F151,F151,K$2:K151,"Sparse"))</f>
        <v>SD26</v>
      </c>
      <c r="B151" s="5" t="str">
        <f>J151&amp;(COUNTIF(J$2:J151,J151))</f>
        <v>Suffolk4</v>
      </c>
      <c r="C151" s="8" t="s">
        <v>90</v>
      </c>
      <c r="D151" s="8" t="s">
        <v>90</v>
      </c>
      <c r="E151" s="9" t="s">
        <v>369</v>
      </c>
      <c r="F151" s="9" t="s">
        <v>381</v>
      </c>
      <c r="G151" s="9" t="s">
        <v>5</v>
      </c>
      <c r="H151" s="10" t="s">
        <v>888</v>
      </c>
      <c r="I151" s="11" t="s">
        <v>384</v>
      </c>
      <c r="J151" t="s">
        <v>328</v>
      </c>
      <c r="K151" s="21"/>
    </row>
    <row r="152" spans="1:11" ht="14.4">
      <c r="A152" s="5" t="str">
        <f>F152&amp;(COUNTIFS(F$2:F152,F152,K$2:K152,"Sparse"))</f>
        <v>UA6</v>
      </c>
      <c r="B152" s="5" t="str">
        <f>J152&amp;(COUNTIF(J$2:J152,J152))</f>
        <v>Unitary22</v>
      </c>
      <c r="C152" s="8" t="s">
        <v>270</v>
      </c>
      <c r="D152" s="8" t="s">
        <v>270</v>
      </c>
      <c r="E152" s="9" t="s">
        <v>0</v>
      </c>
      <c r="F152" s="9" t="s">
        <v>387</v>
      </c>
      <c r="G152" s="9" t="s">
        <v>396</v>
      </c>
      <c r="H152" s="10" t="s">
        <v>889</v>
      </c>
      <c r="I152" s="11" t="s">
        <v>382</v>
      </c>
      <c r="J152" s="22" t="s">
        <v>396</v>
      </c>
      <c r="K152" s="21" t="s">
        <v>335</v>
      </c>
    </row>
    <row r="153" spans="1:11" ht="14.4">
      <c r="A153" s="5" t="str">
        <f>F153&amp;(COUNTIFS(F$2:F153,F153,K$2:K153,"Sparse"))</f>
        <v>00</v>
      </c>
      <c r="B153" s="5" t="str">
        <f>J153&amp;(COUNTIF(J$2:J153,J153))</f>
        <v>0</v>
      </c>
      <c r="C153" s="8" t="s">
        <v>2</v>
      </c>
      <c r="D153" s="8" t="s">
        <v>2</v>
      </c>
      <c r="E153" s="9" t="s">
        <v>1</v>
      </c>
      <c r="F153" s="9">
        <v>0</v>
      </c>
      <c r="G153" s="22" t="s">
        <v>400</v>
      </c>
      <c r="H153" s="10" t="s">
        <v>889</v>
      </c>
      <c r="I153" s="11" t="s">
        <v>382</v>
      </c>
      <c r="K153" s="21"/>
    </row>
    <row r="154" spans="1:11" ht="14.4">
      <c r="A154" s="5" t="str">
        <f>F154&amp;(COUNTIFS(F$2:F154,F154,K$2:K154,"Sparse"))</f>
        <v>L0</v>
      </c>
      <c r="B154" s="5" t="str">
        <f>J154&amp;(COUNTIF(J$2:J154,J154))</f>
        <v>London19</v>
      </c>
      <c r="C154" s="8" t="s">
        <v>211</v>
      </c>
      <c r="D154" s="8" t="s">
        <v>211</v>
      </c>
      <c r="E154" s="9" t="s">
        <v>383</v>
      </c>
      <c r="F154" s="9" t="s">
        <v>359</v>
      </c>
      <c r="G154" s="9" t="s">
        <v>383</v>
      </c>
      <c r="H154" s="10" t="s">
        <v>893</v>
      </c>
      <c r="I154" s="11" t="s">
        <v>384</v>
      </c>
      <c r="J154" t="str">
        <f>G154</f>
        <v>London</v>
      </c>
      <c r="K154" s="21"/>
    </row>
    <row r="155" spans="1:11" ht="14.4">
      <c r="A155" s="5" t="str">
        <f>F155&amp;(COUNTIFS(F$2:F155,F155,K$2:K155,"Sparse"))</f>
        <v>L0</v>
      </c>
      <c r="B155" s="5" t="str">
        <f>J155&amp;(COUNTIF(J$2:J155,J155))</f>
        <v>London20</v>
      </c>
      <c r="C155" s="8" t="s">
        <v>337</v>
      </c>
      <c r="D155" s="8" t="s">
        <v>337</v>
      </c>
      <c r="E155" s="9" t="s">
        <v>383</v>
      </c>
      <c r="F155" s="9" t="s">
        <v>359</v>
      </c>
      <c r="G155" s="9" t="s">
        <v>383</v>
      </c>
      <c r="H155" s="10" t="s">
        <v>893</v>
      </c>
      <c r="I155" s="11" t="s">
        <v>384</v>
      </c>
      <c r="J155" t="str">
        <f>G155</f>
        <v>London</v>
      </c>
      <c r="K155" s="21"/>
    </row>
    <row r="156" spans="1:11" ht="14.4">
      <c r="A156" s="5" t="str">
        <f>F156&amp;(COUNTIFS(F$2:F156,F156,K$2:K156,"Sparse"))</f>
        <v>SC6</v>
      </c>
      <c r="B156" s="5" t="str">
        <f>J156&amp;(COUNTIF(J$2:J156,J156))</f>
        <v>Kent6</v>
      </c>
      <c r="C156" s="11" t="s">
        <v>315</v>
      </c>
      <c r="D156" s="11" t="s">
        <v>315</v>
      </c>
      <c r="E156" s="9" t="s">
        <v>369</v>
      </c>
      <c r="F156" s="9" t="s">
        <v>389</v>
      </c>
      <c r="G156" s="9" t="s">
        <v>301</v>
      </c>
      <c r="H156" s="11" t="s">
        <v>371</v>
      </c>
      <c r="I156" s="11" t="s">
        <v>371</v>
      </c>
      <c r="J156" t="str">
        <f>C156</f>
        <v>Kent</v>
      </c>
      <c r="K156" s="21"/>
    </row>
    <row r="157" spans="1:11" ht="14.4">
      <c r="A157" s="5" t="str">
        <f>F157&amp;(COUNTIFS(F$2:F157,F157,K$2:K157,"Sparse"))</f>
        <v>SD26</v>
      </c>
      <c r="B157" s="5" t="str">
        <f>J157&amp;(COUNTIF(J$2:J157,J157))</f>
        <v>Northamptonshire4</v>
      </c>
      <c r="C157" s="8" t="s">
        <v>91</v>
      </c>
      <c r="D157" s="8" t="s">
        <v>91</v>
      </c>
      <c r="E157" s="9" t="s">
        <v>367</v>
      </c>
      <c r="F157" s="9" t="s">
        <v>381</v>
      </c>
      <c r="G157" s="9" t="s">
        <v>5</v>
      </c>
      <c r="H157" s="12" t="s">
        <v>888</v>
      </c>
      <c r="I157" s="11" t="s">
        <v>384</v>
      </c>
      <c r="J157" t="s">
        <v>321</v>
      </c>
      <c r="K157" s="21"/>
    </row>
    <row r="158" spans="1:11" ht="14.4">
      <c r="A158" s="5" t="str">
        <f>F158&amp;(COUNTIFS(F$2:F158,F158,K$2:K158,"Sparse"))</f>
        <v>SD27</v>
      </c>
      <c r="B158" s="5" t="str">
        <f>J158&amp;(COUNTIF(J$2:J158,J158))</f>
        <v>Norfolk4</v>
      </c>
      <c r="C158" s="8" t="s">
        <v>377</v>
      </c>
      <c r="D158" s="8" t="s">
        <v>377</v>
      </c>
      <c r="E158" s="9" t="s">
        <v>369</v>
      </c>
      <c r="F158" s="9" t="s">
        <v>381</v>
      </c>
      <c r="G158" s="9" t="s">
        <v>5</v>
      </c>
      <c r="H158" s="10" t="s">
        <v>892</v>
      </c>
      <c r="I158" s="11" t="s">
        <v>382</v>
      </c>
      <c r="J158" t="s">
        <v>319</v>
      </c>
      <c r="K158" s="21" t="s">
        <v>335</v>
      </c>
    </row>
    <row r="159" spans="1:11" ht="14.4">
      <c r="A159" s="5" t="str">
        <f>F159&amp;(COUNTIFS(F$2:F159,F159,K$2:K159,"Sparse"))</f>
        <v>UA6</v>
      </c>
      <c r="B159" s="5" t="str">
        <f>J159&amp;(COUNTIF(J$2:J159,J159))</f>
        <v>Unitary23</v>
      </c>
      <c r="C159" s="8" t="s">
        <v>817</v>
      </c>
      <c r="D159" s="8" t="s">
        <v>392</v>
      </c>
      <c r="E159" s="9" t="s">
        <v>385</v>
      </c>
      <c r="F159" s="9" t="s">
        <v>387</v>
      </c>
      <c r="G159" s="9" t="s">
        <v>396</v>
      </c>
      <c r="H159" s="10" t="s">
        <v>888</v>
      </c>
      <c r="I159" s="11" t="s">
        <v>384</v>
      </c>
      <c r="J159" s="22" t="s">
        <v>396</v>
      </c>
      <c r="K159" s="21"/>
    </row>
    <row r="160" spans="1:11" ht="14.4">
      <c r="A160" s="5" t="str">
        <f>F160&amp;(COUNTIFS(F$2:F160,F160,K$2:K160,"Sparse"))</f>
        <v>L0</v>
      </c>
      <c r="B160" s="5" t="str">
        <f>J160&amp;(COUNTIF(J$2:J160,J160))</f>
        <v>London21</v>
      </c>
      <c r="C160" s="8" t="s">
        <v>393</v>
      </c>
      <c r="D160" s="8" t="s">
        <v>393</v>
      </c>
      <c r="E160" s="9" t="s">
        <v>383</v>
      </c>
      <c r="F160" s="9" t="s">
        <v>359</v>
      </c>
      <c r="G160" s="9" t="s">
        <v>383</v>
      </c>
      <c r="H160" s="10" t="s">
        <v>893</v>
      </c>
      <c r="I160" s="11" t="s">
        <v>384</v>
      </c>
      <c r="J160" t="str">
        <f>G160</f>
        <v>London</v>
      </c>
      <c r="K160" s="21"/>
    </row>
    <row r="161" spans="1:11" ht="14.4">
      <c r="A161" s="5" t="str">
        <f>F161&amp;(COUNTIFS(F$2:F161,F161,K$2:K161,"Sparse"))</f>
        <v>MD0</v>
      </c>
      <c r="B161" s="5" t="str">
        <f>J161&amp;(COUNTIF(J$2:J161,J161))</f>
        <v>Kirklees1</v>
      </c>
      <c r="C161" s="8" t="s">
        <v>232</v>
      </c>
      <c r="D161" s="8" t="s">
        <v>232</v>
      </c>
      <c r="E161" s="9" t="s">
        <v>385</v>
      </c>
      <c r="F161" s="9" t="s">
        <v>386</v>
      </c>
      <c r="G161" s="9" t="s">
        <v>397</v>
      </c>
      <c r="H161" s="10" t="s">
        <v>893</v>
      </c>
      <c r="I161" s="11" t="s">
        <v>384</v>
      </c>
      <c r="J161" t="str">
        <f>C161</f>
        <v>Kirklees</v>
      </c>
      <c r="K161" s="21"/>
    </row>
    <row r="162" spans="1:11" ht="14.4">
      <c r="A162" s="5" t="str">
        <f>F162&amp;(COUNTIFS(F$2:F162,F162,K$2:K162,"Sparse"))</f>
        <v>MD0</v>
      </c>
      <c r="B162" s="5" t="str">
        <f>J162&amp;(COUNTIF(J$2:J162,J162))</f>
        <v>Knowsley1</v>
      </c>
      <c r="C162" s="8" t="s">
        <v>233</v>
      </c>
      <c r="D162" s="8" t="s">
        <v>233</v>
      </c>
      <c r="E162" s="9" t="s">
        <v>376</v>
      </c>
      <c r="F162" s="9" t="s">
        <v>386</v>
      </c>
      <c r="G162" s="9" t="s">
        <v>397</v>
      </c>
      <c r="H162" s="10" t="s">
        <v>893</v>
      </c>
      <c r="I162" s="11" t="s">
        <v>384</v>
      </c>
      <c r="J162" t="str">
        <f>C162</f>
        <v>Knowsley</v>
      </c>
      <c r="K162" s="21"/>
    </row>
    <row r="163" spans="1:11" ht="14.4">
      <c r="A163" s="5" t="str">
        <f>F163&amp;(COUNTIFS(F$2:F163,F163,K$2:K163,"Sparse"))</f>
        <v>L0</v>
      </c>
      <c r="B163" s="5" t="str">
        <f>J163&amp;(COUNTIF(J$2:J163,J163))</f>
        <v>London22</v>
      </c>
      <c r="C163" s="8" t="s">
        <v>212</v>
      </c>
      <c r="D163" s="8" t="s">
        <v>212</v>
      </c>
      <c r="E163" s="9" t="s">
        <v>383</v>
      </c>
      <c r="F163" s="9" t="s">
        <v>359</v>
      </c>
      <c r="G163" s="9" t="s">
        <v>383</v>
      </c>
      <c r="H163" s="10" t="s">
        <v>893</v>
      </c>
      <c r="I163" s="11" t="s">
        <v>384</v>
      </c>
      <c r="J163" t="str">
        <f>G163</f>
        <v>London</v>
      </c>
      <c r="K163" s="21"/>
    </row>
    <row r="164" spans="1:11" ht="14.4">
      <c r="A164" s="5" t="str">
        <f>F164&amp;(COUNTIFS(F$2:F164,F164,K$2:K164,"Sparse"))</f>
        <v>SC7</v>
      </c>
      <c r="B164" s="5" t="str">
        <f>J164&amp;(COUNTIF(J$2:J164,J164))</f>
        <v>Lancashire5</v>
      </c>
      <c r="C164" s="11" t="s">
        <v>316</v>
      </c>
      <c r="D164" s="11" t="s">
        <v>316</v>
      </c>
      <c r="E164" s="9" t="s">
        <v>376</v>
      </c>
      <c r="F164" s="9" t="s">
        <v>389</v>
      </c>
      <c r="G164" s="9" t="s">
        <v>301</v>
      </c>
      <c r="H164" s="11" t="s">
        <v>371</v>
      </c>
      <c r="I164" s="11" t="s">
        <v>371</v>
      </c>
      <c r="J164" t="str">
        <f>C164</f>
        <v>Lancashire</v>
      </c>
      <c r="K164" s="21" t="s">
        <v>335</v>
      </c>
    </row>
    <row r="165" spans="1:11" ht="14.4">
      <c r="A165" s="5" t="str">
        <f>F165&amp;(COUNTIFS(F$2:F165,F165,K$2:K165,"Sparse"))</f>
        <v>SD27</v>
      </c>
      <c r="B165" s="5" t="str">
        <f>J165&amp;(COUNTIF(J$2:J165,J165))</f>
        <v>Lancashire6</v>
      </c>
      <c r="C165" s="8" t="s">
        <v>92</v>
      </c>
      <c r="D165" s="8" t="s">
        <v>92</v>
      </c>
      <c r="E165" s="9" t="s">
        <v>376</v>
      </c>
      <c r="F165" s="9" t="s">
        <v>381</v>
      </c>
      <c r="G165" s="9" t="s">
        <v>5</v>
      </c>
      <c r="H165" s="12" t="s">
        <v>891</v>
      </c>
      <c r="I165" s="11" t="s">
        <v>371</v>
      </c>
      <c r="J165" t="s">
        <v>316</v>
      </c>
      <c r="K165" s="21"/>
    </row>
    <row r="166" spans="1:11" ht="14.4">
      <c r="A166" s="5" t="str">
        <f>F166&amp;(COUNTIFS(F$2:F166,F166,K$2:K166,"Sparse"))</f>
        <v>MD0</v>
      </c>
      <c r="B166" s="5" t="str">
        <f>J166&amp;(COUNTIF(J$2:J166,J166))</f>
        <v>Leeds1</v>
      </c>
      <c r="C166" s="8" t="s">
        <v>234</v>
      </c>
      <c r="D166" s="8" t="s">
        <v>234</v>
      </c>
      <c r="E166" s="9" t="s">
        <v>385</v>
      </c>
      <c r="F166" s="9" t="s">
        <v>386</v>
      </c>
      <c r="G166" s="9" t="s">
        <v>397</v>
      </c>
      <c r="H166" s="10" t="s">
        <v>893</v>
      </c>
      <c r="I166" s="11" t="s">
        <v>384</v>
      </c>
      <c r="J166" t="str">
        <f>C166</f>
        <v>Leeds</v>
      </c>
      <c r="K166" s="21"/>
    </row>
    <row r="167" spans="1:11" ht="14.4">
      <c r="A167" s="5" t="str">
        <f>F167&amp;(COUNTIFS(F$2:F167,F167,K$2:K167,"Sparse"))</f>
        <v>UA6</v>
      </c>
      <c r="B167" s="5" t="str">
        <f>J167&amp;(COUNTIF(J$2:J167,J167))</f>
        <v>Unitary24</v>
      </c>
      <c r="C167" s="8" t="s">
        <v>271</v>
      </c>
      <c r="D167" s="8" t="s">
        <v>271</v>
      </c>
      <c r="E167" s="9" t="s">
        <v>367</v>
      </c>
      <c r="F167" s="9" t="s">
        <v>387</v>
      </c>
      <c r="G167" s="9" t="s">
        <v>396</v>
      </c>
      <c r="H167" s="10" t="s">
        <v>888</v>
      </c>
      <c r="I167" s="11" t="s">
        <v>384</v>
      </c>
      <c r="J167" s="22" t="s">
        <v>396</v>
      </c>
      <c r="K167" s="21"/>
    </row>
    <row r="168" spans="1:11" ht="14.4">
      <c r="A168" s="5" t="str">
        <f>F168&amp;(COUNTIFS(F$2:F168,F168,K$2:K168,"Sparse"))</f>
        <v>SC8</v>
      </c>
      <c r="B168" s="5" t="str">
        <f>J168&amp;(COUNTIF(J$2:J168,J168))</f>
        <v>Leicestershire5</v>
      </c>
      <c r="C168" s="11" t="s">
        <v>317</v>
      </c>
      <c r="D168" s="11" t="s">
        <v>317</v>
      </c>
      <c r="E168" s="9" t="s">
        <v>367</v>
      </c>
      <c r="F168" s="9" t="s">
        <v>389</v>
      </c>
      <c r="G168" s="9" t="s">
        <v>301</v>
      </c>
      <c r="H168" s="11" t="s">
        <v>371</v>
      </c>
      <c r="I168" s="11" t="s">
        <v>371</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381</v>
      </c>
      <c r="G169" s="9" t="s">
        <v>5</v>
      </c>
      <c r="H169" s="10" t="s">
        <v>891</v>
      </c>
      <c r="I169" s="11" t="s">
        <v>371</v>
      </c>
      <c r="J169" t="s">
        <v>310</v>
      </c>
      <c r="K169" s="21" t="s">
        <v>335</v>
      </c>
    </row>
    <row r="170" spans="1:11" ht="14.4">
      <c r="A170" s="5" t="str">
        <f>F170&amp;(COUNTIFS(F$2:F170,F170,K$2:K170,"Sparse"))</f>
        <v>L0</v>
      </c>
      <c r="B170" s="5" t="str">
        <f>J170&amp;(COUNTIF(J$2:J170,J170))</f>
        <v>London23</v>
      </c>
      <c r="C170" s="8" t="s">
        <v>213</v>
      </c>
      <c r="D170" s="8" t="s">
        <v>213</v>
      </c>
      <c r="E170" s="9" t="s">
        <v>383</v>
      </c>
      <c r="F170" s="9" t="s">
        <v>359</v>
      </c>
      <c r="G170" s="9" t="s">
        <v>383</v>
      </c>
      <c r="H170" s="10" t="s">
        <v>893</v>
      </c>
      <c r="I170" s="11" t="s">
        <v>384</v>
      </c>
      <c r="J170" t="str">
        <f>G170</f>
        <v>London</v>
      </c>
      <c r="K170" s="21"/>
    </row>
    <row r="171" spans="1:11" ht="14.4">
      <c r="A171" s="5" t="str">
        <f>F171&amp;(COUNTIFS(F$2:F171,F171,K$2:K171,"Sparse"))</f>
        <v>SD29</v>
      </c>
      <c r="B171" s="5" t="str">
        <f>J171&amp;(COUNTIF(J$2:J171,J171))</f>
        <v>Staffordshire3</v>
      </c>
      <c r="C171" s="8" t="s">
        <v>94</v>
      </c>
      <c r="D171" s="8" t="s">
        <v>94</v>
      </c>
      <c r="E171" s="9" t="s">
        <v>368</v>
      </c>
      <c r="F171" s="9" t="s">
        <v>381</v>
      </c>
      <c r="G171" s="9" t="s">
        <v>5</v>
      </c>
      <c r="H171" s="10" t="s">
        <v>891</v>
      </c>
      <c r="I171" s="11" t="s">
        <v>371</v>
      </c>
      <c r="J171" t="s">
        <v>327</v>
      </c>
      <c r="K171" s="21" t="s">
        <v>335</v>
      </c>
    </row>
    <row r="172" spans="1:11" ht="14.4">
      <c r="A172" s="5" t="str">
        <f>F172&amp;(COUNTIFS(F$2:F172,F172,K$2:K172,"Sparse"))</f>
        <v>SD29</v>
      </c>
      <c r="B172" s="5" t="str">
        <f>J172&amp;(COUNTIF(J$2:J172,J172))</f>
        <v>Lincolnshire3</v>
      </c>
      <c r="C172" s="8" t="s">
        <v>95</v>
      </c>
      <c r="D172" s="8" t="s">
        <v>95</v>
      </c>
      <c r="E172" s="9" t="s">
        <v>367</v>
      </c>
      <c r="F172" s="9" t="s">
        <v>381</v>
      </c>
      <c r="G172" s="9" t="s">
        <v>5</v>
      </c>
      <c r="H172" s="10" t="s">
        <v>888</v>
      </c>
      <c r="I172" s="11" t="s">
        <v>384</v>
      </c>
      <c r="J172" t="s">
        <v>318</v>
      </c>
      <c r="K172" s="21"/>
    </row>
    <row r="173" spans="1:11" ht="14.4">
      <c r="A173" s="5" t="str">
        <f>F173&amp;(COUNTIFS(F$2:F173,F173,K$2:K173,"Sparse"))</f>
        <v>SC9</v>
      </c>
      <c r="B173" s="5" t="str">
        <f>J173&amp;(COUNTIF(J$2:J173,J173))</f>
        <v>Lincolnshire4</v>
      </c>
      <c r="C173" s="11" t="s">
        <v>318</v>
      </c>
      <c r="D173" s="11" t="s">
        <v>318</v>
      </c>
      <c r="E173" s="9" t="s">
        <v>367</v>
      </c>
      <c r="F173" s="9" t="s">
        <v>389</v>
      </c>
      <c r="G173" s="9" t="s">
        <v>301</v>
      </c>
      <c r="H173" s="11" t="s">
        <v>382</v>
      </c>
      <c r="I173" s="11" t="s">
        <v>382</v>
      </c>
      <c r="J173" t="str">
        <f>C173</f>
        <v>Lincolnshire</v>
      </c>
      <c r="K173" s="21" t="s">
        <v>335</v>
      </c>
    </row>
    <row r="174" spans="1:11" ht="14.4">
      <c r="A174" s="5" t="str">
        <f>F174&amp;(COUNTIFS(F$2:F174,F174,K$2:K174,"Sparse"))</f>
        <v>MD0</v>
      </c>
      <c r="B174" s="5" t="str">
        <f>J174&amp;(COUNTIF(J$2:J174,J174))</f>
        <v>Liverpool1</v>
      </c>
      <c r="C174" s="8" t="s">
        <v>235</v>
      </c>
      <c r="D174" s="8" t="s">
        <v>235</v>
      </c>
      <c r="E174" s="9" t="s">
        <v>376</v>
      </c>
      <c r="F174" s="9" t="s">
        <v>386</v>
      </c>
      <c r="G174" s="9" t="s">
        <v>397</v>
      </c>
      <c r="H174" s="10" t="s">
        <v>893</v>
      </c>
      <c r="I174" s="11" t="s">
        <v>384</v>
      </c>
      <c r="J174" t="str">
        <f>C174</f>
        <v>Liverpool</v>
      </c>
      <c r="K174" s="21"/>
    </row>
    <row r="175" spans="1:11" ht="14.4">
      <c r="A175" s="5" t="str">
        <f>F175&amp;(COUNTIFS(F$2:F175,F175,K$2:K175,"Sparse"))</f>
        <v>UA6</v>
      </c>
      <c r="B175" s="5" t="str">
        <f>J175&amp;(COUNTIF(J$2:J175,J175))</f>
        <v>Unitary25</v>
      </c>
      <c r="C175" s="8" t="s">
        <v>272</v>
      </c>
      <c r="D175" s="8" t="s">
        <v>272</v>
      </c>
      <c r="E175" s="9" t="s">
        <v>369</v>
      </c>
      <c r="F175" s="9" t="s">
        <v>387</v>
      </c>
      <c r="G175" s="9" t="s">
        <v>396</v>
      </c>
      <c r="H175" s="10" t="s">
        <v>888</v>
      </c>
      <c r="I175" s="11" t="s">
        <v>384</v>
      </c>
      <c r="J175" s="22" t="s">
        <v>396</v>
      </c>
      <c r="K175" s="21"/>
    </row>
    <row r="176" spans="1:11" ht="14.4">
      <c r="A176" s="5" t="str">
        <f>F176&amp;(COUNTIFS(F$2:F176,F176,K$2:K176,"Sparse"))</f>
        <v>SD29</v>
      </c>
      <c r="B176" s="5" t="str">
        <f>J176&amp;(COUNTIF(J$2:J176,J176))</f>
        <v>Kent7</v>
      </c>
      <c r="C176" s="8" t="s">
        <v>96</v>
      </c>
      <c r="D176" s="8" t="s">
        <v>96</v>
      </c>
      <c r="E176" s="9" t="s">
        <v>0</v>
      </c>
      <c r="F176" s="9" t="s">
        <v>381</v>
      </c>
      <c r="G176" s="9" t="s">
        <v>5</v>
      </c>
      <c r="H176" s="12" t="s">
        <v>891</v>
      </c>
      <c r="I176" s="11" t="s">
        <v>371</v>
      </c>
      <c r="J176" t="s">
        <v>315</v>
      </c>
      <c r="K176" s="21"/>
    </row>
    <row r="177" spans="1:11" ht="14.4">
      <c r="A177" s="5" t="str">
        <f>F177&amp;(COUNTIFS(F$2:F177,F177,K$2:K177,"Sparse"))</f>
        <v>SD29</v>
      </c>
      <c r="B177" s="5" t="str">
        <f>J177&amp;(COUNTIF(J$2:J177,J177))</f>
        <v>Essex10</v>
      </c>
      <c r="C177" s="8" t="s">
        <v>97</v>
      </c>
      <c r="D177" s="8" t="s">
        <v>97</v>
      </c>
      <c r="E177" s="9" t="s">
        <v>369</v>
      </c>
      <c r="F177" s="9" t="s">
        <v>381</v>
      </c>
      <c r="G177" s="9" t="s">
        <v>5</v>
      </c>
      <c r="H177" s="10" t="s">
        <v>889</v>
      </c>
      <c r="I177" s="11" t="s">
        <v>382</v>
      </c>
      <c r="J177" t="s">
        <v>311</v>
      </c>
      <c r="K177" s="21"/>
    </row>
    <row r="178" spans="1:11" ht="14.4">
      <c r="A178" s="5" t="str">
        <f>F178&amp;(COUNTIFS(F$2:F178,F178,K$2:K178,"Sparse"))</f>
        <v>SD30</v>
      </c>
      <c r="B178" s="5" t="str">
        <f>J178&amp;(COUNTIF(J$2:J178,J178))</f>
        <v>Worcestershire2</v>
      </c>
      <c r="C178" s="8" t="s">
        <v>98</v>
      </c>
      <c r="D178" s="8" t="s">
        <v>98</v>
      </c>
      <c r="E178" s="9" t="s">
        <v>368</v>
      </c>
      <c r="F178" s="9" t="s">
        <v>381</v>
      </c>
      <c r="G178" s="9" t="s">
        <v>5</v>
      </c>
      <c r="H178" s="10" t="s">
        <v>892</v>
      </c>
      <c r="I178" s="11" t="s">
        <v>382</v>
      </c>
      <c r="J178" t="s">
        <v>332</v>
      </c>
      <c r="K178" s="21" t="s">
        <v>335</v>
      </c>
    </row>
    <row r="179" spans="1:11" ht="14.4">
      <c r="A179" s="5" t="str">
        <f>F179&amp;(COUNTIFS(F$2:F179,F179,K$2:K179,"Sparse"))</f>
        <v>MD0</v>
      </c>
      <c r="B179" s="5" t="str">
        <f>J179&amp;(COUNTIF(J$2:J179,J179))</f>
        <v>Manchester1</v>
      </c>
      <c r="C179" s="8" t="s">
        <v>236</v>
      </c>
      <c r="D179" s="8" t="s">
        <v>236</v>
      </c>
      <c r="E179" s="9" t="s">
        <v>376</v>
      </c>
      <c r="F179" s="9" t="s">
        <v>386</v>
      </c>
      <c r="G179" s="9" t="s">
        <v>397</v>
      </c>
      <c r="H179" s="10" t="s">
        <v>893</v>
      </c>
      <c r="I179" s="11" t="s">
        <v>384</v>
      </c>
      <c r="J179" t="str">
        <f>C179</f>
        <v>Manchester</v>
      </c>
      <c r="K179" s="21"/>
    </row>
    <row r="180" spans="1:11" ht="14.4">
      <c r="A180" s="5" t="str">
        <f>F180&amp;(COUNTIFS(F$2:F180,F180,K$2:K180,"Sparse"))</f>
        <v>SD30</v>
      </c>
      <c r="B180" s="5" t="str">
        <f>J180&amp;(COUNTIF(J$2:J180,J180))</f>
        <v>Nottinghamshire5</v>
      </c>
      <c r="C180" s="8" t="s">
        <v>99</v>
      </c>
      <c r="D180" s="8" t="s">
        <v>99</v>
      </c>
      <c r="E180" s="9" t="s">
        <v>367</v>
      </c>
      <c r="F180" s="9" t="s">
        <v>381</v>
      </c>
      <c r="G180" s="9" t="s">
        <v>5</v>
      </c>
      <c r="H180" s="10" t="s">
        <v>888</v>
      </c>
      <c r="I180" s="11" t="s">
        <v>384</v>
      </c>
      <c r="J180" t="s">
        <v>323</v>
      </c>
      <c r="K180" s="21"/>
    </row>
    <row r="181" spans="1:11" ht="14.4">
      <c r="A181" s="5" t="str">
        <f>F181&amp;(COUNTIFS(F$2:F181,F181,K$2:K181,"Sparse"))</f>
        <v>UA6</v>
      </c>
      <c r="B181" s="5" t="str">
        <f>J181&amp;(COUNTIF(J$2:J181,J181))</f>
        <v>Unitary26</v>
      </c>
      <c r="C181" s="8" t="s">
        <v>273</v>
      </c>
      <c r="D181" s="8" t="s">
        <v>273</v>
      </c>
      <c r="E181" s="9" t="s">
        <v>0</v>
      </c>
      <c r="F181" s="9" t="s">
        <v>387</v>
      </c>
      <c r="G181" s="9" t="s">
        <v>396</v>
      </c>
      <c r="H181" s="10" t="s">
        <v>888</v>
      </c>
      <c r="I181" s="11" t="s">
        <v>384</v>
      </c>
      <c r="J181" s="22" t="s">
        <v>396</v>
      </c>
      <c r="K181" s="21"/>
    </row>
    <row r="182" spans="1:11" ht="14.4">
      <c r="A182" s="5" t="str">
        <f>F182&amp;(COUNTIFS(F$2:F182,F182,K$2:K182,"Sparse"))</f>
        <v>SD31</v>
      </c>
      <c r="B182" s="5" t="str">
        <f>J182&amp;(COUNTIF(J$2:J182,J182))</f>
        <v>Leicestershire6</v>
      </c>
      <c r="C182" s="8" t="s">
        <v>100</v>
      </c>
      <c r="D182" s="8" t="s">
        <v>100</v>
      </c>
      <c r="E182" s="9" t="s">
        <v>367</v>
      </c>
      <c r="F182" s="9" t="s">
        <v>381</v>
      </c>
      <c r="G182" s="9" t="s">
        <v>5</v>
      </c>
      <c r="H182" s="10" t="s">
        <v>889</v>
      </c>
      <c r="I182" s="11" t="s">
        <v>382</v>
      </c>
      <c r="J182" t="s">
        <v>317</v>
      </c>
      <c r="K182" s="21" t="s">
        <v>335</v>
      </c>
    </row>
    <row r="183" spans="1:11" ht="14.4">
      <c r="A183" s="5" t="str">
        <f>F183&amp;(COUNTIFS(F$2:F183,F183,K$2:K183,"Sparse"))</f>
        <v>SD32</v>
      </c>
      <c r="B183" s="5" t="str">
        <f>J183&amp;(COUNTIF(J$2:J183,J183))</f>
        <v>Somerset1</v>
      </c>
      <c r="C183" s="8" t="s">
        <v>101</v>
      </c>
      <c r="D183" s="8" t="s">
        <v>101</v>
      </c>
      <c r="E183" s="9" t="s">
        <v>1</v>
      </c>
      <c r="F183" s="9" t="s">
        <v>381</v>
      </c>
      <c r="G183" s="9" t="s">
        <v>5</v>
      </c>
      <c r="H183" s="10" t="s">
        <v>889</v>
      </c>
      <c r="I183" s="11" t="s">
        <v>382</v>
      </c>
      <c r="J183" t="s">
        <v>326</v>
      </c>
      <c r="K183" s="21" t="s">
        <v>335</v>
      </c>
    </row>
    <row r="184" spans="1:11" ht="14.4">
      <c r="A184" s="5" t="str">
        <f>F184&amp;(COUNTIFS(F$2:F184,F184,K$2:K184,"Sparse"))</f>
        <v>L0</v>
      </c>
      <c r="B184" s="5" t="str">
        <f>J184&amp;(COUNTIF(J$2:J184,J184))</f>
        <v>London24</v>
      </c>
      <c r="C184" s="8" t="s">
        <v>214</v>
      </c>
      <c r="D184" s="8" t="s">
        <v>214</v>
      </c>
      <c r="E184" s="9" t="s">
        <v>383</v>
      </c>
      <c r="F184" s="9" t="s">
        <v>359</v>
      </c>
      <c r="G184" s="9" t="s">
        <v>383</v>
      </c>
      <c r="H184" s="10" t="s">
        <v>893</v>
      </c>
      <c r="I184" s="11" t="s">
        <v>384</v>
      </c>
      <c r="J184" t="str">
        <f>G184</f>
        <v>London</v>
      </c>
      <c r="K184" s="21"/>
    </row>
    <row r="185" spans="1:11" ht="14.4">
      <c r="A185" s="5" t="str">
        <f>F185&amp;(COUNTIFS(F$2:F185,F185,K$2:K185,"Sparse"))</f>
        <v>SD33</v>
      </c>
      <c r="B185" s="5" t="str">
        <f>J185&amp;(COUNTIF(J$2:J185,J185))</f>
        <v>Devon4</v>
      </c>
      <c r="C185" s="8" t="s">
        <v>102</v>
      </c>
      <c r="D185" s="8" t="s">
        <v>102</v>
      </c>
      <c r="E185" s="9" t="s">
        <v>1</v>
      </c>
      <c r="F185" s="9" t="s">
        <v>381</v>
      </c>
      <c r="G185" s="9" t="s">
        <v>5</v>
      </c>
      <c r="H185" s="10" t="s">
        <v>889</v>
      </c>
      <c r="I185" s="11" t="s">
        <v>382</v>
      </c>
      <c r="J185" t="s">
        <v>308</v>
      </c>
      <c r="K185" s="21" t="s">
        <v>335</v>
      </c>
    </row>
    <row r="186" spans="1:11" ht="14.4">
      <c r="A186" s="5" t="str">
        <f>F186&amp;(COUNTIFS(F$2:F186,F186,K$2:K186,"Sparse"))</f>
        <v>SD34</v>
      </c>
      <c r="B186" s="5" t="str">
        <f>J186&amp;(COUNTIF(J$2:J186,J186))</f>
        <v>Suffolk5</v>
      </c>
      <c r="C186" s="8" t="s">
        <v>103</v>
      </c>
      <c r="D186" s="8" t="s">
        <v>103</v>
      </c>
      <c r="E186" s="9" t="s">
        <v>369</v>
      </c>
      <c r="F186" s="9" t="s">
        <v>381</v>
      </c>
      <c r="G186" s="9" t="s">
        <v>5</v>
      </c>
      <c r="H186" s="10" t="s">
        <v>889</v>
      </c>
      <c r="I186" s="11" t="s">
        <v>382</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381</v>
      </c>
      <c r="G187" s="9" t="s">
        <v>5</v>
      </c>
      <c r="H187" s="10" t="s">
        <v>888</v>
      </c>
      <c r="I187" s="11" t="s">
        <v>384</v>
      </c>
      <c r="J187" t="s">
        <v>331</v>
      </c>
      <c r="K187" s="21" t="s">
        <v>335</v>
      </c>
    </row>
    <row r="188" spans="1:11" ht="14.4">
      <c r="A188" s="5" t="str">
        <f>F188&amp;(COUNTIFS(F$2:F188,F188,K$2:K188,"Sparse"))</f>
        <v>UA6</v>
      </c>
      <c r="B188" s="5" t="str">
        <f>J188&amp;(COUNTIF(J$2:J188,J188))</f>
        <v>Unitary27</v>
      </c>
      <c r="C188" s="8" t="s">
        <v>274</v>
      </c>
      <c r="D188" s="8" t="s">
        <v>274</v>
      </c>
      <c r="E188" s="9" t="s">
        <v>390</v>
      </c>
      <c r="F188" s="9" t="s">
        <v>387</v>
      </c>
      <c r="G188" s="9" t="s">
        <v>396</v>
      </c>
      <c r="H188" s="10" t="s">
        <v>888</v>
      </c>
      <c r="I188" s="11" t="s">
        <v>384</v>
      </c>
      <c r="J188" s="22" t="s">
        <v>396</v>
      </c>
      <c r="K188" s="21"/>
    </row>
    <row r="189" spans="1:11" ht="14.4">
      <c r="A189" s="5" t="str">
        <f>F189&amp;(COUNTIFS(F$2:F189,F189,K$2:K189,"Sparse"))</f>
        <v>UA6</v>
      </c>
      <c r="B189" s="5" t="str">
        <f>J189&amp;(COUNTIF(J$2:J189,J189))</f>
        <v>Unitary28</v>
      </c>
      <c r="C189" s="8" t="s">
        <v>275</v>
      </c>
      <c r="D189" s="8" t="s">
        <v>275</v>
      </c>
      <c r="E189" s="9" t="s">
        <v>0</v>
      </c>
      <c r="F189" s="9" t="s">
        <v>387</v>
      </c>
      <c r="G189" s="9" t="s">
        <v>396</v>
      </c>
      <c r="H189" s="10" t="s">
        <v>888</v>
      </c>
      <c r="I189" s="11" t="s">
        <v>384</v>
      </c>
      <c r="J189" s="22" t="s">
        <v>396</v>
      </c>
      <c r="K189" s="21"/>
    </row>
    <row r="190" spans="1:11" ht="14.4">
      <c r="A190" s="5" t="str">
        <f>F190&amp;(COUNTIFS(F$2:F190,F190,K$2:K190,"Sparse"))</f>
        <v>SD35</v>
      </c>
      <c r="B190" s="5" t="str">
        <f>J190&amp;(COUNTIF(J$2:J190,J190))</f>
        <v>Surrey4</v>
      </c>
      <c r="C190" s="8" t="s">
        <v>105</v>
      </c>
      <c r="D190" s="8" t="s">
        <v>105</v>
      </c>
      <c r="E190" s="9" t="s">
        <v>0</v>
      </c>
      <c r="F190" s="9" t="s">
        <v>381</v>
      </c>
      <c r="G190" s="9" t="s">
        <v>5</v>
      </c>
      <c r="H190" s="12" t="s">
        <v>891</v>
      </c>
      <c r="I190" s="11" t="s">
        <v>371</v>
      </c>
      <c r="J190" t="s">
        <v>329</v>
      </c>
      <c r="K190" s="21"/>
    </row>
    <row r="191" spans="1:11" ht="14.4">
      <c r="A191" s="5" t="str">
        <f>F191&amp;(COUNTIFS(F$2:F191,F191,K$2:K191,"Sparse"))</f>
        <v>SD36</v>
      </c>
      <c r="B191" s="5" t="str">
        <f>J191&amp;(COUNTIF(J$2:J191,J191))</f>
        <v>Hampshire9</v>
      </c>
      <c r="C191" s="8" t="s">
        <v>106</v>
      </c>
      <c r="D191" s="8" t="s">
        <v>106</v>
      </c>
      <c r="E191" s="9" t="s">
        <v>0</v>
      </c>
      <c r="F191" s="9" t="s">
        <v>381</v>
      </c>
      <c r="G191" s="9" t="s">
        <v>5</v>
      </c>
      <c r="H191" s="12" t="s">
        <v>891</v>
      </c>
      <c r="I191" s="11" t="s">
        <v>371</v>
      </c>
      <c r="J191" t="s">
        <v>313</v>
      </c>
      <c r="K191" s="21" t="s">
        <v>335</v>
      </c>
    </row>
    <row r="192" spans="1:11" ht="14.4">
      <c r="A192" s="5" t="str">
        <f>F192&amp;(COUNTIFS(F$2:F192,F192,K$2:K192,"Sparse"))</f>
        <v>SD37</v>
      </c>
      <c r="B192" s="5" t="str">
        <f>J192&amp;(COUNTIF(J$2:J192,J192))</f>
        <v>Nottinghamshire6</v>
      </c>
      <c r="C192" s="8" t="s">
        <v>346</v>
      </c>
      <c r="D192" s="8" t="s">
        <v>346</v>
      </c>
      <c r="E192" s="9" t="s">
        <v>367</v>
      </c>
      <c r="F192" s="9" t="s">
        <v>381</v>
      </c>
      <c r="G192" s="9" t="s">
        <v>5</v>
      </c>
      <c r="H192" s="10" t="s">
        <v>892</v>
      </c>
      <c r="I192" s="11" t="s">
        <v>382</v>
      </c>
      <c r="J192" t="s">
        <v>323</v>
      </c>
      <c r="K192" s="21" t="s">
        <v>335</v>
      </c>
    </row>
    <row r="193" spans="1:11" ht="14.4">
      <c r="A193" s="5" t="str">
        <f>F193&amp;(COUNTIFS(F$2:F193,F193,K$2:K193,"Sparse"))</f>
        <v>MD0</v>
      </c>
      <c r="B193" s="5" t="str">
        <f>J193&amp;(COUNTIF(J$2:J193,J193))</f>
        <v>Newcastle upon Tyne1</v>
      </c>
      <c r="C193" s="8" t="s">
        <v>237</v>
      </c>
      <c r="D193" s="8" t="s">
        <v>237</v>
      </c>
      <c r="E193" s="9" t="s">
        <v>390</v>
      </c>
      <c r="F193" s="9" t="s">
        <v>386</v>
      </c>
      <c r="G193" s="9" t="s">
        <v>397</v>
      </c>
      <c r="H193" s="10" t="s">
        <v>893</v>
      </c>
      <c r="I193" s="11" t="s">
        <v>384</v>
      </c>
      <c r="J193" t="str">
        <f>C193</f>
        <v>Newcastle upon Tyne</v>
      </c>
      <c r="K193" s="21"/>
    </row>
    <row r="194" spans="1:11" ht="14.4">
      <c r="A194" s="5" t="str">
        <f>F194&amp;(COUNTIFS(F$2:F194,F194,K$2:K194,"Sparse"))</f>
        <v>SD37</v>
      </c>
      <c r="B194" s="5" t="str">
        <f>J194&amp;(COUNTIF(J$2:J194,J194))</f>
        <v>Staffordshire4</v>
      </c>
      <c r="C194" s="8" t="s">
        <v>107</v>
      </c>
      <c r="D194" s="8" t="s">
        <v>107</v>
      </c>
      <c r="E194" s="9" t="s">
        <v>368</v>
      </c>
      <c r="F194" s="9" t="s">
        <v>381</v>
      </c>
      <c r="G194" s="9" t="s">
        <v>5</v>
      </c>
      <c r="H194" s="10" t="s">
        <v>888</v>
      </c>
      <c r="I194" s="11" t="s">
        <v>384</v>
      </c>
      <c r="J194" t="s">
        <v>327</v>
      </c>
      <c r="K194" s="21"/>
    </row>
    <row r="195" spans="1:11" ht="14.4">
      <c r="A195" s="5" t="str">
        <f>F195&amp;(COUNTIFS(F$2:F195,F195,K$2:K195,"Sparse"))</f>
        <v>L0</v>
      </c>
      <c r="B195" s="5" t="str">
        <f>J195&amp;(COUNTIF(J$2:J195,J195))</f>
        <v>London25</v>
      </c>
      <c r="C195" s="8" t="s">
        <v>215</v>
      </c>
      <c r="D195" s="8" t="s">
        <v>215</v>
      </c>
      <c r="E195" s="9" t="s">
        <v>383</v>
      </c>
      <c r="F195" s="9" t="s">
        <v>359</v>
      </c>
      <c r="G195" s="9" t="s">
        <v>383</v>
      </c>
      <c r="H195" s="10" t="s">
        <v>893</v>
      </c>
      <c r="I195" s="11" t="s">
        <v>384</v>
      </c>
      <c r="J195" t="str">
        <f>G195</f>
        <v>London</v>
      </c>
      <c r="K195" s="21"/>
    </row>
    <row r="196" spans="1:11" ht="14.4">
      <c r="A196" s="5" t="str">
        <f>F196&amp;(COUNTIFS(F$2:F196,F196,K$2:K196,"Sparse"))</f>
        <v>SC10</v>
      </c>
      <c r="B196" s="5" t="str">
        <f>J196&amp;(COUNTIF(J$2:J196,J196))</f>
        <v>Norfolk5</v>
      </c>
      <c r="C196" s="15" t="s">
        <v>319</v>
      </c>
      <c r="D196" s="15" t="s">
        <v>319</v>
      </c>
      <c r="E196" s="9" t="s">
        <v>369</v>
      </c>
      <c r="F196" s="9" t="s">
        <v>389</v>
      </c>
      <c r="G196" s="9" t="s">
        <v>301</v>
      </c>
      <c r="H196" s="15" t="s">
        <v>382</v>
      </c>
      <c r="I196" s="11" t="s">
        <v>382</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381</v>
      </c>
      <c r="G197" s="9" t="s">
        <v>5</v>
      </c>
      <c r="H197" s="10" t="s">
        <v>892</v>
      </c>
      <c r="I197" s="11" t="s">
        <v>382</v>
      </c>
      <c r="J197" t="s">
        <v>308</v>
      </c>
      <c r="K197" s="21" t="s">
        <v>335</v>
      </c>
    </row>
    <row r="198" spans="1:11" ht="14.4">
      <c r="A198" s="5" t="str">
        <f>F198&amp;(COUNTIFS(F$2:F198,F198,K$2:K198,"Sparse"))</f>
        <v>SD38</v>
      </c>
      <c r="B198" s="5" t="str">
        <f>J198&amp;(COUNTIF(J$2:J198,J198))</f>
        <v>Dorset4</v>
      </c>
      <c r="C198" s="8" t="s">
        <v>109</v>
      </c>
      <c r="D198" s="8" t="s">
        <v>109</v>
      </c>
      <c r="E198" s="9" t="s">
        <v>1</v>
      </c>
      <c r="F198" s="9" t="s">
        <v>381</v>
      </c>
      <c r="G198" s="9" t="s">
        <v>5</v>
      </c>
      <c r="H198" s="10" t="s">
        <v>889</v>
      </c>
      <c r="I198" s="11" t="s">
        <v>382</v>
      </c>
      <c r="J198" t="s">
        <v>309</v>
      </c>
      <c r="K198" s="21"/>
    </row>
    <row r="199" spans="1:11" ht="14.4">
      <c r="A199" s="5" t="str">
        <f>F199&amp;(COUNTIFS(F$2:F199,F199,K$2:K199,"Sparse"))</f>
        <v>SD38</v>
      </c>
      <c r="B199" s="5" t="str">
        <f>J199&amp;(COUNTIF(J$2:J199,J199))</f>
        <v>Derbyshire8</v>
      </c>
      <c r="C199" s="8" t="s">
        <v>110</v>
      </c>
      <c r="D199" s="8" t="s">
        <v>110</v>
      </c>
      <c r="E199" s="9" t="s">
        <v>367</v>
      </c>
      <c r="F199" s="9" t="s">
        <v>381</v>
      </c>
      <c r="G199" s="9" t="s">
        <v>5</v>
      </c>
      <c r="H199" s="10" t="s">
        <v>888</v>
      </c>
      <c r="I199" s="11" t="s">
        <v>384</v>
      </c>
      <c r="J199" t="s">
        <v>307</v>
      </c>
      <c r="K199" s="21"/>
    </row>
    <row r="200" spans="1:11" ht="14.4">
      <c r="A200" s="5" t="str">
        <f>F200&amp;(COUNTIFS(F$2:F200,F200,K$2:K200,"Sparse"))</f>
        <v>UA6</v>
      </c>
      <c r="B200" s="5" t="str">
        <f>J200&amp;(COUNTIF(J$2:J200,J200))</f>
        <v>Unitary29</v>
      </c>
      <c r="C200" s="8" t="s">
        <v>276</v>
      </c>
      <c r="D200" s="8" t="s">
        <v>276</v>
      </c>
      <c r="E200" s="9" t="s">
        <v>385</v>
      </c>
      <c r="F200" s="9" t="s">
        <v>387</v>
      </c>
      <c r="G200" s="9" t="s">
        <v>396</v>
      </c>
      <c r="H200" s="10" t="s">
        <v>888</v>
      </c>
      <c r="I200" s="11" t="s">
        <v>384</v>
      </c>
      <c r="J200" s="22" t="s">
        <v>396</v>
      </c>
      <c r="K200" s="21"/>
    </row>
    <row r="201" spans="1:11" ht="14.4">
      <c r="A201" s="5" t="str">
        <f>F201&amp;(COUNTIFS(F$2:F201,F201,K$2:K201,"Sparse"))</f>
        <v>SD38</v>
      </c>
      <c r="B201" s="5" t="str">
        <f>J201&amp;(COUNTIF(J$2:J201,J201))</f>
        <v>Hertfordshire6</v>
      </c>
      <c r="C201" s="8" t="s">
        <v>111</v>
      </c>
      <c r="D201" s="8" t="s">
        <v>111</v>
      </c>
      <c r="E201" s="9" t="s">
        <v>369</v>
      </c>
      <c r="F201" s="9" t="s">
        <v>381</v>
      </c>
      <c r="G201" s="9" t="s">
        <v>5</v>
      </c>
      <c r="H201" s="12" t="s">
        <v>891</v>
      </c>
      <c r="I201" s="11" t="s">
        <v>371</v>
      </c>
      <c r="J201" t="s">
        <v>314</v>
      </c>
      <c r="K201" s="21"/>
    </row>
    <row r="202" spans="1:11" ht="14.4">
      <c r="A202" s="5" t="str">
        <f>F202&amp;(COUNTIFS(F$2:F202,F202,K$2:K202,"Sparse"))</f>
        <v>SD39</v>
      </c>
      <c r="B202" s="5" t="str">
        <f>J202&amp;(COUNTIF(J$2:J202,J202))</f>
        <v>Lincolnshire5</v>
      </c>
      <c r="C202" s="8" t="s">
        <v>112</v>
      </c>
      <c r="D202" s="8" t="s">
        <v>112</v>
      </c>
      <c r="E202" s="9" t="s">
        <v>367</v>
      </c>
      <c r="F202" s="9" t="s">
        <v>381</v>
      </c>
      <c r="G202" s="9" t="s">
        <v>5</v>
      </c>
      <c r="H202" s="10" t="s">
        <v>889</v>
      </c>
      <c r="I202" s="11" t="s">
        <v>382</v>
      </c>
      <c r="J202" t="s">
        <v>318</v>
      </c>
      <c r="K202" s="21" t="s">
        <v>335</v>
      </c>
    </row>
    <row r="203" spans="1:11" ht="14.4">
      <c r="A203" s="5" t="str">
        <f>F203&amp;(COUNTIFS(F$2:F203,F203,K$2:K203,"Sparse"))</f>
        <v>UA7</v>
      </c>
      <c r="B203" s="5" t="str">
        <f>J203&amp;(COUNTIF(J$2:J203,J203))</f>
        <v>Unitary30</v>
      </c>
      <c r="C203" s="8" t="s">
        <v>277</v>
      </c>
      <c r="D203" s="8" t="s">
        <v>277</v>
      </c>
      <c r="E203" s="9" t="s">
        <v>385</v>
      </c>
      <c r="F203" s="9" t="s">
        <v>387</v>
      </c>
      <c r="G203" s="9" t="s">
        <v>396</v>
      </c>
      <c r="H203" s="10" t="s">
        <v>891</v>
      </c>
      <c r="I203" s="11" t="s">
        <v>371</v>
      </c>
      <c r="J203" s="22" t="s">
        <v>396</v>
      </c>
      <c r="K203" s="21" t="s">
        <v>335</v>
      </c>
    </row>
    <row r="204" spans="1:11" ht="14.4">
      <c r="A204" s="5" t="str">
        <f>F204&amp;(COUNTIFS(F$2:F204,F204,K$2:K204,"Sparse"))</f>
        <v>SD40</v>
      </c>
      <c r="B204" s="5" t="str">
        <f>J204&amp;(COUNTIF(J$2:J204,J204))</f>
        <v>Norfolk6</v>
      </c>
      <c r="C204" s="8" t="s">
        <v>113</v>
      </c>
      <c r="D204" s="8" t="s">
        <v>113</v>
      </c>
      <c r="E204" s="9" t="s">
        <v>369</v>
      </c>
      <c r="F204" s="9" t="s">
        <v>381</v>
      </c>
      <c r="G204" s="9" t="s">
        <v>5</v>
      </c>
      <c r="H204" s="10" t="s">
        <v>889</v>
      </c>
      <c r="I204" s="11" t="s">
        <v>382</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387</v>
      </c>
      <c r="G205" s="9" t="s">
        <v>396</v>
      </c>
      <c r="H205" s="10" t="s">
        <v>891</v>
      </c>
      <c r="I205" s="11" t="s">
        <v>371</v>
      </c>
      <c r="J205" s="22" t="s">
        <v>396</v>
      </c>
      <c r="K205" s="21" t="s">
        <v>335</v>
      </c>
    </row>
    <row r="206" spans="1:11" ht="14.4">
      <c r="A206" s="5" t="str">
        <f>F206&amp;(COUNTIFS(F$2:F206,F206,K$2:K206,"Sparse"))</f>
        <v>MD0</v>
      </c>
      <c r="B206" s="5" t="str">
        <f>J206&amp;(COUNTIF(J$2:J206,J206))</f>
        <v>North Tyneside1</v>
      </c>
      <c r="C206" s="8" t="s">
        <v>238</v>
      </c>
      <c r="D206" s="8" t="s">
        <v>238</v>
      </c>
      <c r="E206" s="9" t="s">
        <v>390</v>
      </c>
      <c r="F206" s="9" t="s">
        <v>386</v>
      </c>
      <c r="G206" s="9" t="s">
        <v>397</v>
      </c>
      <c r="H206" s="10" t="s">
        <v>893</v>
      </c>
      <c r="I206" s="11" t="s">
        <v>384</v>
      </c>
      <c r="J206" t="str">
        <f>C206</f>
        <v>North Tyneside</v>
      </c>
      <c r="K206" s="21"/>
    </row>
    <row r="207" spans="1:11" ht="14.4">
      <c r="A207" s="5" t="str">
        <f>F207&amp;(COUNTIFS(F$2:F207,F207,K$2:K207,"Sparse"))</f>
        <v>SD40</v>
      </c>
      <c r="B207" s="5" t="str">
        <f>J207&amp;(COUNTIF(J$2:J207,J207))</f>
        <v>Warwickshire1</v>
      </c>
      <c r="C207" s="8" t="s">
        <v>114</v>
      </c>
      <c r="D207" s="8" t="s">
        <v>114</v>
      </c>
      <c r="E207" s="9" t="s">
        <v>368</v>
      </c>
      <c r="F207" s="9" t="s">
        <v>381</v>
      </c>
      <c r="G207" s="9" t="s">
        <v>5</v>
      </c>
      <c r="H207" s="10" t="s">
        <v>889</v>
      </c>
      <c r="I207" s="11" t="s">
        <v>382</v>
      </c>
      <c r="J207" t="s">
        <v>330</v>
      </c>
      <c r="K207" s="21"/>
    </row>
    <row r="208" spans="1:11" ht="14.4">
      <c r="A208" s="5" t="str">
        <f>F208&amp;(COUNTIFS(F$2:F208,F208,K$2:K208,"Sparse"))</f>
        <v>SD41</v>
      </c>
      <c r="B208" s="5" t="str">
        <f>J208&amp;(COUNTIF(J$2:J208,J208))</f>
        <v>Leicestershire7</v>
      </c>
      <c r="C208" s="8" t="s">
        <v>115</v>
      </c>
      <c r="D208" s="8" t="s">
        <v>115</v>
      </c>
      <c r="E208" s="9" t="s">
        <v>367</v>
      </c>
      <c r="F208" s="9" t="s">
        <v>381</v>
      </c>
      <c r="G208" s="9" t="s">
        <v>5</v>
      </c>
      <c r="H208" s="10" t="s">
        <v>892</v>
      </c>
      <c r="I208" s="11" t="s">
        <v>382</v>
      </c>
      <c r="J208" t="s">
        <v>317</v>
      </c>
      <c r="K208" s="21" t="s">
        <v>335</v>
      </c>
    </row>
    <row r="209" spans="1:11" ht="14.4">
      <c r="A209" s="5" t="str">
        <f>F209&amp;(COUNTIFS(F$2:F209,F209,K$2:K209,"Sparse"))</f>
        <v>SC11</v>
      </c>
      <c r="B209" s="5" t="str">
        <f>J209&amp;(COUNTIF(J$2:J209,J209))</f>
        <v>North Yorkshire4</v>
      </c>
      <c r="C209" s="11" t="s">
        <v>320</v>
      </c>
      <c r="D209" s="11" t="s">
        <v>320</v>
      </c>
      <c r="E209" s="9" t="s">
        <v>385</v>
      </c>
      <c r="F209" s="9" t="s">
        <v>389</v>
      </c>
      <c r="G209" s="9" t="s">
        <v>301</v>
      </c>
      <c r="H209" s="11" t="s">
        <v>382</v>
      </c>
      <c r="I209" s="11" t="s">
        <v>382</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367</v>
      </c>
      <c r="F210" s="9" t="s">
        <v>381</v>
      </c>
      <c r="G210" s="9" t="s">
        <v>5</v>
      </c>
      <c r="H210" s="10" t="s">
        <v>888</v>
      </c>
      <c r="I210" s="11" t="s">
        <v>384</v>
      </c>
      <c r="J210" t="s">
        <v>321</v>
      </c>
      <c r="K210" s="21"/>
    </row>
    <row r="211" spans="1:11" ht="14.4">
      <c r="A211" s="5" t="str">
        <f>F211&amp;(COUNTIFS(F$2:F211,F211,K$2:K211,"Sparse"))</f>
        <v>SC11</v>
      </c>
      <c r="B211" s="5" t="str">
        <f>J211&amp;(COUNTIF(J$2:J211,J211))</f>
        <v>Northamptonshire6</v>
      </c>
      <c r="C211" s="11" t="s">
        <v>321</v>
      </c>
      <c r="D211" s="11" t="s">
        <v>321</v>
      </c>
      <c r="E211" s="9" t="s">
        <v>367</v>
      </c>
      <c r="F211" s="9" t="s">
        <v>389</v>
      </c>
      <c r="G211" s="9" t="s">
        <v>301</v>
      </c>
      <c r="H211" s="11" t="s">
        <v>371</v>
      </c>
      <c r="I211" s="11" t="s">
        <v>371</v>
      </c>
      <c r="J211" t="str">
        <f>C211</f>
        <v>Northamptonshire</v>
      </c>
      <c r="K211" s="21"/>
    </row>
    <row r="212" spans="1:11" ht="14.4">
      <c r="A212" s="5" t="str">
        <f>F212&amp;(COUNTIFS(F$2:F212,F212,K$2:K212,"Sparse"))</f>
        <v>UA9</v>
      </c>
      <c r="B212" s="5" t="str">
        <f>J212&amp;(COUNTIF(J$2:J212,J212))</f>
        <v>Unitary32</v>
      </c>
      <c r="C212" s="8" t="s">
        <v>322</v>
      </c>
      <c r="D212" s="8" t="s">
        <v>322</v>
      </c>
      <c r="E212" s="9" t="s">
        <v>390</v>
      </c>
      <c r="F212" s="9" t="s">
        <v>387</v>
      </c>
      <c r="G212" s="9" t="s">
        <v>396</v>
      </c>
      <c r="H212" s="12" t="s">
        <v>892</v>
      </c>
      <c r="I212" s="11" t="s">
        <v>382</v>
      </c>
      <c r="J212" s="22" t="s">
        <v>396</v>
      </c>
      <c r="K212" s="21" t="s">
        <v>335</v>
      </c>
    </row>
    <row r="213" spans="1:11" ht="14.4">
      <c r="A213" s="5" t="str">
        <f>F213&amp;(COUNTIFS(F$2:F213,F213,K$2:K213,"Sparse"))</f>
        <v>SD41</v>
      </c>
      <c r="B213" s="5" t="str">
        <f>J213&amp;(COUNTIF(J$2:J213,J213))</f>
        <v>Norfolk7</v>
      </c>
      <c r="C213" s="8" t="s">
        <v>117</v>
      </c>
      <c r="D213" s="8" t="s">
        <v>117</v>
      </c>
      <c r="E213" s="9" t="s">
        <v>369</v>
      </c>
      <c r="F213" s="9" t="s">
        <v>381</v>
      </c>
      <c r="G213" s="9" t="s">
        <v>5</v>
      </c>
      <c r="H213" s="10" t="s">
        <v>888</v>
      </c>
      <c r="I213" s="11" t="s">
        <v>384</v>
      </c>
      <c r="J213" t="s">
        <v>319</v>
      </c>
      <c r="K213" s="21"/>
    </row>
    <row r="214" spans="1:11" ht="14.4">
      <c r="A214" s="5" t="str">
        <f>F214&amp;(COUNTIFS(F$2:F214,F214,K$2:K214,"Sparse"))</f>
        <v>UA9</v>
      </c>
      <c r="B214" s="5" t="str">
        <f>J214&amp;(COUNTIF(J$2:J214,J214))</f>
        <v>Unitary33</v>
      </c>
      <c r="C214" s="8" t="s">
        <v>279</v>
      </c>
      <c r="D214" s="8" t="s">
        <v>279</v>
      </c>
      <c r="E214" s="9" t="s">
        <v>367</v>
      </c>
      <c r="F214" s="9" t="s">
        <v>387</v>
      </c>
      <c r="G214" s="9" t="s">
        <v>396</v>
      </c>
      <c r="H214" s="10" t="s">
        <v>890</v>
      </c>
      <c r="I214" s="11" t="s">
        <v>384</v>
      </c>
      <c r="J214" s="22" t="s">
        <v>396</v>
      </c>
      <c r="K214" s="21"/>
    </row>
    <row r="215" spans="1:11" ht="14.4">
      <c r="A215" s="5" t="str">
        <f>F215&amp;(COUNTIFS(F$2:F215,F215,K$2:K215,"Sparse"))</f>
        <v>SC12</v>
      </c>
      <c r="B215" s="5" t="str">
        <f>J215&amp;(COUNTIF(J$2:J215,J215))</f>
        <v>Nottinghamshire7</v>
      </c>
      <c r="C215" s="11" t="s">
        <v>323</v>
      </c>
      <c r="D215" s="11" t="s">
        <v>323</v>
      </c>
      <c r="E215" s="9" t="s">
        <v>367</v>
      </c>
      <c r="F215" s="9" t="s">
        <v>389</v>
      </c>
      <c r="G215" s="9" t="s">
        <v>301</v>
      </c>
      <c r="H215" s="11" t="s">
        <v>371</v>
      </c>
      <c r="I215" s="11" t="s">
        <v>371</v>
      </c>
      <c r="J215" t="str">
        <f>C215</f>
        <v>Nottinghamshire</v>
      </c>
      <c r="K215" s="21" t="s">
        <v>335</v>
      </c>
    </row>
    <row r="216" spans="1:11" ht="14.4">
      <c r="A216" s="5" t="str">
        <f>F216&amp;(COUNTIFS(F$2:F216,F216,K$2:K216,"Sparse"))</f>
        <v>SD41</v>
      </c>
      <c r="B216" s="5" t="str">
        <f>J216&amp;(COUNTIF(J$2:J216,J216))</f>
        <v>Warwickshire2</v>
      </c>
      <c r="C216" s="8" t="s">
        <v>347</v>
      </c>
      <c r="D216" s="8" t="s">
        <v>347</v>
      </c>
      <c r="E216" s="9" t="s">
        <v>368</v>
      </c>
      <c r="F216" s="9" t="s">
        <v>381</v>
      </c>
      <c r="G216" s="9" t="s">
        <v>5</v>
      </c>
      <c r="H216" s="10" t="s">
        <v>888</v>
      </c>
      <c r="I216" s="11" t="s">
        <v>384</v>
      </c>
      <c r="J216" t="s">
        <v>330</v>
      </c>
      <c r="K216" s="21"/>
    </row>
    <row r="217" spans="1:11" ht="14.4">
      <c r="A217" s="5" t="str">
        <f>F217&amp;(COUNTIFS(F$2:F217,F217,K$2:K217,"Sparse"))</f>
        <v>SD41</v>
      </c>
      <c r="B217" s="5" t="str">
        <f>J217&amp;(COUNTIF(J$2:J217,J217))</f>
        <v>Leicestershire8</v>
      </c>
      <c r="C217" s="8" t="s">
        <v>348</v>
      </c>
      <c r="D217" s="8" t="s">
        <v>348</v>
      </c>
      <c r="E217" s="9" t="s">
        <v>367</v>
      </c>
      <c r="F217" s="9" t="s">
        <v>381</v>
      </c>
      <c r="G217" s="9" t="s">
        <v>5</v>
      </c>
      <c r="H217" s="10" t="s">
        <v>888</v>
      </c>
      <c r="I217" s="11" t="s">
        <v>384</v>
      </c>
      <c r="J217" t="s">
        <v>317</v>
      </c>
      <c r="K217" s="21"/>
    </row>
    <row r="218" spans="1:11" ht="14.4">
      <c r="A218" s="5" t="str">
        <f>F218&amp;(COUNTIFS(F$2:F218,F218,K$2:K218,"Sparse"))</f>
        <v>MD0</v>
      </c>
      <c r="B218" s="5" t="str">
        <f>J218&amp;(COUNTIF(J$2:J218,J218))</f>
        <v>Oldham1</v>
      </c>
      <c r="C218" s="8" t="s">
        <v>239</v>
      </c>
      <c r="D218" s="8" t="s">
        <v>239</v>
      </c>
      <c r="E218" s="9" t="s">
        <v>376</v>
      </c>
      <c r="F218" s="9" t="s">
        <v>386</v>
      </c>
      <c r="G218" s="9" t="s">
        <v>397</v>
      </c>
      <c r="H218" s="10" t="s">
        <v>893</v>
      </c>
      <c r="I218" s="11" t="s">
        <v>384</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381</v>
      </c>
      <c r="G219" s="9" t="s">
        <v>5</v>
      </c>
      <c r="H219" s="10" t="s">
        <v>888</v>
      </c>
      <c r="I219" s="11" t="s">
        <v>384</v>
      </c>
      <c r="J219" t="s">
        <v>324</v>
      </c>
      <c r="K219" s="21"/>
    </row>
    <row r="220" spans="1:11" ht="14.4">
      <c r="A220" s="5" t="str">
        <f>F220&amp;(COUNTIFS(F$2:F220,F220,K$2:K220,"Sparse"))</f>
        <v>SC12</v>
      </c>
      <c r="B220" s="5" t="str">
        <f>J220&amp;(COUNTIF(J$2:J220,J220))</f>
        <v>Oxfordshire3</v>
      </c>
      <c r="C220" s="11" t="s">
        <v>324</v>
      </c>
      <c r="D220" s="11" t="s">
        <v>324</v>
      </c>
      <c r="E220" s="9" t="s">
        <v>0</v>
      </c>
      <c r="F220" s="9" t="s">
        <v>389</v>
      </c>
      <c r="G220" s="9" t="s">
        <v>301</v>
      </c>
      <c r="H220" s="11" t="s">
        <v>382</v>
      </c>
      <c r="I220" s="11" t="s">
        <v>382</v>
      </c>
      <c r="J220" t="str">
        <f>C220</f>
        <v>Oxfordshire</v>
      </c>
      <c r="K220" s="21"/>
    </row>
    <row r="221" spans="1:11" ht="14.4">
      <c r="A221" s="5" t="str">
        <f>F221&amp;(COUNTIFS(F$2:F221,F221,K$2:K221,"Sparse"))</f>
        <v>SD41</v>
      </c>
      <c r="B221" s="5" t="str">
        <f>J221&amp;(COUNTIF(J$2:J221,J221))</f>
        <v>Lancashire7</v>
      </c>
      <c r="C221" s="8" t="s">
        <v>119</v>
      </c>
      <c r="D221" s="8" t="s">
        <v>119</v>
      </c>
      <c r="E221" s="9" t="s">
        <v>376</v>
      </c>
      <c r="F221" s="9" t="s">
        <v>381</v>
      </c>
      <c r="G221" s="9" t="s">
        <v>5</v>
      </c>
      <c r="H221" s="10" t="s">
        <v>888</v>
      </c>
      <c r="I221" s="11" t="s">
        <v>384</v>
      </c>
      <c r="J221" t="s">
        <v>316</v>
      </c>
      <c r="K221" s="21"/>
    </row>
    <row r="222" spans="1:11" ht="14.4">
      <c r="A222" s="5" t="str">
        <f>F222&amp;(COUNTIFS(F$2:F222,F222,K$2:K222,"Sparse"))</f>
        <v>UA9</v>
      </c>
      <c r="B222" s="5" t="str">
        <f>J222&amp;(COUNTIF(J$2:J222,J222))</f>
        <v>Unitary34</v>
      </c>
      <c r="C222" s="8" t="s">
        <v>280</v>
      </c>
      <c r="D222" s="8" t="s">
        <v>280</v>
      </c>
      <c r="E222" s="9" t="s">
        <v>369</v>
      </c>
      <c r="F222" s="9" t="s">
        <v>387</v>
      </c>
      <c r="G222" s="9" t="s">
        <v>396</v>
      </c>
      <c r="H222" s="10" t="s">
        <v>888</v>
      </c>
      <c r="I222" s="11" t="s">
        <v>384</v>
      </c>
      <c r="J222" s="22" t="s">
        <v>396</v>
      </c>
      <c r="K222" s="21"/>
    </row>
    <row r="223" spans="1:11" ht="14.4">
      <c r="A223" s="5" t="str">
        <f>F223&amp;(COUNTIFS(F$2:F223,F223,K$2:K223,"Sparse"))</f>
        <v>UA9</v>
      </c>
      <c r="B223" s="5" t="str">
        <f>J223&amp;(COUNTIF(J$2:J223,J223))</f>
        <v>Unitary35</v>
      </c>
      <c r="C223" s="8" t="s">
        <v>281</v>
      </c>
      <c r="D223" s="8" t="s">
        <v>281</v>
      </c>
      <c r="E223" s="9" t="s">
        <v>1</v>
      </c>
      <c r="F223" s="9" t="s">
        <v>387</v>
      </c>
      <c r="G223" s="9" t="s">
        <v>396</v>
      </c>
      <c r="H223" s="10" t="s">
        <v>888</v>
      </c>
      <c r="I223" s="11" t="s">
        <v>384</v>
      </c>
      <c r="J223" s="22" t="s">
        <v>396</v>
      </c>
      <c r="K223" s="21"/>
    </row>
    <row r="224" spans="1:11" ht="14.4">
      <c r="A224" s="5" t="str">
        <f>F224&amp;(COUNTIFS(F$2:F224,F224,K$2:K224,"Sparse"))</f>
        <v>UA9</v>
      </c>
      <c r="B224" s="5" t="str">
        <f>J224&amp;(COUNTIF(J$2:J224,J224))</f>
        <v>Unitary36</v>
      </c>
      <c r="C224" s="8" t="s">
        <v>282</v>
      </c>
      <c r="D224" s="8" t="s">
        <v>282</v>
      </c>
      <c r="E224" s="9" t="s">
        <v>1</v>
      </c>
      <c r="F224" s="9" t="s">
        <v>387</v>
      </c>
      <c r="G224" s="9" t="s">
        <v>396</v>
      </c>
      <c r="H224" s="10" t="s">
        <v>888</v>
      </c>
      <c r="I224" s="11" t="s">
        <v>384</v>
      </c>
      <c r="J224" s="22" t="s">
        <v>396</v>
      </c>
      <c r="K224" s="21"/>
    </row>
    <row r="225" spans="1:11" ht="14.4">
      <c r="A225" s="5" t="str">
        <f>F225&amp;(COUNTIFS(F$2:F225,F225,K$2:K225,"Sparse"))</f>
        <v>UA9</v>
      </c>
      <c r="B225" s="5" t="str">
        <f>J225&amp;(COUNTIF(J$2:J225,J225))</f>
        <v>Unitary37</v>
      </c>
      <c r="C225" s="8" t="s">
        <v>283</v>
      </c>
      <c r="D225" s="8" t="s">
        <v>283</v>
      </c>
      <c r="E225" s="9" t="s">
        <v>0</v>
      </c>
      <c r="F225" s="9" t="s">
        <v>387</v>
      </c>
      <c r="G225" s="9" t="s">
        <v>396</v>
      </c>
      <c r="H225" s="10" t="s">
        <v>888</v>
      </c>
      <c r="I225" s="11" t="s">
        <v>384</v>
      </c>
      <c r="J225" s="22" t="s">
        <v>396</v>
      </c>
      <c r="K225" s="21"/>
    </row>
    <row r="226" spans="1:11" ht="14.4">
      <c r="A226" s="5" t="str">
        <f>F226&amp;(COUNTIFS(F$2:F226,F226,K$2:K226,"Sparse"))</f>
        <v>SD41</v>
      </c>
      <c r="B226" s="5" t="str">
        <f>J226&amp;(COUNTIF(J$2:J226,J226))</f>
        <v>Lancashire8</v>
      </c>
      <c r="C226" s="8" t="s">
        <v>120</v>
      </c>
      <c r="D226" s="8" t="s">
        <v>120</v>
      </c>
      <c r="E226" s="9" t="s">
        <v>376</v>
      </c>
      <c r="F226" s="9" t="s">
        <v>381</v>
      </c>
      <c r="G226" s="9" t="s">
        <v>5</v>
      </c>
      <c r="H226" s="10" t="s">
        <v>888</v>
      </c>
      <c r="I226" s="11" t="s">
        <v>384</v>
      </c>
      <c r="J226" t="s">
        <v>316</v>
      </c>
      <c r="K226" s="21"/>
    </row>
    <row r="227" spans="1:11" ht="14.4">
      <c r="A227" s="5" t="str">
        <f>F227&amp;(COUNTIFS(F$2:F227,F227,K$2:K227,"Sparse"))</f>
        <v>SD41</v>
      </c>
      <c r="B227" s="5" t="str">
        <f>J227&amp;(COUNTIF(J$2:J227,J227))</f>
        <v>Dorset5</v>
      </c>
      <c r="C227" s="8" t="s">
        <v>121</v>
      </c>
      <c r="D227" s="8" t="s">
        <v>121</v>
      </c>
      <c r="E227" s="9" t="s">
        <v>1</v>
      </c>
      <c r="F227" s="9" t="s">
        <v>381</v>
      </c>
      <c r="G227" s="9" t="s">
        <v>5</v>
      </c>
      <c r="H227" s="10" t="s">
        <v>889</v>
      </c>
      <c r="I227" s="11" t="s">
        <v>382</v>
      </c>
      <c r="J227" t="s">
        <v>309</v>
      </c>
      <c r="K227" s="21"/>
    </row>
    <row r="228" spans="1:11" ht="14.4">
      <c r="A228" s="5" t="str">
        <f>F228&amp;(COUNTIFS(F$2:F228,F228,K$2:K228,"Sparse"))</f>
        <v>UA9</v>
      </c>
      <c r="B228" s="5" t="str">
        <f>J228&amp;(COUNTIF(J$2:J228,J228))</f>
        <v>Unitary38</v>
      </c>
      <c r="C228" s="8" t="s">
        <v>284</v>
      </c>
      <c r="D228" s="8" t="s">
        <v>284</v>
      </c>
      <c r="E228" s="9" t="s">
        <v>0</v>
      </c>
      <c r="F228" s="9" t="s">
        <v>387</v>
      </c>
      <c r="G228" s="9" t="s">
        <v>396</v>
      </c>
      <c r="H228" s="10" t="s">
        <v>888</v>
      </c>
      <c r="I228" s="11" t="s">
        <v>384</v>
      </c>
      <c r="J228" s="22" t="s">
        <v>396</v>
      </c>
      <c r="K228" s="21"/>
    </row>
    <row r="229" spans="1:11" ht="14.4">
      <c r="A229" s="5" t="str">
        <f>F229&amp;(COUNTIFS(F$2:F229,F229,K$2:K229,"Sparse"))</f>
        <v>L0</v>
      </c>
      <c r="B229" s="5" t="str">
        <f>J229&amp;(COUNTIF(J$2:J229,J229))</f>
        <v>London26</v>
      </c>
      <c r="C229" s="8" t="s">
        <v>216</v>
      </c>
      <c r="D229" s="8" t="s">
        <v>216</v>
      </c>
      <c r="E229" s="9" t="s">
        <v>383</v>
      </c>
      <c r="F229" s="9" t="s">
        <v>359</v>
      </c>
      <c r="G229" s="9" t="s">
        <v>383</v>
      </c>
      <c r="H229" s="10" t="s">
        <v>893</v>
      </c>
      <c r="I229" s="11" t="s">
        <v>384</v>
      </c>
      <c r="J229" t="str">
        <f>G229</f>
        <v>London</v>
      </c>
      <c r="K229" s="21"/>
    </row>
    <row r="230" spans="1:11" ht="14.4">
      <c r="A230" s="5" t="str">
        <f>F230&amp;(COUNTIFS(F$2:F230,F230,K$2:K230,"Sparse"))</f>
        <v>UA9</v>
      </c>
      <c r="B230" s="5" t="str">
        <f>J230&amp;(COUNTIF(J$2:J230,J230))</f>
        <v>Unitary39</v>
      </c>
      <c r="C230" s="8" t="s">
        <v>809</v>
      </c>
      <c r="D230" s="8" t="s">
        <v>809</v>
      </c>
      <c r="E230" s="9" t="s">
        <v>390</v>
      </c>
      <c r="F230" s="9" t="s">
        <v>387</v>
      </c>
      <c r="G230" s="9" t="s">
        <v>396</v>
      </c>
      <c r="H230" s="12" t="s">
        <v>891</v>
      </c>
      <c r="I230" s="11" t="s">
        <v>371</v>
      </c>
      <c r="J230" s="22" t="s">
        <v>396</v>
      </c>
      <c r="K230" s="21"/>
    </row>
    <row r="231" spans="1:11" ht="14.4">
      <c r="A231" s="5" t="str">
        <f>F231&amp;(COUNTIFS(F$2:F231,F231,K$2:K231,"Sparse"))</f>
        <v>SD41</v>
      </c>
      <c r="B231" s="5" t="str">
        <f>J231&amp;(COUNTIF(J$2:J231,J231))</f>
        <v>Worcestershire3</v>
      </c>
      <c r="C231" s="8" t="s">
        <v>122</v>
      </c>
      <c r="D231" s="8" t="s">
        <v>122</v>
      </c>
      <c r="E231" s="9" t="s">
        <v>368</v>
      </c>
      <c r="F231" s="9" t="s">
        <v>381</v>
      </c>
      <c r="G231" s="9" t="s">
        <v>5</v>
      </c>
      <c r="H231" s="10" t="s">
        <v>888</v>
      </c>
      <c r="I231" s="11" t="s">
        <v>384</v>
      </c>
      <c r="J231" t="s">
        <v>332</v>
      </c>
      <c r="K231" s="21"/>
    </row>
    <row r="232" spans="1:11" ht="14.4">
      <c r="A232" s="5" t="str">
        <f>F232&amp;(COUNTIFS(F$2:F232,F232,K$2:K232,"Sparse"))</f>
        <v>SD41</v>
      </c>
      <c r="B232" s="5" t="str">
        <f>J232&amp;(COUNTIF(J$2:J232,J232))</f>
        <v>Surrey5</v>
      </c>
      <c r="C232" s="8" t="s">
        <v>349</v>
      </c>
      <c r="D232" s="8" t="s">
        <v>349</v>
      </c>
      <c r="E232" s="9" t="s">
        <v>0</v>
      </c>
      <c r="F232" s="9" t="s">
        <v>381</v>
      </c>
      <c r="G232" s="9" t="s">
        <v>5</v>
      </c>
      <c r="H232" s="10" t="s">
        <v>888</v>
      </c>
      <c r="I232" s="11" t="s">
        <v>384</v>
      </c>
      <c r="J232" t="s">
        <v>329</v>
      </c>
      <c r="K232" s="21"/>
    </row>
    <row r="233" spans="1:11" ht="14.4">
      <c r="A233" s="5" t="str">
        <f>F233&amp;(COUNTIFS(F$2:F233,F233,K$2:K233,"Sparse"))</f>
        <v>SD42</v>
      </c>
      <c r="B233" s="5" t="str">
        <f>J233&amp;(COUNTIF(J$2:J233,J233))</f>
        <v>Lancashire9</v>
      </c>
      <c r="C233" s="8" t="s">
        <v>123</v>
      </c>
      <c r="D233" s="8" t="s">
        <v>123</v>
      </c>
      <c r="E233" s="9" t="s">
        <v>376</v>
      </c>
      <c r="F233" s="9" t="s">
        <v>381</v>
      </c>
      <c r="G233" s="9" t="s">
        <v>5</v>
      </c>
      <c r="H233" s="10" t="s">
        <v>889</v>
      </c>
      <c r="I233" s="11" t="s">
        <v>382</v>
      </c>
      <c r="J233" t="s">
        <v>316</v>
      </c>
      <c r="K233" s="21" t="s">
        <v>335</v>
      </c>
    </row>
    <row r="234" spans="1:11" ht="14.4">
      <c r="A234" s="5" t="str">
        <f>F234&amp;(COUNTIFS(F$2:F234,F234,K$2:K234,"Sparse"))</f>
        <v>L0</v>
      </c>
      <c r="B234" s="5" t="str">
        <f>J234&amp;(COUNTIF(J$2:J234,J234))</f>
        <v>London27</v>
      </c>
      <c r="C234" s="8" t="s">
        <v>394</v>
      </c>
      <c r="D234" s="8" t="s">
        <v>394</v>
      </c>
      <c r="E234" s="9" t="s">
        <v>383</v>
      </c>
      <c r="F234" s="9" t="s">
        <v>359</v>
      </c>
      <c r="G234" s="9" t="s">
        <v>383</v>
      </c>
      <c r="H234" s="10" t="s">
        <v>893</v>
      </c>
      <c r="I234" s="11" t="s">
        <v>384</v>
      </c>
      <c r="J234" t="str">
        <f>G234</f>
        <v>London</v>
      </c>
      <c r="K234" s="21"/>
    </row>
    <row r="235" spans="1:11" ht="14.4">
      <c r="A235" s="5" t="str">
        <f>F235&amp;(COUNTIFS(F$2:F235,F235,K$2:K235,"Sparse"))</f>
        <v>SD43</v>
      </c>
      <c r="B235" s="5" t="str">
        <f>J235&amp;(COUNTIF(J$2:J235,J235))</f>
        <v>North Yorkshire5</v>
      </c>
      <c r="C235" s="8" t="s">
        <v>124</v>
      </c>
      <c r="D235" s="8" t="s">
        <v>124</v>
      </c>
      <c r="E235" s="9" t="s">
        <v>385</v>
      </c>
      <c r="F235" s="9" t="s">
        <v>381</v>
      </c>
      <c r="G235" s="9" t="s">
        <v>5</v>
      </c>
      <c r="H235" s="10" t="s">
        <v>889</v>
      </c>
      <c r="I235" s="11" t="s">
        <v>382</v>
      </c>
      <c r="J235" t="s">
        <v>320</v>
      </c>
      <c r="K235" s="21" t="s">
        <v>335</v>
      </c>
    </row>
    <row r="236" spans="1:11" ht="14.4">
      <c r="A236" s="5" t="str">
        <f>F236&amp;(COUNTIFS(F$2:F236,F236,K$2:K236,"Sparse"))</f>
        <v>MD0</v>
      </c>
      <c r="B236" s="5" t="str">
        <f>J236&amp;(COUNTIF(J$2:J236,J236))</f>
        <v>Rochdale1</v>
      </c>
      <c r="C236" s="8" t="s">
        <v>240</v>
      </c>
      <c r="D236" s="8" t="s">
        <v>240</v>
      </c>
      <c r="E236" s="9" t="s">
        <v>376</v>
      </c>
      <c r="F236" s="9" t="s">
        <v>386</v>
      </c>
      <c r="G236" s="9" t="s">
        <v>397</v>
      </c>
      <c r="H236" s="10" t="s">
        <v>893</v>
      </c>
      <c r="I236" s="11" t="s">
        <v>384</v>
      </c>
      <c r="J236" t="str">
        <f>C236</f>
        <v>Rochdale</v>
      </c>
      <c r="K236" s="21"/>
    </row>
    <row r="237" spans="1:11" ht="14.4">
      <c r="A237" s="5" t="str">
        <f>F237&amp;(COUNTIFS(F$2:F237,F237,K$2:K237,"Sparse"))</f>
        <v>SD43</v>
      </c>
      <c r="B237" s="5" t="str">
        <f>J237&amp;(COUNTIF(J$2:J237,J237))</f>
        <v>Essex11</v>
      </c>
      <c r="C237" s="8" t="s">
        <v>125</v>
      </c>
      <c r="D237" s="8" t="s">
        <v>125</v>
      </c>
      <c r="E237" s="9" t="s">
        <v>369</v>
      </c>
      <c r="F237" s="9" t="s">
        <v>381</v>
      </c>
      <c r="G237" s="9" t="s">
        <v>5</v>
      </c>
      <c r="H237" s="10" t="s">
        <v>888</v>
      </c>
      <c r="I237" s="11" t="s">
        <v>384</v>
      </c>
      <c r="J237" t="s">
        <v>311</v>
      </c>
      <c r="K237" s="21"/>
    </row>
    <row r="238" spans="1:11" ht="14.4">
      <c r="A238" s="5" t="str">
        <f>F238&amp;(COUNTIFS(F$2:F238,F238,K$2:K238,"Sparse"))</f>
        <v>SD43</v>
      </c>
      <c r="B238" s="5" t="str">
        <f>J238&amp;(COUNTIF(J$2:J238,J238))</f>
        <v>Lancashire10</v>
      </c>
      <c r="C238" s="8" t="s">
        <v>126</v>
      </c>
      <c r="D238" s="8" t="s">
        <v>126</v>
      </c>
      <c r="E238" s="9" t="s">
        <v>376</v>
      </c>
      <c r="F238" s="9" t="s">
        <v>381</v>
      </c>
      <c r="G238" s="9" t="s">
        <v>5</v>
      </c>
      <c r="H238" s="10" t="s">
        <v>888</v>
      </c>
      <c r="I238" s="11" t="s">
        <v>384</v>
      </c>
      <c r="J238" t="s">
        <v>316</v>
      </c>
      <c r="K238" s="21"/>
    </row>
    <row r="239" spans="1:11" ht="14.4">
      <c r="A239" s="5" t="str">
        <f>F239&amp;(COUNTIFS(F$2:F239,F239,K$2:K239,"Sparse"))</f>
        <v>SD44</v>
      </c>
      <c r="B239" s="5" t="str">
        <f>J239&amp;(COUNTIF(J$2:J239,J239))</f>
        <v>East Sussex5</v>
      </c>
      <c r="C239" s="8" t="s">
        <v>127</v>
      </c>
      <c r="D239" s="8" t="s">
        <v>127</v>
      </c>
      <c r="E239" s="9" t="s">
        <v>0</v>
      </c>
      <c r="F239" s="9" t="s">
        <v>381</v>
      </c>
      <c r="G239" s="9" t="s">
        <v>5</v>
      </c>
      <c r="H239" s="10" t="s">
        <v>892</v>
      </c>
      <c r="I239" s="11" t="s">
        <v>382</v>
      </c>
      <c r="J239" t="s">
        <v>310</v>
      </c>
      <c r="K239" s="21" t="s">
        <v>335</v>
      </c>
    </row>
    <row r="240" spans="1:11" ht="14.4">
      <c r="A240" s="5" t="str">
        <f>F240&amp;(COUNTIFS(F$2:F240,F240,K$2:K240,"Sparse"))</f>
        <v>MD0</v>
      </c>
      <c r="B240" s="5" t="str">
        <f>J240&amp;(COUNTIF(J$2:J240,J240))</f>
        <v>Rotherham1</v>
      </c>
      <c r="C240" s="8" t="s">
        <v>241</v>
      </c>
      <c r="D240" s="8" t="s">
        <v>241</v>
      </c>
      <c r="E240" s="9" t="s">
        <v>385</v>
      </c>
      <c r="F240" s="9" t="s">
        <v>386</v>
      </c>
      <c r="G240" s="9" t="s">
        <v>397</v>
      </c>
      <c r="H240" s="10" t="s">
        <v>890</v>
      </c>
      <c r="I240" s="11" t="s">
        <v>384</v>
      </c>
      <c r="J240" t="str">
        <f>C240</f>
        <v>Rotherham</v>
      </c>
      <c r="K240" s="21"/>
    </row>
    <row r="241" spans="1:11" ht="14.4">
      <c r="A241" s="5" t="str">
        <f>F241&amp;(COUNTIFS(F$2:F241,F241,K$2:K241,"Sparse"))</f>
        <v>SD45</v>
      </c>
      <c r="B241" s="5" t="str">
        <f>J241&amp;(COUNTIF(J$2:J241,J241))</f>
        <v>Warwickshire3</v>
      </c>
      <c r="C241" s="8" t="s">
        <v>128</v>
      </c>
      <c r="D241" s="8" t="s">
        <v>128</v>
      </c>
      <c r="E241" s="9" t="s">
        <v>368</v>
      </c>
      <c r="F241" s="9" t="s">
        <v>381</v>
      </c>
      <c r="G241" s="9" t="s">
        <v>5</v>
      </c>
      <c r="H241" s="12" t="s">
        <v>888</v>
      </c>
      <c r="I241" s="11" t="s">
        <v>384</v>
      </c>
      <c r="J241" t="s">
        <v>330</v>
      </c>
      <c r="K241" s="21" t="s">
        <v>335</v>
      </c>
    </row>
    <row r="242" spans="1:11" ht="14.4">
      <c r="A242" s="5" t="str">
        <f>F242&amp;(COUNTIFS(F$2:F242,F242,K$2:K242,"Sparse"))</f>
        <v>SD45</v>
      </c>
      <c r="B242" s="5" t="str">
        <f>J242&amp;(COUNTIF(J$2:J242,J242))</f>
        <v>Surrey6</v>
      </c>
      <c r="C242" s="8" t="s">
        <v>129</v>
      </c>
      <c r="D242" s="8" t="s">
        <v>129</v>
      </c>
      <c r="E242" s="9" t="s">
        <v>0</v>
      </c>
      <c r="F242" s="9" t="s">
        <v>381</v>
      </c>
      <c r="G242" s="9" t="s">
        <v>5</v>
      </c>
      <c r="H242" s="10" t="s">
        <v>893</v>
      </c>
      <c r="I242" s="11" t="s">
        <v>384</v>
      </c>
      <c r="J242" t="s">
        <v>329</v>
      </c>
      <c r="K242" s="21"/>
    </row>
    <row r="243" spans="1:11" ht="14.4">
      <c r="A243" s="5" t="str">
        <f>F243&amp;(COUNTIFS(F$2:F243,F243,K$2:K243,"Sparse"))</f>
        <v>SD45</v>
      </c>
      <c r="B243" s="5" t="str">
        <f>J243&amp;(COUNTIF(J$2:J243,J243))</f>
        <v>Nottinghamshire8</v>
      </c>
      <c r="C243" s="8" t="s">
        <v>130</v>
      </c>
      <c r="D243" s="8" t="s">
        <v>130</v>
      </c>
      <c r="E243" s="9" t="s">
        <v>367</v>
      </c>
      <c r="F243" s="9" t="s">
        <v>381</v>
      </c>
      <c r="G243" s="9" t="s">
        <v>5</v>
      </c>
      <c r="H243" s="10" t="s">
        <v>892</v>
      </c>
      <c r="I243" s="11" t="s">
        <v>382</v>
      </c>
      <c r="J243" t="s">
        <v>323</v>
      </c>
      <c r="K243" s="21"/>
    </row>
    <row r="244" spans="1:11" ht="14.4">
      <c r="A244" s="5" t="str">
        <f>F244&amp;(COUNTIFS(F$2:F244,F244,K$2:K244,"Sparse"))</f>
        <v>SD45</v>
      </c>
      <c r="B244" s="5" t="str">
        <f>J244&amp;(COUNTIF(J$2:J244,J244))</f>
        <v>Hampshire10</v>
      </c>
      <c r="C244" s="8" t="s">
        <v>131</v>
      </c>
      <c r="D244" s="8" t="s">
        <v>131</v>
      </c>
      <c r="E244" s="9" t="s">
        <v>0</v>
      </c>
      <c r="F244" s="9" t="s">
        <v>381</v>
      </c>
      <c r="G244" s="9" t="s">
        <v>5</v>
      </c>
      <c r="H244" s="10" t="s">
        <v>888</v>
      </c>
      <c r="I244" s="11" t="s">
        <v>384</v>
      </c>
      <c r="J244" t="s">
        <v>313</v>
      </c>
      <c r="K244" s="21"/>
    </row>
    <row r="245" spans="1:11" ht="14.4">
      <c r="A245" s="5" t="str">
        <f>F245&amp;(COUNTIFS(F$2:F245,F245,K$2:K245,"Sparse"))</f>
        <v>UA10</v>
      </c>
      <c r="B245" s="5" t="str">
        <f>J245&amp;(COUNTIF(J$2:J245,J245))</f>
        <v>Unitary40</v>
      </c>
      <c r="C245" s="8" t="s">
        <v>285</v>
      </c>
      <c r="D245" s="8" t="s">
        <v>285</v>
      </c>
      <c r="E245" s="9" t="s">
        <v>367</v>
      </c>
      <c r="F245" s="9" t="s">
        <v>387</v>
      </c>
      <c r="G245" s="9" t="s">
        <v>396</v>
      </c>
      <c r="H245" s="10" t="s">
        <v>889</v>
      </c>
      <c r="I245" s="11" t="s">
        <v>382</v>
      </c>
      <c r="J245" s="22" t="s">
        <v>396</v>
      </c>
      <c r="K245" s="21" t="s">
        <v>335</v>
      </c>
    </row>
    <row r="246" spans="1:11" ht="14.4">
      <c r="A246" s="5" t="str">
        <f>F246&amp;(COUNTIFS(F$2:F246,F246,K$2:K246,"Sparse"))</f>
        <v>SD46</v>
      </c>
      <c r="B246" s="5" t="str">
        <f>J246&amp;(COUNTIF(J$2:J246,J246))</f>
        <v>North Yorkshire6</v>
      </c>
      <c r="C246" s="8" t="s">
        <v>132</v>
      </c>
      <c r="D246" s="8" t="s">
        <v>132</v>
      </c>
      <c r="E246" s="9" t="s">
        <v>385</v>
      </c>
      <c r="F246" s="9" t="s">
        <v>381</v>
      </c>
      <c r="G246" s="9" t="s">
        <v>5</v>
      </c>
      <c r="H246" s="10" t="s">
        <v>889</v>
      </c>
      <c r="I246" s="11" t="s">
        <v>382</v>
      </c>
      <c r="J246" t="s">
        <v>320</v>
      </c>
      <c r="K246" s="21" t="s">
        <v>335</v>
      </c>
    </row>
    <row r="247" spans="1:11" ht="14.4">
      <c r="A247" s="5" t="str">
        <f>F247&amp;(COUNTIFS(F$2:F247,F247,K$2:K247,"Sparse"))</f>
        <v>MD0</v>
      </c>
      <c r="B247" s="5" t="str">
        <f>J247&amp;(COUNTIF(J$2:J247,J247))</f>
        <v>Salford1</v>
      </c>
      <c r="C247" s="8" t="s">
        <v>242</v>
      </c>
      <c r="D247" s="8" t="s">
        <v>242</v>
      </c>
      <c r="E247" s="9" t="s">
        <v>376</v>
      </c>
      <c r="F247" s="9" t="s">
        <v>386</v>
      </c>
      <c r="G247" s="9" t="s">
        <v>397</v>
      </c>
      <c r="H247" s="10" t="s">
        <v>893</v>
      </c>
      <c r="I247" s="11" t="s">
        <v>384</v>
      </c>
      <c r="J247" t="str">
        <f>C247</f>
        <v>Salford</v>
      </c>
      <c r="K247" s="21"/>
    </row>
    <row r="248" spans="1:11" ht="14.4">
      <c r="A248" s="5" t="str">
        <f>F248&amp;(COUNTIFS(F$2:F248,F248,K$2:K248,"Sparse"))</f>
        <v>MD0</v>
      </c>
      <c r="B248" s="5" t="str">
        <f>J248&amp;(COUNTIF(J$2:J248,J248))</f>
        <v>Sandwell1</v>
      </c>
      <c r="C248" s="8" t="s">
        <v>243</v>
      </c>
      <c r="D248" s="8" t="s">
        <v>243</v>
      </c>
      <c r="E248" s="9" t="s">
        <v>368</v>
      </c>
      <c r="F248" s="9" t="s">
        <v>386</v>
      </c>
      <c r="G248" s="9" t="s">
        <v>397</v>
      </c>
      <c r="H248" s="10" t="s">
        <v>893</v>
      </c>
      <c r="I248" s="11" t="s">
        <v>384</v>
      </c>
      <c r="J248" t="str">
        <f>C248</f>
        <v>Sandwell</v>
      </c>
      <c r="K248" s="21"/>
    </row>
    <row r="249" spans="1:11" ht="14.4">
      <c r="A249" s="5" t="str">
        <f>F249&amp;(COUNTIFS(F$2:F249,F249,K$2:K249,"Sparse"))</f>
        <v>SD47</v>
      </c>
      <c r="B249" s="5" t="str">
        <f>J249&amp;(COUNTIF(J$2:J249,J249))</f>
        <v>North Yorkshire7</v>
      </c>
      <c r="C249" s="8" t="s">
        <v>133</v>
      </c>
      <c r="D249" s="8" t="s">
        <v>133</v>
      </c>
      <c r="E249" s="9" t="s">
        <v>385</v>
      </c>
      <c r="F249" s="9" t="s">
        <v>381</v>
      </c>
      <c r="G249" s="9" t="s">
        <v>5</v>
      </c>
      <c r="H249" s="12" t="s">
        <v>891</v>
      </c>
      <c r="I249" s="11" t="s">
        <v>371</v>
      </c>
      <c r="J249" t="s">
        <v>320</v>
      </c>
      <c r="K249" s="21" t="s">
        <v>335</v>
      </c>
    </row>
    <row r="250" spans="1:11" ht="14.4">
      <c r="A250" s="5" t="str">
        <f>F250&amp;(COUNTIFS(F$2:F250,F250,K$2:K250,"Sparse"))</f>
        <v>SD48</v>
      </c>
      <c r="B250" s="5" t="str">
        <f>J250&amp;(COUNTIF(J$2:J250,J250))</f>
        <v>Somerset2</v>
      </c>
      <c r="C250" s="8" t="s">
        <v>134</v>
      </c>
      <c r="D250" s="8" t="s">
        <v>134</v>
      </c>
      <c r="E250" s="9" t="s">
        <v>1</v>
      </c>
      <c r="F250" s="9" t="s">
        <v>381</v>
      </c>
      <c r="G250" s="9" t="s">
        <v>5</v>
      </c>
      <c r="H250" s="10" t="s">
        <v>892</v>
      </c>
      <c r="I250" s="11" t="s">
        <v>382</v>
      </c>
      <c r="J250" t="s">
        <v>326</v>
      </c>
      <c r="K250" s="21" t="s">
        <v>335</v>
      </c>
    </row>
    <row r="251" spans="1:11" ht="14.4">
      <c r="A251" s="5" t="str">
        <f>F251&amp;(COUNTIFS(F$2:F251,F251,K$2:K251,"Sparse"))</f>
        <v>MD0</v>
      </c>
      <c r="B251" s="5" t="str">
        <f>J251&amp;(COUNTIF(J$2:J251,J251))</f>
        <v>Sefton1</v>
      </c>
      <c r="C251" s="8" t="s">
        <v>244</v>
      </c>
      <c r="D251" s="8" t="s">
        <v>244</v>
      </c>
      <c r="E251" s="9" t="s">
        <v>376</v>
      </c>
      <c r="F251" s="9" t="s">
        <v>386</v>
      </c>
      <c r="G251" s="9" t="s">
        <v>397</v>
      </c>
      <c r="H251" s="10" t="s">
        <v>893</v>
      </c>
      <c r="I251" s="11" t="s">
        <v>384</v>
      </c>
      <c r="J251" t="str">
        <f>C251</f>
        <v>Sefton</v>
      </c>
      <c r="K251" s="21"/>
    </row>
    <row r="252" spans="1:11" ht="14.4">
      <c r="A252" s="5" t="str">
        <f>F252&amp;(COUNTIFS(F$2:F252,F252,K$2:K252,"Sparse"))</f>
        <v>SD49</v>
      </c>
      <c r="B252" s="5" t="str">
        <f>J252&amp;(COUNTIF(J$2:J252,J252))</f>
        <v>North Yorkshire8</v>
      </c>
      <c r="C252" s="8" t="s">
        <v>135</v>
      </c>
      <c r="D252" s="8" t="s">
        <v>135</v>
      </c>
      <c r="E252" s="9" t="s">
        <v>385</v>
      </c>
      <c r="F252" s="9" t="s">
        <v>381</v>
      </c>
      <c r="G252" s="9" t="s">
        <v>5</v>
      </c>
      <c r="H252" s="10" t="s">
        <v>889</v>
      </c>
      <c r="I252" s="11" t="s">
        <v>382</v>
      </c>
      <c r="J252" t="s">
        <v>320</v>
      </c>
      <c r="K252" s="21" t="s">
        <v>335</v>
      </c>
    </row>
    <row r="253" spans="1:11" ht="14.4">
      <c r="A253" s="5" t="str">
        <f>F253&amp;(COUNTIFS(F$2:F253,F253,K$2:K253,"Sparse"))</f>
        <v>SD50</v>
      </c>
      <c r="B253" s="5" t="str">
        <f>J253&amp;(COUNTIF(J$2:J253,J253))</f>
        <v>Kent8</v>
      </c>
      <c r="C253" s="8" t="s">
        <v>136</v>
      </c>
      <c r="D253" s="8" t="s">
        <v>136</v>
      </c>
      <c r="E253" s="9" t="s">
        <v>0</v>
      </c>
      <c r="F253" s="9" t="s">
        <v>381</v>
      </c>
      <c r="G253" s="9" t="s">
        <v>5</v>
      </c>
      <c r="H253" s="10" t="s">
        <v>892</v>
      </c>
      <c r="I253" s="11" t="s">
        <v>382</v>
      </c>
      <c r="J253" t="s">
        <v>315</v>
      </c>
      <c r="K253" s="21" t="s">
        <v>335</v>
      </c>
    </row>
    <row r="254" spans="1:11" ht="14.4">
      <c r="A254" s="5" t="str">
        <f>F254&amp;(COUNTIFS(F$2:F254,F254,K$2:K254,"Sparse"))</f>
        <v>MD0</v>
      </c>
      <c r="B254" s="5" t="str">
        <f>J254&amp;(COUNTIF(J$2:J254,J254))</f>
        <v>Sheffield1</v>
      </c>
      <c r="C254" s="8" t="s">
        <v>245</v>
      </c>
      <c r="D254" s="8" t="s">
        <v>245</v>
      </c>
      <c r="E254" s="9" t="s">
        <v>385</v>
      </c>
      <c r="F254" s="9" t="s">
        <v>386</v>
      </c>
      <c r="G254" s="9" t="s">
        <v>397</v>
      </c>
      <c r="H254" s="10" t="s">
        <v>890</v>
      </c>
      <c r="I254" s="11" t="s">
        <v>384</v>
      </c>
      <c r="J254" t="str">
        <f>C254</f>
        <v>Sheffield</v>
      </c>
      <c r="K254" s="21"/>
    </row>
    <row r="255" spans="1:11" ht="14.4">
      <c r="A255" s="5" t="str">
        <f>F255&amp;(COUNTIFS(F$2:F255,F255,K$2:K255,"Sparse"))</f>
        <v>SD50</v>
      </c>
      <c r="B255" s="5" t="str">
        <f>J255&amp;(COUNTIF(J$2:J255,J255))</f>
        <v>Kent9</v>
      </c>
      <c r="C255" s="8" t="s">
        <v>897</v>
      </c>
      <c r="D255" s="8" t="s">
        <v>897</v>
      </c>
      <c r="E255" s="9" t="s">
        <v>0</v>
      </c>
      <c r="F255" s="9" t="s">
        <v>381</v>
      </c>
      <c r="G255" s="9" t="s">
        <v>5</v>
      </c>
      <c r="H255" s="12" t="s">
        <v>891</v>
      </c>
      <c r="I255" s="11" t="s">
        <v>371</v>
      </c>
      <c r="J255" t="s">
        <v>315</v>
      </c>
      <c r="K255" s="21"/>
    </row>
    <row r="256" spans="1:11" ht="14.4">
      <c r="A256" s="5" t="str">
        <f>F256&amp;(COUNTIFS(F$2:F256,F256,K$2:K256,"Sparse"))</f>
        <v>UA11</v>
      </c>
      <c r="B256" s="5" t="str">
        <f>J256&amp;(COUNTIF(J$2:J256,J256))</f>
        <v>Unitary41</v>
      </c>
      <c r="C256" s="8" t="s">
        <v>325</v>
      </c>
      <c r="D256" s="8" t="s">
        <v>325</v>
      </c>
      <c r="E256" s="9" t="s">
        <v>368</v>
      </c>
      <c r="F256" s="9" t="s">
        <v>387</v>
      </c>
      <c r="G256" s="9" t="s">
        <v>396</v>
      </c>
      <c r="H256" s="12" t="s">
        <v>892</v>
      </c>
      <c r="I256" s="11" t="s">
        <v>382</v>
      </c>
      <c r="J256" s="22" t="s">
        <v>396</v>
      </c>
      <c r="K256" s="21" t="s">
        <v>335</v>
      </c>
    </row>
    <row r="257" spans="1:11" ht="14.4">
      <c r="A257" s="5" t="str">
        <f>F257&amp;(COUNTIFS(F$2:F257,F257,K$2:K257,"Sparse"))</f>
        <v>UA11</v>
      </c>
      <c r="B257" s="5" t="str">
        <f>J257&amp;(COUNTIF(J$2:J257,J257))</f>
        <v>Unitary42</v>
      </c>
      <c r="C257" s="8" t="s">
        <v>286</v>
      </c>
      <c r="D257" s="8" t="s">
        <v>286</v>
      </c>
      <c r="E257" s="9" t="s">
        <v>0</v>
      </c>
      <c r="F257" s="9" t="s">
        <v>387</v>
      </c>
      <c r="G257" s="9" t="s">
        <v>396</v>
      </c>
      <c r="H257" s="10" t="s">
        <v>888</v>
      </c>
      <c r="I257" s="11" t="s">
        <v>384</v>
      </c>
      <c r="J257" s="22" t="s">
        <v>396</v>
      </c>
      <c r="K257" s="21"/>
    </row>
    <row r="258" spans="1:11" ht="14.4">
      <c r="A258" s="5" t="str">
        <f>F258&amp;(COUNTIFS(F$2:F258,F258,K$2:K258,"Sparse"))</f>
        <v>MD0</v>
      </c>
      <c r="B258" s="5" t="str">
        <f>J258&amp;(COUNTIF(J$2:J258,J258))</f>
        <v>Solihull1</v>
      </c>
      <c r="C258" s="8" t="s">
        <v>246</v>
      </c>
      <c r="D258" s="8" t="s">
        <v>246</v>
      </c>
      <c r="E258" s="9" t="s">
        <v>368</v>
      </c>
      <c r="F258" s="9" t="s">
        <v>386</v>
      </c>
      <c r="G258" s="9" t="s">
        <v>397</v>
      </c>
      <c r="H258" s="10" t="s">
        <v>893</v>
      </c>
      <c r="I258" s="11" t="s">
        <v>384</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389</v>
      </c>
      <c r="G259" s="9" t="s">
        <v>301</v>
      </c>
      <c r="H259" s="11" t="s">
        <v>382</v>
      </c>
      <c r="I259" s="11" t="s">
        <v>382</v>
      </c>
      <c r="J259" t="str">
        <f>C259</f>
        <v>Somerset</v>
      </c>
      <c r="K259" s="21"/>
    </row>
    <row r="260" spans="1:11" ht="14.4">
      <c r="A260" s="5" t="str">
        <f>F260&amp;(COUNTIFS(F$2:F260,F260,K$2:K260,"Sparse"))</f>
        <v>SD51</v>
      </c>
      <c r="B260" s="5" t="str">
        <f>J260&amp;(COUNTIF(J$2:J260,J260))</f>
        <v>Somerset4</v>
      </c>
      <c r="C260" t="s">
        <v>911</v>
      </c>
      <c r="D260" t="s">
        <v>911</v>
      </c>
      <c r="E260" s="281" t="s">
        <v>1</v>
      </c>
      <c r="F260" s="281" t="s">
        <v>381</v>
      </c>
      <c r="G260" s="281" t="s">
        <v>5</v>
      </c>
      <c r="H260" s="282" t="s">
        <v>910</v>
      </c>
      <c r="I260" s="283" t="s">
        <v>382</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381</v>
      </c>
      <c r="G261" s="9" t="s">
        <v>5</v>
      </c>
      <c r="H261" s="10" t="s">
        <v>891</v>
      </c>
      <c r="I261" s="11" t="s">
        <v>371</v>
      </c>
      <c r="J261" t="s">
        <v>300</v>
      </c>
      <c r="K261" s="21"/>
    </row>
    <row r="262" spans="1:11" ht="14.4">
      <c r="A262" s="5" t="str">
        <f>F262&amp;(COUNTIFS(F$2:F262,F262,K$2:K262,"Sparse"))</f>
        <v>SD52</v>
      </c>
      <c r="B262" s="5" t="str">
        <f>J262&amp;(COUNTIF(J$2:J262,J262))</f>
        <v>Cambridgeshire6</v>
      </c>
      <c r="C262" s="8" t="s">
        <v>138</v>
      </c>
      <c r="D262" s="8" t="s">
        <v>138</v>
      </c>
      <c r="E262" s="9" t="s">
        <v>369</v>
      </c>
      <c r="F262" s="9" t="s">
        <v>381</v>
      </c>
      <c r="G262" s="9" t="s">
        <v>5</v>
      </c>
      <c r="H262" s="10" t="s">
        <v>892</v>
      </c>
      <c r="I262" s="11" t="s">
        <v>382</v>
      </c>
      <c r="J262" t="s">
        <v>302</v>
      </c>
      <c r="K262" s="21" t="s">
        <v>335</v>
      </c>
    </row>
    <row r="263" spans="1:11" ht="14.4">
      <c r="A263" s="5" t="str">
        <f>F263&amp;(COUNTIFS(F$2:F263,F263,K$2:K263,"Sparse"))</f>
        <v>SD53</v>
      </c>
      <c r="B263" s="5" t="str">
        <f>J263&amp;(COUNTIF(J$2:J263,J263))</f>
        <v>Derbyshire9</v>
      </c>
      <c r="C263" s="8" t="s">
        <v>139</v>
      </c>
      <c r="D263" s="8" t="s">
        <v>139</v>
      </c>
      <c r="E263" s="9" t="s">
        <v>367</v>
      </c>
      <c r="F263" s="9" t="s">
        <v>381</v>
      </c>
      <c r="G263" s="9" t="s">
        <v>5</v>
      </c>
      <c r="H263" s="12" t="s">
        <v>891</v>
      </c>
      <c r="I263" s="11" t="s">
        <v>371</v>
      </c>
      <c r="J263" t="s">
        <v>307</v>
      </c>
      <c r="K263" s="21" t="s">
        <v>335</v>
      </c>
    </row>
    <row r="264" spans="1:11" ht="14.4">
      <c r="A264" s="5" t="str">
        <f>F264&amp;(COUNTIFS(F$2:F264,F264,K$2:K264,"Sparse"))</f>
        <v>UA11</v>
      </c>
      <c r="B264" s="5" t="str">
        <f>J264&amp;(COUNTIF(J$2:J264,J264))</f>
        <v>Unitary43</v>
      </c>
      <c r="C264" s="8" t="s">
        <v>287</v>
      </c>
      <c r="D264" s="8" t="s">
        <v>287</v>
      </c>
      <c r="E264" s="9" t="s">
        <v>1</v>
      </c>
      <c r="F264" s="9" t="s">
        <v>387</v>
      </c>
      <c r="G264" s="9" t="s">
        <v>396</v>
      </c>
      <c r="H264" s="10" t="s">
        <v>888</v>
      </c>
      <c r="I264" s="11" t="s">
        <v>384</v>
      </c>
      <c r="J264" s="22" t="s">
        <v>396</v>
      </c>
      <c r="K264" s="21"/>
    </row>
    <row r="265" spans="1:11" ht="14.4">
      <c r="A265" s="5" t="str">
        <f>F265&amp;(COUNTIFS(F$2:F265,F265,K$2:K265,"Sparse"))</f>
        <v>SD54</v>
      </c>
      <c r="B265" s="5" t="str">
        <f>J265&amp;(COUNTIF(J$2:J265,J265))</f>
        <v>Devon6</v>
      </c>
      <c r="C265" s="8" t="s">
        <v>140</v>
      </c>
      <c r="D265" s="8" t="s">
        <v>140</v>
      </c>
      <c r="E265" s="9" t="s">
        <v>1</v>
      </c>
      <c r="F265" s="9" t="s">
        <v>381</v>
      </c>
      <c r="G265" s="9" t="s">
        <v>5</v>
      </c>
      <c r="H265" s="10" t="s">
        <v>889</v>
      </c>
      <c r="I265" s="11" t="s">
        <v>382</v>
      </c>
      <c r="J265" t="s">
        <v>308</v>
      </c>
      <c r="K265" s="21" t="s">
        <v>335</v>
      </c>
    </row>
    <row r="266" spans="1:11" ht="14.4">
      <c r="A266" s="5" t="str">
        <f>F266&amp;(COUNTIFS(F$2:F266,F266,K$2:K266,"Sparse"))</f>
        <v>SD55</v>
      </c>
      <c r="B266" s="5" t="str">
        <f>J266&amp;(COUNTIF(J$2:J266,J266))</f>
        <v>Lincolnshire6</v>
      </c>
      <c r="C266" s="8" t="s">
        <v>141</v>
      </c>
      <c r="D266" s="8" t="s">
        <v>141</v>
      </c>
      <c r="E266" s="9" t="s">
        <v>367</v>
      </c>
      <c r="F266" s="9" t="s">
        <v>381</v>
      </c>
      <c r="G266" s="9" t="s">
        <v>5</v>
      </c>
      <c r="H266" s="10" t="s">
        <v>892</v>
      </c>
      <c r="I266" s="11" t="s">
        <v>382</v>
      </c>
      <c r="J266" t="s">
        <v>318</v>
      </c>
      <c r="K266" s="21" t="s">
        <v>335</v>
      </c>
    </row>
    <row r="267" spans="1:11" ht="14.4">
      <c r="A267" s="5" t="str">
        <f>F267&amp;(COUNTIFS(F$2:F267,F267,K$2:K267,"Sparse"))</f>
        <v>SD56</v>
      </c>
      <c r="B267" s="5" t="str">
        <f>J267&amp;(COUNTIF(J$2:J267,J267))</f>
        <v>Lincolnshire7</v>
      </c>
      <c r="C267" s="8" t="s">
        <v>142</v>
      </c>
      <c r="D267" s="8" t="s">
        <v>142</v>
      </c>
      <c r="E267" s="9" t="s">
        <v>367</v>
      </c>
      <c r="F267" s="9" t="s">
        <v>381</v>
      </c>
      <c r="G267" s="9" t="s">
        <v>5</v>
      </c>
      <c r="H267" s="10" t="s">
        <v>892</v>
      </c>
      <c r="I267" s="11" t="s">
        <v>382</v>
      </c>
      <c r="J267" t="s">
        <v>318</v>
      </c>
      <c r="K267" s="21" t="s">
        <v>335</v>
      </c>
    </row>
    <row r="268" spans="1:11" ht="14.4">
      <c r="A268" s="5" t="str">
        <f>F268&amp;(COUNTIFS(F$2:F268,F268,K$2:K268,"Sparse"))</f>
        <v>SD57</v>
      </c>
      <c r="B268" s="5" t="str">
        <f>J268&amp;(COUNTIF(J$2:J268,J268))</f>
        <v>Cumbria7</v>
      </c>
      <c r="C268" s="8" t="s">
        <v>143</v>
      </c>
      <c r="D268" s="8" t="s">
        <v>143</v>
      </c>
      <c r="E268" s="9" t="s">
        <v>376</v>
      </c>
      <c r="F268" s="9" t="s">
        <v>381</v>
      </c>
      <c r="G268" s="9" t="s">
        <v>5</v>
      </c>
      <c r="H268" s="10" t="s">
        <v>889</v>
      </c>
      <c r="I268" s="11" t="s">
        <v>382</v>
      </c>
      <c r="J268" t="s">
        <v>306</v>
      </c>
      <c r="K268" s="21" t="s">
        <v>335</v>
      </c>
    </row>
    <row r="269" spans="1:11" ht="14.4">
      <c r="A269" s="5" t="str">
        <f>F269&amp;(COUNTIFS(F$2:F269,F269,K$2:K269,"Sparse"))</f>
        <v>SD58</v>
      </c>
      <c r="B269" s="5" t="str">
        <f>J269&amp;(COUNTIF(J$2:J269,J269))</f>
        <v>Norfolk8</v>
      </c>
      <c r="C269" s="8" t="s">
        <v>144</v>
      </c>
      <c r="D269" s="8" t="s">
        <v>144</v>
      </c>
      <c r="E269" s="9" t="s">
        <v>369</v>
      </c>
      <c r="F269" s="9" t="s">
        <v>381</v>
      </c>
      <c r="G269" s="9" t="s">
        <v>5</v>
      </c>
      <c r="H269" s="10" t="s">
        <v>889</v>
      </c>
      <c r="I269" s="11" t="s">
        <v>382</v>
      </c>
      <c r="J269" t="s">
        <v>319</v>
      </c>
      <c r="K269" s="21" t="s">
        <v>335</v>
      </c>
    </row>
    <row r="270" spans="1:11" ht="14.4">
      <c r="A270" s="5" t="str">
        <f>F270&amp;(COUNTIFS(F$2:F270,F270,K$2:K270,"Sparse"))</f>
        <v>SD59</v>
      </c>
      <c r="B270" s="5" t="str">
        <f>J270&amp;(COUNTIF(J$2:J270,J270))</f>
        <v>Northamptonshire7</v>
      </c>
      <c r="C270" s="8" t="s">
        <v>145</v>
      </c>
      <c r="D270" s="8" t="s">
        <v>145</v>
      </c>
      <c r="E270" s="9" t="s">
        <v>367</v>
      </c>
      <c r="F270" s="9" t="s">
        <v>381</v>
      </c>
      <c r="G270" s="9" t="s">
        <v>5</v>
      </c>
      <c r="H270" s="10" t="s">
        <v>889</v>
      </c>
      <c r="I270" s="11" t="s">
        <v>382</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381</v>
      </c>
      <c r="G271" s="9" t="s">
        <v>5</v>
      </c>
      <c r="H271" s="10" t="s">
        <v>889</v>
      </c>
      <c r="I271" s="11" t="s">
        <v>382</v>
      </c>
      <c r="J271" t="s">
        <v>324</v>
      </c>
      <c r="K271" s="21" t="s">
        <v>335</v>
      </c>
    </row>
    <row r="272" spans="1:11" ht="14.4">
      <c r="A272" s="5" t="str">
        <f>F272&amp;(COUNTIFS(F$2:F272,F272,K$2:K272,"Sparse"))</f>
        <v>SD60</v>
      </c>
      <c r="B272" s="5" t="str">
        <f>J272&amp;(COUNTIF(J$2:J272,J272))</f>
        <v>Lancashire11</v>
      </c>
      <c r="C272" s="8" t="s">
        <v>147</v>
      </c>
      <c r="D272" s="8" t="s">
        <v>147</v>
      </c>
      <c r="E272" s="9" t="s">
        <v>376</v>
      </c>
      <c r="F272" s="9" t="s">
        <v>381</v>
      </c>
      <c r="G272" s="9" t="s">
        <v>5</v>
      </c>
      <c r="H272" s="10" t="s">
        <v>888</v>
      </c>
      <c r="I272" s="11" t="s">
        <v>384</v>
      </c>
      <c r="J272" t="s">
        <v>316</v>
      </c>
      <c r="K272" s="21"/>
    </row>
    <row r="273" spans="1:11" ht="14.4">
      <c r="A273" s="5" t="str">
        <f>F273&amp;(COUNTIFS(F$2:F273,F273,K$2:K273,"Sparse"))</f>
        <v>SD61</v>
      </c>
      <c r="B273" s="5" t="str">
        <f>J273&amp;(COUNTIF(J$2:J273,J273))</f>
        <v>Somerset5</v>
      </c>
      <c r="C273" s="8" t="s">
        <v>148</v>
      </c>
      <c r="D273" s="8" t="s">
        <v>148</v>
      </c>
      <c r="E273" s="9" t="s">
        <v>1</v>
      </c>
      <c r="F273" s="9" t="s">
        <v>381</v>
      </c>
      <c r="G273" s="9" t="s">
        <v>5</v>
      </c>
      <c r="H273" s="10" t="s">
        <v>892</v>
      </c>
      <c r="I273" s="11" t="s">
        <v>382</v>
      </c>
      <c r="J273" t="s">
        <v>326</v>
      </c>
      <c r="K273" s="21" t="s">
        <v>335</v>
      </c>
    </row>
    <row r="274" spans="1:11" ht="14.4">
      <c r="A274" s="5" t="str">
        <f>F274&amp;(COUNTIFS(F$2:F274,F274,K$2:K274,"Sparse"))</f>
        <v>SD62</v>
      </c>
      <c r="B274" s="5" t="str">
        <f>J274&amp;(COUNTIF(J$2:J274,J274))</f>
        <v>Staffordshire5</v>
      </c>
      <c r="C274" s="8" t="s">
        <v>149</v>
      </c>
      <c r="D274" s="8" t="s">
        <v>149</v>
      </c>
      <c r="E274" s="9" t="s">
        <v>368</v>
      </c>
      <c r="F274" s="9" t="s">
        <v>381</v>
      </c>
      <c r="G274" s="9" t="s">
        <v>5</v>
      </c>
      <c r="H274" s="12" t="s">
        <v>891</v>
      </c>
      <c r="I274" s="11" t="s">
        <v>371</v>
      </c>
      <c r="J274" t="s">
        <v>327</v>
      </c>
      <c r="K274" s="21" t="s">
        <v>335</v>
      </c>
    </row>
    <row r="275" spans="1:11" ht="14.4">
      <c r="A275" s="5" t="str">
        <f>F275&amp;(COUNTIFS(F$2:F275,F275,K$2:K275,"Sparse"))</f>
        <v>MD0</v>
      </c>
      <c r="B275" s="5" t="str">
        <f>J275&amp;(COUNTIF(J$2:J275,J275))</f>
        <v>South Tyneside1</v>
      </c>
      <c r="C275" s="8" t="s">
        <v>247</v>
      </c>
      <c r="D275" s="8" t="s">
        <v>247</v>
      </c>
      <c r="E275" s="9" t="s">
        <v>390</v>
      </c>
      <c r="F275" s="9" t="s">
        <v>386</v>
      </c>
      <c r="G275" s="9" t="s">
        <v>397</v>
      </c>
      <c r="H275" s="10" t="s">
        <v>893</v>
      </c>
      <c r="I275" s="11" t="s">
        <v>384</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387</v>
      </c>
      <c r="G276" s="9" t="s">
        <v>396</v>
      </c>
      <c r="H276" s="10" t="s">
        <v>888</v>
      </c>
      <c r="I276" s="11" t="s">
        <v>384</v>
      </c>
      <c r="J276" s="22" t="s">
        <v>396</v>
      </c>
      <c r="K276" s="21"/>
    </row>
    <row r="277" spans="1:11" ht="14.4">
      <c r="A277" s="5" t="str">
        <f>F277&amp;(COUNTIFS(F$2:F277,F277,K$2:K277,"Sparse"))</f>
        <v>UA11</v>
      </c>
      <c r="B277" s="5" t="str">
        <f>J277&amp;(COUNTIF(J$2:J277,J277))</f>
        <v>Unitary45</v>
      </c>
      <c r="C277" s="8" t="s">
        <v>289</v>
      </c>
      <c r="D277" s="8" t="s">
        <v>289</v>
      </c>
      <c r="E277" s="9" t="s">
        <v>369</v>
      </c>
      <c r="F277" s="9" t="s">
        <v>387</v>
      </c>
      <c r="G277" s="9" t="s">
        <v>396</v>
      </c>
      <c r="H277" s="10" t="s">
        <v>888</v>
      </c>
      <c r="I277" s="11" t="s">
        <v>384</v>
      </c>
      <c r="J277" s="22" t="s">
        <v>396</v>
      </c>
      <c r="K277" s="21"/>
    </row>
    <row r="278" spans="1:11" ht="14.4">
      <c r="A278" s="5" t="str">
        <f>F278&amp;(COUNTIFS(F$2:F278,F278,K$2:K278,"Sparse"))</f>
        <v>L0</v>
      </c>
      <c r="B278" s="5" t="str">
        <f>J278&amp;(COUNTIF(J$2:J278,J278))</f>
        <v>London28</v>
      </c>
      <c r="C278" s="8" t="s">
        <v>217</v>
      </c>
      <c r="D278" s="8" t="s">
        <v>217</v>
      </c>
      <c r="E278" s="9" t="s">
        <v>383</v>
      </c>
      <c r="F278" s="9" t="s">
        <v>359</v>
      </c>
      <c r="G278" s="9" t="s">
        <v>383</v>
      </c>
      <c r="H278" s="10" t="s">
        <v>893</v>
      </c>
      <c r="I278" s="11" t="s">
        <v>384</v>
      </c>
      <c r="J278" t="str">
        <f>G278</f>
        <v>London</v>
      </c>
      <c r="K278" s="21"/>
    </row>
    <row r="279" spans="1:11" ht="14.4">
      <c r="A279" s="5" t="str">
        <f>F279&amp;(COUNTIFS(F$2:F279,F279,K$2:K279,"Sparse"))</f>
        <v>SD62</v>
      </c>
      <c r="B279" s="5" t="str">
        <f>J279&amp;(COUNTIF(J$2:J279,J279))</f>
        <v>Surrey7</v>
      </c>
      <c r="C279" s="8" t="s">
        <v>150</v>
      </c>
      <c r="D279" s="8" t="s">
        <v>150</v>
      </c>
      <c r="E279" s="9" t="s">
        <v>0</v>
      </c>
      <c r="F279" s="9" t="s">
        <v>381</v>
      </c>
      <c r="G279" s="9" t="s">
        <v>5</v>
      </c>
      <c r="H279" s="10" t="s">
        <v>893</v>
      </c>
      <c r="I279" s="11" t="s">
        <v>384</v>
      </c>
      <c r="J279" t="s">
        <v>329</v>
      </c>
      <c r="K279" s="21"/>
    </row>
    <row r="280" spans="1:11" ht="14.4">
      <c r="A280" s="5" t="str">
        <f>F280&amp;(COUNTIFS(F$2:F280,F280,K$2:K280,"Sparse"))</f>
        <v>SD62</v>
      </c>
      <c r="B280" s="5" t="str">
        <f>J280&amp;(COUNTIF(J$2:J280,J280))</f>
        <v>Hertfordshire7</v>
      </c>
      <c r="C280" s="8" t="s">
        <v>151</v>
      </c>
      <c r="D280" s="8" t="s">
        <v>151</v>
      </c>
      <c r="E280" s="9" t="s">
        <v>369</v>
      </c>
      <c r="F280" s="9" t="s">
        <v>381</v>
      </c>
      <c r="G280" s="9" t="s">
        <v>5</v>
      </c>
      <c r="H280" s="12" t="s">
        <v>888</v>
      </c>
      <c r="I280" s="11" t="s">
        <v>384</v>
      </c>
      <c r="J280" t="s">
        <v>314</v>
      </c>
      <c r="K280" s="21"/>
    </row>
    <row r="281" spans="1:11" ht="14.4">
      <c r="A281" s="5" t="str">
        <f>F281&amp;(COUNTIFS(F$2:F281,F281,K$2:K281,"Sparse"))</f>
        <v>SD63</v>
      </c>
      <c r="B281" s="5" t="str">
        <f>J281&amp;(COUNTIF(J$2:J281,J281))</f>
        <v>Suffolk6</v>
      </c>
      <c r="C281" s="8" t="s">
        <v>152</v>
      </c>
      <c r="D281" s="8" t="s">
        <v>152</v>
      </c>
      <c r="E281" s="9" t="s">
        <v>369</v>
      </c>
      <c r="F281" s="9" t="s">
        <v>381</v>
      </c>
      <c r="G281" s="9" t="s">
        <v>5</v>
      </c>
      <c r="H281" s="10" t="s">
        <v>892</v>
      </c>
      <c r="I281" s="11" t="s">
        <v>382</v>
      </c>
      <c r="J281" t="s">
        <v>328</v>
      </c>
      <c r="K281" s="21" t="s">
        <v>335</v>
      </c>
    </row>
    <row r="282" spans="1:11" ht="14.4">
      <c r="A282" s="5" t="str">
        <f>F282&amp;(COUNTIFS(F$2:F282,F282,K$2:K282,"Sparse"))</f>
        <v>MD0</v>
      </c>
      <c r="B282" s="5" t="str">
        <f>J282&amp;(COUNTIF(J$2:J282,J282))</f>
        <v>St Helens1</v>
      </c>
      <c r="C282" s="8" t="s">
        <v>248</v>
      </c>
      <c r="D282" s="8" t="s">
        <v>395</v>
      </c>
      <c r="E282" s="9" t="s">
        <v>376</v>
      </c>
      <c r="F282" s="9" t="s">
        <v>386</v>
      </c>
      <c r="G282" s="9" t="s">
        <v>397</v>
      </c>
      <c r="H282" s="10" t="s">
        <v>893</v>
      </c>
      <c r="I282" s="11" t="s">
        <v>384</v>
      </c>
      <c r="J282" t="str">
        <f>C282</f>
        <v>St Helens</v>
      </c>
      <c r="K282" s="21"/>
    </row>
    <row r="283" spans="1:11" ht="14.4">
      <c r="A283" s="5" t="str">
        <f>F283&amp;(COUNTIFS(F$2:F283,F283,K$2:K283,"Sparse"))</f>
        <v>SD64</v>
      </c>
      <c r="B283" s="5" t="str">
        <f>J283&amp;(COUNTIF(J$2:J283,J283))</f>
        <v>Staffordshire6</v>
      </c>
      <c r="C283" s="8" t="s">
        <v>153</v>
      </c>
      <c r="D283" s="8" t="s">
        <v>153</v>
      </c>
      <c r="E283" s="9" t="s">
        <v>368</v>
      </c>
      <c r="F283" s="9" t="s">
        <v>381</v>
      </c>
      <c r="G283" s="9" t="s">
        <v>5</v>
      </c>
      <c r="H283" s="12" t="s">
        <v>891</v>
      </c>
      <c r="I283" s="11" t="s">
        <v>371</v>
      </c>
      <c r="J283" t="s">
        <v>327</v>
      </c>
      <c r="K283" s="21" t="s">
        <v>335</v>
      </c>
    </row>
    <row r="284" spans="1:11" ht="14.4">
      <c r="A284" s="5" t="str">
        <f>F284&amp;(COUNTIFS(F$2:F284,F284,K$2:K284,"Sparse"))</f>
        <v>SC13</v>
      </c>
      <c r="B284" s="5" t="str">
        <f>J284&amp;(COUNTIF(J$2:J284,J284))</f>
        <v>Staffordshire7</v>
      </c>
      <c r="C284" s="11" t="s">
        <v>327</v>
      </c>
      <c r="D284" s="11" t="s">
        <v>327</v>
      </c>
      <c r="E284" s="9" t="s">
        <v>368</v>
      </c>
      <c r="F284" s="9" t="s">
        <v>389</v>
      </c>
      <c r="G284" s="9" t="s">
        <v>301</v>
      </c>
      <c r="H284" s="11" t="s">
        <v>371</v>
      </c>
      <c r="I284" s="11" t="s">
        <v>371</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368</v>
      </c>
      <c r="F285" s="9" t="s">
        <v>381</v>
      </c>
      <c r="G285" s="9" t="s">
        <v>5</v>
      </c>
      <c r="H285" s="10" t="s">
        <v>892</v>
      </c>
      <c r="I285" s="11" t="s">
        <v>382</v>
      </c>
      <c r="J285" t="s">
        <v>327</v>
      </c>
      <c r="K285" s="21"/>
    </row>
    <row r="286" spans="1:11" ht="14.4">
      <c r="A286" s="5" t="str">
        <f>F286&amp;(COUNTIFS(F$2:F286,F286,K$2:K286,"Sparse"))</f>
        <v>SD64</v>
      </c>
      <c r="B286" s="5" t="str">
        <f>J286&amp;(COUNTIF(J$2:J286,J286))</f>
        <v>Hertfordshire8</v>
      </c>
      <c r="C286" s="8" t="s">
        <v>155</v>
      </c>
      <c r="D286" s="8" t="s">
        <v>155</v>
      </c>
      <c r="E286" s="9" t="s">
        <v>369</v>
      </c>
      <c r="F286" s="9" t="s">
        <v>381</v>
      </c>
      <c r="G286" s="9" t="s">
        <v>5</v>
      </c>
      <c r="H286" s="10" t="s">
        <v>888</v>
      </c>
      <c r="I286" s="11" t="s">
        <v>384</v>
      </c>
      <c r="J286" t="s">
        <v>314</v>
      </c>
      <c r="K286" s="21"/>
    </row>
    <row r="287" spans="1:11" ht="14.4">
      <c r="A287" s="5" t="str">
        <f>F287&amp;(COUNTIFS(F$2:F287,F287,K$2:K287,"Sparse"))</f>
        <v>MD0</v>
      </c>
      <c r="B287" s="5" t="str">
        <f>J287&amp;(COUNTIF(J$2:J287,J287))</f>
        <v>Stockport1</v>
      </c>
      <c r="C287" s="8" t="s">
        <v>249</v>
      </c>
      <c r="D287" s="8" t="s">
        <v>249</v>
      </c>
      <c r="E287" s="9" t="s">
        <v>376</v>
      </c>
      <c r="F287" s="9" t="s">
        <v>386</v>
      </c>
      <c r="G287" s="9" t="s">
        <v>397</v>
      </c>
      <c r="H287" s="10" t="s">
        <v>893</v>
      </c>
      <c r="I287" s="11" t="s">
        <v>384</v>
      </c>
      <c r="J287" t="str">
        <f>C287</f>
        <v>Stockport</v>
      </c>
      <c r="K287" s="21"/>
    </row>
    <row r="288" spans="1:11" ht="14.4">
      <c r="A288" s="5" t="str">
        <f>F288&amp;(COUNTIFS(F$2:F288,F288,K$2:K288,"Sparse"))</f>
        <v>UA11</v>
      </c>
      <c r="B288" s="5" t="str">
        <f>J288&amp;(COUNTIF(J$2:J288,J288))</f>
        <v>Unitary46</v>
      </c>
      <c r="C288" s="8" t="s">
        <v>290</v>
      </c>
      <c r="D288" s="8" t="s">
        <v>290</v>
      </c>
      <c r="E288" s="9" t="s">
        <v>390</v>
      </c>
      <c r="F288" s="9" t="s">
        <v>387</v>
      </c>
      <c r="G288" s="9" t="s">
        <v>396</v>
      </c>
      <c r="H288" s="10" t="s">
        <v>888</v>
      </c>
      <c r="I288" s="11" t="s">
        <v>384</v>
      </c>
      <c r="J288" s="22" t="s">
        <v>396</v>
      </c>
      <c r="K288" s="21"/>
    </row>
    <row r="289" spans="1:11" ht="14.4">
      <c r="A289" s="5" t="str">
        <f>F289&amp;(COUNTIFS(F$2:F289,F289,K$2:K289,"Sparse"))</f>
        <v>UA11</v>
      </c>
      <c r="B289" s="5" t="str">
        <f>J289&amp;(COUNTIF(J$2:J289,J289))</f>
        <v>Unitary47</v>
      </c>
      <c r="C289" s="8" t="s">
        <v>291</v>
      </c>
      <c r="D289" s="8" t="s">
        <v>291</v>
      </c>
      <c r="E289" s="9" t="s">
        <v>368</v>
      </c>
      <c r="F289" s="9" t="s">
        <v>387</v>
      </c>
      <c r="G289" s="9" t="s">
        <v>396</v>
      </c>
      <c r="H289" s="10" t="s">
        <v>888</v>
      </c>
      <c r="I289" s="11" t="s">
        <v>384</v>
      </c>
      <c r="J289" s="22" t="s">
        <v>396</v>
      </c>
      <c r="K289" s="21"/>
    </row>
    <row r="290" spans="1:11" ht="14.4">
      <c r="A290" s="5" t="str">
        <f>F290&amp;(COUNTIFS(F$2:F290,F290,K$2:K290,"Sparse"))</f>
        <v>SD65</v>
      </c>
      <c r="B290" s="5" t="str">
        <f>J290&amp;(COUNTIF(J$2:J290,J290))</f>
        <v>Warwickshire4</v>
      </c>
      <c r="C290" s="8" t="s">
        <v>156</v>
      </c>
      <c r="D290" s="8" t="s">
        <v>156</v>
      </c>
      <c r="E290" s="9" t="s">
        <v>368</v>
      </c>
      <c r="F290" s="9" t="s">
        <v>381</v>
      </c>
      <c r="G290" s="9" t="s">
        <v>5</v>
      </c>
      <c r="H290" s="10" t="s">
        <v>889</v>
      </c>
      <c r="I290" s="11" t="s">
        <v>382</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381</v>
      </c>
      <c r="G291" s="9" t="s">
        <v>5</v>
      </c>
      <c r="H291" s="10" t="s">
        <v>891</v>
      </c>
      <c r="I291" s="11" t="s">
        <v>371</v>
      </c>
      <c r="J291" t="s">
        <v>312</v>
      </c>
      <c r="K291" s="21" t="s">
        <v>335</v>
      </c>
    </row>
    <row r="292" spans="1:11" ht="14.4">
      <c r="A292" s="5" t="str">
        <f>F292&amp;(COUNTIFS(F$2:F292,F292,K$2:K292,"Sparse"))</f>
        <v>SC14</v>
      </c>
      <c r="B292" s="5" t="str">
        <f>J292&amp;(COUNTIF(J$2:J292,J292))</f>
        <v>Suffolk7</v>
      </c>
      <c r="C292" s="11" t="s">
        <v>328</v>
      </c>
      <c r="D292" s="11" t="s">
        <v>328</v>
      </c>
      <c r="E292" s="9" t="s">
        <v>369</v>
      </c>
      <c r="F292" s="9" t="s">
        <v>389</v>
      </c>
      <c r="G292" s="9" t="s">
        <v>301</v>
      </c>
      <c r="H292" s="11" t="s">
        <v>382</v>
      </c>
      <c r="I292" s="11" t="s">
        <v>382</v>
      </c>
      <c r="J292" t="str">
        <f>C292</f>
        <v>Suffolk</v>
      </c>
      <c r="K292" s="21" t="s">
        <v>335</v>
      </c>
    </row>
    <row r="293" spans="1:11" ht="14.4">
      <c r="A293" s="5" t="str">
        <f>F293&amp;(COUNTIFS(F$2:F293,F293,K$2:K293,"Sparse"))</f>
        <v>SD67</v>
      </c>
      <c r="B293" s="5" t="str">
        <f>J293&amp;(COUNTIF(J$2:J293,J293))</f>
        <v>Suffolk8</v>
      </c>
      <c r="C293" s="8" t="s">
        <v>158</v>
      </c>
      <c r="D293" s="8" t="s">
        <v>158</v>
      </c>
      <c r="E293" s="9" t="s">
        <v>369</v>
      </c>
      <c r="F293" s="9" t="s">
        <v>381</v>
      </c>
      <c r="G293" s="9" t="s">
        <v>5</v>
      </c>
      <c r="H293" s="10" t="s">
        <v>892</v>
      </c>
      <c r="I293" s="11" t="s">
        <v>382</v>
      </c>
      <c r="J293" t="s">
        <v>328</v>
      </c>
      <c r="K293" s="21" t="s">
        <v>335</v>
      </c>
    </row>
    <row r="294" spans="1:11" ht="14.4">
      <c r="A294" s="5" t="str">
        <f>F294&amp;(COUNTIFS(F$2:F294,F294,K$2:K294,"Sparse"))</f>
        <v>MD0</v>
      </c>
      <c r="B294" s="5" t="str">
        <f>J294&amp;(COUNTIF(J$2:J294,J294))</f>
        <v>Sunderland1</v>
      </c>
      <c r="C294" s="8" t="s">
        <v>250</v>
      </c>
      <c r="D294" s="8" t="s">
        <v>250</v>
      </c>
      <c r="E294" s="9" t="s">
        <v>390</v>
      </c>
      <c r="F294" s="9" t="s">
        <v>386</v>
      </c>
      <c r="G294" s="9" t="s">
        <v>397</v>
      </c>
      <c r="H294" s="10" t="s">
        <v>893</v>
      </c>
      <c r="I294" s="11" t="s">
        <v>384</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389</v>
      </c>
      <c r="G295" s="9" t="s">
        <v>301</v>
      </c>
      <c r="H295" s="11" t="s">
        <v>384</v>
      </c>
      <c r="I295" s="11" t="s">
        <v>384</v>
      </c>
      <c r="J295" t="str">
        <f>C295</f>
        <v>Surrey</v>
      </c>
      <c r="K295" s="21"/>
    </row>
    <row r="296" spans="1:11" ht="14.4">
      <c r="A296" s="5" t="str">
        <f>F296&amp;(COUNTIFS(F$2:F296,F296,K$2:K296,"Sparse"))</f>
        <v>SD67</v>
      </c>
      <c r="B296" s="5" t="str">
        <f>J296&amp;(COUNTIF(J$2:J296,J296))</f>
        <v>Surrey9</v>
      </c>
      <c r="C296" s="8" t="s">
        <v>159</v>
      </c>
      <c r="D296" s="8" t="s">
        <v>159</v>
      </c>
      <c r="E296" s="9" t="s">
        <v>0</v>
      </c>
      <c r="F296" s="9" t="s">
        <v>381</v>
      </c>
      <c r="G296" s="9" t="s">
        <v>5</v>
      </c>
      <c r="H296" s="10" t="s">
        <v>888</v>
      </c>
      <c r="I296" s="11" t="s">
        <v>384</v>
      </c>
      <c r="J296" t="s">
        <v>329</v>
      </c>
      <c r="K296" s="21"/>
    </row>
    <row r="297" spans="1:11" ht="14.4">
      <c r="A297" s="5" t="str">
        <f>F297&amp;(COUNTIFS(F$2:F297,F297,K$2:K297,"Sparse"))</f>
        <v>L0</v>
      </c>
      <c r="B297" s="5" t="str">
        <f>J297&amp;(COUNTIF(J$2:J297,J297))</f>
        <v>London29</v>
      </c>
      <c r="C297" s="8" t="s">
        <v>218</v>
      </c>
      <c r="D297" s="8" t="s">
        <v>218</v>
      </c>
      <c r="E297" s="9" t="s">
        <v>383</v>
      </c>
      <c r="F297" s="9" t="s">
        <v>359</v>
      </c>
      <c r="G297" s="9" t="s">
        <v>383</v>
      </c>
      <c r="H297" s="10" t="s">
        <v>893</v>
      </c>
      <c r="I297" s="11" t="s">
        <v>384</v>
      </c>
      <c r="J297" t="str">
        <f>G297</f>
        <v>London</v>
      </c>
      <c r="K297" s="21"/>
    </row>
    <row r="298" spans="1:11" ht="14.4">
      <c r="A298" s="5" t="str">
        <f>F298&amp;(COUNTIFS(F$2:F298,F298,K$2:K298,"Sparse"))</f>
        <v>SD67</v>
      </c>
      <c r="B298" s="5" t="str">
        <f>J298&amp;(COUNTIF(J$2:J298,J298))</f>
        <v>Kent10</v>
      </c>
      <c r="C298" s="8" t="s">
        <v>160</v>
      </c>
      <c r="D298" s="8" t="s">
        <v>160</v>
      </c>
      <c r="E298" s="9" t="s">
        <v>0</v>
      </c>
      <c r="F298" s="9" t="s">
        <v>381</v>
      </c>
      <c r="G298" s="9" t="s">
        <v>5</v>
      </c>
      <c r="H298" s="12" t="s">
        <v>892</v>
      </c>
      <c r="I298" s="11" t="s">
        <v>382</v>
      </c>
      <c r="J298" t="s">
        <v>315</v>
      </c>
      <c r="K298" s="21"/>
    </row>
    <row r="299" spans="1:11" ht="14.4">
      <c r="A299" s="5" t="str">
        <f>F299&amp;(COUNTIFS(F$2:F299,F299,K$2:K299,"Sparse"))</f>
        <v>UA11</v>
      </c>
      <c r="B299" s="5" t="str">
        <f>J299&amp;(COUNTIF(J$2:J299,J299))</f>
        <v>Unitary48</v>
      </c>
      <c r="C299" s="8" t="s">
        <v>292</v>
      </c>
      <c r="D299" s="8" t="s">
        <v>292</v>
      </c>
      <c r="E299" s="9" t="s">
        <v>1</v>
      </c>
      <c r="F299" s="9" t="s">
        <v>387</v>
      </c>
      <c r="G299" s="9" t="s">
        <v>396</v>
      </c>
      <c r="H299" s="10" t="s">
        <v>888</v>
      </c>
      <c r="I299" s="11" t="s">
        <v>384</v>
      </c>
      <c r="J299" s="22" t="s">
        <v>396</v>
      </c>
      <c r="K299" s="21"/>
    </row>
    <row r="300" spans="1:11" ht="14.4">
      <c r="A300" s="5" t="str">
        <f>F300&amp;(COUNTIFS(F$2:F300,F300,K$2:K300,"Sparse"))</f>
        <v>MD0</v>
      </c>
      <c r="B300" s="5" t="str">
        <f>J300&amp;(COUNTIF(J$2:J300,J300))</f>
        <v>Tameside1</v>
      </c>
      <c r="C300" s="8" t="s">
        <v>251</v>
      </c>
      <c r="D300" s="8" t="s">
        <v>251</v>
      </c>
      <c r="E300" s="9" t="s">
        <v>376</v>
      </c>
      <c r="F300" s="9" t="s">
        <v>386</v>
      </c>
      <c r="G300" s="9" t="s">
        <v>397</v>
      </c>
      <c r="H300" s="10" t="s">
        <v>893</v>
      </c>
      <c r="I300" s="11" t="s">
        <v>384</v>
      </c>
      <c r="J300" t="str">
        <f>C300</f>
        <v>Tameside</v>
      </c>
      <c r="K300" s="21"/>
    </row>
    <row r="301" spans="1:11" ht="14.4">
      <c r="A301" s="5" t="str">
        <f>F301&amp;(COUNTIFS(F$2:F301,F301,K$2:K301,"Sparse"))</f>
        <v>SD67</v>
      </c>
      <c r="B301" s="5" t="str">
        <f>J301&amp;(COUNTIF(J$2:J301,J301))</f>
        <v>Staffordshire9</v>
      </c>
      <c r="C301" s="8" t="s">
        <v>161</v>
      </c>
      <c r="D301" s="8" t="s">
        <v>161</v>
      </c>
      <c r="E301" s="9" t="s">
        <v>368</v>
      </c>
      <c r="F301" s="9" t="s">
        <v>381</v>
      </c>
      <c r="G301" s="9" t="s">
        <v>5</v>
      </c>
      <c r="H301" s="10" t="s">
        <v>888</v>
      </c>
      <c r="I301" s="11" t="s">
        <v>384</v>
      </c>
      <c r="J301" t="s">
        <v>327</v>
      </c>
      <c r="K301" s="21"/>
    </row>
    <row r="302" spans="1:11" ht="14.4">
      <c r="A302" s="5" t="str">
        <f>F302&amp;(COUNTIFS(F$2:F302,F302,K$2:K302,"Sparse"))</f>
        <v>SD68</v>
      </c>
      <c r="B302" s="5" t="str">
        <f>J302&amp;(COUNTIF(J$2:J302,J302))</f>
        <v>Surrey10</v>
      </c>
      <c r="C302" s="8" t="s">
        <v>162</v>
      </c>
      <c r="D302" s="8" t="s">
        <v>162</v>
      </c>
      <c r="E302" s="9" t="s">
        <v>0</v>
      </c>
      <c r="F302" s="9" t="s">
        <v>381</v>
      </c>
      <c r="G302" s="9" t="s">
        <v>5</v>
      </c>
      <c r="H302" s="10" t="s">
        <v>891</v>
      </c>
      <c r="I302" s="11" t="s">
        <v>371</v>
      </c>
      <c r="J302" t="s">
        <v>329</v>
      </c>
      <c r="K302" s="21" t="s">
        <v>335</v>
      </c>
    </row>
    <row r="303" spans="1:11" ht="14.4">
      <c r="A303" s="5" t="str">
        <f>F303&amp;(COUNTIFS(F$2:F303,F303,K$2:K303,"Sparse"))</f>
        <v>SD69</v>
      </c>
      <c r="B303" s="5" t="str">
        <f>J303&amp;(COUNTIF(J$2:J303,J303))</f>
        <v>Somerset6</v>
      </c>
      <c r="C303" s="8" t="s">
        <v>163</v>
      </c>
      <c r="D303" s="8" t="s">
        <v>163</v>
      </c>
      <c r="E303" s="9" t="s">
        <v>1</v>
      </c>
      <c r="F303" s="9" t="s">
        <v>381</v>
      </c>
      <c r="G303" s="9" t="s">
        <v>5</v>
      </c>
      <c r="H303" s="12" t="s">
        <v>891</v>
      </c>
      <c r="I303" s="11" t="s">
        <v>371</v>
      </c>
      <c r="J303" t="s">
        <v>326</v>
      </c>
      <c r="K303" s="21" t="s">
        <v>335</v>
      </c>
    </row>
    <row r="304" spans="1:11" ht="14.4">
      <c r="A304" s="5" t="str">
        <f>F304&amp;(COUNTIFS(F$2:F304,F304,K$2:K304,"Sparse"))</f>
        <v>SD70</v>
      </c>
      <c r="B304" s="5" t="str">
        <f>J304&amp;(COUNTIF(J$2:J304,J304))</f>
        <v>Devon7</v>
      </c>
      <c r="C304" s="8" t="s">
        <v>164</v>
      </c>
      <c r="D304" s="8" t="s">
        <v>164</v>
      </c>
      <c r="E304" s="9" t="s">
        <v>1</v>
      </c>
      <c r="F304" s="9" t="s">
        <v>381</v>
      </c>
      <c r="G304" s="9" t="s">
        <v>5</v>
      </c>
      <c r="H304" s="10" t="s">
        <v>892</v>
      </c>
      <c r="I304" s="11" t="s">
        <v>382</v>
      </c>
      <c r="J304" t="s">
        <v>308</v>
      </c>
      <c r="K304" s="21" t="s">
        <v>335</v>
      </c>
    </row>
    <row r="305" spans="1:11" ht="14.4">
      <c r="A305" s="5" t="str">
        <f>F305&amp;(COUNTIFS(F$2:F305,F305,K$2:K305,"Sparse"))</f>
        <v>UA11</v>
      </c>
      <c r="B305" s="5" t="str">
        <f>J305&amp;(COUNTIF(J$2:J305,J305))</f>
        <v>Unitary49</v>
      </c>
      <c r="C305" s="8" t="s">
        <v>813</v>
      </c>
      <c r="D305" s="8" t="s">
        <v>813</v>
      </c>
      <c r="E305" s="9" t="s">
        <v>368</v>
      </c>
      <c r="F305" s="9" t="s">
        <v>387</v>
      </c>
      <c r="G305" s="9" t="s">
        <v>396</v>
      </c>
      <c r="H305" s="10" t="s">
        <v>888</v>
      </c>
      <c r="I305" s="11" t="s">
        <v>384</v>
      </c>
      <c r="J305" s="22" t="s">
        <v>396</v>
      </c>
      <c r="K305" s="21"/>
    </row>
    <row r="306" spans="1:11" ht="14.4">
      <c r="A306" s="5" t="str">
        <f>F306&amp;(COUNTIFS(F$2:F306,F306,K$2:K306,"Sparse"))</f>
        <v>SD70</v>
      </c>
      <c r="B306" s="5" t="str">
        <f>J306&amp;(COUNTIF(J$2:J306,J306))</f>
        <v>Essex12</v>
      </c>
      <c r="C306" s="8" t="s">
        <v>165</v>
      </c>
      <c r="D306" s="8" t="s">
        <v>165</v>
      </c>
      <c r="E306" s="9" t="s">
        <v>369</v>
      </c>
      <c r="F306" s="9" t="s">
        <v>381</v>
      </c>
      <c r="G306" s="9" t="s">
        <v>5</v>
      </c>
      <c r="H306" s="10" t="s">
        <v>892</v>
      </c>
      <c r="I306" s="11" t="s">
        <v>382</v>
      </c>
      <c r="J306" t="s">
        <v>311</v>
      </c>
      <c r="K306" s="21"/>
    </row>
    <row r="307" spans="1:11" ht="14.4">
      <c r="A307" s="5" t="str">
        <f>F307&amp;(COUNTIFS(F$2:F307,F307,K$2:K307,"Sparse"))</f>
        <v>SD70</v>
      </c>
      <c r="B307" s="5" t="str">
        <f>J307&amp;(COUNTIF(J$2:J307,J307))</f>
        <v>Hampshire11</v>
      </c>
      <c r="C307" s="8" t="s">
        <v>166</v>
      </c>
      <c r="D307" s="8" t="s">
        <v>166</v>
      </c>
      <c r="E307" s="9" t="s">
        <v>0</v>
      </c>
      <c r="F307" s="9" t="s">
        <v>381</v>
      </c>
      <c r="G307" s="9" t="s">
        <v>5</v>
      </c>
      <c r="H307" s="10" t="s">
        <v>891</v>
      </c>
      <c r="I307" s="11" t="s">
        <v>371</v>
      </c>
      <c r="J307" t="s">
        <v>313</v>
      </c>
      <c r="K307" s="21"/>
    </row>
    <row r="308" spans="1:11" ht="14.4">
      <c r="A308" s="5" t="str">
        <f>F308&amp;(COUNTIFS(F$2:F308,F308,K$2:K308,"Sparse"))</f>
        <v>SD71</v>
      </c>
      <c r="B308" s="5" t="str">
        <f>J308&amp;(COUNTIF(J$2:J308,J308))</f>
        <v>Gloucestershire7</v>
      </c>
      <c r="C308" s="8" t="s">
        <v>167</v>
      </c>
      <c r="D308" s="8" t="s">
        <v>167</v>
      </c>
      <c r="E308" s="9" t="s">
        <v>1</v>
      </c>
      <c r="F308" s="9" t="s">
        <v>381</v>
      </c>
      <c r="G308" s="9" t="s">
        <v>5</v>
      </c>
      <c r="H308" s="10" t="s">
        <v>892</v>
      </c>
      <c r="I308" s="11" t="s">
        <v>382</v>
      </c>
      <c r="J308" t="s">
        <v>312</v>
      </c>
      <c r="K308" s="21" t="s">
        <v>335</v>
      </c>
    </row>
    <row r="309" spans="1:11" ht="14.4">
      <c r="A309" s="5" t="str">
        <f>F309&amp;(COUNTIFS(F$2:F309,F309,K$2:K309,"Sparse"))</f>
        <v>SD71</v>
      </c>
      <c r="B309" s="5" t="str">
        <f>J309&amp;(COUNTIF(J$2:J309,J309))</f>
        <v>Kent11</v>
      </c>
      <c r="C309" s="8" t="s">
        <v>168</v>
      </c>
      <c r="D309" s="8" t="s">
        <v>168</v>
      </c>
      <c r="E309" s="9" t="s">
        <v>0</v>
      </c>
      <c r="F309" s="9" t="s">
        <v>381</v>
      </c>
      <c r="G309" s="9" t="s">
        <v>5</v>
      </c>
      <c r="H309" s="10" t="s">
        <v>888</v>
      </c>
      <c r="I309" s="11" t="s">
        <v>384</v>
      </c>
      <c r="J309" t="s">
        <v>315</v>
      </c>
      <c r="K309" s="21"/>
    </row>
    <row r="310" spans="1:11" ht="14.4">
      <c r="A310" s="5" t="str">
        <f>F310&amp;(COUNTIFS(F$2:F310,F310,K$2:K310,"Sparse"))</f>
        <v>SD71</v>
      </c>
      <c r="B310" s="5" t="str">
        <f>J310&amp;(COUNTIF(J$2:J310,J310))</f>
        <v>Hertfordshire9</v>
      </c>
      <c r="C310" s="8" t="s">
        <v>169</v>
      </c>
      <c r="D310" s="8" t="s">
        <v>169</v>
      </c>
      <c r="E310" s="9" t="s">
        <v>369</v>
      </c>
      <c r="F310" s="9" t="s">
        <v>381</v>
      </c>
      <c r="G310" s="9" t="s">
        <v>5</v>
      </c>
      <c r="H310" s="10" t="s">
        <v>893</v>
      </c>
      <c r="I310" s="11" t="s">
        <v>384</v>
      </c>
      <c r="J310" t="s">
        <v>314</v>
      </c>
      <c r="K310" s="21"/>
    </row>
    <row r="311" spans="1:11" ht="14.4">
      <c r="A311" s="5" t="str">
        <f>F311&amp;(COUNTIFS(F$2:F311,F311,K$2:K311,"Sparse"))</f>
        <v>UA11</v>
      </c>
      <c r="B311" s="5" t="str">
        <f>J311&amp;(COUNTIF(J$2:J311,J311))</f>
        <v>Unitary50</v>
      </c>
      <c r="C311" s="8" t="s">
        <v>293</v>
      </c>
      <c r="D311" s="8" t="s">
        <v>293</v>
      </c>
      <c r="E311" s="9" t="s">
        <v>369</v>
      </c>
      <c r="F311" s="9" t="s">
        <v>387</v>
      </c>
      <c r="G311" s="9" t="s">
        <v>396</v>
      </c>
      <c r="H311" s="10" t="s">
        <v>893</v>
      </c>
      <c r="I311" s="11" t="s">
        <v>384</v>
      </c>
      <c r="J311" s="22" t="s">
        <v>396</v>
      </c>
      <c r="K311" s="21"/>
    </row>
    <row r="312" spans="1:11" ht="14.4">
      <c r="A312" s="5" t="str">
        <f>F312&amp;(COUNTIFS(F$2:F312,F312,K$2:K312,"Sparse"))</f>
        <v>SD71</v>
      </c>
      <c r="B312" s="5" t="str">
        <f>J312&amp;(COUNTIF(J$2:J312,J312))</f>
        <v>Kent12</v>
      </c>
      <c r="C312" s="8" t="s">
        <v>350</v>
      </c>
      <c r="D312" s="8" t="s">
        <v>350</v>
      </c>
      <c r="E312" s="9" t="s">
        <v>0</v>
      </c>
      <c r="F312" s="9" t="s">
        <v>381</v>
      </c>
      <c r="G312" s="9" t="s">
        <v>5</v>
      </c>
      <c r="H312" s="10" t="s">
        <v>891</v>
      </c>
      <c r="I312" s="11" t="s">
        <v>371</v>
      </c>
      <c r="J312" t="s">
        <v>315</v>
      </c>
      <c r="K312" s="21"/>
    </row>
    <row r="313" spans="1:11" ht="14.4">
      <c r="A313" s="5" t="str">
        <f>F313&amp;(COUNTIFS(F$2:F313,F313,K$2:K313,"Sparse"))</f>
        <v>UA11</v>
      </c>
      <c r="B313" s="5" t="str">
        <f>J313&amp;(COUNTIF(J$2:J313,J313))</f>
        <v>Unitary51</v>
      </c>
      <c r="C313" s="8" t="s">
        <v>294</v>
      </c>
      <c r="D313" s="8" t="s">
        <v>294</v>
      </c>
      <c r="E313" s="9" t="s">
        <v>1</v>
      </c>
      <c r="F313" s="9" t="s">
        <v>387</v>
      </c>
      <c r="G313" s="9" t="s">
        <v>396</v>
      </c>
      <c r="H313" s="10" t="s">
        <v>888</v>
      </c>
      <c r="I313" s="11" t="s">
        <v>384</v>
      </c>
      <c r="J313" s="22" t="s">
        <v>396</v>
      </c>
      <c r="K313" s="21"/>
    </row>
    <row r="314" spans="1:11" ht="14.4">
      <c r="A314" s="5" t="str">
        <f>F314&amp;(COUNTIFS(F$2:F314,F314,K$2:K314,"Sparse"))</f>
        <v>SD72</v>
      </c>
      <c r="B314" s="5" t="str">
        <f>J314&amp;(COUNTIF(J$2:J314,J314))</f>
        <v>Devon8</v>
      </c>
      <c r="C314" s="8" t="s">
        <v>170</v>
      </c>
      <c r="D314" s="8" t="s">
        <v>170</v>
      </c>
      <c r="E314" s="9" t="s">
        <v>1</v>
      </c>
      <c r="F314" s="9" t="s">
        <v>381</v>
      </c>
      <c r="G314" s="9" t="s">
        <v>5</v>
      </c>
      <c r="H314" s="10" t="s">
        <v>889</v>
      </c>
      <c r="I314" s="11" t="s">
        <v>382</v>
      </c>
      <c r="J314" t="s">
        <v>308</v>
      </c>
      <c r="K314" s="21" t="s">
        <v>335</v>
      </c>
    </row>
    <row r="315" spans="1:11" ht="14.4">
      <c r="A315" s="5" t="str">
        <f>F315&amp;(COUNTIFS(F$2:F315,F315,K$2:K315,"Sparse"))</f>
        <v>L0</v>
      </c>
      <c r="B315" s="5" t="str">
        <f>J315&amp;(COUNTIF(J$2:J315,J315))</f>
        <v>London30</v>
      </c>
      <c r="C315" s="8" t="s">
        <v>219</v>
      </c>
      <c r="D315" s="8" t="s">
        <v>219</v>
      </c>
      <c r="E315" s="9" t="s">
        <v>383</v>
      </c>
      <c r="F315" s="9" t="s">
        <v>359</v>
      </c>
      <c r="G315" s="9" t="s">
        <v>383</v>
      </c>
      <c r="H315" s="10" t="s">
        <v>893</v>
      </c>
      <c r="I315" s="11" t="s">
        <v>384</v>
      </c>
      <c r="J315" t="str">
        <f>G315</f>
        <v>London</v>
      </c>
      <c r="K315" s="21"/>
    </row>
    <row r="316" spans="1:11" ht="14.4">
      <c r="A316" s="5" t="str">
        <f>F316&amp;(COUNTIFS(F$2:F316,F316,K$2:K316,"Sparse"))</f>
        <v>MD0</v>
      </c>
      <c r="B316" s="5" t="str">
        <f>J316&amp;(COUNTIF(J$2:J316,J316))</f>
        <v>Trafford1</v>
      </c>
      <c r="C316" s="8" t="s">
        <v>252</v>
      </c>
      <c r="D316" s="8" t="s">
        <v>252</v>
      </c>
      <c r="E316" s="9" t="s">
        <v>376</v>
      </c>
      <c r="F316" s="9" t="s">
        <v>386</v>
      </c>
      <c r="G316" s="9" t="s">
        <v>397</v>
      </c>
      <c r="H316" s="10" t="s">
        <v>893</v>
      </c>
      <c r="I316" s="11" t="s">
        <v>384</v>
      </c>
      <c r="J316" t="str">
        <f>C316</f>
        <v>Trafford</v>
      </c>
      <c r="K316" s="21"/>
    </row>
    <row r="317" spans="1:11" ht="14.4">
      <c r="A317" s="5" t="str">
        <f>F317&amp;(COUNTIFS(F$2:F317,F317,K$2:K317,"Sparse"))</f>
        <v>SD73</v>
      </c>
      <c r="B317" s="5" t="str">
        <f>J317&amp;(COUNTIF(J$2:J317,J317))</f>
        <v>Kent13</v>
      </c>
      <c r="C317" s="8" t="s">
        <v>171</v>
      </c>
      <c r="D317" s="8" t="s">
        <v>171</v>
      </c>
      <c r="E317" s="9" t="s">
        <v>0</v>
      </c>
      <c r="F317" s="9" t="s">
        <v>381</v>
      </c>
      <c r="G317" s="9" t="s">
        <v>5</v>
      </c>
      <c r="H317" s="12" t="s">
        <v>891</v>
      </c>
      <c r="I317" s="11" t="s">
        <v>371</v>
      </c>
      <c r="J317" t="s">
        <v>315</v>
      </c>
      <c r="K317" s="21" t="s">
        <v>335</v>
      </c>
    </row>
    <row r="318" spans="1:11" ht="14.4">
      <c r="A318" s="5" t="str">
        <f>F318&amp;(COUNTIFS(F$2:F318,F318,K$2:K318,"Sparse"))</f>
        <v>SD74</v>
      </c>
      <c r="B318" s="5" t="str">
        <f>J318&amp;(COUNTIF(J$2:J318,J318))</f>
        <v>Essex13</v>
      </c>
      <c r="C318" s="8" t="s">
        <v>172</v>
      </c>
      <c r="D318" s="8" t="s">
        <v>172</v>
      </c>
      <c r="E318" s="9" t="s">
        <v>369</v>
      </c>
      <c r="F318" s="9" t="s">
        <v>381</v>
      </c>
      <c r="G318" s="9" t="s">
        <v>5</v>
      </c>
      <c r="H318" s="10" t="s">
        <v>889</v>
      </c>
      <c r="I318" s="11" t="s">
        <v>382</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381</v>
      </c>
      <c r="G319" s="9" t="s">
        <v>5</v>
      </c>
      <c r="H319" s="10" t="s">
        <v>892</v>
      </c>
      <c r="I319" s="11" t="s">
        <v>382</v>
      </c>
      <c r="J319" t="s">
        <v>324</v>
      </c>
      <c r="K319" s="21" t="s">
        <v>335</v>
      </c>
    </row>
    <row r="320" spans="1:11" ht="14.4">
      <c r="A320" s="5" t="str">
        <f>F320&amp;(COUNTIFS(F$2:F320,F320,K$2:K320,"Sparse"))</f>
        <v>MD0</v>
      </c>
      <c r="B320" s="5" t="str">
        <f>J320&amp;(COUNTIF(J$2:J320,J320))</f>
        <v>Wakefield1</v>
      </c>
      <c r="C320" s="8" t="s">
        <v>253</v>
      </c>
      <c r="D320" s="8" t="s">
        <v>253</v>
      </c>
      <c r="E320" s="9" t="s">
        <v>385</v>
      </c>
      <c r="F320" s="9" t="s">
        <v>386</v>
      </c>
      <c r="G320" s="9" t="s">
        <v>397</v>
      </c>
      <c r="H320" s="12" t="s">
        <v>888</v>
      </c>
      <c r="I320" s="11" t="s">
        <v>384</v>
      </c>
      <c r="J320" t="str">
        <f>C320</f>
        <v>Wakefield</v>
      </c>
      <c r="K320" s="21"/>
    </row>
    <row r="321" spans="1:11" ht="14.4">
      <c r="A321" s="5" t="str">
        <f>F321&amp;(COUNTIFS(F$2:F321,F321,K$2:K321,"Sparse"))</f>
        <v>MD0</v>
      </c>
      <c r="B321" s="5" t="str">
        <f>J321&amp;(COUNTIF(J$2:J321,J321))</f>
        <v>Walsall1</v>
      </c>
      <c r="C321" s="8" t="s">
        <v>254</v>
      </c>
      <c r="D321" s="8" t="s">
        <v>254</v>
      </c>
      <c r="E321" s="9" t="s">
        <v>368</v>
      </c>
      <c r="F321" s="9" t="s">
        <v>386</v>
      </c>
      <c r="G321" s="9" t="s">
        <v>397</v>
      </c>
      <c r="H321" s="10" t="s">
        <v>893</v>
      </c>
      <c r="I321" s="11" t="s">
        <v>384</v>
      </c>
      <c r="J321" t="str">
        <f>C321</f>
        <v>Walsall</v>
      </c>
      <c r="K321" s="21"/>
    </row>
    <row r="322" spans="1:11" ht="14.4">
      <c r="A322" s="5" t="str">
        <f>F322&amp;(COUNTIFS(F$2:F322,F322,K$2:K322,"Sparse"))</f>
        <v>L0</v>
      </c>
      <c r="B322" s="5" t="str">
        <f>J322&amp;(COUNTIF(J$2:J322,J322))</f>
        <v>London31</v>
      </c>
      <c r="C322" s="8" t="s">
        <v>220</v>
      </c>
      <c r="D322" s="8" t="s">
        <v>220</v>
      </c>
      <c r="E322" s="9" t="s">
        <v>383</v>
      </c>
      <c r="F322" s="9" t="s">
        <v>359</v>
      </c>
      <c r="G322" s="9" t="s">
        <v>383</v>
      </c>
      <c r="H322" s="10" t="s">
        <v>893</v>
      </c>
      <c r="I322" s="11" t="s">
        <v>384</v>
      </c>
      <c r="J322" t="str">
        <f>G322</f>
        <v>London</v>
      </c>
      <c r="K322" s="21"/>
    </row>
    <row r="323" spans="1:11" ht="14.4">
      <c r="A323" s="5" t="str">
        <f>F323&amp;(COUNTIFS(F$2:F323,F323,K$2:K323,"Sparse"))</f>
        <v>L0</v>
      </c>
      <c r="B323" s="5" t="str">
        <f>J323&amp;(COUNTIF(J$2:J323,J323))</f>
        <v>London32</v>
      </c>
      <c r="C323" s="8" t="s">
        <v>221</v>
      </c>
      <c r="D323" s="8" t="s">
        <v>221</v>
      </c>
      <c r="E323" s="9" t="s">
        <v>383</v>
      </c>
      <c r="F323" s="9" t="s">
        <v>359</v>
      </c>
      <c r="G323" s="9" t="s">
        <v>383</v>
      </c>
      <c r="H323" s="10" t="s">
        <v>893</v>
      </c>
      <c r="I323" s="11" t="s">
        <v>384</v>
      </c>
      <c r="J323" t="str">
        <f>G323</f>
        <v>London</v>
      </c>
      <c r="K323" s="21"/>
    </row>
    <row r="324" spans="1:11" ht="14.4">
      <c r="A324" s="5" t="str">
        <f>F324&amp;(COUNTIFS(F$2:F324,F324,K$2:K324,"Sparse"))</f>
        <v>UA11</v>
      </c>
      <c r="B324" s="5" t="str">
        <f>J324&amp;(COUNTIF(J$2:J324,J324))</f>
        <v>Unitary52</v>
      </c>
      <c r="C324" s="8" t="s">
        <v>295</v>
      </c>
      <c r="D324" s="8" t="s">
        <v>295</v>
      </c>
      <c r="E324" s="9" t="s">
        <v>376</v>
      </c>
      <c r="F324" s="9" t="s">
        <v>387</v>
      </c>
      <c r="G324" s="9" t="s">
        <v>396</v>
      </c>
      <c r="H324" s="10" t="s">
        <v>888</v>
      </c>
      <c r="I324" s="11" t="s">
        <v>384</v>
      </c>
      <c r="J324" s="22" t="s">
        <v>396</v>
      </c>
      <c r="K324" s="21"/>
    </row>
    <row r="325" spans="1:11" ht="14.4">
      <c r="A325" s="5" t="str">
        <f>F325&amp;(COUNTIFS(F$2:F325,F325,K$2:K325,"Sparse"))</f>
        <v>SD75</v>
      </c>
      <c r="B325" s="5" t="str">
        <f>J325&amp;(COUNTIF(J$2:J325,J325))</f>
        <v>Warwickshire5</v>
      </c>
      <c r="C325" s="8" t="s">
        <v>174</v>
      </c>
      <c r="D325" s="8" t="s">
        <v>174</v>
      </c>
      <c r="E325" s="9" t="s">
        <v>368</v>
      </c>
      <c r="F325" s="9" t="s">
        <v>381</v>
      </c>
      <c r="G325" s="9" t="s">
        <v>5</v>
      </c>
      <c r="H325" s="12" t="s">
        <v>888</v>
      </c>
      <c r="I325" s="11" t="s">
        <v>384</v>
      </c>
      <c r="J325" t="s">
        <v>330</v>
      </c>
      <c r="K325" s="21"/>
    </row>
    <row r="326" spans="1:11" ht="14.4">
      <c r="A326" s="5" t="str">
        <f>F326&amp;(COUNTIFS(F$2:F326,F326,K$2:K326,"Sparse"))</f>
        <v>SC15</v>
      </c>
      <c r="B326" s="5" t="str">
        <f>J326&amp;(COUNTIF(J$2:J326,J326))</f>
        <v>Warwickshire6</v>
      </c>
      <c r="C326" s="11" t="s">
        <v>330</v>
      </c>
      <c r="D326" s="11" t="s">
        <v>330</v>
      </c>
      <c r="E326" s="9" t="s">
        <v>368</v>
      </c>
      <c r="F326" s="9" t="s">
        <v>389</v>
      </c>
      <c r="G326" s="9" t="s">
        <v>301</v>
      </c>
      <c r="H326" s="11" t="s">
        <v>371</v>
      </c>
      <c r="I326" s="11" t="s">
        <v>371</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369</v>
      </c>
      <c r="F327" s="9" t="s">
        <v>381</v>
      </c>
      <c r="G327" s="9" t="s">
        <v>5</v>
      </c>
      <c r="H327" s="10" t="s">
        <v>893</v>
      </c>
      <c r="I327" s="11" t="s">
        <v>384</v>
      </c>
      <c r="J327" t="s">
        <v>314</v>
      </c>
      <c r="K327" s="21"/>
    </row>
    <row r="328" spans="1:11" ht="14.4">
      <c r="A328" s="5" t="str">
        <f>F328&amp;(COUNTIFS(F$2:F328,F328,K$2:K328,"Sparse"))</f>
        <v>SD76</v>
      </c>
      <c r="B328" s="5" t="str">
        <f>J328&amp;(COUNTIF(J$2:J328,J328))</f>
        <v>Suffolk9</v>
      </c>
      <c r="C328" s="8" t="s">
        <v>176</v>
      </c>
      <c r="D328" s="8" t="s">
        <v>176</v>
      </c>
      <c r="E328" s="9" t="s">
        <v>369</v>
      </c>
      <c r="F328" s="9" t="s">
        <v>381</v>
      </c>
      <c r="G328" s="9" t="s">
        <v>5</v>
      </c>
      <c r="H328" s="12" t="s">
        <v>891</v>
      </c>
      <c r="I328" s="11" t="s">
        <v>371</v>
      </c>
      <c r="J328" t="s">
        <v>328</v>
      </c>
      <c r="K328" s="21" t="s">
        <v>335</v>
      </c>
    </row>
    <row r="329" spans="1:11" ht="14.4">
      <c r="A329" s="5" t="str">
        <f>F329&amp;(COUNTIFS(F$2:F329,F329,K$2:K329,"Sparse"))</f>
        <v>SD76</v>
      </c>
      <c r="B329" s="5" t="str">
        <f>J329&amp;(COUNTIF(J$2:J329,J329))</f>
        <v>Surrey11</v>
      </c>
      <c r="C329" s="8" t="s">
        <v>177</v>
      </c>
      <c r="D329" s="8" t="s">
        <v>177</v>
      </c>
      <c r="E329" s="9" t="s">
        <v>0</v>
      </c>
      <c r="F329" s="9" t="s">
        <v>381</v>
      </c>
      <c r="G329" s="9" t="s">
        <v>5</v>
      </c>
      <c r="H329" s="10" t="s">
        <v>892</v>
      </c>
      <c r="I329" s="11" t="s">
        <v>382</v>
      </c>
      <c r="J329" t="s">
        <v>329</v>
      </c>
      <c r="K329" s="21"/>
    </row>
    <row r="330" spans="1:11" ht="14.4">
      <c r="A330" s="5" t="str">
        <f>F330&amp;(COUNTIFS(F$2:F330,F330,K$2:K330,"Sparse"))</f>
        <v>SD77</v>
      </c>
      <c r="B330" s="5" t="str">
        <f>J330&amp;(COUNTIF(J$2:J330,J330))</f>
        <v>East Sussex6</v>
      </c>
      <c r="C330" s="8" t="s">
        <v>178</v>
      </c>
      <c r="D330" s="8" t="s">
        <v>178</v>
      </c>
      <c r="E330" s="9" t="s">
        <v>0</v>
      </c>
      <c r="F330" s="9" t="s">
        <v>381</v>
      </c>
      <c r="G330" s="9" t="s">
        <v>5</v>
      </c>
      <c r="H330" s="10" t="s">
        <v>889</v>
      </c>
      <c r="I330" s="11" t="s">
        <v>382</v>
      </c>
      <c r="J330" t="s">
        <v>310</v>
      </c>
      <c r="K330" s="21" t="s">
        <v>335</v>
      </c>
    </row>
    <row r="331" spans="1:11" ht="14.4">
      <c r="A331" s="5" t="str">
        <f>F331&amp;(COUNTIFS(F$2:F331,F331,K$2:K331,"Sparse"))</f>
        <v>SD77</v>
      </c>
      <c r="B331" s="5" t="str">
        <f>J331&amp;(COUNTIF(J$2:J331,J331))</f>
        <v>Northamptonshire8</v>
      </c>
      <c r="C331" s="8" t="s">
        <v>179</v>
      </c>
      <c r="D331" s="8" t="s">
        <v>179</v>
      </c>
      <c r="E331" s="9" t="s">
        <v>367</v>
      </c>
      <c r="F331" s="9" t="s">
        <v>381</v>
      </c>
      <c r="G331" s="9" t="s">
        <v>5</v>
      </c>
      <c r="H331" s="12" t="s">
        <v>891</v>
      </c>
      <c r="I331" s="11" t="s">
        <v>371</v>
      </c>
      <c r="J331" t="s">
        <v>321</v>
      </c>
      <c r="K331" s="21"/>
    </row>
    <row r="332" spans="1:11" ht="14.4">
      <c r="A332" s="5" t="str">
        <f>F332&amp;(COUNTIFS(F$2:F332,F332,K$2:K332,"Sparse"))</f>
        <v>SD77</v>
      </c>
      <c r="B332" s="5" t="str">
        <f>J332&amp;(COUNTIF(J$2:J332,J332))</f>
        <v>Hertfordshire11</v>
      </c>
      <c r="C332" s="8" t="s">
        <v>180</v>
      </c>
      <c r="D332" s="8" t="s">
        <v>180</v>
      </c>
      <c r="E332" s="9" t="s">
        <v>369</v>
      </c>
      <c r="F332" s="9" t="s">
        <v>381</v>
      </c>
      <c r="G332" s="9" t="s">
        <v>5</v>
      </c>
      <c r="H332" s="10" t="s">
        <v>888</v>
      </c>
      <c r="I332" s="11" t="s">
        <v>384</v>
      </c>
      <c r="J332" t="s">
        <v>314</v>
      </c>
      <c r="K332" s="21"/>
    </row>
    <row r="333" spans="1:11" ht="14.4">
      <c r="A333" s="5" t="str">
        <f>F333&amp;(COUNTIFS(F$2:F333,F333,K$2:K333,"Sparse"))</f>
        <v>UA11</v>
      </c>
      <c r="B333" s="5" t="str">
        <f>J333&amp;(COUNTIF(J$2:J333,J333))</f>
        <v>Unitary53</v>
      </c>
      <c r="C333" s="8" t="s">
        <v>296</v>
      </c>
      <c r="D333" s="8" t="s">
        <v>296</v>
      </c>
      <c r="E333" s="9" t="s">
        <v>0</v>
      </c>
      <c r="F333" s="9" t="s">
        <v>387</v>
      </c>
      <c r="G333" s="9" t="s">
        <v>396</v>
      </c>
      <c r="H333" s="12" t="s">
        <v>891</v>
      </c>
      <c r="I333" s="11" t="s">
        <v>371</v>
      </c>
      <c r="J333" s="22" t="s">
        <v>396</v>
      </c>
      <c r="K333" s="21"/>
    </row>
    <row r="334" spans="1:11" ht="14.4">
      <c r="A334" s="5" t="str">
        <f>F334&amp;(COUNTIFS(F$2:F334,F334,K$2:K334,"Sparse"))</f>
        <v>SD78</v>
      </c>
      <c r="B334" s="5" t="str">
        <f>J334&amp;(COUNTIF(J$2:J334,J334))</f>
        <v>Devon9</v>
      </c>
      <c r="C334" s="8" t="s">
        <v>181</v>
      </c>
      <c r="D334" s="8" t="s">
        <v>181</v>
      </c>
      <c r="E334" s="9" t="s">
        <v>1</v>
      </c>
      <c r="F334" s="9" t="s">
        <v>381</v>
      </c>
      <c r="G334" s="9" t="s">
        <v>5</v>
      </c>
      <c r="H334" s="10" t="s">
        <v>889</v>
      </c>
      <c r="I334" s="11" t="s">
        <v>382</v>
      </c>
      <c r="J334" t="s">
        <v>308</v>
      </c>
      <c r="K334" s="21" t="s">
        <v>335</v>
      </c>
    </row>
    <row r="335" spans="1:11" ht="14.4">
      <c r="A335" s="5" t="str">
        <f>F335&amp;(COUNTIFS(F$2:F335,F335,K$2:K335,"Sparse"))</f>
        <v>SD78</v>
      </c>
      <c r="B335" s="5" t="str">
        <f>J335&amp;(COUNTIF(J$2:J335,J335))</f>
        <v>Dorset6</v>
      </c>
      <c r="C335" s="8" t="s">
        <v>182</v>
      </c>
      <c r="D335" s="8" t="s">
        <v>182</v>
      </c>
      <c r="E335" s="9" t="s">
        <v>1</v>
      </c>
      <c r="F335" s="9" t="s">
        <v>381</v>
      </c>
      <c r="G335" s="9" t="s">
        <v>5</v>
      </c>
      <c r="H335" s="10" t="s">
        <v>889</v>
      </c>
      <c r="I335" s="11" t="s">
        <v>382</v>
      </c>
      <c r="J335" t="s">
        <v>309</v>
      </c>
      <c r="K335" s="21"/>
    </row>
    <row r="336" spans="1:11" ht="14.4">
      <c r="A336" s="5" t="str">
        <f>F336&amp;(COUNTIFS(F$2:F336,F336,K$2:K336,"Sparse"))</f>
        <v>SD78</v>
      </c>
      <c r="B336" s="5" t="str">
        <f>J336&amp;(COUNTIF(J$2:J336,J336))</f>
        <v>Lancashire12</v>
      </c>
      <c r="C336" s="8" t="s">
        <v>183</v>
      </c>
      <c r="D336" s="8" t="s">
        <v>183</v>
      </c>
      <c r="E336" s="9" t="s">
        <v>376</v>
      </c>
      <c r="F336" s="9" t="s">
        <v>381</v>
      </c>
      <c r="G336" s="9" t="s">
        <v>5</v>
      </c>
      <c r="H336" s="10" t="s">
        <v>891</v>
      </c>
      <c r="I336" s="11" t="s">
        <v>371</v>
      </c>
      <c r="J336" t="s">
        <v>316</v>
      </c>
      <c r="K336" s="21"/>
    </row>
    <row r="337" spans="1:11" ht="14.4">
      <c r="A337" s="5" t="str">
        <f>F337&amp;(COUNTIFS(F$2:F337,F337,K$2:K337,"Sparse"))</f>
        <v>SD79</v>
      </c>
      <c r="B337" s="5" t="str">
        <f>J337&amp;(COUNTIF(J$2:J337,J337))</f>
        <v>Lincolnshire8</v>
      </c>
      <c r="C337" s="8" t="s">
        <v>184</v>
      </c>
      <c r="D337" s="8" t="s">
        <v>184</v>
      </c>
      <c r="E337" s="9" t="s">
        <v>367</v>
      </c>
      <c r="F337" s="9" t="s">
        <v>381</v>
      </c>
      <c r="G337" s="9" t="s">
        <v>5</v>
      </c>
      <c r="H337" s="10" t="s">
        <v>889</v>
      </c>
      <c r="I337" s="11" t="s">
        <v>382</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381</v>
      </c>
      <c r="G338" s="9" t="s">
        <v>5</v>
      </c>
      <c r="H338" s="10" t="s">
        <v>889</v>
      </c>
      <c r="I338" s="11" t="s">
        <v>382</v>
      </c>
      <c r="J338" t="s">
        <v>324</v>
      </c>
      <c r="K338" s="21" t="s">
        <v>335</v>
      </c>
    </row>
    <row r="339" spans="1:11" ht="14.4">
      <c r="A339" s="5" t="str">
        <f>F339&amp;(COUNTIFS(F$2:F339,F339,K$2:K339,"Sparse"))</f>
        <v>SD81</v>
      </c>
      <c r="B339" s="5" t="str">
        <f>J339&amp;(COUNTIF(J$2:J339,J339))</f>
        <v>Somerset7</v>
      </c>
      <c r="C339" s="8" t="s">
        <v>186</v>
      </c>
      <c r="D339" s="8" t="s">
        <v>186</v>
      </c>
      <c r="E339" s="9" t="s">
        <v>1</v>
      </c>
      <c r="F339" s="9" t="s">
        <v>381</v>
      </c>
      <c r="G339" s="9" t="s">
        <v>5</v>
      </c>
      <c r="H339" s="10" t="s">
        <v>889</v>
      </c>
      <c r="I339" s="11" t="s">
        <v>382</v>
      </c>
      <c r="J339" t="s">
        <v>326</v>
      </c>
      <c r="K339" s="21" t="s">
        <v>335</v>
      </c>
    </row>
    <row r="340" spans="1:11" ht="14.4">
      <c r="A340" s="5" t="str">
        <f>F340&amp;(COUNTIFS(F$2:F340,F340,K$2:K340,"Sparse"))</f>
        <v>SD82</v>
      </c>
      <c r="B340" s="5" t="str">
        <f>J340&amp;(COUNTIF(J$2:J340,J340))</f>
        <v>Suffolk10</v>
      </c>
      <c r="C340" t="s">
        <v>907</v>
      </c>
      <c r="D340" t="s">
        <v>907</v>
      </c>
      <c r="E340" s="281" t="s">
        <v>369</v>
      </c>
      <c r="F340" s="281" t="s">
        <v>381</v>
      </c>
      <c r="G340" s="281" t="s">
        <v>5</v>
      </c>
      <c r="H340" s="282" t="s">
        <v>910</v>
      </c>
      <c r="I340" s="283" t="s">
        <v>382</v>
      </c>
      <c r="J340" t="s">
        <v>328</v>
      </c>
      <c r="K340" t="s">
        <v>335</v>
      </c>
    </row>
    <row r="341" spans="1:11" ht="14.4">
      <c r="A341" s="5" t="str">
        <f>F341&amp;(COUNTIFS(F$2:F341,F341,K$2:K341,"Sparse"))</f>
        <v>SC15</v>
      </c>
      <c r="B341" s="5" t="str">
        <f>J341&amp;(COUNTIF(J$2:J341,J341))</f>
        <v>West Sussex7</v>
      </c>
      <c r="C341" s="11" t="s">
        <v>331</v>
      </c>
      <c r="D341" s="11" t="s">
        <v>331</v>
      </c>
      <c r="E341" s="9" t="s">
        <v>0</v>
      </c>
      <c r="F341" s="9" t="s">
        <v>389</v>
      </c>
      <c r="G341" s="9" t="s">
        <v>301</v>
      </c>
      <c r="H341" s="11" t="s">
        <v>371</v>
      </c>
      <c r="I341" s="11" t="s">
        <v>371</v>
      </c>
      <c r="J341" t="str">
        <f>C341</f>
        <v>West Sussex</v>
      </c>
      <c r="K341" s="21"/>
    </row>
    <row r="342" spans="1:11" ht="14.4">
      <c r="A342" s="5" t="str">
        <f>F342&amp;(COUNTIFS(F$2:F342,F342,K$2:K342,"Sparse"))</f>
        <v>L0</v>
      </c>
      <c r="B342" s="5" t="str">
        <f>J342&amp;(COUNTIF(J$2:J342,J342))</f>
        <v>London33</v>
      </c>
      <c r="C342" s="8" t="s">
        <v>187</v>
      </c>
      <c r="D342" s="8" t="s">
        <v>187</v>
      </c>
      <c r="E342" s="9" t="s">
        <v>383</v>
      </c>
      <c r="F342" s="9" t="s">
        <v>359</v>
      </c>
      <c r="G342" s="9" t="s">
        <v>383</v>
      </c>
      <c r="H342" s="10" t="s">
        <v>893</v>
      </c>
      <c r="I342" s="11" t="s">
        <v>384</v>
      </c>
      <c r="J342" t="str">
        <f>G342</f>
        <v>London</v>
      </c>
      <c r="K342" s="21"/>
    </row>
    <row r="343" spans="1:11" ht="14.4">
      <c r="A343" s="5" t="str">
        <f>F343&amp;(COUNTIFS(F$2:F343,F343,K$2:K343,"Sparse"))</f>
        <v>SD82</v>
      </c>
      <c r="B343" s="5" t="str">
        <f>J343&amp;(COUNTIF(J$2:J343,J343))</f>
        <v>Dorset7</v>
      </c>
      <c r="C343" s="8" t="s">
        <v>351</v>
      </c>
      <c r="D343" s="8" t="s">
        <v>351</v>
      </c>
      <c r="E343" s="9" t="s">
        <v>1</v>
      </c>
      <c r="F343" s="9" t="s">
        <v>381</v>
      </c>
      <c r="G343" s="9" t="s">
        <v>5</v>
      </c>
      <c r="H343" s="10" t="s">
        <v>888</v>
      </c>
      <c r="I343" s="11" t="s">
        <v>384</v>
      </c>
      <c r="J343" t="s">
        <v>309</v>
      </c>
      <c r="K343" s="21"/>
    </row>
    <row r="344" spans="1:11" ht="14.4">
      <c r="A344" s="5" t="str">
        <f>F344&amp;(COUNTIFS(F$2:F344,F344,K$2:K344,"Sparse"))</f>
        <v>MD0</v>
      </c>
      <c r="B344" s="5" t="str">
        <f>J344&amp;(COUNTIF(J$2:J344,J344))</f>
        <v>Wigan1</v>
      </c>
      <c r="C344" s="8" t="s">
        <v>255</v>
      </c>
      <c r="D344" s="8" t="s">
        <v>255</v>
      </c>
      <c r="E344" s="9" t="s">
        <v>376</v>
      </c>
      <c r="F344" s="9" t="s">
        <v>386</v>
      </c>
      <c r="G344" s="9" t="s">
        <v>397</v>
      </c>
      <c r="H344" s="10" t="s">
        <v>893</v>
      </c>
      <c r="I344" s="11" t="s">
        <v>384</v>
      </c>
      <c r="J344" t="str">
        <f>C344</f>
        <v>Wigan</v>
      </c>
      <c r="K344" s="21"/>
    </row>
    <row r="345" spans="1:11" ht="14.4">
      <c r="A345" s="5" t="str">
        <f>F345&amp;(COUNTIFS(F$2:F345,F345,K$2:K345,"Sparse"))</f>
        <v>UA11</v>
      </c>
      <c r="B345" s="5" t="str">
        <f>J345&amp;(COUNTIF(J$2:J345,J345))</f>
        <v>Unitary54</v>
      </c>
      <c r="C345" s="8" t="s">
        <v>297</v>
      </c>
      <c r="D345" s="8" t="s">
        <v>297</v>
      </c>
      <c r="E345" s="9" t="s">
        <v>1</v>
      </c>
      <c r="F345" s="9" t="s">
        <v>387</v>
      </c>
      <c r="G345" s="9" t="s">
        <v>396</v>
      </c>
      <c r="H345" s="12" t="s">
        <v>892</v>
      </c>
      <c r="I345" s="11" t="s">
        <v>382</v>
      </c>
      <c r="J345" s="22" t="s">
        <v>396</v>
      </c>
      <c r="K345" s="21"/>
    </row>
    <row r="346" spans="1:11" ht="14.4">
      <c r="A346" s="5" t="str">
        <f>F346&amp;(COUNTIFS(F$2:F346,F346,K$2:K346,"Sparse"))</f>
        <v>SD82</v>
      </c>
      <c r="B346" s="5" t="str">
        <f>J346&amp;(COUNTIF(J$2:J346,J346))</f>
        <v>Hampshire12</v>
      </c>
      <c r="C346" s="8" t="s">
        <v>188</v>
      </c>
      <c r="D346" s="8" t="s">
        <v>188</v>
      </c>
      <c r="E346" s="9" t="s">
        <v>0</v>
      </c>
      <c r="F346" s="9" t="s">
        <v>381</v>
      </c>
      <c r="G346" s="9" t="s">
        <v>5</v>
      </c>
      <c r="H346" s="10" t="s">
        <v>892</v>
      </c>
      <c r="I346" s="11" t="s">
        <v>382</v>
      </c>
      <c r="J346" t="s">
        <v>313</v>
      </c>
      <c r="K346" s="21"/>
    </row>
    <row r="347" spans="1:11" ht="14.4">
      <c r="A347" s="5" t="str">
        <f>F347&amp;(COUNTIFS(F$2:F347,F347,K$2:K347,"Sparse"))</f>
        <v>UA11</v>
      </c>
      <c r="B347" s="5" t="str">
        <f>J347&amp;(COUNTIF(J$2:J347,J347))</f>
        <v>Unitary55</v>
      </c>
      <c r="C347" s="8" t="s">
        <v>814</v>
      </c>
      <c r="D347" s="8" t="s">
        <v>814</v>
      </c>
      <c r="E347" s="9" t="s">
        <v>0</v>
      </c>
      <c r="F347" s="9" t="s">
        <v>387</v>
      </c>
      <c r="G347" s="9" t="s">
        <v>396</v>
      </c>
      <c r="H347" s="10" t="s">
        <v>888</v>
      </c>
      <c r="I347" s="11" t="s">
        <v>384</v>
      </c>
      <c r="J347" s="22" t="s">
        <v>396</v>
      </c>
      <c r="K347" s="21"/>
    </row>
    <row r="348" spans="1:11" ht="14.4">
      <c r="A348" s="5" t="str">
        <f>F348&amp;(COUNTIFS(F$2:F348,F348,K$2:K348,"Sparse"))</f>
        <v>MD0</v>
      </c>
      <c r="B348" s="5" t="str">
        <f>J348&amp;(COUNTIF(J$2:J348,J348))</f>
        <v>Wirral1</v>
      </c>
      <c r="C348" s="8" t="s">
        <v>256</v>
      </c>
      <c r="D348" s="8" t="s">
        <v>256</v>
      </c>
      <c r="E348" s="9" t="s">
        <v>376</v>
      </c>
      <c r="F348" s="9" t="s">
        <v>386</v>
      </c>
      <c r="G348" s="9" t="s">
        <v>397</v>
      </c>
      <c r="H348" s="10" t="s">
        <v>893</v>
      </c>
      <c r="I348" s="11" t="s">
        <v>384</v>
      </c>
      <c r="J348" t="str">
        <f>C348</f>
        <v>Wirral</v>
      </c>
      <c r="K348" s="21"/>
    </row>
    <row r="349" spans="1:11" ht="14.4">
      <c r="A349" s="5" t="str">
        <f>F349&amp;(COUNTIFS(F$2:F349,F349,K$2:K349,"Sparse"))</f>
        <v>SD82</v>
      </c>
      <c r="B349" s="5" t="str">
        <f>J349&amp;(COUNTIF(J$2:J349,J349))</f>
        <v>Surrey12</v>
      </c>
      <c r="C349" s="8" t="s">
        <v>189</v>
      </c>
      <c r="D349" s="8" t="s">
        <v>189</v>
      </c>
      <c r="E349" s="9" t="s">
        <v>0</v>
      </c>
      <c r="F349" s="9" t="s">
        <v>381</v>
      </c>
      <c r="G349" s="9" t="s">
        <v>5</v>
      </c>
      <c r="H349" s="10" t="s">
        <v>893</v>
      </c>
      <c r="I349" s="11" t="s">
        <v>384</v>
      </c>
      <c r="J349" t="s">
        <v>329</v>
      </c>
      <c r="K349" s="21"/>
    </row>
    <row r="350" spans="1:11" ht="14.4">
      <c r="A350" s="5" t="str">
        <f>F350&amp;(COUNTIFS(F$2:F350,F350,K$2:K350,"Sparse"))</f>
        <v>UA11</v>
      </c>
      <c r="B350" s="5" t="str">
        <f>J350&amp;(COUNTIF(J$2:J350,J350))</f>
        <v>Unitary56</v>
      </c>
      <c r="C350" s="8" t="s">
        <v>298</v>
      </c>
      <c r="D350" s="8" t="s">
        <v>298</v>
      </c>
      <c r="E350" s="9" t="s">
        <v>0</v>
      </c>
      <c r="F350" s="9" t="s">
        <v>387</v>
      </c>
      <c r="G350" s="9" t="s">
        <v>396</v>
      </c>
      <c r="H350" s="10" t="s">
        <v>888</v>
      </c>
      <c r="I350" s="11" t="s">
        <v>384</v>
      </c>
      <c r="J350" s="22" t="s">
        <v>396</v>
      </c>
      <c r="K350" s="21"/>
    </row>
    <row r="351" spans="1:11" ht="14.4">
      <c r="A351" s="5" t="str">
        <f>F351&amp;(COUNTIFS(F$2:F351,F351,K$2:K351,"Sparse"))</f>
        <v>MD0</v>
      </c>
      <c r="B351" s="5" t="str">
        <f>J351&amp;(COUNTIF(J$2:J351,J351))</f>
        <v>Wolverhampton1</v>
      </c>
      <c r="C351" s="8" t="s">
        <v>257</v>
      </c>
      <c r="D351" s="8" t="s">
        <v>257</v>
      </c>
      <c r="E351" s="9" t="s">
        <v>368</v>
      </c>
      <c r="F351" s="9" t="s">
        <v>386</v>
      </c>
      <c r="G351" s="9" t="s">
        <v>397</v>
      </c>
      <c r="H351" s="10" t="s">
        <v>893</v>
      </c>
      <c r="I351" s="11" t="s">
        <v>384</v>
      </c>
      <c r="J351" t="str">
        <f>C351</f>
        <v>Wolverhampton</v>
      </c>
      <c r="K351" s="21"/>
    </row>
    <row r="352" spans="1:11" ht="14.4">
      <c r="A352" s="5" t="str">
        <f>F352&amp;(COUNTIFS(F$2:F352,F352,K$2:K352,"Sparse"))</f>
        <v>SD82</v>
      </c>
      <c r="B352" s="5" t="str">
        <f>J352&amp;(COUNTIF(J$2:J352,J352))</f>
        <v>Worcestershire4</v>
      </c>
      <c r="C352" s="8" t="s">
        <v>190</v>
      </c>
      <c r="D352" s="8" t="s">
        <v>190</v>
      </c>
      <c r="E352" s="9" t="s">
        <v>368</v>
      </c>
      <c r="F352" s="9" t="s">
        <v>381</v>
      </c>
      <c r="G352" s="9" t="s">
        <v>5</v>
      </c>
      <c r="H352" s="10" t="s">
        <v>888</v>
      </c>
      <c r="I352" s="11" t="s">
        <v>384</v>
      </c>
      <c r="J352" t="s">
        <v>332</v>
      </c>
      <c r="K352" s="21"/>
    </row>
    <row r="353" spans="1:12" ht="14.4">
      <c r="A353" s="5" t="str">
        <f>F353&amp;(COUNTIFS(F$2:F353,F353,K$2:K353,"Sparse"))</f>
        <v>SC16</v>
      </c>
      <c r="B353" s="5" t="str">
        <f>J353&amp;(COUNTIF(J$2:J353,J353))</f>
        <v>Worcestershire5</v>
      </c>
      <c r="C353" s="11" t="s">
        <v>332</v>
      </c>
      <c r="D353" s="11" t="s">
        <v>332</v>
      </c>
      <c r="E353" s="9" t="s">
        <v>368</v>
      </c>
      <c r="F353" s="9" t="s">
        <v>389</v>
      </c>
      <c r="G353" s="9" t="s">
        <v>301</v>
      </c>
      <c r="H353" s="11" t="s">
        <v>371</v>
      </c>
      <c r="I353" s="11" t="s">
        <v>371</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381</v>
      </c>
      <c r="G354" s="9" t="s">
        <v>5</v>
      </c>
      <c r="H354" s="10" t="s">
        <v>888</v>
      </c>
      <c r="I354" s="11" t="s">
        <v>384</v>
      </c>
      <c r="J354" t="s">
        <v>331</v>
      </c>
      <c r="K354" s="21"/>
    </row>
    <row r="355" spans="1:12" ht="14.4">
      <c r="A355" s="5" t="str">
        <f>F355&amp;(COUNTIFS(F$2:F355,F355,K$2:K355,"Sparse"))</f>
        <v>SD83</v>
      </c>
      <c r="B355" s="5" t="str">
        <f>J355&amp;(COUNTIF(J$2:J355,J355))</f>
        <v>Worcestershire6</v>
      </c>
      <c r="C355" s="8" t="s">
        <v>192</v>
      </c>
      <c r="D355" s="8" t="s">
        <v>192</v>
      </c>
      <c r="E355" s="9" t="s">
        <v>368</v>
      </c>
      <c r="F355" s="9" t="s">
        <v>381</v>
      </c>
      <c r="G355" s="9" t="s">
        <v>5</v>
      </c>
      <c r="H355" s="10" t="s">
        <v>889</v>
      </c>
      <c r="I355" s="11" t="s">
        <v>382</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381</v>
      </c>
      <c r="G356" s="9" t="s">
        <v>5</v>
      </c>
      <c r="H356" s="12" t="s">
        <v>891</v>
      </c>
      <c r="I356" s="11" t="s">
        <v>371</v>
      </c>
      <c r="J356" t="s">
        <v>300</v>
      </c>
      <c r="K356" s="21"/>
    </row>
    <row r="357" spans="1:12" ht="14.4">
      <c r="A357" s="5" t="str">
        <f>F357&amp;(COUNTIFS(F$2:F357,F357,K$2:K357,"Sparse"))</f>
        <v>SD83</v>
      </c>
      <c r="B357" s="5" t="str">
        <f>J357&amp;(COUNTIF(J$2:J357,J357))</f>
        <v>Lancashire13</v>
      </c>
      <c r="C357" s="8" t="s">
        <v>194</v>
      </c>
      <c r="D357" s="8" t="s">
        <v>194</v>
      </c>
      <c r="E357" s="9" t="s">
        <v>376</v>
      </c>
      <c r="F357" s="9" t="s">
        <v>381</v>
      </c>
      <c r="G357" s="9" t="s">
        <v>5</v>
      </c>
      <c r="H357" s="12" t="s">
        <v>892</v>
      </c>
      <c r="I357" s="11" t="s">
        <v>382</v>
      </c>
      <c r="J357" t="s">
        <v>316</v>
      </c>
      <c r="K357" s="21"/>
    </row>
    <row r="358" spans="1:12" ht="14.4">
      <c r="A358" s="5" t="str">
        <f>F358&amp;(COUNTIFS(F$2:F358,F358,K$2:K358,"Sparse"))</f>
        <v>SD83</v>
      </c>
      <c r="B358" s="5" t="str">
        <f>J358&amp;(COUNTIF(J$2:J358,J358))</f>
        <v>Worcestershire7</v>
      </c>
      <c r="C358" s="8" t="s">
        <v>195</v>
      </c>
      <c r="D358" s="8" t="s">
        <v>195</v>
      </c>
      <c r="E358" s="9" t="s">
        <v>368</v>
      </c>
      <c r="F358" s="9" t="s">
        <v>381</v>
      </c>
      <c r="G358" s="9" t="s">
        <v>5</v>
      </c>
      <c r="H358" s="12" t="s">
        <v>891</v>
      </c>
      <c r="I358" s="11" t="s">
        <v>371</v>
      </c>
      <c r="J358" t="s">
        <v>332</v>
      </c>
      <c r="K358" s="21"/>
    </row>
    <row r="359" spans="1:12" ht="14.4">
      <c r="A359" s="5" t="str">
        <f>F359&amp;(COUNTIFS(F$2:F359,F359,K$2:K359,"Sparse"))</f>
        <v>UA11</v>
      </c>
      <c r="B359" s="5" t="str">
        <f>J359&amp;(COUNTIF(J$2:J359,J359))</f>
        <v>Unitary57</v>
      </c>
      <c r="C359" s="8" t="s">
        <v>299</v>
      </c>
      <c r="D359" s="8" t="s">
        <v>299</v>
      </c>
      <c r="E359" s="9" t="s">
        <v>385</v>
      </c>
      <c r="F359" s="9" t="s">
        <v>387</v>
      </c>
      <c r="G359" s="9" t="s">
        <v>396</v>
      </c>
      <c r="H359" s="10" t="s">
        <v>888</v>
      </c>
      <c r="I359" s="11" t="s">
        <v>384</v>
      </c>
      <c r="J359" s="22" t="s">
        <v>396</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422</v>
      </c>
      <c r="C1" s="65"/>
    </row>
    <row r="2" spans="1:18">
      <c r="A2" s="65"/>
      <c r="B2" s="65"/>
      <c r="C2" s="65"/>
    </row>
    <row r="3" spans="1:18">
      <c r="A3" s="65"/>
      <c r="B3" s="65" t="s">
        <v>423</v>
      </c>
      <c r="C3" s="65" t="s">
        <v>333</v>
      </c>
      <c r="D3" s="66" t="s">
        <v>424</v>
      </c>
      <c r="E3" s="66" t="s">
        <v>425</v>
      </c>
      <c r="F3" s="66" t="s">
        <v>426</v>
      </c>
      <c r="G3" s="66" t="s">
        <v>427</v>
      </c>
      <c r="H3" s="66" t="s">
        <v>428</v>
      </c>
      <c r="I3" s="66" t="s">
        <v>429</v>
      </c>
      <c r="J3" s="66" t="s">
        <v>430</v>
      </c>
      <c r="K3" s="66" t="s">
        <v>431</v>
      </c>
      <c r="L3" s="66" t="s">
        <v>432</v>
      </c>
      <c r="M3" s="66" t="s">
        <v>433</v>
      </c>
      <c r="N3" s="66" t="s">
        <v>434</v>
      </c>
      <c r="O3" s="66" t="s">
        <v>435</v>
      </c>
      <c r="P3" s="66" t="s">
        <v>436</v>
      </c>
      <c r="Q3" s="66" t="s">
        <v>437</v>
      </c>
      <c r="R3" s="66" t="s">
        <v>438</v>
      </c>
    </row>
    <row r="4" spans="1:18">
      <c r="A4" s="65"/>
      <c r="C4" s="65"/>
    </row>
    <row r="5" spans="1:18">
      <c r="A5" s="65"/>
      <c r="B5" s="65" t="s">
        <v>439</v>
      </c>
      <c r="C5" s="65"/>
    </row>
    <row r="6" spans="1:18">
      <c r="A6" s="66" t="str">
        <f>VLOOKUP(C6,classifications!C:F,4,FALSE)</f>
        <v>L</v>
      </c>
      <c r="B6" s="66" t="s">
        <v>440</v>
      </c>
      <c r="C6" s="66" t="s">
        <v>200</v>
      </c>
      <c r="D6" s="66" t="s">
        <v>336</v>
      </c>
      <c r="E6" s="66" t="s">
        <v>211</v>
      </c>
      <c r="F6" s="66" t="s">
        <v>337</v>
      </c>
      <c r="G6" s="66" t="s">
        <v>221</v>
      </c>
      <c r="H6" s="66" t="s">
        <v>217</v>
      </c>
      <c r="I6" s="66" t="s">
        <v>212</v>
      </c>
      <c r="J6" s="66" t="s">
        <v>206</v>
      </c>
      <c r="K6" s="66" t="s">
        <v>214</v>
      </c>
      <c r="L6" s="66" t="s">
        <v>202</v>
      </c>
      <c r="M6" s="66" t="s">
        <v>198</v>
      </c>
      <c r="N6" s="66" t="s">
        <v>219</v>
      </c>
      <c r="O6" s="66" t="s">
        <v>393</v>
      </c>
      <c r="P6" s="66" t="s">
        <v>210</v>
      </c>
      <c r="Q6" s="66" t="s">
        <v>213</v>
      </c>
      <c r="R6" s="66" t="s">
        <v>207</v>
      </c>
    </row>
    <row r="7" spans="1:18">
      <c r="A7" s="66" t="str">
        <f>VLOOKUP(C7,classifications!C:F,4,FALSE)</f>
        <v>L</v>
      </c>
      <c r="B7" s="66" t="s">
        <v>441</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442</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443</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393</v>
      </c>
    </row>
    <row r="10" spans="1:18">
      <c r="A10" s="66" t="str">
        <f>VLOOKUP(C10,classifications!C:F,4,FALSE)</f>
        <v>L</v>
      </c>
      <c r="B10" s="66" t="s">
        <v>444</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445</v>
      </c>
      <c r="C11" s="66" t="s">
        <v>337</v>
      </c>
      <c r="D11" s="66" t="s">
        <v>200</v>
      </c>
      <c r="E11" s="66" t="s">
        <v>336</v>
      </c>
      <c r="F11" s="66" t="s">
        <v>187</v>
      </c>
      <c r="G11" s="66" t="s">
        <v>211</v>
      </c>
      <c r="H11" s="66" t="s">
        <v>221</v>
      </c>
      <c r="I11" s="66" t="s">
        <v>393</v>
      </c>
      <c r="J11" s="66" t="s">
        <v>394</v>
      </c>
      <c r="K11" s="66" t="s">
        <v>207</v>
      </c>
      <c r="L11" s="66" t="s">
        <v>214</v>
      </c>
      <c r="M11" s="66" t="s">
        <v>196</v>
      </c>
      <c r="N11" s="66" t="s">
        <v>202</v>
      </c>
      <c r="O11" s="66" t="s">
        <v>212</v>
      </c>
      <c r="P11" s="66" t="s">
        <v>217</v>
      </c>
      <c r="Q11" s="66" t="s">
        <v>218</v>
      </c>
      <c r="R11" s="66" t="s">
        <v>198</v>
      </c>
    </row>
    <row r="12" spans="1:18">
      <c r="A12" s="66" t="str">
        <f>VLOOKUP(C12,classifications!C:F,4,FALSE)</f>
        <v>L</v>
      </c>
      <c r="B12" s="66" t="s">
        <v>446</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447</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448</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449</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450</v>
      </c>
      <c r="C16" s="66" t="s">
        <v>221</v>
      </c>
      <c r="D16" s="66" t="s">
        <v>212</v>
      </c>
      <c r="E16" s="66" t="s">
        <v>336</v>
      </c>
      <c r="F16" s="66" t="s">
        <v>214</v>
      </c>
      <c r="G16" s="66" t="s">
        <v>202</v>
      </c>
      <c r="H16" s="66" t="s">
        <v>211</v>
      </c>
      <c r="I16" s="66" t="s">
        <v>210</v>
      </c>
      <c r="J16" s="66" t="s">
        <v>200</v>
      </c>
      <c r="K16" s="66" t="s">
        <v>217</v>
      </c>
      <c r="L16" s="66" t="s">
        <v>393</v>
      </c>
      <c r="M16" s="66" t="s">
        <v>196</v>
      </c>
      <c r="N16" s="66" t="s">
        <v>213</v>
      </c>
      <c r="O16" s="66" t="s">
        <v>198</v>
      </c>
      <c r="P16" s="66" t="s">
        <v>218</v>
      </c>
      <c r="Q16" s="66" t="s">
        <v>201</v>
      </c>
      <c r="R16" s="66" t="s">
        <v>216</v>
      </c>
    </row>
    <row r="17" spans="1:18">
      <c r="A17" s="66" t="str">
        <f>VLOOKUP(C17,classifications!C:F,4,FALSE)</f>
        <v>L</v>
      </c>
      <c r="B17" s="66" t="s">
        <v>451</v>
      </c>
      <c r="C17" s="66" t="s">
        <v>187</v>
      </c>
      <c r="D17" s="66" t="s">
        <v>337</v>
      </c>
      <c r="E17" s="66" t="s">
        <v>200</v>
      </c>
      <c r="F17" s="66" t="s">
        <v>336</v>
      </c>
      <c r="G17" s="66" t="s">
        <v>211</v>
      </c>
      <c r="H17" s="66" t="s">
        <v>221</v>
      </c>
      <c r="I17" s="66" t="s">
        <v>219</v>
      </c>
      <c r="J17" s="66" t="s">
        <v>217</v>
      </c>
      <c r="K17" s="66" t="s">
        <v>393</v>
      </c>
      <c r="L17" s="66" t="s">
        <v>212</v>
      </c>
      <c r="M17" s="66" t="s">
        <v>394</v>
      </c>
      <c r="N17" s="66" t="s">
        <v>214</v>
      </c>
      <c r="O17" s="66" t="s">
        <v>202</v>
      </c>
      <c r="P17" s="66" t="s">
        <v>196</v>
      </c>
      <c r="Q17" s="66" t="s">
        <v>207</v>
      </c>
      <c r="R17" s="66" t="s">
        <v>206</v>
      </c>
    </row>
    <row r="18" spans="1:18">
      <c r="A18" s="66" t="str">
        <f>VLOOKUP(C18,classifications!C:F,4,FALSE)</f>
        <v>L</v>
      </c>
      <c r="B18" s="66" t="s">
        <v>452</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453</v>
      </c>
      <c r="C19" s="66" t="s">
        <v>196</v>
      </c>
      <c r="D19" s="66" t="s">
        <v>207</v>
      </c>
      <c r="E19" s="66" t="s">
        <v>216</v>
      </c>
      <c r="F19" s="66" t="s">
        <v>201</v>
      </c>
      <c r="G19" s="66" t="s">
        <v>202</v>
      </c>
      <c r="H19" s="66" t="s">
        <v>203</v>
      </c>
      <c r="I19" s="66" t="s">
        <v>199</v>
      </c>
      <c r="J19" s="66" t="s">
        <v>209</v>
      </c>
      <c r="K19" s="66" t="s">
        <v>214</v>
      </c>
      <c r="L19" s="66" t="s">
        <v>393</v>
      </c>
      <c r="M19" s="66" t="s">
        <v>210</v>
      </c>
      <c r="N19" s="66" t="s">
        <v>218</v>
      </c>
      <c r="O19" s="66" t="s">
        <v>394</v>
      </c>
      <c r="P19" s="66" t="s">
        <v>197</v>
      </c>
      <c r="Q19" s="66" t="s">
        <v>221</v>
      </c>
      <c r="R19" s="66" t="s">
        <v>198</v>
      </c>
    </row>
    <row r="20" spans="1:18">
      <c r="A20" s="66" t="str">
        <f>VLOOKUP(C20,classifications!C:F,4,FALSE)</f>
        <v>L</v>
      </c>
      <c r="B20" s="66" t="s">
        <v>454</v>
      </c>
      <c r="C20" s="66" t="s">
        <v>197</v>
      </c>
      <c r="D20" s="66" t="s">
        <v>208</v>
      </c>
      <c r="E20" s="66" t="s">
        <v>218</v>
      </c>
      <c r="F20" s="66" t="s">
        <v>209</v>
      </c>
      <c r="G20" s="66" t="s">
        <v>216</v>
      </c>
      <c r="H20" s="66" t="s">
        <v>199</v>
      </c>
      <c r="I20" s="66" t="s">
        <v>214</v>
      </c>
      <c r="J20" s="66" t="s">
        <v>207</v>
      </c>
      <c r="K20" s="66" t="s">
        <v>393</v>
      </c>
      <c r="L20" s="66" t="s">
        <v>201</v>
      </c>
      <c r="M20" s="66" t="s">
        <v>203</v>
      </c>
      <c r="N20" s="66" t="s">
        <v>210</v>
      </c>
      <c r="O20" s="66" t="s">
        <v>196</v>
      </c>
      <c r="P20" s="66" t="s">
        <v>220</v>
      </c>
      <c r="Q20" s="66" t="s">
        <v>202</v>
      </c>
      <c r="R20" s="66" t="s">
        <v>394</v>
      </c>
    </row>
    <row r="21" spans="1:18">
      <c r="A21" s="66" t="str">
        <f>VLOOKUP(C21,classifications!C:F,4,FALSE)</f>
        <v>L</v>
      </c>
      <c r="B21" s="66" t="s">
        <v>455</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456</v>
      </c>
      <c r="C22" s="66" t="s">
        <v>199</v>
      </c>
      <c r="D22" s="66" t="s">
        <v>208</v>
      </c>
      <c r="E22" s="66" t="s">
        <v>197</v>
      </c>
      <c r="F22" s="66" t="s">
        <v>209</v>
      </c>
      <c r="G22" s="66" t="s">
        <v>196</v>
      </c>
      <c r="H22" s="66" t="s">
        <v>394</v>
      </c>
      <c r="I22" s="66" t="s">
        <v>218</v>
      </c>
      <c r="J22" s="66" t="s">
        <v>393</v>
      </c>
      <c r="K22" s="66" t="s">
        <v>207</v>
      </c>
      <c r="L22" s="66" t="s">
        <v>201</v>
      </c>
      <c r="M22" s="66" t="s">
        <v>216</v>
      </c>
      <c r="N22" s="66" t="s">
        <v>203</v>
      </c>
      <c r="O22" s="66" t="s">
        <v>214</v>
      </c>
      <c r="P22" s="66" t="s">
        <v>210</v>
      </c>
      <c r="Q22" s="66" t="s">
        <v>202</v>
      </c>
      <c r="R22" s="66" t="s">
        <v>221</v>
      </c>
    </row>
    <row r="23" spans="1:18">
      <c r="A23" s="66" t="str">
        <f>VLOOKUP(C23,classifications!C:F,4,FALSE)</f>
        <v>L</v>
      </c>
      <c r="B23" s="66" t="s">
        <v>457</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458</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459</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460</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461</v>
      </c>
      <c r="C27" s="66" t="s">
        <v>207</v>
      </c>
      <c r="D27" s="66" t="s">
        <v>214</v>
      </c>
      <c r="E27" s="66" t="s">
        <v>393</v>
      </c>
      <c r="F27" s="66" t="s">
        <v>216</v>
      </c>
      <c r="G27" s="66" t="s">
        <v>196</v>
      </c>
      <c r="H27" s="66" t="s">
        <v>218</v>
      </c>
      <c r="I27" s="66" t="s">
        <v>202</v>
      </c>
      <c r="J27" s="66" t="s">
        <v>197</v>
      </c>
      <c r="K27" s="66" t="s">
        <v>203</v>
      </c>
      <c r="L27" s="66" t="s">
        <v>210</v>
      </c>
      <c r="M27" s="66" t="s">
        <v>209</v>
      </c>
      <c r="N27" s="66" t="s">
        <v>201</v>
      </c>
      <c r="O27" s="66" t="s">
        <v>394</v>
      </c>
      <c r="P27" s="66" t="s">
        <v>198</v>
      </c>
      <c r="Q27" s="66" t="s">
        <v>199</v>
      </c>
      <c r="R27" s="66" t="s">
        <v>208</v>
      </c>
    </row>
    <row r="28" spans="1:18">
      <c r="A28" s="66" t="str">
        <f>VLOOKUP(C28,classifications!C:F,4,FALSE)</f>
        <v>L</v>
      </c>
      <c r="B28" s="66" t="s">
        <v>462</v>
      </c>
      <c r="C28" s="66" t="s">
        <v>208</v>
      </c>
      <c r="D28" s="66" t="s">
        <v>197</v>
      </c>
      <c r="E28" s="66" t="s">
        <v>199</v>
      </c>
      <c r="F28" s="66" t="s">
        <v>218</v>
      </c>
      <c r="G28" s="66" t="s">
        <v>209</v>
      </c>
      <c r="H28" s="66" t="s">
        <v>393</v>
      </c>
      <c r="I28" s="66" t="s">
        <v>216</v>
      </c>
      <c r="J28" s="66" t="s">
        <v>207</v>
      </c>
      <c r="K28" s="66" t="s">
        <v>214</v>
      </c>
      <c r="L28" s="66" t="s">
        <v>201</v>
      </c>
      <c r="M28" s="66" t="s">
        <v>203</v>
      </c>
      <c r="N28" s="66" t="s">
        <v>210</v>
      </c>
      <c r="O28" s="66" t="s">
        <v>196</v>
      </c>
      <c r="P28" s="66" t="s">
        <v>394</v>
      </c>
      <c r="Q28" s="66" t="s">
        <v>220</v>
      </c>
      <c r="R28" s="66" t="s">
        <v>202</v>
      </c>
    </row>
    <row r="29" spans="1:18">
      <c r="A29" s="66" t="str">
        <f>VLOOKUP(C29,classifications!C:F,4,FALSE)</f>
        <v>L</v>
      </c>
      <c r="B29" s="66" t="s">
        <v>463</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393</v>
      </c>
      <c r="R29" s="66" t="s">
        <v>204</v>
      </c>
    </row>
    <row r="30" spans="1:18">
      <c r="A30" s="66" t="str">
        <f>VLOOKUP(C30,classifications!C:F,4,FALSE)</f>
        <v>L</v>
      </c>
      <c r="B30" s="66" t="s">
        <v>464</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465</v>
      </c>
      <c r="C31" s="68" t="s">
        <v>393</v>
      </c>
      <c r="D31" s="66" t="s">
        <v>214</v>
      </c>
      <c r="E31" s="66" t="s">
        <v>218</v>
      </c>
      <c r="F31" s="66" t="s">
        <v>207</v>
      </c>
      <c r="G31" s="66" t="s">
        <v>394</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466</v>
      </c>
      <c r="C32" s="66" t="s">
        <v>214</v>
      </c>
      <c r="D32" s="66" t="s">
        <v>218</v>
      </c>
      <c r="E32" s="66" t="s">
        <v>393</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467</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468</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393</v>
      </c>
      <c r="Q34" s="66" t="s">
        <v>206</v>
      </c>
      <c r="R34" s="66" t="s">
        <v>204</v>
      </c>
    </row>
    <row r="35" spans="1:18">
      <c r="A35" s="66" t="str">
        <f>VLOOKUP(C35,classifications!C:F,4,FALSE)</f>
        <v>L</v>
      </c>
      <c r="B35" s="66" t="s">
        <v>469</v>
      </c>
      <c r="C35" s="68" t="s">
        <v>394</v>
      </c>
      <c r="D35" s="66" t="s">
        <v>393</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470</v>
      </c>
      <c r="C36" s="66" t="s">
        <v>218</v>
      </c>
      <c r="D36" s="66" t="s">
        <v>197</v>
      </c>
      <c r="E36" s="66" t="s">
        <v>214</v>
      </c>
      <c r="F36" s="66" t="s">
        <v>393</v>
      </c>
      <c r="G36" s="66" t="s">
        <v>207</v>
      </c>
      <c r="H36" s="66" t="s">
        <v>216</v>
      </c>
      <c r="I36" s="66" t="s">
        <v>208</v>
      </c>
      <c r="J36" s="66" t="s">
        <v>209</v>
      </c>
      <c r="K36" s="66" t="s">
        <v>210</v>
      </c>
      <c r="L36" s="66" t="s">
        <v>201</v>
      </c>
      <c r="M36" s="66" t="s">
        <v>196</v>
      </c>
      <c r="N36" s="66" t="s">
        <v>199</v>
      </c>
      <c r="O36" s="66" t="s">
        <v>203</v>
      </c>
      <c r="P36" s="66" t="s">
        <v>394</v>
      </c>
      <c r="Q36" s="66" t="s">
        <v>202</v>
      </c>
      <c r="R36" s="66" t="s">
        <v>220</v>
      </c>
    </row>
    <row r="37" spans="1:18">
      <c r="A37" s="66" t="str">
        <f>VLOOKUP(C37,classifications!C:F,4,FALSE)</f>
        <v>L</v>
      </c>
      <c r="B37" s="66" t="s">
        <v>471</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414</v>
      </c>
    </row>
    <row r="40" spans="1:18">
      <c r="A40" s="66" t="str">
        <f>VLOOKUP(C40,classifications!C:F,4,FALSE)</f>
        <v>MD</v>
      </c>
      <c r="B40" s="66" t="s">
        <v>472</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473</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474</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475</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476</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477</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478</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479</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480</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481</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482</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483</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484</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485</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486</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487</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488</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489</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490</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491</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492</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493</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494</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495</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496</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497</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498</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499</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500</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501</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502</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503</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504</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505</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506</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507</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508</v>
      </c>
    </row>
    <row r="78" spans="1:18">
      <c r="A78" s="66" t="str">
        <f>VLOOKUP(C78,classifications!C:F,4,FALSE)</f>
        <v>UA</v>
      </c>
      <c r="B78" s="66" t="s">
        <v>509</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510</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511</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512</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513</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514</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515</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516</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517</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518</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519</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520</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521</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521</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522</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523</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524</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525</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526</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527</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528</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529</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530</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531</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532</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533</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534</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535</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536</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537</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538</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539</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540</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541</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542</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543</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544</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545</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546</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547</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548</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549</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550</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551</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552</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553</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554</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555</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556</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557</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558</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559</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560</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561</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562</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563</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416</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564</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565</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566</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567</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568</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569</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570</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571</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572</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573</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574</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575</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576</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577</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578</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579</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580</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581</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582</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583</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584</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585</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586</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587</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588</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589</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590</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591</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592</v>
      </c>
      <c r="C165" s="66" t="s">
        <v>11</v>
      </c>
      <c r="D165" s="66" t="s">
        <v>88</v>
      </c>
      <c r="E165" s="66" t="s">
        <v>193</v>
      </c>
      <c r="F165" s="66" t="s">
        <v>343</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593</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594</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595</v>
      </c>
      <c r="C168" s="66" t="s">
        <v>193</v>
      </c>
      <c r="D168" s="66" t="s">
        <v>11</v>
      </c>
      <c r="E168" s="66" t="s">
        <v>343</v>
      </c>
      <c r="F168" s="66" t="s">
        <v>56</v>
      </c>
      <c r="G168" s="66" t="s">
        <v>349</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596</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597</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598</v>
      </c>
      <c r="C171" s="66" t="s">
        <v>68</v>
      </c>
      <c r="D171" s="66" t="s">
        <v>141</v>
      </c>
      <c r="E171" s="66" t="s">
        <v>20</v>
      </c>
      <c r="F171" s="66" t="s">
        <v>15</v>
      </c>
      <c r="G171" s="66" t="s">
        <v>195</v>
      </c>
      <c r="H171" s="66" t="s">
        <v>7</v>
      </c>
      <c r="I171" s="66" t="s">
        <v>65</v>
      </c>
      <c r="J171" s="66" t="s">
        <v>346</v>
      </c>
      <c r="K171" s="66" t="s">
        <v>30</v>
      </c>
      <c r="L171" s="66" t="s">
        <v>377</v>
      </c>
      <c r="M171" s="66" t="s">
        <v>18</v>
      </c>
      <c r="N171" s="66" t="s">
        <v>91</v>
      </c>
      <c r="O171" s="66" t="s">
        <v>99</v>
      </c>
      <c r="P171" s="66" t="s">
        <v>183</v>
      </c>
      <c r="Q171" s="66" t="s">
        <v>59</v>
      </c>
      <c r="R171" s="66" t="s">
        <v>142</v>
      </c>
    </row>
    <row r="172" spans="1:18" s="67" customFormat="1">
      <c r="A172" s="66" t="str">
        <f>VLOOKUP(C172,classifications!C:F,4,FALSE)</f>
        <v>SD</v>
      </c>
      <c r="B172" s="66" t="s">
        <v>599</v>
      </c>
      <c r="C172" s="66" t="s">
        <v>88</v>
      </c>
      <c r="D172" s="66" t="s">
        <v>35</v>
      </c>
      <c r="E172" s="66" t="s">
        <v>96</v>
      </c>
      <c r="F172" s="66" t="s">
        <v>343</v>
      </c>
      <c r="G172" s="66" t="s">
        <v>11</v>
      </c>
      <c r="H172" s="66" t="s">
        <v>32</v>
      </c>
      <c r="I172" s="66" t="s">
        <v>41</v>
      </c>
      <c r="J172" s="66" t="s">
        <v>19</v>
      </c>
      <c r="K172" s="66" t="s">
        <v>33</v>
      </c>
      <c r="L172" s="66" t="s">
        <v>166</v>
      </c>
      <c r="M172" s="66" t="s">
        <v>153</v>
      </c>
      <c r="N172" s="66" t="s">
        <v>128</v>
      </c>
      <c r="O172" s="66" t="s">
        <v>10</v>
      </c>
      <c r="P172" s="66" t="s">
        <v>142</v>
      </c>
      <c r="Q172" s="66" t="s">
        <v>345</v>
      </c>
      <c r="R172" s="66" t="s">
        <v>152</v>
      </c>
    </row>
    <row r="173" spans="1:18" s="67" customFormat="1">
      <c r="A173" s="66" t="str">
        <f>VLOOKUP(C173,classifications!C:F,4,FALSE)</f>
        <v>SD</v>
      </c>
      <c r="B173" s="66" t="s">
        <v>600</v>
      </c>
      <c r="C173" s="66" t="s">
        <v>138</v>
      </c>
      <c r="D173" s="66" t="s">
        <v>173</v>
      </c>
      <c r="E173" s="66" t="s">
        <v>146</v>
      </c>
      <c r="F173" s="66" t="s">
        <v>172</v>
      </c>
      <c r="G173" s="66" t="s">
        <v>166</v>
      </c>
      <c r="H173" s="66" t="s">
        <v>188</v>
      </c>
      <c r="I173" s="66" t="s">
        <v>11</v>
      </c>
      <c r="J173" s="66" t="s">
        <v>136</v>
      </c>
      <c r="K173" s="66" t="s">
        <v>350</v>
      </c>
      <c r="L173" s="66" t="s">
        <v>145</v>
      </c>
      <c r="M173" s="66" t="s">
        <v>185</v>
      </c>
      <c r="N173" s="66" t="s">
        <v>55</v>
      </c>
      <c r="O173" s="66" t="s">
        <v>56</v>
      </c>
      <c r="P173" s="66" t="s">
        <v>79</v>
      </c>
      <c r="Q173" s="66" t="s">
        <v>52</v>
      </c>
      <c r="R173" s="66" t="s">
        <v>88</v>
      </c>
    </row>
    <row r="174" spans="1:18" s="67" customFormat="1">
      <c r="A174" s="66" t="str">
        <f>VLOOKUP(C174,classifications!C:F,4,FALSE)</f>
        <v>SD</v>
      </c>
      <c r="B174" s="66" t="s">
        <v>601</v>
      </c>
      <c r="C174" s="66" t="s">
        <v>6</v>
      </c>
      <c r="D174" s="66" t="s">
        <v>51</v>
      </c>
      <c r="E174" s="66" t="s">
        <v>30</v>
      </c>
      <c r="F174" s="66" t="s">
        <v>176</v>
      </c>
      <c r="G174" s="66" t="s">
        <v>15</v>
      </c>
      <c r="H174" s="66" t="s">
        <v>108</v>
      </c>
      <c r="I174" s="66" t="s">
        <v>134</v>
      </c>
      <c r="J174" s="66" t="s">
        <v>170</v>
      </c>
      <c r="K174" s="66" t="s">
        <v>346</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602</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347</v>
      </c>
    </row>
    <row r="176" spans="1:18" s="67" customFormat="1">
      <c r="A176" s="66" t="str">
        <f>VLOOKUP(C176,classifications!C:F,4,FALSE)</f>
        <v>SD</v>
      </c>
      <c r="B176" s="66" t="s">
        <v>603</v>
      </c>
      <c r="C176" s="66" t="s">
        <v>30</v>
      </c>
      <c r="D176" s="66" t="s">
        <v>15</v>
      </c>
      <c r="E176" s="66" t="s">
        <v>107</v>
      </c>
      <c r="F176" s="66" t="s">
        <v>195</v>
      </c>
      <c r="G176" s="66" t="s">
        <v>7</v>
      </c>
      <c r="H176" s="66" t="s">
        <v>99</v>
      </c>
      <c r="I176" s="66" t="s">
        <v>86</v>
      </c>
      <c r="J176" s="66" t="s">
        <v>65</v>
      </c>
      <c r="K176" s="66" t="s">
        <v>28</v>
      </c>
      <c r="L176" s="66" t="s">
        <v>59</v>
      </c>
      <c r="M176" s="66" t="s">
        <v>346</v>
      </c>
      <c r="N176" s="66" t="s">
        <v>36</v>
      </c>
      <c r="O176" s="66" t="s">
        <v>39</v>
      </c>
      <c r="P176" s="66" t="s">
        <v>142</v>
      </c>
      <c r="Q176" s="66" t="s">
        <v>190</v>
      </c>
      <c r="R176" s="66" t="s">
        <v>42</v>
      </c>
    </row>
    <row r="177" spans="1:18" s="67" customFormat="1">
      <c r="A177" s="66" t="str">
        <f>VLOOKUP(C177,classifications!C:F,4,FALSE)</f>
        <v>SD</v>
      </c>
      <c r="B177" s="66" t="s">
        <v>604</v>
      </c>
      <c r="C177" s="66" t="s">
        <v>42</v>
      </c>
      <c r="D177" s="66" t="s">
        <v>15</v>
      </c>
      <c r="E177" s="66" t="s">
        <v>114</v>
      </c>
      <c r="F177" s="66" t="s">
        <v>17</v>
      </c>
      <c r="G177" s="66" t="s">
        <v>30</v>
      </c>
      <c r="H177" s="66" t="s">
        <v>115</v>
      </c>
      <c r="I177" s="66" t="s">
        <v>346</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605</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606</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607</v>
      </c>
      <c r="C180" s="66" t="s">
        <v>7</v>
      </c>
      <c r="D180" s="66" t="s">
        <v>346</v>
      </c>
      <c r="E180" s="66" t="s">
        <v>65</v>
      </c>
      <c r="F180" s="66" t="s">
        <v>142</v>
      </c>
      <c r="G180" s="66" t="s">
        <v>345</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608</v>
      </c>
      <c r="C181" s="66" t="s">
        <v>17</v>
      </c>
      <c r="D181" s="66" t="s">
        <v>9</v>
      </c>
      <c r="E181" s="66" t="s">
        <v>99</v>
      </c>
      <c r="F181" s="66" t="s">
        <v>42</v>
      </c>
      <c r="G181" s="66" t="s">
        <v>15</v>
      </c>
      <c r="H181" s="66" t="s">
        <v>126</v>
      </c>
      <c r="I181" s="66" t="s">
        <v>30</v>
      </c>
      <c r="J181" s="66" t="s">
        <v>347</v>
      </c>
      <c r="K181" s="66" t="s">
        <v>107</v>
      </c>
      <c r="L181" s="66" t="s">
        <v>28</v>
      </c>
      <c r="M181" s="66" t="s">
        <v>346</v>
      </c>
      <c r="N181" s="66" t="s">
        <v>36</v>
      </c>
      <c r="O181" s="66" t="s">
        <v>110</v>
      </c>
      <c r="P181" s="66" t="s">
        <v>65</v>
      </c>
      <c r="Q181" s="66" t="s">
        <v>7</v>
      </c>
      <c r="R181" s="66" t="s">
        <v>6</v>
      </c>
    </row>
    <row r="182" spans="1:18" s="67" customFormat="1">
      <c r="A182" s="66" t="str">
        <f>VLOOKUP(C182,classifications!C:F,4,FALSE)</f>
        <v>SD</v>
      </c>
      <c r="B182" s="66" t="s">
        <v>609</v>
      </c>
      <c r="C182" s="66" t="s">
        <v>36</v>
      </c>
      <c r="D182" s="66" t="s">
        <v>99</v>
      </c>
      <c r="E182" s="66" t="s">
        <v>28</v>
      </c>
      <c r="F182" s="66" t="s">
        <v>30</v>
      </c>
      <c r="G182" s="66" t="s">
        <v>107</v>
      </c>
      <c r="H182" s="66" t="s">
        <v>195</v>
      </c>
      <c r="I182" s="66" t="s">
        <v>9</v>
      </c>
      <c r="J182" s="66" t="s">
        <v>190</v>
      </c>
      <c r="K182" s="66" t="s">
        <v>65</v>
      </c>
      <c r="L182" s="66" t="s">
        <v>15</v>
      </c>
      <c r="M182" s="66" t="s">
        <v>347</v>
      </c>
      <c r="N182" s="66" t="s">
        <v>95</v>
      </c>
      <c r="O182" s="66" t="s">
        <v>17</v>
      </c>
      <c r="P182" s="66" t="s">
        <v>90</v>
      </c>
      <c r="Q182" s="66" t="s">
        <v>161</v>
      </c>
      <c r="R182" s="66" t="s">
        <v>42</v>
      </c>
    </row>
    <row r="183" spans="1:18" s="67" customFormat="1">
      <c r="A183" s="66" t="str">
        <f>VLOOKUP(C183,classifications!C:F,4,FALSE)</f>
        <v>SD</v>
      </c>
      <c r="B183" s="66" t="s">
        <v>610</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611</v>
      </c>
      <c r="C184" s="66" t="s">
        <v>65</v>
      </c>
      <c r="D184" s="66" t="s">
        <v>7</v>
      </c>
      <c r="E184" s="66" t="s">
        <v>195</v>
      </c>
      <c r="F184" s="66" t="s">
        <v>72</v>
      </c>
      <c r="G184" s="66" t="s">
        <v>347</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612</v>
      </c>
      <c r="C185" s="66" t="s">
        <v>86</v>
      </c>
      <c r="D185" s="66" t="s">
        <v>39</v>
      </c>
      <c r="E185" s="66" t="s">
        <v>126</v>
      </c>
      <c r="F185" s="66" t="s">
        <v>7</v>
      </c>
      <c r="G185" s="66" t="s">
        <v>346</v>
      </c>
      <c r="H185" s="66" t="s">
        <v>147</v>
      </c>
      <c r="I185" s="66" t="s">
        <v>183</v>
      </c>
      <c r="J185" s="66" t="s">
        <v>195</v>
      </c>
      <c r="K185" s="66" t="s">
        <v>142</v>
      </c>
      <c r="L185" s="66" t="s">
        <v>30</v>
      </c>
      <c r="M185" s="66" t="s">
        <v>65</v>
      </c>
      <c r="N185" s="66" t="s">
        <v>94</v>
      </c>
      <c r="O185" s="66" t="s">
        <v>91</v>
      </c>
      <c r="P185" s="66" t="s">
        <v>345</v>
      </c>
      <c r="Q185" s="66" t="s">
        <v>101</v>
      </c>
      <c r="R185" s="66" t="s">
        <v>58</v>
      </c>
    </row>
    <row r="186" spans="1:18" s="67" customFormat="1">
      <c r="A186" s="66" t="str">
        <f>VLOOKUP(C186,classifications!C:F,4,FALSE)</f>
        <v>SD</v>
      </c>
      <c r="B186" s="66" t="s">
        <v>613</v>
      </c>
      <c r="C186" s="66" t="s">
        <v>110</v>
      </c>
      <c r="D186" s="66" t="s">
        <v>107</v>
      </c>
      <c r="E186" s="66" t="s">
        <v>149</v>
      </c>
      <c r="F186" s="66" t="s">
        <v>183</v>
      </c>
      <c r="G186" s="66" t="s">
        <v>346</v>
      </c>
      <c r="H186" s="66" t="s">
        <v>184</v>
      </c>
      <c r="I186" s="66" t="s">
        <v>7</v>
      </c>
      <c r="J186" s="66" t="s">
        <v>195</v>
      </c>
      <c r="K186" s="66" t="s">
        <v>20</v>
      </c>
      <c r="L186" s="66" t="s">
        <v>15</v>
      </c>
      <c r="M186" s="66" t="s">
        <v>65</v>
      </c>
      <c r="N186" s="66" t="s">
        <v>70</v>
      </c>
      <c r="O186" s="66" t="s">
        <v>112</v>
      </c>
      <c r="P186" s="66" t="s">
        <v>345</v>
      </c>
      <c r="Q186" s="66" t="s">
        <v>39</v>
      </c>
      <c r="R186" s="66" t="s">
        <v>94</v>
      </c>
    </row>
    <row r="187" spans="1:18" s="67" customFormat="1">
      <c r="A187" s="66" t="str">
        <f>VLOOKUP(C187,classifications!C:F,4,FALSE)</f>
        <v>SD</v>
      </c>
      <c r="B187" s="66" t="s">
        <v>614</v>
      </c>
      <c r="C187" s="66" t="s">
        <v>139</v>
      </c>
      <c r="D187" s="66" t="s">
        <v>58</v>
      </c>
      <c r="E187" s="66" t="s">
        <v>345</v>
      </c>
      <c r="F187" s="66" t="s">
        <v>39</v>
      </c>
      <c r="G187" s="66" t="s">
        <v>135</v>
      </c>
      <c r="H187" s="66" t="s">
        <v>346</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615</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616</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617</v>
      </c>
      <c r="C190" s="66" t="s">
        <v>102</v>
      </c>
      <c r="D190" s="66" t="s">
        <v>12</v>
      </c>
      <c r="E190" s="66" t="s">
        <v>109</v>
      </c>
      <c r="F190" s="66" t="s">
        <v>101</v>
      </c>
      <c r="G190" s="66" t="s">
        <v>100</v>
      </c>
      <c r="H190" s="66" t="s">
        <v>157</v>
      </c>
      <c r="I190" s="66" t="s">
        <v>78</v>
      </c>
      <c r="J190" s="66" t="s">
        <v>58</v>
      </c>
      <c r="K190" s="66" t="s">
        <v>97</v>
      </c>
      <c r="L190" s="66" t="s">
        <v>345</v>
      </c>
      <c r="M190" s="66" t="s">
        <v>167</v>
      </c>
      <c r="N190" s="66" t="s">
        <v>94</v>
      </c>
      <c r="O190" s="66" t="s">
        <v>103</v>
      </c>
      <c r="P190" s="66" t="s">
        <v>163</v>
      </c>
      <c r="Q190" s="66" t="s">
        <v>152</v>
      </c>
      <c r="R190" s="66" t="s">
        <v>144</v>
      </c>
    </row>
    <row r="191" spans="1:18" s="67" customFormat="1">
      <c r="A191" s="66" t="str">
        <f>VLOOKUP(C191,classifications!C:F,4,FALSE)</f>
        <v>SD</v>
      </c>
      <c r="B191" s="66" t="s">
        <v>618</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619</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620</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621</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622</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623</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624</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625</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626</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627</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628</v>
      </c>
      <c r="C201" s="66" t="s">
        <v>351</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629</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630</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631</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632</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633</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634</v>
      </c>
      <c r="C207" s="66" t="s">
        <v>14</v>
      </c>
      <c r="D207" s="66" t="s">
        <v>47</v>
      </c>
      <c r="E207" s="66" t="s">
        <v>41</v>
      </c>
      <c r="F207" s="66" t="s">
        <v>19</v>
      </c>
      <c r="G207" s="66" t="s">
        <v>73</v>
      </c>
      <c r="H207" s="66" t="s">
        <v>111</v>
      </c>
      <c r="I207" s="66" t="s">
        <v>343</v>
      </c>
      <c r="J207" s="66" t="s">
        <v>116</v>
      </c>
      <c r="K207" s="66" t="s">
        <v>155</v>
      </c>
      <c r="L207" s="66" t="s">
        <v>90</v>
      </c>
      <c r="M207" s="66" t="s">
        <v>122</v>
      </c>
      <c r="N207" s="66" t="s">
        <v>347</v>
      </c>
      <c r="O207" s="66" t="s">
        <v>96</v>
      </c>
      <c r="P207" s="66" t="s">
        <v>75</v>
      </c>
      <c r="Q207" s="66" t="s">
        <v>33</v>
      </c>
      <c r="R207" s="66" t="s">
        <v>160</v>
      </c>
    </row>
    <row r="208" spans="1:18" s="67" customFormat="1">
      <c r="A208" s="66" t="str">
        <f>VLOOKUP(C208,classifications!C:F,4,FALSE)</f>
        <v>SD</v>
      </c>
      <c r="B208" s="66" t="s">
        <v>635</v>
      </c>
      <c r="C208" s="66" t="s">
        <v>19</v>
      </c>
      <c r="D208" s="66" t="s">
        <v>96</v>
      </c>
      <c r="E208" s="66" t="s">
        <v>142</v>
      </c>
      <c r="F208" s="66" t="s">
        <v>111</v>
      </c>
      <c r="G208" s="66" t="s">
        <v>41</v>
      </c>
      <c r="H208" s="66" t="s">
        <v>346</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636</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349</v>
      </c>
      <c r="Q209" s="66" t="s">
        <v>104</v>
      </c>
      <c r="R209" s="66" t="s">
        <v>185</v>
      </c>
    </row>
    <row r="210" spans="1:18" s="67" customFormat="1">
      <c r="A210" s="66" t="str">
        <f>VLOOKUP(C210,classifications!C:F,4,FALSE)</f>
        <v>SD</v>
      </c>
      <c r="B210" s="66" t="s">
        <v>637</v>
      </c>
      <c r="C210" s="66" t="s">
        <v>31</v>
      </c>
      <c r="D210" s="66" t="s">
        <v>72</v>
      </c>
      <c r="E210" s="66" t="s">
        <v>154</v>
      </c>
      <c r="F210" s="66" t="s">
        <v>147</v>
      </c>
      <c r="G210" s="66" t="s">
        <v>25</v>
      </c>
      <c r="H210" s="66" t="s">
        <v>345</v>
      </c>
      <c r="I210" s="66" t="s">
        <v>94</v>
      </c>
      <c r="J210" s="66" t="s">
        <v>149</v>
      </c>
      <c r="K210" s="66" t="s">
        <v>348</v>
      </c>
      <c r="L210" s="66" t="s">
        <v>195</v>
      </c>
      <c r="M210" s="66" t="s">
        <v>86</v>
      </c>
      <c r="N210" s="66" t="s">
        <v>65</v>
      </c>
      <c r="O210" s="66" t="s">
        <v>39</v>
      </c>
      <c r="P210" s="66" t="s">
        <v>7</v>
      </c>
      <c r="Q210" s="66" t="s">
        <v>23</v>
      </c>
      <c r="R210" s="66" t="s">
        <v>157</v>
      </c>
    </row>
    <row r="211" spans="1:18" s="67" customFormat="1">
      <c r="A211" s="66" t="str">
        <f>VLOOKUP(C211,classifications!C:F,4,FALSE)</f>
        <v>SD</v>
      </c>
      <c r="B211" s="66" t="s">
        <v>638</v>
      </c>
      <c r="C211" s="66" t="s">
        <v>33</v>
      </c>
      <c r="D211" s="66" t="s">
        <v>96</v>
      </c>
      <c r="E211" s="66" t="s">
        <v>41</v>
      </c>
      <c r="F211" s="66" t="s">
        <v>174</v>
      </c>
      <c r="G211" s="66" t="s">
        <v>343</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639</v>
      </c>
      <c r="C212" s="66" t="s">
        <v>41</v>
      </c>
      <c r="D212" s="66" t="s">
        <v>96</v>
      </c>
      <c r="E212" s="66" t="s">
        <v>32</v>
      </c>
      <c r="F212" s="66" t="s">
        <v>33</v>
      </c>
      <c r="G212" s="66" t="s">
        <v>19</v>
      </c>
      <c r="H212" s="66" t="s">
        <v>88</v>
      </c>
      <c r="I212" s="66" t="s">
        <v>111</v>
      </c>
      <c r="J212" s="66" t="s">
        <v>343</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640</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349</v>
      </c>
      <c r="P213" s="66" t="s">
        <v>173</v>
      </c>
      <c r="Q213" s="66" t="s">
        <v>185</v>
      </c>
      <c r="R213" s="66" t="s">
        <v>96</v>
      </c>
    </row>
    <row r="214" spans="1:18" s="67" customFormat="1">
      <c r="A214" s="66" t="str">
        <f>VLOOKUP(C214,classifications!C:F,4,FALSE)</f>
        <v>SD</v>
      </c>
      <c r="B214" s="66" t="s">
        <v>641</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642</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643</v>
      </c>
      <c r="C216" s="66" t="s">
        <v>125</v>
      </c>
      <c r="D216" s="66" t="s">
        <v>67</v>
      </c>
      <c r="E216" s="66" t="s">
        <v>93</v>
      </c>
      <c r="F216" s="66" t="s">
        <v>61</v>
      </c>
      <c r="G216" s="66" t="s">
        <v>130</v>
      </c>
      <c r="H216" s="66" t="s">
        <v>94</v>
      </c>
      <c r="I216" s="66" t="s">
        <v>16</v>
      </c>
      <c r="J216" s="66" t="s">
        <v>102</v>
      </c>
      <c r="K216" s="66" t="s">
        <v>164</v>
      </c>
      <c r="L216" s="66" t="s">
        <v>345</v>
      </c>
      <c r="M216" s="66" t="s">
        <v>31</v>
      </c>
      <c r="N216" s="66" t="s">
        <v>4</v>
      </c>
      <c r="O216" s="66" t="s">
        <v>134</v>
      </c>
      <c r="P216" s="66" t="s">
        <v>147</v>
      </c>
      <c r="Q216" s="66" t="s">
        <v>170</v>
      </c>
      <c r="R216" s="66" t="s">
        <v>178</v>
      </c>
    </row>
    <row r="217" spans="1:18" s="67" customFormat="1">
      <c r="A217" s="66" t="str">
        <f>VLOOKUP(C217,classifications!C:F,4,FALSE)</f>
        <v>SD</v>
      </c>
      <c r="B217" s="66" t="s">
        <v>644</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645</v>
      </c>
      <c r="C218" s="66" t="s">
        <v>172</v>
      </c>
      <c r="D218" s="66" t="s">
        <v>79</v>
      </c>
      <c r="E218" s="66" t="s">
        <v>145</v>
      </c>
      <c r="F218" s="66" t="s">
        <v>188</v>
      </c>
      <c r="G218" s="66" t="s">
        <v>136</v>
      </c>
      <c r="H218" s="66" t="s">
        <v>138</v>
      </c>
      <c r="I218" s="66" t="s">
        <v>350</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646</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647</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648</v>
      </c>
      <c r="C221" s="66" t="s">
        <v>70</v>
      </c>
      <c r="D221" s="66" t="s">
        <v>184</v>
      </c>
      <c r="E221" s="66" t="s">
        <v>100</v>
      </c>
      <c r="F221" s="66" t="s">
        <v>12</v>
      </c>
      <c r="G221" s="66" t="s">
        <v>346</v>
      </c>
      <c r="H221" s="66" t="s">
        <v>97</v>
      </c>
      <c r="I221" s="66" t="s">
        <v>112</v>
      </c>
      <c r="J221" s="66" t="s">
        <v>183</v>
      </c>
      <c r="K221" s="66" t="s">
        <v>144</v>
      </c>
      <c r="L221" s="66" t="s">
        <v>103</v>
      </c>
      <c r="M221" s="66" t="s">
        <v>109</v>
      </c>
      <c r="N221" s="66" t="s">
        <v>157</v>
      </c>
      <c r="O221" s="66" t="s">
        <v>154</v>
      </c>
      <c r="P221" s="66" t="s">
        <v>345</v>
      </c>
      <c r="Q221" s="66" t="s">
        <v>20</v>
      </c>
      <c r="R221" s="66" t="s">
        <v>102</v>
      </c>
    </row>
    <row r="222" spans="1:18" s="67" customFormat="1">
      <c r="A222" s="66" t="str">
        <f>VLOOKUP(C222,classifications!C:F,4,FALSE)</f>
        <v>SD</v>
      </c>
      <c r="B222" s="66" t="s">
        <v>649</v>
      </c>
      <c r="C222" s="66" t="s">
        <v>73</v>
      </c>
      <c r="D222" s="66" t="s">
        <v>190</v>
      </c>
      <c r="E222" s="66" t="s">
        <v>91</v>
      </c>
      <c r="F222" s="66" t="s">
        <v>347</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650</v>
      </c>
      <c r="C223" s="66" t="s">
        <v>157</v>
      </c>
      <c r="D223" s="66" t="s">
        <v>94</v>
      </c>
      <c r="E223" s="66" t="s">
        <v>101</v>
      </c>
      <c r="F223" s="66" t="s">
        <v>23</v>
      </c>
      <c r="G223" s="66" t="s">
        <v>345</v>
      </c>
      <c r="H223" s="66" t="s">
        <v>149</v>
      </c>
      <c r="I223" s="66" t="s">
        <v>167</v>
      </c>
      <c r="J223" s="66" t="s">
        <v>97</v>
      </c>
      <c r="K223" s="66" t="s">
        <v>153</v>
      </c>
      <c r="L223" s="66" t="s">
        <v>163</v>
      </c>
      <c r="M223" s="66" t="s">
        <v>185</v>
      </c>
      <c r="N223" s="66" t="s">
        <v>55</v>
      </c>
      <c r="O223" s="66" t="s">
        <v>102</v>
      </c>
      <c r="P223" s="66" t="s">
        <v>12</v>
      </c>
      <c r="Q223" s="66" t="s">
        <v>166</v>
      </c>
      <c r="R223" s="66" t="s">
        <v>346</v>
      </c>
    </row>
    <row r="224" spans="1:18" s="67" customFormat="1">
      <c r="A224" s="66" t="str">
        <f>VLOOKUP(C224,classifications!C:F,4,FALSE)</f>
        <v>SD</v>
      </c>
      <c r="B224" s="66" t="s">
        <v>651</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345</v>
      </c>
    </row>
    <row r="225" spans="1:18" s="67" customFormat="1">
      <c r="A225" s="66" t="str">
        <f>VLOOKUP(C225,classifications!C:F,4,FALSE)</f>
        <v>SD</v>
      </c>
      <c r="B225" s="66" t="s">
        <v>652</v>
      </c>
      <c r="C225" s="66" t="s">
        <v>343</v>
      </c>
      <c r="D225" s="66" t="s">
        <v>88</v>
      </c>
      <c r="E225" s="66" t="s">
        <v>47</v>
      </c>
      <c r="F225" s="66" t="s">
        <v>33</v>
      </c>
      <c r="G225" s="66" t="s">
        <v>96</v>
      </c>
      <c r="H225" s="66" t="s">
        <v>193</v>
      </c>
      <c r="I225" s="66" t="s">
        <v>11</v>
      </c>
      <c r="J225" s="66" t="s">
        <v>35</v>
      </c>
      <c r="K225" s="66" t="s">
        <v>41</v>
      </c>
      <c r="L225" s="66" t="s">
        <v>350</v>
      </c>
      <c r="M225" s="66" t="s">
        <v>56</v>
      </c>
      <c r="N225" s="66" t="s">
        <v>19</v>
      </c>
      <c r="O225" s="66" t="s">
        <v>111</v>
      </c>
      <c r="P225" s="66" t="s">
        <v>166</v>
      </c>
      <c r="Q225" s="66" t="s">
        <v>173</v>
      </c>
      <c r="R225" s="66" t="s">
        <v>10</v>
      </c>
    </row>
    <row r="226" spans="1:18" s="67" customFormat="1">
      <c r="A226" s="66" t="str">
        <f>VLOOKUP(C226,classifications!C:F,4,FALSE)</f>
        <v>SD</v>
      </c>
      <c r="B226" s="66" t="s">
        <v>653</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654</v>
      </c>
      <c r="C227" s="66" t="s">
        <v>61</v>
      </c>
      <c r="D227" s="66" t="s">
        <v>67</v>
      </c>
      <c r="E227" s="66" t="s">
        <v>125</v>
      </c>
      <c r="F227" s="66" t="s">
        <v>33</v>
      </c>
      <c r="G227" s="66" t="s">
        <v>128</v>
      </c>
      <c r="H227" s="66" t="s">
        <v>88</v>
      </c>
      <c r="I227" s="66" t="s">
        <v>96</v>
      </c>
      <c r="J227" s="66" t="s">
        <v>84</v>
      </c>
      <c r="K227" s="66" t="s">
        <v>16</v>
      </c>
      <c r="L227" s="66" t="s">
        <v>35</v>
      </c>
      <c r="M227" s="66" t="s">
        <v>166</v>
      </c>
      <c r="N227" s="66" t="s">
        <v>343</v>
      </c>
      <c r="O227" s="66" t="s">
        <v>147</v>
      </c>
      <c r="P227" s="66" t="s">
        <v>29</v>
      </c>
      <c r="Q227" s="66" t="s">
        <v>153</v>
      </c>
      <c r="R227" s="66" t="s">
        <v>160</v>
      </c>
    </row>
    <row r="228" spans="1:18" s="67" customFormat="1">
      <c r="A228" s="66" t="str">
        <f>VLOOKUP(C228,classifications!C:F,4,FALSE)</f>
        <v>SD</v>
      </c>
      <c r="B228" s="66" t="s">
        <v>655</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656</v>
      </c>
      <c r="C229" s="66" t="s">
        <v>74</v>
      </c>
      <c r="D229" s="66" t="s">
        <v>84</v>
      </c>
      <c r="E229" s="66" t="s">
        <v>4</v>
      </c>
      <c r="F229" s="66" t="s">
        <v>160</v>
      </c>
      <c r="G229" s="66" t="s">
        <v>75</v>
      </c>
      <c r="H229" s="66" t="s">
        <v>73</v>
      </c>
      <c r="I229" s="66" t="s">
        <v>51</v>
      </c>
      <c r="J229" s="66" t="s">
        <v>897</v>
      </c>
      <c r="K229" s="66" t="s">
        <v>347</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657</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658</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659</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660</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661</v>
      </c>
      <c r="C234" s="66" t="s">
        <v>166</v>
      </c>
      <c r="D234" s="66" t="s">
        <v>173</v>
      </c>
      <c r="E234" s="66" t="s">
        <v>185</v>
      </c>
      <c r="F234" s="66" t="s">
        <v>146</v>
      </c>
      <c r="G234" s="66" t="s">
        <v>55</v>
      </c>
      <c r="H234" s="66" t="s">
        <v>167</v>
      </c>
      <c r="I234" s="66" t="s">
        <v>350</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662</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350</v>
      </c>
      <c r="P235" s="66" t="s">
        <v>185</v>
      </c>
      <c r="Q235" s="66" t="s">
        <v>172</v>
      </c>
      <c r="R235" s="66" t="s">
        <v>169</v>
      </c>
    </row>
    <row r="236" spans="1:18" s="67" customFormat="1">
      <c r="A236" s="66" t="str">
        <f>VLOOKUP(C236,classifications!C:F,4,FALSE)</f>
        <v>SD</v>
      </c>
      <c r="B236" s="66" t="s">
        <v>663</v>
      </c>
      <c r="C236" s="66" t="s">
        <v>23</v>
      </c>
      <c r="D236" s="66" t="s">
        <v>157</v>
      </c>
      <c r="E236" s="66" t="s">
        <v>94</v>
      </c>
      <c r="F236" s="66" t="s">
        <v>97</v>
      </c>
      <c r="G236" s="66" t="s">
        <v>149</v>
      </c>
      <c r="H236" s="66" t="s">
        <v>167</v>
      </c>
      <c r="I236" s="66" t="s">
        <v>130</v>
      </c>
      <c r="J236" s="66" t="s">
        <v>55</v>
      </c>
      <c r="K236" s="66" t="s">
        <v>79</v>
      </c>
      <c r="L236" s="66" t="s">
        <v>154</v>
      </c>
      <c r="M236" s="66" t="s">
        <v>345</v>
      </c>
      <c r="N236" s="66" t="s">
        <v>98</v>
      </c>
      <c r="O236" s="66" t="s">
        <v>153</v>
      </c>
      <c r="P236" s="66" t="s">
        <v>181</v>
      </c>
      <c r="Q236" s="66" t="s">
        <v>78</v>
      </c>
      <c r="R236" s="66" t="s">
        <v>123</v>
      </c>
    </row>
    <row r="237" spans="1:18" s="67" customFormat="1">
      <c r="A237" s="66" t="str">
        <f>VLOOKUP(C237,classifications!C:F,4,FALSE)</f>
        <v>SD</v>
      </c>
      <c r="B237" s="66" t="s">
        <v>664</v>
      </c>
      <c r="C237" s="66" t="s">
        <v>122</v>
      </c>
      <c r="D237" s="66" t="s">
        <v>161</v>
      </c>
      <c r="E237" s="66" t="s">
        <v>28</v>
      </c>
      <c r="F237" s="66" t="s">
        <v>155</v>
      </c>
      <c r="G237" s="66" t="s">
        <v>190</v>
      </c>
      <c r="H237" s="66" t="s">
        <v>75</v>
      </c>
      <c r="I237" s="66" t="s">
        <v>179</v>
      </c>
      <c r="J237" s="66" t="s">
        <v>91</v>
      </c>
      <c r="K237" s="66" t="s">
        <v>73</v>
      </c>
      <c r="L237" s="66" t="s">
        <v>131</v>
      </c>
      <c r="M237" s="66" t="s">
        <v>347</v>
      </c>
      <c r="N237" s="66" t="s">
        <v>90</v>
      </c>
      <c r="O237" s="66" t="s">
        <v>128</v>
      </c>
      <c r="P237" s="66" t="s">
        <v>99</v>
      </c>
      <c r="Q237" s="66" t="s">
        <v>59</v>
      </c>
      <c r="R237" s="66" t="s">
        <v>107</v>
      </c>
    </row>
    <row r="238" spans="1:18" s="67" customFormat="1">
      <c r="A238" s="66" t="str">
        <f>VLOOKUP(C238,classifications!C:F,4,FALSE)</f>
        <v>SD</v>
      </c>
      <c r="B238" s="66" t="s">
        <v>665</v>
      </c>
      <c r="C238" s="66" t="s">
        <v>190</v>
      </c>
      <c r="D238" s="66" t="s">
        <v>73</v>
      </c>
      <c r="E238" s="66" t="s">
        <v>28</v>
      </c>
      <c r="F238" s="66" t="s">
        <v>91</v>
      </c>
      <c r="G238" s="66" t="s">
        <v>59</v>
      </c>
      <c r="H238" s="66" t="s">
        <v>30</v>
      </c>
      <c r="I238" s="66" t="s">
        <v>131</v>
      </c>
      <c r="J238" s="66" t="s">
        <v>122</v>
      </c>
      <c r="K238" s="66" t="s">
        <v>86</v>
      </c>
      <c r="L238" s="66" t="s">
        <v>120</v>
      </c>
      <c r="M238" s="66" t="s">
        <v>347</v>
      </c>
      <c r="N238" s="66" t="s">
        <v>34</v>
      </c>
      <c r="O238" s="66" t="s">
        <v>161</v>
      </c>
      <c r="P238" s="66" t="s">
        <v>99</v>
      </c>
      <c r="Q238" s="66" t="s">
        <v>90</v>
      </c>
      <c r="R238" s="66" t="s">
        <v>75</v>
      </c>
    </row>
    <row r="239" spans="1:18" s="67" customFormat="1">
      <c r="A239" s="66" t="str">
        <f>VLOOKUP(C239,classifications!C:F,4,FALSE)</f>
        <v>SD</v>
      </c>
      <c r="B239" s="66" t="s">
        <v>666</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667</v>
      </c>
      <c r="C240" s="66" t="s">
        <v>195</v>
      </c>
      <c r="D240" s="66" t="s">
        <v>65</v>
      </c>
      <c r="E240" s="66" t="s">
        <v>7</v>
      </c>
      <c r="F240" s="66" t="s">
        <v>107</v>
      </c>
      <c r="G240" s="66" t="s">
        <v>30</v>
      </c>
      <c r="H240" s="66" t="s">
        <v>86</v>
      </c>
      <c r="I240" s="66" t="s">
        <v>183</v>
      </c>
      <c r="J240" s="66" t="s">
        <v>15</v>
      </c>
      <c r="K240" s="66" t="s">
        <v>72</v>
      </c>
      <c r="L240" s="66" t="s">
        <v>346</v>
      </c>
      <c r="M240" s="66" t="s">
        <v>142</v>
      </c>
      <c r="N240" s="66" t="s">
        <v>68</v>
      </c>
      <c r="O240" s="66" t="s">
        <v>28</v>
      </c>
      <c r="P240" s="66" t="s">
        <v>91</v>
      </c>
      <c r="Q240" s="66" t="s">
        <v>163</v>
      </c>
      <c r="R240" s="66" t="s">
        <v>99</v>
      </c>
    </row>
    <row r="241" spans="1:18" s="67" customFormat="1">
      <c r="A241" s="66" t="str">
        <f>VLOOKUP(C241,classifications!C:F,4,FALSE)</f>
        <v>SD</v>
      </c>
      <c r="B241" s="66" t="s">
        <v>668</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669</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670</v>
      </c>
      <c r="C243" s="66" t="s">
        <v>47</v>
      </c>
      <c r="D243" s="66" t="s">
        <v>111</v>
      </c>
      <c r="E243" s="66" t="s">
        <v>343</v>
      </c>
      <c r="F243" s="66" t="s">
        <v>33</v>
      </c>
      <c r="G243" s="66" t="s">
        <v>96</v>
      </c>
      <c r="H243" s="66" t="s">
        <v>180</v>
      </c>
      <c r="I243" s="66" t="s">
        <v>85</v>
      </c>
      <c r="J243" s="66" t="s">
        <v>171</v>
      </c>
      <c r="K243" s="66" t="s">
        <v>19</v>
      </c>
      <c r="L243" s="66" t="s">
        <v>350</v>
      </c>
      <c r="M243" s="66" t="s">
        <v>24</v>
      </c>
      <c r="N243" s="66" t="s">
        <v>41</v>
      </c>
      <c r="O243" s="66" t="s">
        <v>56</v>
      </c>
      <c r="P243" s="66" t="s">
        <v>64</v>
      </c>
      <c r="Q243" s="66" t="s">
        <v>10</v>
      </c>
      <c r="R243" s="66" t="s">
        <v>128</v>
      </c>
    </row>
    <row r="244" spans="1:18" s="67" customFormat="1">
      <c r="A244" s="66" t="str">
        <f>VLOOKUP(C244,classifications!C:F,4,FALSE)</f>
        <v>SD</v>
      </c>
      <c r="B244" s="66" t="s">
        <v>671</v>
      </c>
      <c r="C244" s="66" t="s">
        <v>56</v>
      </c>
      <c r="D244" s="66" t="s">
        <v>104</v>
      </c>
      <c r="E244" s="66" t="s">
        <v>87</v>
      </c>
      <c r="F244" s="66" t="s">
        <v>55</v>
      </c>
      <c r="G244" s="66" t="s">
        <v>96</v>
      </c>
      <c r="H244" s="66" t="s">
        <v>350</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672</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350</v>
      </c>
      <c r="R245" s="66" t="s">
        <v>21</v>
      </c>
    </row>
    <row r="246" spans="1:18" s="67" customFormat="1">
      <c r="A246" s="66" t="str">
        <f>VLOOKUP(C246,classifications!C:F,4,FALSE)</f>
        <v>SD</v>
      </c>
      <c r="B246" s="66" t="s">
        <v>673</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343</v>
      </c>
      <c r="Q246" s="66" t="s">
        <v>85</v>
      </c>
      <c r="R246" s="66" t="s">
        <v>152</v>
      </c>
    </row>
    <row r="247" spans="1:18" s="67" customFormat="1">
      <c r="A247" s="66" t="str">
        <f>VLOOKUP(C247,classifications!C:F,4,FALSE)</f>
        <v>SD</v>
      </c>
      <c r="B247" s="66" t="s">
        <v>674</v>
      </c>
      <c r="C247" s="66" t="s">
        <v>151</v>
      </c>
      <c r="D247" s="66" t="s">
        <v>104</v>
      </c>
      <c r="E247" s="66" t="s">
        <v>56</v>
      </c>
      <c r="F247" s="66" t="s">
        <v>169</v>
      </c>
      <c r="G247" s="66" t="s">
        <v>193</v>
      </c>
      <c r="H247" s="66" t="s">
        <v>82</v>
      </c>
      <c r="I247" s="66" t="s">
        <v>188</v>
      </c>
      <c r="J247" s="66" t="s">
        <v>87</v>
      </c>
      <c r="K247" s="66" t="s">
        <v>85</v>
      </c>
      <c r="L247" s="66" t="s">
        <v>171</v>
      </c>
      <c r="M247" s="66" t="s">
        <v>350</v>
      </c>
      <c r="N247" s="66" t="s">
        <v>38</v>
      </c>
      <c r="O247" s="66" t="s">
        <v>136</v>
      </c>
      <c r="P247" s="66" t="s">
        <v>173</v>
      </c>
      <c r="Q247" s="66" t="s">
        <v>349</v>
      </c>
      <c r="R247" s="66" t="s">
        <v>63</v>
      </c>
    </row>
    <row r="248" spans="1:18" s="67" customFormat="1">
      <c r="A248" s="66" t="str">
        <f>VLOOKUP(C248,classifications!C:F,4,FALSE)</f>
        <v>SD</v>
      </c>
      <c r="B248" s="66" t="s">
        <v>675</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676</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350</v>
      </c>
      <c r="Q249" s="66" t="s">
        <v>173</v>
      </c>
      <c r="R249" s="66" t="s">
        <v>24</v>
      </c>
    </row>
    <row r="250" spans="1:18" s="67" customFormat="1">
      <c r="A250" s="66" t="str">
        <f>VLOOKUP(C250,classifications!C:F,4,FALSE)</f>
        <v>SD</v>
      </c>
      <c r="B250" s="66" t="s">
        <v>677</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678</v>
      </c>
      <c r="C251" s="66" t="s">
        <v>180</v>
      </c>
      <c r="D251" s="66" t="s">
        <v>47</v>
      </c>
      <c r="E251" s="66" t="s">
        <v>85</v>
      </c>
      <c r="F251" s="66" t="s">
        <v>111</v>
      </c>
      <c r="G251" s="66" t="s">
        <v>24</v>
      </c>
      <c r="H251" s="66" t="s">
        <v>155</v>
      </c>
      <c r="I251" s="66" t="s">
        <v>343</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679</v>
      </c>
      <c r="C252" s="66" t="s">
        <v>10</v>
      </c>
      <c r="D252" s="66" t="s">
        <v>350</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680</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681</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682</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346</v>
      </c>
      <c r="Q255" s="66" t="s">
        <v>68</v>
      </c>
      <c r="R255" s="66" t="s">
        <v>92</v>
      </c>
    </row>
    <row r="256" spans="1:18" s="67" customFormat="1">
      <c r="A256" s="66" t="str">
        <f>VLOOKUP(C256,classifications!C:F,4,FALSE)</f>
        <v>SD</v>
      </c>
      <c r="B256" s="66" t="s">
        <v>683</v>
      </c>
      <c r="C256" s="66" t="s">
        <v>75</v>
      </c>
      <c r="D256" s="66" t="s">
        <v>73</v>
      </c>
      <c r="E256" s="66" t="s">
        <v>24</v>
      </c>
      <c r="F256" s="66" t="s">
        <v>179</v>
      </c>
      <c r="G256" s="66" t="s">
        <v>122</v>
      </c>
      <c r="H256" s="66" t="s">
        <v>91</v>
      </c>
      <c r="I256" s="66" t="s">
        <v>90</v>
      </c>
      <c r="J256" s="66" t="s">
        <v>190</v>
      </c>
      <c r="K256" s="66" t="s">
        <v>128</v>
      </c>
      <c r="L256" s="66" t="s">
        <v>131</v>
      </c>
      <c r="M256" s="66" t="s">
        <v>347</v>
      </c>
      <c r="N256" s="66" t="s">
        <v>119</v>
      </c>
      <c r="O256" s="66" t="s">
        <v>161</v>
      </c>
      <c r="P256" s="66" t="s">
        <v>59</v>
      </c>
      <c r="Q256" s="66" t="s">
        <v>74</v>
      </c>
      <c r="R256" s="66" t="s">
        <v>160</v>
      </c>
    </row>
    <row r="257" spans="1:18" s="67" customFormat="1">
      <c r="A257" s="66" t="str">
        <f>VLOOKUP(C257,classifications!C:F,4,FALSE)</f>
        <v>SD</v>
      </c>
      <c r="B257" s="66" t="s">
        <v>684</v>
      </c>
      <c r="C257" s="66" t="s">
        <v>96</v>
      </c>
      <c r="D257" s="66" t="s">
        <v>33</v>
      </c>
      <c r="E257" s="66" t="s">
        <v>41</v>
      </c>
      <c r="F257" s="66" t="s">
        <v>19</v>
      </c>
      <c r="G257" s="66" t="s">
        <v>88</v>
      </c>
      <c r="H257" s="66" t="s">
        <v>10</v>
      </c>
      <c r="I257" s="66" t="s">
        <v>111</v>
      </c>
      <c r="J257" s="66" t="s">
        <v>32</v>
      </c>
      <c r="K257" s="66" t="s">
        <v>56</v>
      </c>
      <c r="L257" s="66" t="s">
        <v>128</v>
      </c>
      <c r="M257" s="66" t="s">
        <v>343</v>
      </c>
      <c r="N257" s="66" t="s">
        <v>81</v>
      </c>
      <c r="O257" s="66" t="s">
        <v>35</v>
      </c>
      <c r="P257" s="66" t="s">
        <v>166</v>
      </c>
      <c r="Q257" s="66" t="s">
        <v>153</v>
      </c>
      <c r="R257" s="66" t="s">
        <v>47</v>
      </c>
    </row>
    <row r="258" spans="1:18" s="67" customFormat="1">
      <c r="A258" s="66" t="str">
        <f>VLOOKUP(C258,classifications!C:F,4,FALSE)</f>
        <v>SD</v>
      </c>
      <c r="B258" s="66" t="s">
        <v>685</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686</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687</v>
      </c>
      <c r="C260" s="66" t="s">
        <v>160</v>
      </c>
      <c r="D260" s="66" t="s">
        <v>51</v>
      </c>
      <c r="E260" s="66" t="s">
        <v>134</v>
      </c>
      <c r="F260" s="66" t="s">
        <v>91</v>
      </c>
      <c r="G260" s="66" t="s">
        <v>347</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688</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689</v>
      </c>
      <c r="C262" s="66" t="s">
        <v>350</v>
      </c>
      <c r="D262" s="66" t="s">
        <v>10</v>
      </c>
      <c r="E262" s="66" t="s">
        <v>166</v>
      </c>
      <c r="F262" s="66" t="s">
        <v>56</v>
      </c>
      <c r="G262" s="66" t="s">
        <v>96</v>
      </c>
      <c r="H262" s="66" t="s">
        <v>173</v>
      </c>
      <c r="I262" s="66" t="s">
        <v>188</v>
      </c>
      <c r="J262" s="66" t="s">
        <v>343</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690</v>
      </c>
      <c r="C263" s="66" t="s">
        <v>171</v>
      </c>
      <c r="D263" s="66" t="s">
        <v>56</v>
      </c>
      <c r="E263" s="66" t="s">
        <v>47</v>
      </c>
      <c r="F263" s="66" t="s">
        <v>85</v>
      </c>
      <c r="G263" s="66" t="s">
        <v>104</v>
      </c>
      <c r="H263" s="66" t="s">
        <v>174</v>
      </c>
      <c r="I263" s="66" t="s">
        <v>111</v>
      </c>
      <c r="J263" s="66" t="s">
        <v>10</v>
      </c>
      <c r="K263" s="66" t="s">
        <v>350</v>
      </c>
      <c r="L263" s="66" t="s">
        <v>188</v>
      </c>
      <c r="M263" s="66" t="s">
        <v>24</v>
      </c>
      <c r="N263" s="66" t="s">
        <v>64</v>
      </c>
      <c r="O263" s="66" t="s">
        <v>96</v>
      </c>
      <c r="P263" s="66" t="s">
        <v>81</v>
      </c>
      <c r="Q263" s="66" t="s">
        <v>33</v>
      </c>
      <c r="R263" s="66" t="s">
        <v>87</v>
      </c>
    </row>
    <row r="264" spans="1:18" s="67" customFormat="1">
      <c r="A264" s="66" t="str">
        <f>VLOOKUP(C264,classifications!C:F,4,FALSE)</f>
        <v>SD</v>
      </c>
      <c r="B264" s="66" t="s">
        <v>691</v>
      </c>
      <c r="C264" s="66" t="s">
        <v>26</v>
      </c>
      <c r="D264" s="66" t="s">
        <v>89</v>
      </c>
      <c r="E264" s="66" t="s">
        <v>119</v>
      </c>
      <c r="F264" s="66" t="s">
        <v>99</v>
      </c>
      <c r="G264" s="66" t="s">
        <v>9</v>
      </c>
      <c r="H264" s="66" t="s">
        <v>120</v>
      </c>
      <c r="I264" s="66" t="s">
        <v>28</v>
      </c>
      <c r="J264" s="66" t="s">
        <v>95</v>
      </c>
      <c r="K264" s="66" t="s">
        <v>347</v>
      </c>
      <c r="L264" s="66" t="s">
        <v>13</v>
      </c>
      <c r="M264" s="66" t="s">
        <v>17</v>
      </c>
      <c r="N264" s="66" t="s">
        <v>36</v>
      </c>
      <c r="O264" s="66" t="s">
        <v>190</v>
      </c>
      <c r="P264" s="66" t="s">
        <v>76</v>
      </c>
      <c r="Q264" s="66" t="s">
        <v>30</v>
      </c>
      <c r="R264" s="66" t="s">
        <v>126</v>
      </c>
    </row>
    <row r="265" spans="1:18" s="67" customFormat="1">
      <c r="A265" s="66" t="str">
        <f>VLOOKUP(C265,classifications!C:F,4,FALSE)</f>
        <v>SD</v>
      </c>
      <c r="B265" s="66" t="s">
        <v>692</v>
      </c>
      <c r="C265" s="66" t="s">
        <v>39</v>
      </c>
      <c r="D265" s="66" t="s">
        <v>86</v>
      </c>
      <c r="E265" s="66" t="s">
        <v>147</v>
      </c>
      <c r="F265" s="66" t="s">
        <v>345</v>
      </c>
      <c r="G265" s="66" t="s">
        <v>346</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693</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694</v>
      </c>
      <c r="C267" s="66" t="s">
        <v>89</v>
      </c>
      <c r="D267" s="66" t="s">
        <v>119</v>
      </c>
      <c r="E267" s="66" t="s">
        <v>26</v>
      </c>
      <c r="F267" s="66" t="s">
        <v>99</v>
      </c>
      <c r="G267" s="66" t="s">
        <v>9</v>
      </c>
      <c r="H267" s="66" t="s">
        <v>28</v>
      </c>
      <c r="I267" s="66" t="s">
        <v>126</v>
      </c>
      <c r="J267" s="66" t="s">
        <v>13</v>
      </c>
      <c r="K267" s="66" t="s">
        <v>347</v>
      </c>
      <c r="L267" s="66" t="s">
        <v>190</v>
      </c>
      <c r="M267" s="66" t="s">
        <v>120</v>
      </c>
      <c r="N267" s="66" t="s">
        <v>73</v>
      </c>
      <c r="O267" s="66" t="s">
        <v>30</v>
      </c>
      <c r="P267" s="66" t="s">
        <v>91</v>
      </c>
      <c r="Q267" s="66" t="s">
        <v>36</v>
      </c>
      <c r="R267" s="66" t="s">
        <v>17</v>
      </c>
    </row>
    <row r="268" spans="1:18" s="67" customFormat="1">
      <c r="A268" s="66" t="str">
        <f>VLOOKUP(C268,classifications!C:F,4,FALSE)</f>
        <v>SD</v>
      </c>
      <c r="B268" s="66" t="s">
        <v>695</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696</v>
      </c>
      <c r="C269" s="66" t="s">
        <v>119</v>
      </c>
      <c r="D269" s="66" t="s">
        <v>89</v>
      </c>
      <c r="E269" s="66" t="s">
        <v>99</v>
      </c>
      <c r="F269" s="66" t="s">
        <v>91</v>
      </c>
      <c r="G269" s="66" t="s">
        <v>73</v>
      </c>
      <c r="H269" s="66" t="s">
        <v>347</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697</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347</v>
      </c>
      <c r="P270" s="66" t="s">
        <v>26</v>
      </c>
      <c r="Q270" s="66" t="s">
        <v>122</v>
      </c>
      <c r="R270" s="66" t="s">
        <v>30</v>
      </c>
    </row>
    <row r="271" spans="1:18" s="67" customFormat="1">
      <c r="A271" s="66" t="str">
        <f>VLOOKUP(C271,classifications!C:F,4,FALSE)</f>
        <v>SD</v>
      </c>
      <c r="B271" s="66" t="s">
        <v>698</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699</v>
      </c>
      <c r="C272" s="66" t="s">
        <v>126</v>
      </c>
      <c r="D272" s="66" t="s">
        <v>86</v>
      </c>
      <c r="E272" s="66" t="s">
        <v>39</v>
      </c>
      <c r="F272" s="66" t="s">
        <v>91</v>
      </c>
      <c r="G272" s="66" t="s">
        <v>28</v>
      </c>
      <c r="H272" s="66" t="s">
        <v>65</v>
      </c>
      <c r="I272" s="66" t="s">
        <v>346</v>
      </c>
      <c r="J272" s="66" t="s">
        <v>15</v>
      </c>
      <c r="K272" s="66" t="s">
        <v>183</v>
      </c>
      <c r="L272" s="66" t="s">
        <v>99</v>
      </c>
      <c r="M272" s="66" t="s">
        <v>9</v>
      </c>
      <c r="N272" s="66" t="s">
        <v>30</v>
      </c>
      <c r="O272" s="66" t="s">
        <v>7</v>
      </c>
      <c r="P272" s="66" t="s">
        <v>58</v>
      </c>
      <c r="Q272" s="66" t="s">
        <v>347</v>
      </c>
      <c r="R272" s="66" t="s">
        <v>195</v>
      </c>
    </row>
    <row r="273" spans="1:18" s="67" customFormat="1">
      <c r="A273" s="66" t="str">
        <f>VLOOKUP(C273,classifications!C:F,4,FALSE)</f>
        <v>SD</v>
      </c>
      <c r="B273" s="66" t="s">
        <v>700</v>
      </c>
      <c r="C273" s="66" t="s">
        <v>147</v>
      </c>
      <c r="D273" s="66" t="s">
        <v>345</v>
      </c>
      <c r="E273" s="66" t="s">
        <v>39</v>
      </c>
      <c r="F273" s="66" t="s">
        <v>94</v>
      </c>
      <c r="G273" s="66" t="s">
        <v>72</v>
      </c>
      <c r="H273" s="66" t="s">
        <v>142</v>
      </c>
      <c r="I273" s="66" t="s">
        <v>7</v>
      </c>
      <c r="J273" s="66" t="s">
        <v>153</v>
      </c>
      <c r="K273" s="66" t="s">
        <v>16</v>
      </c>
      <c r="L273" s="66" t="s">
        <v>58</v>
      </c>
      <c r="M273" s="66" t="s">
        <v>86</v>
      </c>
      <c r="N273" s="66" t="s">
        <v>154</v>
      </c>
      <c r="O273" s="66" t="s">
        <v>346</v>
      </c>
      <c r="P273" s="66" t="s">
        <v>112</v>
      </c>
      <c r="Q273" s="66" t="s">
        <v>65</v>
      </c>
      <c r="R273" s="66" t="s">
        <v>91</v>
      </c>
    </row>
    <row r="274" spans="1:18" s="67" customFormat="1">
      <c r="A274" s="66" t="str">
        <f>VLOOKUP(C274,classifications!C:F,4,FALSE)</f>
        <v>SD</v>
      </c>
      <c r="B274" s="66" t="s">
        <v>701</v>
      </c>
      <c r="C274" s="66" t="s">
        <v>183</v>
      </c>
      <c r="D274" s="66" t="s">
        <v>346</v>
      </c>
      <c r="E274" s="66" t="s">
        <v>7</v>
      </c>
      <c r="F274" s="66" t="s">
        <v>184</v>
      </c>
      <c r="G274" s="66" t="s">
        <v>15</v>
      </c>
      <c r="H274" s="66" t="s">
        <v>94</v>
      </c>
      <c r="I274" s="66" t="s">
        <v>115</v>
      </c>
      <c r="J274" s="66" t="s">
        <v>86</v>
      </c>
      <c r="K274" s="66" t="s">
        <v>345</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702</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703</v>
      </c>
      <c r="C276" s="66" t="s">
        <v>16</v>
      </c>
      <c r="D276" s="66" t="s">
        <v>147</v>
      </c>
      <c r="E276" s="66" t="s">
        <v>345</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348</v>
      </c>
    </row>
    <row r="277" spans="1:18" s="67" customFormat="1">
      <c r="A277" s="66" t="str">
        <f>VLOOKUP(C277,classifications!C:F,4,FALSE)</f>
        <v>SD</v>
      </c>
      <c r="B277" s="66" t="s">
        <v>704</v>
      </c>
      <c r="C277" s="66" t="s">
        <v>32</v>
      </c>
      <c r="D277" s="66" t="s">
        <v>41</v>
      </c>
      <c r="E277" s="66" t="s">
        <v>153</v>
      </c>
      <c r="F277" s="66" t="s">
        <v>88</v>
      </c>
      <c r="G277" s="66" t="s">
        <v>96</v>
      </c>
      <c r="H277" s="66" t="s">
        <v>142</v>
      </c>
      <c r="I277" s="66" t="s">
        <v>19</v>
      </c>
      <c r="J277" s="66" t="s">
        <v>33</v>
      </c>
      <c r="K277" s="66" t="s">
        <v>147</v>
      </c>
      <c r="L277" s="66" t="s">
        <v>39</v>
      </c>
      <c r="M277" s="66" t="s">
        <v>72</v>
      </c>
      <c r="N277" s="66" t="s">
        <v>345</v>
      </c>
      <c r="O277" s="66" t="s">
        <v>174</v>
      </c>
      <c r="P277" s="66" t="s">
        <v>7</v>
      </c>
      <c r="Q277" s="66" t="s">
        <v>152</v>
      </c>
      <c r="R277" s="66" t="s">
        <v>94</v>
      </c>
    </row>
    <row r="278" spans="1:18" s="67" customFormat="1">
      <c r="A278" s="66" t="str">
        <f>VLOOKUP(C278,classifications!C:F,4,FALSE)</f>
        <v>SD</v>
      </c>
      <c r="B278" s="66" t="s">
        <v>705</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706</v>
      </c>
      <c r="C279" s="66" t="s">
        <v>345</v>
      </c>
      <c r="D279" s="66" t="s">
        <v>147</v>
      </c>
      <c r="E279" s="66" t="s">
        <v>154</v>
      </c>
      <c r="F279" s="66" t="s">
        <v>94</v>
      </c>
      <c r="G279" s="66" t="s">
        <v>112</v>
      </c>
      <c r="H279" s="66" t="s">
        <v>58</v>
      </c>
      <c r="I279" s="66" t="s">
        <v>39</v>
      </c>
      <c r="J279" s="66" t="s">
        <v>153</v>
      </c>
      <c r="K279" s="66" t="s">
        <v>7</v>
      </c>
      <c r="L279" s="66" t="s">
        <v>346</v>
      </c>
      <c r="M279" s="66" t="s">
        <v>157</v>
      </c>
      <c r="N279" s="66" t="s">
        <v>149</v>
      </c>
      <c r="O279" s="66" t="s">
        <v>139</v>
      </c>
      <c r="P279" s="66" t="s">
        <v>142</v>
      </c>
      <c r="Q279" s="66" t="s">
        <v>16</v>
      </c>
      <c r="R279" s="66" t="s">
        <v>100</v>
      </c>
    </row>
    <row r="280" spans="1:18" s="67" customFormat="1">
      <c r="A280" s="66" t="str">
        <f>VLOOKUP(C280,classifications!C:F,4,FALSE)</f>
        <v>SD</v>
      </c>
      <c r="B280" s="66" t="s">
        <v>707</v>
      </c>
      <c r="C280" s="66" t="s">
        <v>100</v>
      </c>
      <c r="D280" s="66" t="s">
        <v>97</v>
      </c>
      <c r="E280" s="66" t="s">
        <v>124</v>
      </c>
      <c r="F280" s="66" t="s">
        <v>12</v>
      </c>
      <c r="G280" s="66" t="s">
        <v>167</v>
      </c>
      <c r="H280" s="66" t="s">
        <v>102</v>
      </c>
      <c r="I280" s="66" t="s">
        <v>109</v>
      </c>
      <c r="J280" s="66" t="s">
        <v>58</v>
      </c>
      <c r="K280" s="66" t="s">
        <v>70</v>
      </c>
      <c r="L280" s="66" t="s">
        <v>345</v>
      </c>
      <c r="M280" s="66" t="s">
        <v>103</v>
      </c>
      <c r="N280" s="66" t="s">
        <v>157</v>
      </c>
      <c r="O280" s="66" t="s">
        <v>79</v>
      </c>
      <c r="P280" s="66" t="s">
        <v>184</v>
      </c>
      <c r="Q280" s="66" t="s">
        <v>112</v>
      </c>
      <c r="R280" s="66" t="s">
        <v>94</v>
      </c>
    </row>
    <row r="281" spans="1:18" s="67" customFormat="1">
      <c r="A281" s="66" t="str">
        <f>VLOOKUP(C281,classifications!C:F,4,FALSE)</f>
        <v>SD</v>
      </c>
      <c r="B281" s="66" t="s">
        <v>708</v>
      </c>
      <c r="C281" s="66" t="s">
        <v>115</v>
      </c>
      <c r="D281" s="66" t="s">
        <v>135</v>
      </c>
      <c r="E281" s="66" t="s">
        <v>114</v>
      </c>
      <c r="F281" s="66" t="s">
        <v>346</v>
      </c>
      <c r="G281" s="66" t="s">
        <v>15</v>
      </c>
      <c r="H281" s="66" t="s">
        <v>152</v>
      </c>
      <c r="I281" s="66" t="s">
        <v>183</v>
      </c>
      <c r="J281" s="66" t="s">
        <v>49</v>
      </c>
      <c r="K281" s="66" t="s">
        <v>58</v>
      </c>
      <c r="L281" s="66" t="s">
        <v>345</v>
      </c>
      <c r="M281" s="66" t="s">
        <v>59</v>
      </c>
      <c r="N281" s="66" t="s">
        <v>7</v>
      </c>
      <c r="O281" s="66" t="s">
        <v>139</v>
      </c>
      <c r="P281" s="66" t="s">
        <v>39</v>
      </c>
      <c r="Q281" s="66" t="s">
        <v>94</v>
      </c>
      <c r="R281" s="66" t="s">
        <v>100</v>
      </c>
    </row>
    <row r="282" spans="1:18" s="67" customFormat="1">
      <c r="A282" s="66" t="str">
        <f>VLOOKUP(C282,classifications!C:F,4,FALSE)</f>
        <v>SD</v>
      </c>
      <c r="B282" s="66" t="s">
        <v>709</v>
      </c>
      <c r="C282" s="66" t="s">
        <v>348</v>
      </c>
      <c r="D282" s="66" t="s">
        <v>31</v>
      </c>
      <c r="E282" s="66" t="s">
        <v>72</v>
      </c>
      <c r="F282" s="66" t="s">
        <v>16</v>
      </c>
      <c r="G282" s="66" t="s">
        <v>25</v>
      </c>
      <c r="H282" s="66" t="s">
        <v>147</v>
      </c>
      <c r="I282" s="66" t="s">
        <v>345</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710</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711</v>
      </c>
      <c r="C284" s="66" t="s">
        <v>57</v>
      </c>
      <c r="D284" s="66" t="s">
        <v>377</v>
      </c>
      <c r="E284" s="66" t="s">
        <v>7</v>
      </c>
      <c r="F284" s="66" t="s">
        <v>68</v>
      </c>
      <c r="G284" s="66" t="s">
        <v>165</v>
      </c>
      <c r="H284" s="66" t="s">
        <v>30</v>
      </c>
      <c r="I284" s="66" t="s">
        <v>20</v>
      </c>
      <c r="J284" s="66" t="s">
        <v>141</v>
      </c>
      <c r="K284" s="66" t="s">
        <v>15</v>
      </c>
      <c r="L284" s="66" t="s">
        <v>176</v>
      </c>
      <c r="M284" s="66" t="s">
        <v>6</v>
      </c>
      <c r="N284" s="66" t="s">
        <v>194</v>
      </c>
      <c r="O284" s="66" t="s">
        <v>195</v>
      </c>
      <c r="P284" s="66" t="s">
        <v>346</v>
      </c>
      <c r="Q284" s="66" t="s">
        <v>133</v>
      </c>
      <c r="R284" s="66" t="s">
        <v>184</v>
      </c>
    </row>
    <row r="285" spans="1:18" s="67" customFormat="1">
      <c r="A285" s="66" t="str">
        <f>VLOOKUP(C285,classifications!C:F,4,FALSE)</f>
        <v>SD</v>
      </c>
      <c r="B285" s="66" t="s">
        <v>712</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713</v>
      </c>
      <c r="C286" s="66" t="s">
        <v>112</v>
      </c>
      <c r="D286" s="66" t="s">
        <v>345</v>
      </c>
      <c r="E286" s="66" t="s">
        <v>184</v>
      </c>
      <c r="F286" s="66" t="s">
        <v>22</v>
      </c>
      <c r="G286" s="66" t="s">
        <v>154</v>
      </c>
      <c r="H286" s="66" t="s">
        <v>144</v>
      </c>
      <c r="I286" s="66" t="s">
        <v>12</v>
      </c>
      <c r="J286" s="66" t="s">
        <v>346</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714</v>
      </c>
      <c r="C287" s="66" t="s">
        <v>141</v>
      </c>
      <c r="D287" s="66" t="s">
        <v>20</v>
      </c>
      <c r="E287" s="66" t="s">
        <v>377</v>
      </c>
      <c r="F287" s="66" t="s">
        <v>68</v>
      </c>
      <c r="G287" s="66" t="s">
        <v>184</v>
      </c>
      <c r="H287" s="66" t="s">
        <v>346</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715</v>
      </c>
      <c r="C288" s="66" t="s">
        <v>142</v>
      </c>
      <c r="D288" s="66" t="s">
        <v>7</v>
      </c>
      <c r="E288" s="66" t="s">
        <v>346</v>
      </c>
      <c r="F288" s="66" t="s">
        <v>101</v>
      </c>
      <c r="G288" s="66" t="s">
        <v>153</v>
      </c>
      <c r="H288" s="66" t="s">
        <v>152</v>
      </c>
      <c r="I288" s="66" t="s">
        <v>147</v>
      </c>
      <c r="J288" s="66" t="s">
        <v>19</v>
      </c>
      <c r="K288" s="66" t="s">
        <v>345</v>
      </c>
      <c r="L288" s="66" t="s">
        <v>39</v>
      </c>
      <c r="M288" s="66" t="s">
        <v>94</v>
      </c>
      <c r="N288" s="66" t="s">
        <v>163</v>
      </c>
      <c r="O288" s="66" t="s">
        <v>86</v>
      </c>
      <c r="P288" s="66" t="s">
        <v>183</v>
      </c>
      <c r="Q288" s="66" t="s">
        <v>59</v>
      </c>
      <c r="R288" s="66" t="s">
        <v>58</v>
      </c>
    </row>
    <row r="289" spans="1:18" s="67" customFormat="1">
      <c r="A289" s="66" t="str">
        <f>VLOOKUP(C289,classifications!C:F,4,FALSE)</f>
        <v>SD</v>
      </c>
      <c r="B289" s="66" t="s">
        <v>716</v>
      </c>
      <c r="C289" s="66" t="s">
        <v>184</v>
      </c>
      <c r="D289" s="66" t="s">
        <v>70</v>
      </c>
      <c r="E289" s="66" t="s">
        <v>112</v>
      </c>
      <c r="F289" s="66" t="s">
        <v>183</v>
      </c>
      <c r="G289" s="66" t="s">
        <v>346</v>
      </c>
      <c r="H289" s="66" t="s">
        <v>345</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717</v>
      </c>
      <c r="C290" s="66" t="s">
        <v>20</v>
      </c>
      <c r="D290" s="66" t="s">
        <v>377</v>
      </c>
      <c r="E290" s="66" t="s">
        <v>141</v>
      </c>
      <c r="F290" s="66" t="s">
        <v>346</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718</v>
      </c>
      <c r="C291" s="66" t="s">
        <v>22</v>
      </c>
      <c r="D291" s="66" t="s">
        <v>112</v>
      </c>
      <c r="E291" s="66" t="s">
        <v>154</v>
      </c>
      <c r="F291" s="66" t="s">
        <v>144</v>
      </c>
      <c r="G291" s="66" t="s">
        <v>345</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719</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720</v>
      </c>
      <c r="C293" s="68" t="s">
        <v>377</v>
      </c>
      <c r="D293" s="66" t="s">
        <v>20</v>
      </c>
      <c r="E293" s="66" t="s">
        <v>148</v>
      </c>
      <c r="F293" s="66" t="s">
        <v>141</v>
      </c>
      <c r="G293" s="66" t="s">
        <v>346</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721</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722</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723</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345</v>
      </c>
      <c r="R296" s="66" t="s">
        <v>130</v>
      </c>
    </row>
    <row r="297" spans="1:18" s="67" customFormat="1">
      <c r="A297" s="66" t="str">
        <f>VLOOKUP(C297,classifications!C:F,4,FALSE)</f>
        <v>SD</v>
      </c>
      <c r="B297" s="66" t="s">
        <v>724</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725</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726</v>
      </c>
      <c r="C299" s="66" t="s">
        <v>124</v>
      </c>
      <c r="D299" s="66" t="s">
        <v>100</v>
      </c>
      <c r="E299" s="66" t="s">
        <v>97</v>
      </c>
      <c r="F299" s="66" t="s">
        <v>123</v>
      </c>
      <c r="G299" s="66" t="s">
        <v>79</v>
      </c>
      <c r="H299" s="66" t="s">
        <v>167</v>
      </c>
      <c r="I299" s="66" t="s">
        <v>78</v>
      </c>
      <c r="J299" s="66" t="s">
        <v>109</v>
      </c>
      <c r="K299" s="66" t="s">
        <v>157</v>
      </c>
      <c r="L299" s="66" t="s">
        <v>94</v>
      </c>
      <c r="M299" s="66" t="s">
        <v>102</v>
      </c>
      <c r="N299" s="66" t="s">
        <v>345</v>
      </c>
      <c r="O299" s="66" t="s">
        <v>12</v>
      </c>
      <c r="P299" s="66" t="s">
        <v>49</v>
      </c>
      <c r="Q299" s="66" t="s">
        <v>135</v>
      </c>
      <c r="R299" s="66" t="s">
        <v>103</v>
      </c>
    </row>
    <row r="300" spans="1:18" s="67" customFormat="1">
      <c r="A300" s="66" t="str">
        <f>VLOOKUP(C300,classifications!C:F,4,FALSE)</f>
        <v>SD</v>
      </c>
      <c r="B300" s="66" t="s">
        <v>727</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728</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729</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730</v>
      </c>
      <c r="C303" s="66" t="s">
        <v>135</v>
      </c>
      <c r="D303" s="66" t="s">
        <v>49</v>
      </c>
      <c r="E303" s="66" t="s">
        <v>115</v>
      </c>
      <c r="F303" s="66" t="s">
        <v>114</v>
      </c>
      <c r="G303" s="66" t="s">
        <v>167</v>
      </c>
      <c r="H303" s="66" t="s">
        <v>346</v>
      </c>
      <c r="I303" s="66" t="s">
        <v>139</v>
      </c>
      <c r="J303" s="66" t="s">
        <v>100</v>
      </c>
      <c r="K303" s="66" t="s">
        <v>345</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731</v>
      </c>
      <c r="C304" s="66" t="s">
        <v>43</v>
      </c>
      <c r="D304" s="66" t="s">
        <v>122</v>
      </c>
      <c r="E304" s="66" t="s">
        <v>161</v>
      </c>
      <c r="F304" s="66" t="s">
        <v>99</v>
      </c>
      <c r="G304" s="66" t="s">
        <v>347</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732</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346</v>
      </c>
      <c r="R305" s="66" t="s">
        <v>345</v>
      </c>
    </row>
    <row r="306" spans="1:18" s="67" customFormat="1">
      <c r="A306" s="66" t="str">
        <f>VLOOKUP(C306,classifications!C:F,4,FALSE)</f>
        <v>SD</v>
      </c>
      <c r="B306" s="66" t="s">
        <v>733</v>
      </c>
      <c r="C306" s="66" t="s">
        <v>58</v>
      </c>
      <c r="D306" s="66" t="s">
        <v>345</v>
      </c>
      <c r="E306" s="66" t="s">
        <v>139</v>
      </c>
      <c r="F306" s="66" t="s">
        <v>39</v>
      </c>
      <c r="G306" s="66" t="s">
        <v>94</v>
      </c>
      <c r="H306" s="66" t="s">
        <v>100</v>
      </c>
      <c r="I306" s="66" t="s">
        <v>147</v>
      </c>
      <c r="J306" s="66" t="s">
        <v>346</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734</v>
      </c>
      <c r="C307" s="66" t="s">
        <v>91</v>
      </c>
      <c r="D307" s="66" t="s">
        <v>128</v>
      </c>
      <c r="E307" s="66" t="s">
        <v>59</v>
      </c>
      <c r="F307" s="66" t="s">
        <v>73</v>
      </c>
      <c r="G307" s="66" t="s">
        <v>347</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735</v>
      </c>
      <c r="C308" s="66" t="s">
        <v>116</v>
      </c>
      <c r="D308" s="66" t="s">
        <v>120</v>
      </c>
      <c r="E308" s="66" t="s">
        <v>14</v>
      </c>
      <c r="F308" s="66" t="s">
        <v>73</v>
      </c>
      <c r="G308" s="66" t="s">
        <v>90</v>
      </c>
      <c r="H308" s="66" t="s">
        <v>41</v>
      </c>
      <c r="I308" s="66" t="s">
        <v>131</v>
      </c>
      <c r="J308" s="66" t="s">
        <v>347</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736</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737</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738</v>
      </c>
      <c r="C311" s="66" t="s">
        <v>9</v>
      </c>
      <c r="D311" s="66" t="s">
        <v>99</v>
      </c>
      <c r="E311" s="66" t="s">
        <v>347</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739</v>
      </c>
      <c r="C312" s="66" t="s">
        <v>15</v>
      </c>
      <c r="D312" s="66" t="s">
        <v>346</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740</v>
      </c>
      <c r="C313" s="66" t="s">
        <v>25</v>
      </c>
      <c r="D313" s="66" t="s">
        <v>72</v>
      </c>
      <c r="E313" s="66" t="s">
        <v>65</v>
      </c>
      <c r="F313" s="66" t="s">
        <v>7</v>
      </c>
      <c r="G313" s="66" t="s">
        <v>31</v>
      </c>
      <c r="H313" s="66" t="s">
        <v>147</v>
      </c>
      <c r="I313" s="66" t="s">
        <v>39</v>
      </c>
      <c r="J313" s="66" t="s">
        <v>345</v>
      </c>
      <c r="K313" s="66" t="s">
        <v>86</v>
      </c>
      <c r="L313" s="66" t="s">
        <v>107</v>
      </c>
      <c r="M313" s="66" t="s">
        <v>142</v>
      </c>
      <c r="N313" s="66" t="s">
        <v>154</v>
      </c>
      <c r="O313" s="66" t="s">
        <v>32</v>
      </c>
      <c r="P313" s="66" t="s">
        <v>195</v>
      </c>
      <c r="Q313" s="66" t="s">
        <v>348</v>
      </c>
      <c r="R313" s="66" t="s">
        <v>149</v>
      </c>
    </row>
    <row r="314" spans="1:18" s="67" customFormat="1">
      <c r="A314" s="66" t="str">
        <f>VLOOKUP(C314,classifications!C:F,4,FALSE)</f>
        <v>SD</v>
      </c>
      <c r="B314" s="66" t="s">
        <v>741</v>
      </c>
      <c r="C314" s="66" t="s">
        <v>72</v>
      </c>
      <c r="D314" s="66" t="s">
        <v>65</v>
      </c>
      <c r="E314" s="66" t="s">
        <v>25</v>
      </c>
      <c r="F314" s="66" t="s">
        <v>147</v>
      </c>
      <c r="G314" s="66" t="s">
        <v>31</v>
      </c>
      <c r="H314" s="66" t="s">
        <v>39</v>
      </c>
      <c r="I314" s="66" t="s">
        <v>345</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742</v>
      </c>
      <c r="C315" s="66" t="s">
        <v>99</v>
      </c>
      <c r="D315" s="66" t="s">
        <v>9</v>
      </c>
      <c r="E315" s="66" t="s">
        <v>347</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743</v>
      </c>
      <c r="C316" s="66" t="s">
        <v>346</v>
      </c>
      <c r="D316" s="66" t="s">
        <v>183</v>
      </c>
      <c r="E316" s="66" t="s">
        <v>7</v>
      </c>
      <c r="F316" s="66" t="s">
        <v>15</v>
      </c>
      <c r="G316" s="66" t="s">
        <v>142</v>
      </c>
      <c r="H316" s="66" t="s">
        <v>39</v>
      </c>
      <c r="I316" s="66" t="s">
        <v>115</v>
      </c>
      <c r="J316" s="66" t="s">
        <v>345</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744</v>
      </c>
      <c r="C317" s="66" t="s">
        <v>130</v>
      </c>
      <c r="D317" s="66" t="s">
        <v>79</v>
      </c>
      <c r="E317" s="66" t="s">
        <v>94</v>
      </c>
      <c r="F317" s="66" t="s">
        <v>167</v>
      </c>
      <c r="G317" s="66" t="s">
        <v>157</v>
      </c>
      <c r="H317" s="66" t="s">
        <v>23</v>
      </c>
      <c r="I317" s="66" t="s">
        <v>345</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745</v>
      </c>
      <c r="C318" s="66" t="s">
        <v>35</v>
      </c>
      <c r="D318" s="66" t="s">
        <v>88</v>
      </c>
      <c r="E318" s="66" t="s">
        <v>96</v>
      </c>
      <c r="F318" s="66" t="s">
        <v>128</v>
      </c>
      <c r="G318" s="66" t="s">
        <v>11</v>
      </c>
      <c r="H318" s="66" t="s">
        <v>166</v>
      </c>
      <c r="I318" s="66" t="s">
        <v>173</v>
      </c>
      <c r="J318" s="66" t="s">
        <v>343</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746</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747</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748</v>
      </c>
      <c r="C321" s="66" t="s">
        <v>173</v>
      </c>
      <c r="D321" s="66" t="s">
        <v>166</v>
      </c>
      <c r="E321" s="66" t="s">
        <v>146</v>
      </c>
      <c r="F321" s="66" t="s">
        <v>188</v>
      </c>
      <c r="G321" s="66" t="s">
        <v>185</v>
      </c>
      <c r="H321" s="66" t="s">
        <v>136</v>
      </c>
      <c r="I321" s="66" t="s">
        <v>55</v>
      </c>
      <c r="J321" s="66" t="s">
        <v>138</v>
      </c>
      <c r="K321" s="66" t="s">
        <v>35</v>
      </c>
      <c r="L321" s="66" t="s">
        <v>56</v>
      </c>
      <c r="M321" s="66" t="s">
        <v>350</v>
      </c>
      <c r="N321" s="66" t="s">
        <v>167</v>
      </c>
      <c r="O321" s="66" t="s">
        <v>64</v>
      </c>
      <c r="P321" s="66" t="s">
        <v>193</v>
      </c>
      <c r="Q321" s="66" t="s">
        <v>11</v>
      </c>
      <c r="R321" s="66" t="s">
        <v>104</v>
      </c>
    </row>
    <row r="322" spans="1:18" s="67" customFormat="1">
      <c r="A322" s="66" t="str">
        <f>VLOOKUP(C322,classifications!C:F,4,FALSE)</f>
        <v>SD</v>
      </c>
      <c r="B322" s="66" t="s">
        <v>749</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750</v>
      </c>
      <c r="C323" s="66" t="s">
        <v>101</v>
      </c>
      <c r="D323" s="66" t="s">
        <v>163</v>
      </c>
      <c r="E323" s="66" t="s">
        <v>152</v>
      </c>
      <c r="F323" s="66" t="s">
        <v>157</v>
      </c>
      <c r="G323" s="66" t="s">
        <v>142</v>
      </c>
      <c r="H323" s="66" t="s">
        <v>102</v>
      </c>
      <c r="I323" s="66" t="s">
        <v>12</v>
      </c>
      <c r="J323" s="66" t="s">
        <v>148</v>
      </c>
      <c r="K323" s="66" t="s">
        <v>153</v>
      </c>
      <c r="L323" s="66" t="s">
        <v>109</v>
      </c>
      <c r="M323" s="66" t="s">
        <v>346</v>
      </c>
      <c r="N323" s="66" t="s">
        <v>94</v>
      </c>
      <c r="O323" s="66" t="s">
        <v>345</v>
      </c>
      <c r="P323" s="66" t="s">
        <v>10</v>
      </c>
      <c r="Q323" s="66" t="s">
        <v>86</v>
      </c>
      <c r="R323" s="66" t="s">
        <v>58</v>
      </c>
    </row>
    <row r="324" spans="1:18" s="67" customFormat="1">
      <c r="A324" s="66" t="str">
        <f>VLOOKUP(C324,classifications!C:F,4,FALSE)</f>
        <v>SD</v>
      </c>
      <c r="B324" s="66" t="s">
        <v>751</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346</v>
      </c>
      <c r="P324" s="66" t="s">
        <v>163</v>
      </c>
      <c r="Q324" s="66" t="s">
        <v>183</v>
      </c>
      <c r="R324" s="66" t="s">
        <v>158</v>
      </c>
    </row>
    <row r="325" spans="1:18" s="67" customFormat="1">
      <c r="A325" s="66" t="str">
        <f>VLOOKUP(C325,classifications!C:F,4,FALSE)</f>
        <v>SD</v>
      </c>
      <c r="B325" s="66" t="s">
        <v>752</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346</v>
      </c>
      <c r="P325" s="66" t="s">
        <v>111</v>
      </c>
      <c r="Q325" s="66" t="s">
        <v>195</v>
      </c>
      <c r="R325" s="66" t="s">
        <v>192</v>
      </c>
    </row>
    <row r="326" spans="1:18" s="67" customFormat="1">
      <c r="A326" s="66" t="str">
        <f>VLOOKUP(C326,classifications!C:F,4,FALSE)</f>
        <v>SD</v>
      </c>
      <c r="B326" s="66" t="s">
        <v>753</v>
      </c>
      <c r="C326" s="66" t="s">
        <v>148</v>
      </c>
      <c r="D326" s="66" t="s">
        <v>377</v>
      </c>
      <c r="E326" s="66" t="s">
        <v>101</v>
      </c>
      <c r="F326" s="66" t="s">
        <v>192</v>
      </c>
      <c r="G326" s="66" t="s">
        <v>163</v>
      </c>
      <c r="H326" s="66" t="s">
        <v>144</v>
      </c>
      <c r="I326" s="66" t="s">
        <v>20</v>
      </c>
      <c r="J326" s="66" t="s">
        <v>12</v>
      </c>
      <c r="K326" s="66" t="s">
        <v>152</v>
      </c>
      <c r="L326" s="66" t="s">
        <v>153</v>
      </c>
      <c r="M326" s="66" t="s">
        <v>142</v>
      </c>
      <c r="N326" s="66" t="s">
        <v>157</v>
      </c>
      <c r="O326" s="66" t="s">
        <v>346</v>
      </c>
      <c r="P326" s="66" t="s">
        <v>81</v>
      </c>
      <c r="Q326" s="66" t="s">
        <v>102</v>
      </c>
      <c r="R326" s="66" t="s">
        <v>156</v>
      </c>
    </row>
    <row r="327" spans="1:18" s="67" customFormat="1">
      <c r="A327" s="66" t="str">
        <f>VLOOKUP(C327,classifications!C:F,4,FALSE)</f>
        <v>SD</v>
      </c>
      <c r="B327" s="66" t="s">
        <v>754</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755</v>
      </c>
      <c r="C328" s="66" t="s">
        <v>28</v>
      </c>
      <c r="D328" s="66" t="s">
        <v>99</v>
      </c>
      <c r="E328" s="66" t="s">
        <v>161</v>
      </c>
      <c r="F328" s="66" t="s">
        <v>347</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756</v>
      </c>
      <c r="C329" s="66" t="s">
        <v>59</v>
      </c>
      <c r="D329" s="66" t="s">
        <v>91</v>
      </c>
      <c r="E329" s="66" t="s">
        <v>128</v>
      </c>
      <c r="F329" s="66" t="s">
        <v>15</v>
      </c>
      <c r="G329" s="66" t="s">
        <v>152</v>
      </c>
      <c r="H329" s="66" t="s">
        <v>142</v>
      </c>
      <c r="I329" s="66" t="s">
        <v>30</v>
      </c>
      <c r="J329" s="66" t="s">
        <v>115</v>
      </c>
      <c r="K329" s="66" t="s">
        <v>86</v>
      </c>
      <c r="L329" s="66" t="s">
        <v>73</v>
      </c>
      <c r="M329" s="66" t="s">
        <v>346</v>
      </c>
      <c r="N329" s="66" t="s">
        <v>7</v>
      </c>
      <c r="O329" s="66" t="s">
        <v>190</v>
      </c>
      <c r="P329" s="66" t="s">
        <v>179</v>
      </c>
      <c r="Q329" s="66" t="s">
        <v>39</v>
      </c>
      <c r="R329" s="66" t="s">
        <v>65</v>
      </c>
    </row>
    <row r="330" spans="1:18" s="67" customFormat="1">
      <c r="A330" s="66" t="str">
        <f>VLOOKUP(C330,classifications!C:F,4,FALSE)</f>
        <v>SD</v>
      </c>
      <c r="B330" s="66" t="s">
        <v>757</v>
      </c>
      <c r="C330" s="66" t="s">
        <v>94</v>
      </c>
      <c r="D330" s="66" t="s">
        <v>153</v>
      </c>
      <c r="E330" s="66" t="s">
        <v>345</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758</v>
      </c>
      <c r="C331" s="66" t="s">
        <v>107</v>
      </c>
      <c r="D331" s="66" t="s">
        <v>30</v>
      </c>
      <c r="E331" s="66" t="s">
        <v>65</v>
      </c>
      <c r="F331" s="66" t="s">
        <v>195</v>
      </c>
      <c r="G331" s="66" t="s">
        <v>7</v>
      </c>
      <c r="H331" s="66" t="s">
        <v>110</v>
      </c>
      <c r="I331" s="66" t="s">
        <v>99</v>
      </c>
      <c r="J331" s="66" t="s">
        <v>15</v>
      </c>
      <c r="K331" s="66" t="s">
        <v>39</v>
      </c>
      <c r="L331" s="66" t="s">
        <v>28</v>
      </c>
      <c r="M331" s="66" t="s">
        <v>346</v>
      </c>
      <c r="N331" s="66" t="s">
        <v>183</v>
      </c>
      <c r="O331" s="66" t="s">
        <v>347</v>
      </c>
      <c r="P331" s="66" t="s">
        <v>86</v>
      </c>
      <c r="Q331" s="66" t="s">
        <v>72</v>
      </c>
      <c r="R331" s="66" t="s">
        <v>36</v>
      </c>
    </row>
    <row r="332" spans="1:18" s="67" customFormat="1">
      <c r="A332" s="66" t="str">
        <f>VLOOKUP(C332,classifications!C:F,4,FALSE)</f>
        <v>SD</v>
      </c>
      <c r="B332" s="66" t="s">
        <v>759</v>
      </c>
      <c r="C332" s="66" t="s">
        <v>149</v>
      </c>
      <c r="D332" s="66" t="s">
        <v>94</v>
      </c>
      <c r="E332" s="66" t="s">
        <v>154</v>
      </c>
      <c r="F332" s="66" t="s">
        <v>157</v>
      </c>
      <c r="G332" s="66" t="s">
        <v>345</v>
      </c>
      <c r="H332" s="66" t="s">
        <v>23</v>
      </c>
      <c r="I332" s="66" t="s">
        <v>153</v>
      </c>
      <c r="J332" s="66" t="s">
        <v>183</v>
      </c>
      <c r="K332" s="66" t="s">
        <v>112</v>
      </c>
      <c r="L332" s="66" t="s">
        <v>346</v>
      </c>
      <c r="M332" s="66" t="s">
        <v>110</v>
      </c>
      <c r="N332" s="66" t="s">
        <v>97</v>
      </c>
      <c r="O332" s="66" t="s">
        <v>39</v>
      </c>
      <c r="P332" s="66" t="s">
        <v>184</v>
      </c>
      <c r="Q332" s="66" t="s">
        <v>72</v>
      </c>
      <c r="R332" s="66" t="s">
        <v>147</v>
      </c>
    </row>
    <row r="333" spans="1:18" s="67" customFormat="1">
      <c r="A333" s="66" t="str">
        <f>VLOOKUP(C333,classifications!C:F,4,FALSE)</f>
        <v>SD</v>
      </c>
      <c r="B333" s="66" t="s">
        <v>760</v>
      </c>
      <c r="C333" s="66" t="s">
        <v>153</v>
      </c>
      <c r="D333" s="66" t="s">
        <v>94</v>
      </c>
      <c r="E333" s="66" t="s">
        <v>152</v>
      </c>
      <c r="F333" s="66" t="s">
        <v>142</v>
      </c>
      <c r="G333" s="66" t="s">
        <v>345</v>
      </c>
      <c r="H333" s="66" t="s">
        <v>32</v>
      </c>
      <c r="I333" s="66" t="s">
        <v>157</v>
      </c>
      <c r="J333" s="66" t="s">
        <v>147</v>
      </c>
      <c r="K333" s="66" t="s">
        <v>163</v>
      </c>
      <c r="L333" s="66" t="s">
        <v>149</v>
      </c>
      <c r="M333" s="66" t="s">
        <v>101</v>
      </c>
      <c r="N333" s="66" t="s">
        <v>7</v>
      </c>
      <c r="O333" s="66" t="s">
        <v>183</v>
      </c>
      <c r="P333" s="66" t="s">
        <v>346</v>
      </c>
      <c r="Q333" s="66" t="s">
        <v>19</v>
      </c>
      <c r="R333" s="66" t="s">
        <v>96</v>
      </c>
    </row>
    <row r="334" spans="1:18" s="67" customFormat="1">
      <c r="A334" s="66" t="str">
        <f>VLOOKUP(C334,classifications!C:F,4,FALSE)</f>
        <v>SD</v>
      </c>
      <c r="B334" s="66" t="s">
        <v>761</v>
      </c>
      <c r="C334" s="66" t="s">
        <v>154</v>
      </c>
      <c r="D334" s="66" t="s">
        <v>345</v>
      </c>
      <c r="E334" s="66" t="s">
        <v>112</v>
      </c>
      <c r="F334" s="66" t="s">
        <v>149</v>
      </c>
      <c r="G334" s="66" t="s">
        <v>94</v>
      </c>
      <c r="H334" s="66" t="s">
        <v>7</v>
      </c>
      <c r="I334" s="66" t="s">
        <v>22</v>
      </c>
      <c r="J334" s="66" t="s">
        <v>147</v>
      </c>
      <c r="K334" s="66" t="s">
        <v>157</v>
      </c>
      <c r="L334" s="66" t="s">
        <v>184</v>
      </c>
      <c r="M334" s="66" t="s">
        <v>346</v>
      </c>
      <c r="N334" s="66" t="s">
        <v>153</v>
      </c>
      <c r="O334" s="66" t="s">
        <v>100</v>
      </c>
      <c r="P334" s="66" t="s">
        <v>97</v>
      </c>
      <c r="Q334" s="66" t="s">
        <v>39</v>
      </c>
      <c r="R334" s="66" t="s">
        <v>23</v>
      </c>
    </row>
    <row r="335" spans="1:18" s="67" customFormat="1">
      <c r="A335" s="66" t="str">
        <f>VLOOKUP(C335,classifications!C:F,4,FALSE)</f>
        <v>SD</v>
      </c>
      <c r="B335" s="66" t="s">
        <v>762</v>
      </c>
      <c r="C335" s="66" t="s">
        <v>161</v>
      </c>
      <c r="D335" s="66" t="s">
        <v>122</v>
      </c>
      <c r="E335" s="66" t="s">
        <v>28</v>
      </c>
      <c r="F335" s="66" t="s">
        <v>347</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763</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345</v>
      </c>
      <c r="R336" s="66" t="s">
        <v>94</v>
      </c>
    </row>
    <row r="337" spans="1:18" s="67" customFormat="1">
      <c r="A337" s="66" t="str">
        <f>VLOOKUP(C337,classifications!C:F,4,FALSE)</f>
        <v>SD</v>
      </c>
      <c r="B337" s="66" t="s">
        <v>764</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765</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347</v>
      </c>
      <c r="P338" s="66" t="s">
        <v>161</v>
      </c>
      <c r="Q338" s="66" t="s">
        <v>131</v>
      </c>
      <c r="R338" s="66" t="s">
        <v>116</v>
      </c>
    </row>
    <row r="339" spans="1:18" s="67" customFormat="1">
      <c r="A339" s="66" t="str">
        <f>VLOOKUP(C339,classifications!C:F,4,FALSE)</f>
        <v>SD</v>
      </c>
      <c r="B339" s="66" t="s">
        <v>766</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767</v>
      </c>
      <c r="C340" s="66" t="s">
        <v>152</v>
      </c>
      <c r="D340" s="66" t="s">
        <v>163</v>
      </c>
      <c r="E340" s="66" t="s">
        <v>153</v>
      </c>
      <c r="F340" s="66" t="s">
        <v>101</v>
      </c>
      <c r="G340" s="66" t="s">
        <v>142</v>
      </c>
      <c r="H340" s="66" t="s">
        <v>128</v>
      </c>
      <c r="I340" s="66" t="s">
        <v>346</v>
      </c>
      <c r="J340" s="66" t="s">
        <v>115</v>
      </c>
      <c r="K340" s="66" t="s">
        <v>59</v>
      </c>
      <c r="L340" s="66" t="s">
        <v>94</v>
      </c>
      <c r="M340" s="66" t="s">
        <v>183</v>
      </c>
      <c r="N340" s="66" t="s">
        <v>157</v>
      </c>
      <c r="O340" s="66" t="s">
        <v>345</v>
      </c>
      <c r="P340" s="66" t="s">
        <v>19</v>
      </c>
      <c r="Q340" s="66" t="s">
        <v>58</v>
      </c>
      <c r="R340" s="66" t="s">
        <v>10</v>
      </c>
    </row>
    <row r="341" spans="1:18" s="67" customFormat="1">
      <c r="A341" s="66" t="str">
        <f>VLOOKUP(C341,classifications!C:F,4,FALSE)</f>
        <v>SD</v>
      </c>
      <c r="B341" s="66" t="s">
        <v>768</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769</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770</v>
      </c>
      <c r="C343" s="66" t="s">
        <v>63</v>
      </c>
      <c r="D343" s="66" t="s">
        <v>344</v>
      </c>
      <c r="E343" s="66" t="s">
        <v>349</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771</v>
      </c>
      <c r="C344" s="66" t="s">
        <v>344</v>
      </c>
      <c r="D344" s="66" t="s">
        <v>159</v>
      </c>
      <c r="E344" s="66" t="s">
        <v>63</v>
      </c>
      <c r="F344" s="66" t="s">
        <v>349</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772</v>
      </c>
      <c r="C345" s="66" t="s">
        <v>77</v>
      </c>
      <c r="D345" s="66" t="s">
        <v>129</v>
      </c>
      <c r="E345" s="66" t="s">
        <v>349</v>
      </c>
      <c r="F345" s="66" t="s">
        <v>173</v>
      </c>
      <c r="G345" s="66" t="s">
        <v>193</v>
      </c>
      <c r="H345" s="66" t="s">
        <v>189</v>
      </c>
      <c r="I345" s="66" t="s">
        <v>150</v>
      </c>
      <c r="J345" s="66" t="s">
        <v>159</v>
      </c>
      <c r="K345" s="66" t="s">
        <v>177</v>
      </c>
      <c r="L345" s="66" t="s">
        <v>188</v>
      </c>
      <c r="M345" s="66" t="s">
        <v>105</v>
      </c>
      <c r="N345" s="66" t="s">
        <v>344</v>
      </c>
      <c r="O345" s="66" t="s">
        <v>146</v>
      </c>
      <c r="P345" s="66" t="s">
        <v>64</v>
      </c>
      <c r="Q345" s="66" t="s">
        <v>63</v>
      </c>
      <c r="R345" s="66" t="s">
        <v>136</v>
      </c>
    </row>
    <row r="346" spans="1:18" s="67" customFormat="1">
      <c r="A346" s="66" t="str">
        <f>VLOOKUP(C346,classifications!C:F,4,FALSE)</f>
        <v>SD</v>
      </c>
      <c r="B346" s="66" t="s">
        <v>773</v>
      </c>
      <c r="C346" s="66" t="s">
        <v>105</v>
      </c>
      <c r="D346" s="66" t="s">
        <v>177</v>
      </c>
      <c r="E346" s="66" t="s">
        <v>162</v>
      </c>
      <c r="F346" s="66" t="s">
        <v>21</v>
      </c>
      <c r="G346" s="66" t="s">
        <v>159</v>
      </c>
      <c r="H346" s="66" t="s">
        <v>136</v>
      </c>
      <c r="I346" s="66" t="s">
        <v>349</v>
      </c>
      <c r="J346" s="66" t="s">
        <v>344</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774</v>
      </c>
      <c r="C347" s="66" t="s">
        <v>349</v>
      </c>
      <c r="D347" s="66" t="s">
        <v>150</v>
      </c>
      <c r="E347" s="66" t="s">
        <v>159</v>
      </c>
      <c r="F347" s="66" t="s">
        <v>177</v>
      </c>
      <c r="G347" s="66" t="s">
        <v>189</v>
      </c>
      <c r="H347" s="66" t="s">
        <v>344</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775</v>
      </c>
      <c r="C348" s="66" t="s">
        <v>129</v>
      </c>
      <c r="D348" s="66" t="s">
        <v>150</v>
      </c>
      <c r="E348" s="66" t="s">
        <v>77</v>
      </c>
      <c r="F348" s="66" t="s">
        <v>189</v>
      </c>
      <c r="G348" s="66" t="s">
        <v>159</v>
      </c>
      <c r="H348" s="66" t="s">
        <v>349</v>
      </c>
      <c r="I348" s="66" t="s">
        <v>21</v>
      </c>
      <c r="J348" s="66" t="s">
        <v>344</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776</v>
      </c>
      <c r="C349" s="66" t="s">
        <v>150</v>
      </c>
      <c r="D349" s="66" t="s">
        <v>129</v>
      </c>
      <c r="E349" s="66" t="s">
        <v>189</v>
      </c>
      <c r="F349" s="66" t="s">
        <v>349</v>
      </c>
      <c r="G349" s="66" t="s">
        <v>159</v>
      </c>
      <c r="H349" s="66" t="s">
        <v>344</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777</v>
      </c>
      <c r="C350" s="66" t="s">
        <v>159</v>
      </c>
      <c r="D350" s="66" t="s">
        <v>344</v>
      </c>
      <c r="E350" s="66" t="s">
        <v>349</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778</v>
      </c>
      <c r="C351" s="66" t="s">
        <v>162</v>
      </c>
      <c r="D351" s="66" t="s">
        <v>159</v>
      </c>
      <c r="E351" s="66" t="s">
        <v>105</v>
      </c>
      <c r="F351" s="66" t="s">
        <v>177</v>
      </c>
      <c r="G351" s="66" t="s">
        <v>136</v>
      </c>
      <c r="H351" s="66" t="s">
        <v>349</v>
      </c>
      <c r="I351" s="66" t="s">
        <v>21</v>
      </c>
      <c r="J351" s="66" t="s">
        <v>55</v>
      </c>
      <c r="K351" s="66" t="s">
        <v>146</v>
      </c>
      <c r="L351" s="66" t="s">
        <v>64</v>
      </c>
      <c r="M351" s="66" t="s">
        <v>344</v>
      </c>
      <c r="N351" s="66" t="s">
        <v>185</v>
      </c>
      <c r="O351" s="66" t="s">
        <v>82</v>
      </c>
      <c r="P351" s="66" t="s">
        <v>173</v>
      </c>
      <c r="Q351" s="66" t="s">
        <v>63</v>
      </c>
      <c r="R351" s="66" t="s">
        <v>150</v>
      </c>
    </row>
    <row r="352" spans="1:18" s="67" customFormat="1">
      <c r="A352" s="66" t="str">
        <f>VLOOKUP(C352,classifications!C:F,4,FALSE)</f>
        <v>SD</v>
      </c>
      <c r="B352" s="66" t="s">
        <v>779</v>
      </c>
      <c r="C352" s="66" t="s">
        <v>177</v>
      </c>
      <c r="D352" s="66" t="s">
        <v>105</v>
      </c>
      <c r="E352" s="66" t="s">
        <v>349</v>
      </c>
      <c r="F352" s="66" t="s">
        <v>162</v>
      </c>
      <c r="G352" s="66" t="s">
        <v>136</v>
      </c>
      <c r="H352" s="66" t="s">
        <v>63</v>
      </c>
      <c r="I352" s="66" t="s">
        <v>159</v>
      </c>
      <c r="J352" s="66" t="s">
        <v>146</v>
      </c>
      <c r="K352" s="66" t="s">
        <v>344</v>
      </c>
      <c r="L352" s="66" t="s">
        <v>188</v>
      </c>
      <c r="M352" s="66" t="s">
        <v>77</v>
      </c>
      <c r="N352" s="66" t="s">
        <v>21</v>
      </c>
      <c r="O352" s="66" t="s">
        <v>64</v>
      </c>
      <c r="P352" s="66" t="s">
        <v>55</v>
      </c>
      <c r="Q352" s="66" t="s">
        <v>173</v>
      </c>
      <c r="R352" s="66" t="s">
        <v>185</v>
      </c>
    </row>
    <row r="353" spans="1:18" s="67" customFormat="1">
      <c r="A353" s="66" t="str">
        <f>VLOOKUP(C353,classifications!C:F,4,FALSE)</f>
        <v>SD</v>
      </c>
      <c r="B353" s="66" t="s">
        <v>780</v>
      </c>
      <c r="C353" s="66" t="s">
        <v>189</v>
      </c>
      <c r="D353" s="66" t="s">
        <v>150</v>
      </c>
      <c r="E353" s="66" t="s">
        <v>129</v>
      </c>
      <c r="F353" s="66" t="s">
        <v>349</v>
      </c>
      <c r="G353" s="66" t="s">
        <v>344</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781</v>
      </c>
      <c r="C354" s="66" t="s">
        <v>114</v>
      </c>
      <c r="D354" s="66" t="s">
        <v>115</v>
      </c>
      <c r="E354" s="66" t="s">
        <v>135</v>
      </c>
      <c r="F354" s="66" t="s">
        <v>42</v>
      </c>
      <c r="G354" s="66" t="s">
        <v>49</v>
      </c>
      <c r="H354" s="66" t="s">
        <v>15</v>
      </c>
      <c r="I354" s="66" t="s">
        <v>152</v>
      </c>
      <c r="J354" s="66" t="s">
        <v>167</v>
      </c>
      <c r="K354" s="66" t="s">
        <v>183</v>
      </c>
      <c r="L354" s="66" t="s">
        <v>346</v>
      </c>
      <c r="M354" s="66" t="s">
        <v>59</v>
      </c>
      <c r="N354" s="66" t="s">
        <v>100</v>
      </c>
      <c r="O354" s="66" t="s">
        <v>94</v>
      </c>
      <c r="P354" s="66" t="s">
        <v>345</v>
      </c>
      <c r="Q354" s="66" t="s">
        <v>58</v>
      </c>
      <c r="R354" s="66" t="s">
        <v>128</v>
      </c>
    </row>
    <row r="355" spans="1:18" s="67" customFormat="1">
      <c r="A355" s="66" t="str">
        <f>VLOOKUP(C355,classifications!C:F,4,FALSE)</f>
        <v>SD</v>
      </c>
      <c r="B355" s="66" t="s">
        <v>782</v>
      </c>
      <c r="C355" s="66" t="s">
        <v>347</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783</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784</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785</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786</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787</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788</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789</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790</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350</v>
      </c>
      <c r="R363" s="66" t="s">
        <v>173</v>
      </c>
    </row>
    <row r="364" spans="1:18">
      <c r="A364" s="66" t="str">
        <f>VLOOKUP(C364,classifications!C:F,4,FALSE)</f>
        <v>SD</v>
      </c>
      <c r="B364" s="66" t="s">
        <v>791</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792</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58" t="s">
        <v>857</v>
      </c>
      <c r="G20" s="358"/>
      <c r="H20" s="193" t="s">
        <v>800</v>
      </c>
      <c r="I20" s="194" t="s">
        <v>793</v>
      </c>
    </row>
    <row r="21" spans="1:11">
      <c r="C21" s="191"/>
      <c r="E21" s="207" t="s">
        <v>848</v>
      </c>
      <c r="F21" s="358"/>
      <c r="G21" s="358"/>
      <c r="H21" s="2" t="s">
        <v>810</v>
      </c>
      <c r="I21" s="4" t="s">
        <v>821</v>
      </c>
    </row>
    <row r="22" spans="1:11" ht="36">
      <c r="C22" s="191"/>
      <c r="E22" s="208" t="s">
        <v>849</v>
      </c>
      <c r="F22" s="358"/>
      <c r="G22" s="358"/>
    </row>
    <row r="23" spans="1:11">
      <c r="C23" s="191"/>
      <c r="E23" s="209">
        <v>87</v>
      </c>
      <c r="F23" s="358"/>
      <c r="G23" s="358"/>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381</v>
      </c>
      <c r="G7" t="s">
        <v>387</v>
      </c>
    </row>
    <row r="8" spans="1:9">
      <c r="D8" t="s">
        <v>878</v>
      </c>
      <c r="E8" t="s">
        <v>879</v>
      </c>
      <c r="F8" t="s">
        <v>880</v>
      </c>
      <c r="G8" t="s">
        <v>878</v>
      </c>
      <c r="H8" t="s">
        <v>879</v>
      </c>
      <c r="I8" t="s">
        <v>880</v>
      </c>
    </row>
    <row r="9" spans="1:9">
      <c r="A9" s="214" t="s">
        <v>793</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381</v>
      </c>
      <c r="E17" t="s">
        <v>387</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408</v>
      </c>
      <c r="C26" s="212" t="s">
        <v>374</v>
      </c>
      <c r="D26" s="213"/>
      <c r="E26" s="213"/>
    </row>
    <row r="27" spans="1:5">
      <c r="A27" s="1"/>
      <c r="B27" s="3"/>
      <c r="C27" s="212" t="s">
        <v>835</v>
      </c>
      <c r="D27" s="213"/>
      <c r="E27" s="213"/>
    </row>
    <row r="28" spans="1:5">
      <c r="A28" s="1"/>
      <c r="B28" s="212" t="s">
        <v>834</v>
      </c>
      <c r="C28" s="212"/>
      <c r="D28" s="213"/>
      <c r="E28" s="213"/>
    </row>
    <row r="29" spans="1:5">
      <c r="A29" s="1"/>
      <c r="B29" s="212" t="s">
        <v>354</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798</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732D92E-70F1-4899-8C51-B54C007FA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cp:lastPrinted>2020-09-29T15:32:58Z</cp:lastPrinted>
  <dcterms:created xsi:type="dcterms:W3CDTF">2014-11-12T09:55:50Z</dcterms:created>
  <dcterms:modified xsi:type="dcterms:W3CDTF">2020-10-02T11:22:22Z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