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Waste and Recy/"/>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D14" i="34" l="1"/>
  <c r="C14" i="34"/>
  <c r="C66" i="34"/>
  <c r="D66" i="34"/>
  <c r="D90" i="34"/>
  <c r="C90" i="34"/>
  <c r="C150" i="34"/>
  <c r="C162" i="34"/>
  <c r="D162" i="34"/>
  <c r="D185" i="34"/>
  <c r="C185" i="34"/>
  <c r="D210" i="34"/>
  <c r="C210" i="34"/>
  <c r="D318" i="34"/>
  <c r="D312" i="34"/>
  <c r="C312" i="34"/>
  <c r="C318" i="34"/>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B221" i="16" s="1"/>
  <c r="E220" i="16"/>
  <c r="D220" i="16"/>
  <c r="H220" i="16" s="1"/>
  <c r="I220" i="16" s="1"/>
  <c r="A220" i="16"/>
  <c r="E219" i="16"/>
  <c r="D219" i="16"/>
  <c r="A219" i="16"/>
  <c r="B219" i="16" s="1"/>
  <c r="E218" i="16"/>
  <c r="D218" i="16"/>
  <c r="A218" i="16"/>
  <c r="E217" i="16"/>
  <c r="D217" i="16"/>
  <c r="H217" i="16" s="1"/>
  <c r="I217" i="16" s="1"/>
  <c r="A217" i="16"/>
  <c r="B217" i="16" s="1"/>
  <c r="E216" i="16"/>
  <c r="D216" i="16"/>
  <c r="A216" i="16"/>
  <c r="E215" i="16"/>
  <c r="D215" i="16"/>
  <c r="H215" i="16" s="1"/>
  <c r="I215" i="16" s="1"/>
  <c r="A215" i="16"/>
  <c r="B215" i="16" s="1"/>
  <c r="E214" i="16"/>
  <c r="D214" i="16"/>
  <c r="A214" i="16"/>
  <c r="E213" i="16"/>
  <c r="D213" i="16"/>
  <c r="A213" i="16"/>
  <c r="B213" i="16" s="1"/>
  <c r="E212" i="16"/>
  <c r="D212" i="16"/>
  <c r="H212" i="16" s="1"/>
  <c r="A212" i="16"/>
  <c r="E211" i="16"/>
  <c r="D211" i="16"/>
  <c r="A211" i="16"/>
  <c r="B211" i="16" s="1"/>
  <c r="E210" i="16"/>
  <c r="D210" i="16"/>
  <c r="A210" i="16"/>
  <c r="E209" i="16"/>
  <c r="D209" i="16"/>
  <c r="A209" i="16"/>
  <c r="B209" i="16" s="1"/>
  <c r="E208" i="16"/>
  <c r="D208" i="16"/>
  <c r="A208" i="16"/>
  <c r="E207" i="16"/>
  <c r="D207" i="16"/>
  <c r="A207" i="16"/>
  <c r="B207" i="16" s="1"/>
  <c r="E206" i="16"/>
  <c r="D206" i="16"/>
  <c r="A206" i="16"/>
  <c r="E205" i="16"/>
  <c r="D205" i="16"/>
  <c r="A205" i="16"/>
  <c r="B205" i="16" s="1"/>
  <c r="E204" i="16"/>
  <c r="D204" i="16"/>
  <c r="A204" i="16"/>
  <c r="E203" i="16"/>
  <c r="D203" i="16"/>
  <c r="A203" i="16"/>
  <c r="B203" i="16" s="1"/>
  <c r="E202" i="16"/>
  <c r="D202" i="16"/>
  <c r="H202" i="16" s="1"/>
  <c r="I202" i="16" s="1"/>
  <c r="A202" i="16"/>
  <c r="E201" i="16"/>
  <c r="D201" i="16"/>
  <c r="H201" i="16" s="1"/>
  <c r="A201" i="16"/>
  <c r="B201" i="16" s="1"/>
  <c r="E200" i="16"/>
  <c r="D200" i="16"/>
  <c r="A200" i="16"/>
  <c r="E199" i="16"/>
  <c r="D199" i="16"/>
  <c r="H199" i="16" s="1"/>
  <c r="A199" i="16"/>
  <c r="B199" i="16" s="1"/>
  <c r="E198" i="16"/>
  <c r="D198" i="16"/>
  <c r="A198" i="16"/>
  <c r="E197" i="16"/>
  <c r="D197" i="16"/>
  <c r="A197" i="16"/>
  <c r="B197" i="16" s="1"/>
  <c r="E196" i="16"/>
  <c r="D196" i="16"/>
  <c r="A196" i="16"/>
  <c r="E195" i="16"/>
  <c r="D195" i="16"/>
  <c r="A195" i="16"/>
  <c r="B195" i="16" s="1"/>
  <c r="E194" i="16"/>
  <c r="D194" i="16"/>
  <c r="A194" i="16"/>
  <c r="E193" i="16"/>
  <c r="D193" i="16"/>
  <c r="A193" i="16"/>
  <c r="B193" i="16" s="1"/>
  <c r="E192" i="16"/>
  <c r="D192" i="16"/>
  <c r="A192" i="16"/>
  <c r="E191" i="16"/>
  <c r="D191" i="16"/>
  <c r="A191" i="16"/>
  <c r="B191" i="16" s="1"/>
  <c r="E190" i="16"/>
  <c r="D190" i="16"/>
  <c r="H190" i="16" s="1"/>
  <c r="A190" i="16"/>
  <c r="E189" i="16"/>
  <c r="D189" i="16"/>
  <c r="A189" i="16"/>
  <c r="B189" i="16" s="1"/>
  <c r="E188" i="16"/>
  <c r="D188" i="16"/>
  <c r="A188" i="16"/>
  <c r="E187" i="16"/>
  <c r="D187" i="16"/>
  <c r="A187" i="16"/>
  <c r="B187" i="16" s="1"/>
  <c r="E186" i="16"/>
  <c r="D186" i="16"/>
  <c r="H186" i="16" s="1"/>
  <c r="A186" i="16"/>
  <c r="E185" i="16"/>
  <c r="D185" i="16"/>
  <c r="A185" i="16"/>
  <c r="B185" i="16" s="1"/>
  <c r="E184" i="16"/>
  <c r="D184" i="16"/>
  <c r="A184" i="16"/>
  <c r="E183" i="16"/>
  <c r="D183" i="16"/>
  <c r="A183" i="16"/>
  <c r="B183" i="16" s="1"/>
  <c r="E182" i="16"/>
  <c r="D182" i="16"/>
  <c r="A182" i="16"/>
  <c r="E181" i="16"/>
  <c r="D181" i="16"/>
  <c r="H181" i="16" s="1"/>
  <c r="A181" i="16"/>
  <c r="B181" i="16" s="1"/>
  <c r="E180" i="16"/>
  <c r="D180" i="16"/>
  <c r="H180" i="16" s="1"/>
  <c r="I180" i="16" s="1"/>
  <c r="A180" i="16"/>
  <c r="E179" i="16"/>
  <c r="D179" i="16"/>
  <c r="A179" i="16"/>
  <c r="B179" i="16" s="1"/>
  <c r="E178" i="16"/>
  <c r="D178" i="16"/>
  <c r="A178" i="16"/>
  <c r="E177" i="16"/>
  <c r="D177" i="16"/>
  <c r="H177" i="16" s="1"/>
  <c r="A177" i="16"/>
  <c r="B177" i="16" s="1"/>
  <c r="E176" i="16"/>
  <c r="D176" i="16"/>
  <c r="A176" i="16"/>
  <c r="E175" i="16"/>
  <c r="D175" i="16"/>
  <c r="H175" i="16" s="1"/>
  <c r="I175" i="16" s="1"/>
  <c r="A175" i="16"/>
  <c r="B175" i="16" s="1"/>
  <c r="E174" i="16"/>
  <c r="D174" i="16"/>
  <c r="A174" i="16"/>
  <c r="E173" i="16"/>
  <c r="D173" i="16"/>
  <c r="H173" i="16" s="1"/>
  <c r="A173" i="16"/>
  <c r="B173" i="16" s="1"/>
  <c r="E172" i="16"/>
  <c r="D172" i="16"/>
  <c r="A172" i="16"/>
  <c r="E171" i="16"/>
  <c r="D171" i="16"/>
  <c r="H171" i="16" s="1"/>
  <c r="I171" i="16" s="1"/>
  <c r="A171" i="16"/>
  <c r="B171" i="16" s="1"/>
  <c r="E170" i="16"/>
  <c r="D170" i="16"/>
  <c r="H170" i="16" s="1"/>
  <c r="A170" i="16"/>
  <c r="E169" i="16"/>
  <c r="D169" i="16"/>
  <c r="H169" i="16" s="1"/>
  <c r="A169" i="16"/>
  <c r="B169" i="16" s="1"/>
  <c r="E168" i="16"/>
  <c r="D168" i="16"/>
  <c r="H168" i="16" s="1"/>
  <c r="A168" i="16"/>
  <c r="E167" i="16"/>
  <c r="D167" i="16"/>
  <c r="H167" i="16" s="1"/>
  <c r="A167" i="16"/>
  <c r="B167" i="16" s="1"/>
  <c r="E166" i="16"/>
  <c r="D166" i="16"/>
  <c r="A166" i="16"/>
  <c r="E165" i="16"/>
  <c r="D165" i="16"/>
  <c r="A165" i="16"/>
  <c r="B165" i="16" s="1"/>
  <c r="E164" i="16"/>
  <c r="D164" i="16"/>
  <c r="A164" i="16"/>
  <c r="E163" i="16"/>
  <c r="D163" i="16"/>
  <c r="H163" i="16" s="1"/>
  <c r="I163" i="16" s="1"/>
  <c r="A163" i="16"/>
  <c r="B163" i="16" s="1"/>
  <c r="E162" i="16"/>
  <c r="D162" i="16"/>
  <c r="H162" i="16" s="1"/>
  <c r="A162" i="16"/>
  <c r="E161" i="16"/>
  <c r="D161" i="16"/>
  <c r="H161" i="16" s="1"/>
  <c r="A161" i="16"/>
  <c r="B161" i="16" s="1"/>
  <c r="E160" i="16"/>
  <c r="D160" i="16"/>
  <c r="H160" i="16" s="1"/>
  <c r="I160" i="16" s="1"/>
  <c r="A160" i="16"/>
  <c r="E159" i="16"/>
  <c r="D159" i="16"/>
  <c r="A159" i="16"/>
  <c r="B159" i="16" s="1"/>
  <c r="E158" i="16"/>
  <c r="D158" i="16"/>
  <c r="A158" i="16"/>
  <c r="E157" i="16"/>
  <c r="D157" i="16"/>
  <c r="A157" i="16"/>
  <c r="B157" i="16" s="1"/>
  <c r="E156" i="16"/>
  <c r="D156" i="16"/>
  <c r="A156" i="16"/>
  <c r="E155" i="16"/>
  <c r="D155" i="16"/>
  <c r="H155" i="16" s="1"/>
  <c r="A155" i="16"/>
  <c r="B155" i="16" s="1"/>
  <c r="E154" i="16"/>
  <c r="D154" i="16"/>
  <c r="A154" i="16"/>
  <c r="E153" i="16"/>
  <c r="D153" i="16"/>
  <c r="A153" i="16"/>
  <c r="B153" i="16" s="1"/>
  <c r="E152" i="16"/>
  <c r="D152" i="16"/>
  <c r="H152" i="16" s="1"/>
  <c r="A152" i="16"/>
  <c r="E151" i="16"/>
  <c r="D151" i="16"/>
  <c r="A151" i="16"/>
  <c r="B151" i="16" s="1"/>
  <c r="E150" i="16"/>
  <c r="D150" i="16"/>
  <c r="A150" i="16"/>
  <c r="E149" i="16"/>
  <c r="D149" i="16"/>
  <c r="H149" i="16" s="1"/>
  <c r="I149" i="16" s="1"/>
  <c r="A149" i="16"/>
  <c r="B149" i="16" s="1"/>
  <c r="E148" i="16"/>
  <c r="D148" i="16"/>
  <c r="A148" i="16"/>
  <c r="E147" i="16"/>
  <c r="D147" i="16"/>
  <c r="H147" i="16" s="1"/>
  <c r="A147" i="16"/>
  <c r="B147" i="16" s="1"/>
  <c r="E146" i="16"/>
  <c r="D146" i="16"/>
  <c r="A146" i="16"/>
  <c r="E145" i="16"/>
  <c r="D145" i="16"/>
  <c r="A145" i="16"/>
  <c r="B145" i="16" s="1"/>
  <c r="E144" i="16"/>
  <c r="D144" i="16"/>
  <c r="A144" i="16"/>
  <c r="E143" i="16"/>
  <c r="D143" i="16"/>
  <c r="A143" i="16"/>
  <c r="B143" i="16" s="1"/>
  <c r="E142" i="16"/>
  <c r="D142" i="16"/>
  <c r="H142" i="16" s="1"/>
  <c r="A142" i="16"/>
  <c r="E141" i="16"/>
  <c r="D141" i="16"/>
  <c r="A141" i="16"/>
  <c r="B141" i="16" s="1"/>
  <c r="E140" i="16"/>
  <c r="D140" i="16"/>
  <c r="A140" i="16"/>
  <c r="E139" i="16"/>
  <c r="D139" i="16"/>
  <c r="H139" i="16" s="1"/>
  <c r="A139" i="16"/>
  <c r="B139" i="16" s="1"/>
  <c r="E138" i="16"/>
  <c r="D138" i="16"/>
  <c r="A138" i="16"/>
  <c r="E137" i="16"/>
  <c r="D137" i="16"/>
  <c r="H137" i="16" s="1"/>
  <c r="I137" i="16" s="1"/>
  <c r="A137" i="16"/>
  <c r="B137" i="16" s="1"/>
  <c r="E136" i="16"/>
  <c r="D136" i="16"/>
  <c r="H136" i="16" s="1"/>
  <c r="A136" i="16"/>
  <c r="E135" i="16"/>
  <c r="D135" i="16"/>
  <c r="A135" i="16"/>
  <c r="B135" i="16" s="1"/>
  <c r="E134" i="16"/>
  <c r="D134" i="16"/>
  <c r="A134" i="16"/>
  <c r="E133" i="16"/>
  <c r="D133" i="16"/>
  <c r="H133" i="16" s="1"/>
  <c r="A133" i="16"/>
  <c r="B133" i="16" s="1"/>
  <c r="E132" i="16"/>
  <c r="D132" i="16"/>
  <c r="A132" i="16"/>
  <c r="E131" i="16"/>
  <c r="D131" i="16"/>
  <c r="H131" i="16" s="1"/>
  <c r="A131" i="16"/>
  <c r="B131" i="16" s="1"/>
  <c r="E130" i="16"/>
  <c r="D130" i="16"/>
  <c r="A130" i="16"/>
  <c r="E129" i="16"/>
  <c r="D129" i="16"/>
  <c r="A129" i="16"/>
  <c r="B129" i="16" s="1"/>
  <c r="E128" i="16"/>
  <c r="D128" i="16"/>
  <c r="A128" i="16"/>
  <c r="E127" i="16"/>
  <c r="D127" i="16"/>
  <c r="A127" i="16"/>
  <c r="B127" i="16" s="1"/>
  <c r="E126" i="16"/>
  <c r="D126" i="16"/>
  <c r="A126" i="16"/>
  <c r="E125" i="16"/>
  <c r="D125" i="16"/>
  <c r="A125" i="16"/>
  <c r="B125" i="16" s="1"/>
  <c r="E124" i="16"/>
  <c r="D124" i="16"/>
  <c r="A124" i="16"/>
  <c r="E123" i="16"/>
  <c r="D123" i="16"/>
  <c r="A123" i="16"/>
  <c r="B123" i="16" s="1"/>
  <c r="E122" i="16"/>
  <c r="D122" i="16"/>
  <c r="A122" i="16"/>
  <c r="E121" i="16"/>
  <c r="D121" i="16"/>
  <c r="A121" i="16"/>
  <c r="B121" i="16" s="1"/>
  <c r="E120" i="16"/>
  <c r="D120" i="16"/>
  <c r="A120" i="16"/>
  <c r="E119" i="16"/>
  <c r="D119" i="16"/>
  <c r="A119" i="16"/>
  <c r="B119" i="16" s="1"/>
  <c r="E118" i="16"/>
  <c r="D118" i="16"/>
  <c r="A118" i="16"/>
  <c r="E117" i="16"/>
  <c r="D117" i="16"/>
  <c r="A117" i="16"/>
  <c r="B117" i="16" s="1"/>
  <c r="E116" i="16"/>
  <c r="D116" i="16"/>
  <c r="A116" i="16"/>
  <c r="E115" i="16"/>
  <c r="D115" i="16"/>
  <c r="A115" i="16"/>
  <c r="B115" i="16" s="1"/>
  <c r="E114" i="16"/>
  <c r="D114" i="16"/>
  <c r="A114" i="16"/>
  <c r="E113" i="16"/>
  <c r="D113" i="16"/>
  <c r="A113" i="16"/>
  <c r="B113" i="16" s="1"/>
  <c r="E112" i="16"/>
  <c r="D112" i="16"/>
  <c r="A112" i="16"/>
  <c r="E111" i="16"/>
  <c r="D111" i="16"/>
  <c r="A111" i="16"/>
  <c r="B111" i="16" s="1"/>
  <c r="E110" i="16"/>
  <c r="D110" i="16"/>
  <c r="A110" i="16"/>
  <c r="E109" i="16"/>
  <c r="D109" i="16"/>
  <c r="A109" i="16"/>
  <c r="B109" i="16" s="1"/>
  <c r="E108" i="16"/>
  <c r="D108" i="16"/>
  <c r="A108" i="16"/>
  <c r="E107" i="16"/>
  <c r="D107" i="16"/>
  <c r="A107" i="16"/>
  <c r="B107" i="16" s="1"/>
  <c r="E106" i="16"/>
  <c r="D106" i="16"/>
  <c r="A106" i="16"/>
  <c r="E105" i="16"/>
  <c r="D105" i="16"/>
  <c r="A105" i="16"/>
  <c r="B105" i="16" s="1"/>
  <c r="E104" i="16"/>
  <c r="D104" i="16"/>
  <c r="A104" i="16"/>
  <c r="E103" i="16"/>
  <c r="D103" i="16"/>
  <c r="A103" i="16"/>
  <c r="B103" i="16" s="1"/>
  <c r="E102" i="16"/>
  <c r="D102" i="16"/>
  <c r="A102" i="16"/>
  <c r="E101" i="16"/>
  <c r="D101" i="16"/>
  <c r="A101" i="16"/>
  <c r="B101" i="16" s="1"/>
  <c r="E100" i="16"/>
  <c r="D100" i="16"/>
  <c r="A100" i="16"/>
  <c r="E99" i="16"/>
  <c r="D99" i="16"/>
  <c r="A99" i="16"/>
  <c r="B99" i="16" s="1"/>
  <c r="E98" i="16"/>
  <c r="D98" i="16"/>
  <c r="A98" i="16"/>
  <c r="E97" i="16"/>
  <c r="D97" i="16"/>
  <c r="A97" i="16"/>
  <c r="B97" i="16" s="1"/>
  <c r="E96" i="16"/>
  <c r="D96" i="16"/>
  <c r="A96" i="16"/>
  <c r="E95" i="16"/>
  <c r="D95" i="16"/>
  <c r="A95" i="16"/>
  <c r="B95" i="16" s="1"/>
  <c r="E94" i="16"/>
  <c r="D94" i="16"/>
  <c r="A94" i="16"/>
  <c r="E93" i="16"/>
  <c r="D93" i="16"/>
  <c r="A93" i="16"/>
  <c r="B93" i="16" s="1"/>
  <c r="E92" i="16"/>
  <c r="D92" i="16"/>
  <c r="A92" i="16"/>
  <c r="E91" i="16"/>
  <c r="D91" i="16"/>
  <c r="A91" i="16"/>
  <c r="B91" i="16" s="1"/>
  <c r="E90" i="16"/>
  <c r="D90" i="16"/>
  <c r="A90" i="16"/>
  <c r="E89" i="16"/>
  <c r="D89" i="16"/>
  <c r="A89" i="16"/>
  <c r="B89" i="16" s="1"/>
  <c r="E88" i="16"/>
  <c r="D88" i="16"/>
  <c r="A88" i="16"/>
  <c r="E87" i="16"/>
  <c r="D87" i="16"/>
  <c r="A87" i="16"/>
  <c r="B87" i="16" s="1"/>
  <c r="E86" i="16"/>
  <c r="D86" i="16"/>
  <c r="A86" i="16"/>
  <c r="E85" i="16"/>
  <c r="D85" i="16"/>
  <c r="A85" i="16"/>
  <c r="B85" i="16" s="1"/>
  <c r="E84" i="16"/>
  <c r="D84" i="16"/>
  <c r="A84" i="16"/>
  <c r="E83" i="16"/>
  <c r="D83" i="16"/>
  <c r="A83" i="16"/>
  <c r="B83" i="16" s="1"/>
  <c r="E82" i="16"/>
  <c r="D82" i="16"/>
  <c r="A82" i="16"/>
  <c r="E81" i="16"/>
  <c r="D81" i="16"/>
  <c r="A81" i="16"/>
  <c r="B81" i="16" s="1"/>
  <c r="E80" i="16"/>
  <c r="D80" i="16"/>
  <c r="A80" i="16"/>
  <c r="E79" i="16"/>
  <c r="D79" i="16"/>
  <c r="A79" i="16"/>
  <c r="B79" i="16" s="1"/>
  <c r="E78" i="16"/>
  <c r="D78" i="16"/>
  <c r="A78" i="16"/>
  <c r="E77" i="16"/>
  <c r="D77" i="16"/>
  <c r="A77" i="16"/>
  <c r="B77" i="16" s="1"/>
  <c r="E76" i="16"/>
  <c r="D76" i="16"/>
  <c r="A76" i="16"/>
  <c r="E75" i="16"/>
  <c r="D75" i="16"/>
  <c r="A75" i="16"/>
  <c r="B75" i="16" s="1"/>
  <c r="E74" i="16"/>
  <c r="D74" i="16"/>
  <c r="A74" i="16"/>
  <c r="E73" i="16"/>
  <c r="D73" i="16"/>
  <c r="A73" i="16"/>
  <c r="B73" i="16" s="1"/>
  <c r="E72" i="16"/>
  <c r="D72" i="16"/>
  <c r="A72" i="16"/>
  <c r="E71" i="16"/>
  <c r="D71" i="16"/>
  <c r="A71" i="16"/>
  <c r="B71" i="16" s="1"/>
  <c r="E70" i="16"/>
  <c r="D70" i="16"/>
  <c r="A70" i="16"/>
  <c r="E69" i="16"/>
  <c r="D69" i="16"/>
  <c r="A69" i="16"/>
  <c r="B69" i="16" s="1"/>
  <c r="E68" i="16"/>
  <c r="D68" i="16"/>
  <c r="A68" i="16"/>
  <c r="E67" i="16"/>
  <c r="D67" i="16"/>
  <c r="A67" i="16"/>
  <c r="B67" i="16" s="1"/>
  <c r="E66" i="16"/>
  <c r="D66" i="16"/>
  <c r="A66" i="16"/>
  <c r="E65" i="16"/>
  <c r="D65" i="16"/>
  <c r="A65" i="16"/>
  <c r="B65" i="16" s="1"/>
  <c r="E64" i="16"/>
  <c r="D64" i="16"/>
  <c r="A64" i="16"/>
  <c r="E63" i="16"/>
  <c r="D63" i="16"/>
  <c r="A63" i="16"/>
  <c r="B63" i="16" s="1"/>
  <c r="E62" i="16"/>
  <c r="D62" i="16"/>
  <c r="A62" i="16"/>
  <c r="E61" i="16"/>
  <c r="D61" i="16"/>
  <c r="A61" i="16"/>
  <c r="B61" i="16" s="1"/>
  <c r="E60" i="16"/>
  <c r="D60" i="16"/>
  <c r="A60" i="16"/>
  <c r="E59" i="16"/>
  <c r="D59" i="16"/>
  <c r="A59" i="16"/>
  <c r="B59" i="16" s="1"/>
  <c r="E58" i="16"/>
  <c r="D58" i="16"/>
  <c r="A58" i="16"/>
  <c r="E57" i="16"/>
  <c r="D57" i="16"/>
  <c r="A57" i="16"/>
  <c r="B57" i="16" s="1"/>
  <c r="E56" i="16"/>
  <c r="D56" i="16"/>
  <c r="A56" i="16"/>
  <c r="E55" i="16"/>
  <c r="D55" i="16"/>
  <c r="A55" i="16"/>
  <c r="B55" i="16" s="1"/>
  <c r="E54" i="16"/>
  <c r="D54" i="16"/>
  <c r="A54" i="16"/>
  <c r="E53" i="16"/>
  <c r="D53" i="16"/>
  <c r="A53" i="16"/>
  <c r="B53" i="16" s="1"/>
  <c r="E52" i="16"/>
  <c r="D52" i="16"/>
  <c r="A52" i="16"/>
  <c r="E51" i="16"/>
  <c r="D51" i="16"/>
  <c r="A51" i="16"/>
  <c r="B51" i="16" s="1"/>
  <c r="E50" i="16"/>
  <c r="D50" i="16"/>
  <c r="A50" i="16"/>
  <c r="E49" i="16"/>
  <c r="D49" i="16"/>
  <c r="A49" i="16"/>
  <c r="B49" i="16" s="1"/>
  <c r="E48" i="16"/>
  <c r="D48" i="16"/>
  <c r="A48" i="16"/>
  <c r="E47" i="16"/>
  <c r="D47" i="16"/>
  <c r="A47" i="16"/>
  <c r="B47" i="16" s="1"/>
  <c r="E46" i="16"/>
  <c r="D46" i="16"/>
  <c r="A46" i="16"/>
  <c r="E45" i="16"/>
  <c r="D45" i="16"/>
  <c r="A45" i="16"/>
  <c r="B45" i="16" s="1"/>
  <c r="E44" i="16"/>
  <c r="D44" i="16"/>
  <c r="A44" i="16"/>
  <c r="E43" i="16"/>
  <c r="D43" i="16"/>
  <c r="A43" i="16"/>
  <c r="B43" i="16" s="1"/>
  <c r="E42" i="16"/>
  <c r="D42" i="16"/>
  <c r="A42" i="16"/>
  <c r="E41" i="16"/>
  <c r="D41" i="16"/>
  <c r="A41" i="16"/>
  <c r="B41" i="16" s="1"/>
  <c r="E40" i="16"/>
  <c r="D40" i="16"/>
  <c r="A40" i="16"/>
  <c r="E39" i="16"/>
  <c r="D39" i="16"/>
  <c r="A39" i="16"/>
  <c r="B39" i="16" s="1"/>
  <c r="E38" i="16"/>
  <c r="D38" i="16"/>
  <c r="A38" i="16"/>
  <c r="E37" i="16"/>
  <c r="D37" i="16"/>
  <c r="A37" i="16"/>
  <c r="B37" i="16" s="1"/>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B34" i="16" s="1"/>
  <c r="E33" i="16"/>
  <c r="D33" i="16"/>
  <c r="A33" i="16"/>
  <c r="E32" i="16"/>
  <c r="D32" i="16"/>
  <c r="A32" i="16"/>
  <c r="B32" i="16" s="1"/>
  <c r="E31" i="16"/>
  <c r="D31" i="16"/>
  <c r="A31" i="16"/>
  <c r="E30" i="16"/>
  <c r="D30" i="16"/>
  <c r="A30" i="16"/>
  <c r="B30" i="16" s="1"/>
  <c r="E29" i="16"/>
  <c r="D29" i="16"/>
  <c r="A29" i="16"/>
  <c r="E28" i="16"/>
  <c r="D28" i="16"/>
  <c r="A28" i="16"/>
  <c r="B28" i="16" s="1"/>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B12" i="16" s="1"/>
  <c r="E11" i="16"/>
  <c r="D11" i="16"/>
  <c r="A11" i="16"/>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1" i="16" l="1"/>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AX16" i="16"/>
  <c r="F16" i="16" s="1"/>
  <c r="AX18" i="16"/>
  <c r="AX20" i="16"/>
  <c r="H20" i="16" s="1"/>
  <c r="AX22" i="16"/>
  <c r="H22" i="16" s="1"/>
  <c r="AX24" i="16"/>
  <c r="F24" i="16" s="1"/>
  <c r="AX26" i="16"/>
  <c r="AX28" i="16"/>
  <c r="H28" i="16" s="1"/>
  <c r="AX30" i="16"/>
  <c r="F30" i="16" s="1"/>
  <c r="AX32" i="16"/>
  <c r="AX34" i="16"/>
  <c r="H34" i="16" s="1"/>
  <c r="AX36" i="16"/>
  <c r="AX38" i="16"/>
  <c r="H38" i="16" s="1"/>
  <c r="AX40" i="16"/>
  <c r="F40" i="16" s="1"/>
  <c r="AX42" i="16"/>
  <c r="AX44" i="16"/>
  <c r="AX46" i="16"/>
  <c r="H46" i="16" s="1"/>
  <c r="AX48" i="16"/>
  <c r="AX50" i="16"/>
  <c r="H50" i="16" s="1"/>
  <c r="AX52" i="16"/>
  <c r="H52" i="16" s="1"/>
  <c r="AX54" i="16"/>
  <c r="F54" i="16" s="1"/>
  <c r="AX56" i="16"/>
  <c r="H56" i="16" s="1"/>
  <c r="AX58" i="16"/>
  <c r="H58" i="16" s="1"/>
  <c r="AX60" i="16"/>
  <c r="F60" i="16" s="1"/>
  <c r="AX62" i="16"/>
  <c r="H62" i="16" s="1"/>
  <c r="AX64" i="16"/>
  <c r="F64" i="16" s="1"/>
  <c r="AX66" i="16"/>
  <c r="AX68" i="16"/>
  <c r="F68" i="16" s="1"/>
  <c r="AX70" i="16"/>
  <c r="AX72" i="16"/>
  <c r="F72" i="16" s="1"/>
  <c r="AX74" i="16"/>
  <c r="AX76" i="16"/>
  <c r="F76" i="16" s="1"/>
  <c r="AX78" i="16"/>
  <c r="AX80" i="16"/>
  <c r="AX82" i="16"/>
  <c r="H82" i="16" s="1"/>
  <c r="AX84" i="16"/>
  <c r="H84" i="16" s="1"/>
  <c r="AX86" i="16"/>
  <c r="AX88" i="16"/>
  <c r="F88" i="16" s="1"/>
  <c r="AX90" i="16"/>
  <c r="AX92" i="16"/>
  <c r="AX94" i="16"/>
  <c r="H94" i="16" s="1"/>
  <c r="AX96" i="16"/>
  <c r="F96" i="16" s="1"/>
  <c r="AX98" i="16"/>
  <c r="H98" i="16" s="1"/>
  <c r="AX100" i="16"/>
  <c r="AX102" i="16"/>
  <c r="H102" i="16" s="1"/>
  <c r="AX104" i="16"/>
  <c r="F104" i="16" s="1"/>
  <c r="AX106" i="16"/>
  <c r="AX108" i="16"/>
  <c r="H108" i="16" s="1"/>
  <c r="AX110" i="16"/>
  <c r="AX112" i="16"/>
  <c r="F112" i="16" s="1"/>
  <c r="AX114" i="16"/>
  <c r="F114" i="16" s="1"/>
  <c r="AX116" i="16"/>
  <c r="F116" i="16" s="1"/>
  <c r="AX118" i="16"/>
  <c r="H118" i="16" s="1"/>
  <c r="AX120" i="16"/>
  <c r="F120" i="16" s="1"/>
  <c r="AX122" i="16"/>
  <c r="H122" i="16" s="1"/>
  <c r="AX124" i="16"/>
  <c r="H124" i="16" s="1"/>
  <c r="AX126" i="16"/>
  <c r="F126" i="16" s="1"/>
  <c r="AX128" i="16"/>
  <c r="F128" i="16" s="1"/>
  <c r="AX130" i="16"/>
  <c r="AX132" i="16"/>
  <c r="F132" i="16" s="1"/>
  <c r="AX134" i="16"/>
  <c r="AX136" i="16"/>
  <c r="F136" i="16" s="1"/>
  <c r="AX138" i="16"/>
  <c r="AX140" i="16"/>
  <c r="F140" i="16" s="1"/>
  <c r="AX142" i="16"/>
  <c r="AX144" i="16"/>
  <c r="AX146" i="16"/>
  <c r="AX148" i="16"/>
  <c r="AX150" i="16"/>
  <c r="AX152" i="16"/>
  <c r="F152" i="16" s="1"/>
  <c r="AX154" i="16"/>
  <c r="AX156" i="16"/>
  <c r="AX158" i="16"/>
  <c r="AX160" i="16"/>
  <c r="F160" i="16" s="1"/>
  <c r="AX162" i="16"/>
  <c r="AX164" i="16"/>
  <c r="F164" i="16" s="1"/>
  <c r="AX166" i="16"/>
  <c r="AX168" i="16"/>
  <c r="F168" i="16" s="1"/>
  <c r="AX170" i="16"/>
  <c r="AX172" i="16"/>
  <c r="F172" i="16" s="1"/>
  <c r="AX174" i="16"/>
  <c r="AX176" i="16"/>
  <c r="F176" i="16" s="1"/>
  <c r="AX178" i="16"/>
  <c r="AX180" i="16"/>
  <c r="F180" i="16" s="1"/>
  <c r="AX13" i="16"/>
  <c r="H13" i="16" s="1"/>
  <c r="AX15" i="16"/>
  <c r="F15" i="16" s="1"/>
  <c r="AX17" i="16"/>
  <c r="H17" i="16" s="1"/>
  <c r="AX19" i="16"/>
  <c r="H19" i="16" s="1"/>
  <c r="AX21" i="16"/>
  <c r="H21" i="16" s="1"/>
  <c r="AX23" i="16"/>
  <c r="F23" i="16" s="1"/>
  <c r="AX25" i="16"/>
  <c r="H25" i="16" s="1"/>
  <c r="AX27" i="16"/>
  <c r="AX29" i="16"/>
  <c r="H29" i="16" s="1"/>
  <c r="AX31" i="16"/>
  <c r="AX33" i="16"/>
  <c r="AX35" i="16"/>
  <c r="F35" i="16" s="1"/>
  <c r="AX37" i="16"/>
  <c r="AX39" i="16"/>
  <c r="F39" i="16" s="1"/>
  <c r="AX41" i="16"/>
  <c r="H41" i="16" s="1"/>
  <c r="AX43" i="16"/>
  <c r="AX45" i="16"/>
  <c r="AX47" i="16"/>
  <c r="F47" i="16" s="1"/>
  <c r="AX49" i="16"/>
  <c r="F49" i="16" s="1"/>
  <c r="AX51" i="16"/>
  <c r="AX53" i="16"/>
  <c r="H53" i="16" s="1"/>
  <c r="AX55" i="16"/>
  <c r="H55" i="16" s="1"/>
  <c r="AX57" i="16"/>
  <c r="AX59" i="16"/>
  <c r="F59" i="16" s="1"/>
  <c r="AX61" i="16"/>
  <c r="AX63" i="16"/>
  <c r="F63" i="16" s="1"/>
  <c r="AX65" i="16"/>
  <c r="H65" i="16" s="1"/>
  <c r="AX67" i="16"/>
  <c r="AX69" i="16"/>
  <c r="AX71" i="16"/>
  <c r="F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AX101" i="16"/>
  <c r="AX103" i="16"/>
  <c r="F103" i="16" s="1"/>
  <c r="AX105" i="16"/>
  <c r="F105" i="16" s="1"/>
  <c r="AX107" i="16"/>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AX131" i="16"/>
  <c r="F131" i="16" s="1"/>
  <c r="AX133" i="16"/>
  <c r="AX135" i="16"/>
  <c r="F135" i="16" s="1"/>
  <c r="AX137" i="16"/>
  <c r="AX139" i="16"/>
  <c r="F139" i="16" s="1"/>
  <c r="AX141" i="16"/>
  <c r="AX143" i="16"/>
  <c r="F143" i="16" s="1"/>
  <c r="AX145" i="16"/>
  <c r="AX147" i="16"/>
  <c r="F147" i="16" s="1"/>
  <c r="AX149" i="16"/>
  <c r="AX151" i="16"/>
  <c r="F151" i="16" s="1"/>
  <c r="AX153" i="16"/>
  <c r="AX155" i="16"/>
  <c r="F155" i="16" s="1"/>
  <c r="AX157" i="16"/>
  <c r="AX159" i="16"/>
  <c r="AX161" i="16"/>
  <c r="AX163" i="16"/>
  <c r="F163" i="16" s="1"/>
  <c r="AX165" i="16"/>
  <c r="AX167" i="16"/>
  <c r="F167" i="16" s="1"/>
  <c r="AX169" i="16"/>
  <c r="AX171" i="16"/>
  <c r="F171" i="16" s="1"/>
  <c r="AX173" i="16"/>
  <c r="AX175" i="16"/>
  <c r="F175" i="16" s="1"/>
  <c r="AX177" i="16"/>
  <c r="AX179" i="16"/>
  <c r="F179" i="16" s="1"/>
  <c r="AX181" i="16"/>
  <c r="AX182" i="16"/>
  <c r="AX184" i="16"/>
  <c r="AX186" i="16"/>
  <c r="F186" i="16" s="1"/>
  <c r="AX188" i="16"/>
  <c r="AX190" i="16"/>
  <c r="F190" i="16" s="1"/>
  <c r="AX192" i="16"/>
  <c r="AX194" i="16"/>
  <c r="AX196" i="16"/>
  <c r="AX198" i="16"/>
  <c r="F198" i="16" s="1"/>
  <c r="AX200" i="16"/>
  <c r="AX202" i="16"/>
  <c r="F202" i="16" s="1"/>
  <c r="AX204" i="16"/>
  <c r="AX206" i="16"/>
  <c r="AX208" i="16"/>
  <c r="AX210" i="16"/>
  <c r="F210" i="16" s="1"/>
  <c r="AX212" i="16"/>
  <c r="AX214" i="16"/>
  <c r="F214" i="16" s="1"/>
  <c r="AX216" i="16"/>
  <c r="AX218" i="16"/>
  <c r="AX220" i="16"/>
  <c r="AX222" i="16"/>
  <c r="F222" i="16" s="1"/>
  <c r="AX224" i="16"/>
  <c r="AX226" i="16"/>
  <c r="F226" i="16" s="1"/>
  <c r="AX228" i="16"/>
  <c r="AX230" i="16"/>
  <c r="AX232" i="16"/>
  <c r="AX234" i="16"/>
  <c r="F234" i="16" s="1"/>
  <c r="AX236" i="16"/>
  <c r="AX238" i="16"/>
  <c r="AX240" i="16"/>
  <c r="AX242" i="16"/>
  <c r="F242" i="16" s="1"/>
  <c r="AX244" i="16"/>
  <c r="AX246" i="16"/>
  <c r="F246" i="16" s="1"/>
  <c r="AX248" i="16"/>
  <c r="AX250" i="16"/>
  <c r="AX252" i="16"/>
  <c r="AX254" i="16"/>
  <c r="F254" i="16" s="1"/>
  <c r="AX256" i="16"/>
  <c r="AX258" i="16"/>
  <c r="F258" i="16" s="1"/>
  <c r="AX260" i="16"/>
  <c r="F260" i="16" s="1"/>
  <c r="AX262" i="16"/>
  <c r="AX264" i="16"/>
  <c r="AX266" i="16"/>
  <c r="F266" i="16" s="1"/>
  <c r="AX268" i="16"/>
  <c r="AX270" i="16"/>
  <c r="F270" i="16" s="1"/>
  <c r="AX272" i="16"/>
  <c r="AX274" i="16"/>
  <c r="F274" i="16" s="1"/>
  <c r="AX276" i="16"/>
  <c r="H276" i="16" s="1"/>
  <c r="AX278" i="16"/>
  <c r="F278" i="16" s="1"/>
  <c r="AX280" i="16"/>
  <c r="AX282" i="16"/>
  <c r="F282" i="16" s="1"/>
  <c r="AX284" i="16"/>
  <c r="F284" i="16" s="1"/>
  <c r="AX286" i="16"/>
  <c r="F286" i="16" s="1"/>
  <c r="AX288" i="16"/>
  <c r="AX290" i="16"/>
  <c r="F290" i="16" s="1"/>
  <c r="AX292" i="16"/>
  <c r="AX294" i="16"/>
  <c r="F294" i="16" s="1"/>
  <c r="AX296" i="16"/>
  <c r="AX298" i="16"/>
  <c r="F298" i="16" s="1"/>
  <c r="AX300" i="16"/>
  <c r="AX302" i="16"/>
  <c r="H302" i="16" s="1"/>
  <c r="AX304" i="16"/>
  <c r="AX306" i="16"/>
  <c r="F306" i="16" s="1"/>
  <c r="AX308" i="16"/>
  <c r="H308" i="16" s="1"/>
  <c r="AX310" i="16"/>
  <c r="F310" i="16" s="1"/>
  <c r="AX312" i="16"/>
  <c r="AX314" i="16"/>
  <c r="AX316" i="16"/>
  <c r="AX318" i="16"/>
  <c r="AX320" i="16"/>
  <c r="AX322" i="16"/>
  <c r="F322" i="16" s="1"/>
  <c r="AX324" i="16"/>
  <c r="H324" i="16" s="1"/>
  <c r="AX326" i="16"/>
  <c r="F326" i="16" s="1"/>
  <c r="AX328" i="16"/>
  <c r="AX330" i="16"/>
  <c r="F330" i="16" s="1"/>
  <c r="AX332" i="16"/>
  <c r="F332" i="16" s="1"/>
  <c r="AX334" i="16"/>
  <c r="F334" i="16" s="1"/>
  <c r="AX336" i="16"/>
  <c r="AX338" i="16"/>
  <c r="AX340" i="16"/>
  <c r="H340" i="16" s="1"/>
  <c r="AX342" i="16"/>
  <c r="H342" i="16" s="1"/>
  <c r="AX344" i="16"/>
  <c r="AX346" i="16"/>
  <c r="AX348" i="16"/>
  <c r="F348" i="16" s="1"/>
  <c r="AX350" i="16"/>
  <c r="H350" i="16" s="1"/>
  <c r="AX352" i="16"/>
  <c r="AX183" i="16"/>
  <c r="F183" i="16" s="1"/>
  <c r="AX185" i="16"/>
  <c r="H185" i="16" s="1"/>
  <c r="AX187" i="16"/>
  <c r="H187" i="16" s="1"/>
  <c r="AX189" i="16"/>
  <c r="AX191" i="16"/>
  <c r="H191" i="16" s="1"/>
  <c r="AX193" i="16"/>
  <c r="AX195" i="16"/>
  <c r="AX197" i="16"/>
  <c r="AX199" i="16"/>
  <c r="F199" i="16" s="1"/>
  <c r="AX201" i="16"/>
  <c r="F201" i="16" s="1"/>
  <c r="AX203" i="16"/>
  <c r="H203" i="16" s="1"/>
  <c r="AX205" i="16"/>
  <c r="AX207" i="16"/>
  <c r="H207" i="16" s="1"/>
  <c r="AX209" i="16"/>
  <c r="AX211" i="16"/>
  <c r="AX213" i="16"/>
  <c r="AX215" i="16"/>
  <c r="F215" i="16" s="1"/>
  <c r="AX217" i="16"/>
  <c r="AX219" i="16"/>
  <c r="F219" i="16" s="1"/>
  <c r="AX221" i="16"/>
  <c r="AX223" i="16"/>
  <c r="F223" i="16" s="1"/>
  <c r="AX225" i="16"/>
  <c r="F225" i="16" s="1"/>
  <c r="AX227" i="16"/>
  <c r="AX229" i="16"/>
  <c r="AX231" i="16"/>
  <c r="H231" i="16" s="1"/>
  <c r="AX233" i="16"/>
  <c r="AX235" i="16"/>
  <c r="AX237" i="16"/>
  <c r="AX239" i="16"/>
  <c r="F239" i="16" s="1"/>
  <c r="AX241" i="16"/>
  <c r="AX243" i="16"/>
  <c r="H243" i="16" s="1"/>
  <c r="AX245" i="16"/>
  <c r="AX247" i="16"/>
  <c r="F247" i="16" s="1"/>
  <c r="AX249" i="16"/>
  <c r="F249" i="16" s="1"/>
  <c r="AX251" i="16"/>
  <c r="F251" i="16" s="1"/>
  <c r="AX253" i="16"/>
  <c r="AX255" i="16"/>
  <c r="F255" i="16" s="1"/>
  <c r="AX257" i="16"/>
  <c r="F257" i="16" s="1"/>
  <c r="AX259" i="16"/>
  <c r="F259" i="16" s="1"/>
  <c r="AX261" i="16"/>
  <c r="AX263" i="16"/>
  <c r="F263" i="16" s="1"/>
  <c r="AX265" i="16"/>
  <c r="F265" i="16" s="1"/>
  <c r="AX267" i="16"/>
  <c r="H267" i="16" s="1"/>
  <c r="AX269" i="16"/>
  <c r="AX271" i="16"/>
  <c r="H271" i="16" s="1"/>
  <c r="AX273" i="16"/>
  <c r="H273" i="16" s="1"/>
  <c r="AX275" i="16"/>
  <c r="H275" i="16" s="1"/>
  <c r="AX277" i="16"/>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8" i="16"/>
  <c r="H192" i="16"/>
  <c r="H197" i="16"/>
  <c r="H204" i="16"/>
  <c r="H208" i="16"/>
  <c r="H210" i="16"/>
  <c r="H213" i="16"/>
  <c r="H221" i="16"/>
  <c r="H224" i="16"/>
  <c r="H226" i="16"/>
  <c r="H232" i="16"/>
  <c r="H236" i="16"/>
  <c r="H238" i="16"/>
  <c r="H240" i="16"/>
  <c r="H242" i="16"/>
  <c r="H244" i="16"/>
  <c r="H246" i="16"/>
  <c r="H254" i="16"/>
  <c r="H258" i="16"/>
  <c r="H260" i="16"/>
  <c r="H266" i="16"/>
  <c r="H270" i="16"/>
  <c r="H272" i="16"/>
  <c r="H274" i="16"/>
  <c r="H278" i="16"/>
  <c r="H297" i="16"/>
  <c r="H330" i="16"/>
  <c r="H332" i="16"/>
  <c r="H334" i="16"/>
  <c r="H336"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9" i="16"/>
  <c r="H277" i="16"/>
  <c r="H290" i="16"/>
  <c r="H294" i="16"/>
  <c r="H300" i="16"/>
  <c r="H306" i="16"/>
  <c r="H310" i="16"/>
  <c r="H312" i="16"/>
  <c r="H322" i="16"/>
  <c r="H335" i="16"/>
  <c r="H361"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110" i="16"/>
  <c r="F156" i="16"/>
  <c r="F192" i="16"/>
  <c r="F200" i="16"/>
  <c r="F208" i="16"/>
  <c r="F224" i="16"/>
  <c r="F232" i="16"/>
  <c r="F238" i="16"/>
  <c r="F33" i="16"/>
  <c r="F65" i="16"/>
  <c r="F99" i="16"/>
  <c r="F125" i="16"/>
  <c r="F189" i="16"/>
  <c r="F193" i="16"/>
  <c r="F203" i="16"/>
  <c r="F269" i="16"/>
  <c r="F295" i="16"/>
  <c r="F138" i="16"/>
  <c r="F146" i="16"/>
  <c r="F154" i="16"/>
  <c r="F178" i="16"/>
  <c r="F188" i="16"/>
  <c r="F204" i="16"/>
  <c r="F216" i="16"/>
  <c r="F236" i="16"/>
  <c r="F240" i="16"/>
  <c r="F244" i="16"/>
  <c r="F272" i="16"/>
  <c r="F17" i="16"/>
  <c r="F45" i="16"/>
  <c r="F57" i="16"/>
  <c r="F69" i="16"/>
  <c r="F101" i="16"/>
  <c r="F109" i="16"/>
  <c r="F129" i="16"/>
  <c r="F141" i="16"/>
  <c r="F157" i="16"/>
  <c r="F197" i="16"/>
  <c r="F205" i="16"/>
  <c r="F213" i="16"/>
  <c r="F312" i="16"/>
  <c r="F336" i="16"/>
  <c r="D50" i="8"/>
  <c r="G3" i="16"/>
  <c r="J9" i="8" s="1"/>
  <c r="I3" i="16"/>
  <c r="P8" i="16"/>
  <c r="AF11" i="16"/>
  <c r="F3" i="16"/>
  <c r="H3" i="16"/>
  <c r="J11" i="8" s="1"/>
  <c r="F352" i="16"/>
  <c r="F346" i="16"/>
  <c r="F344" i="16"/>
  <c r="F328" i="16"/>
  <c r="F320" i="16"/>
  <c r="F304" i="16"/>
  <c r="F300" i="16"/>
  <c r="F296" i="16"/>
  <c r="F288" i="16"/>
  <c r="F276" i="16"/>
  <c r="F264" i="16"/>
  <c r="F256" i="16"/>
  <c r="F252" i="16"/>
  <c r="F248" i="16"/>
  <c r="F220" i="16"/>
  <c r="F212" i="16"/>
  <c r="F277" i="16"/>
  <c r="F253" i="16"/>
  <c r="F245" i="16"/>
  <c r="F241" i="16"/>
  <c r="F237" i="16"/>
  <c r="F221" i="16"/>
  <c r="F217" i="16"/>
  <c r="F196" i="16"/>
  <c r="F184" i="16"/>
  <c r="F170" i="16"/>
  <c r="F162" i="16"/>
  <c r="F158" i="16"/>
  <c r="F150" i="16"/>
  <c r="F142" i="16"/>
  <c r="F130" i="16"/>
  <c r="F185" i="16"/>
  <c r="F181" i="16"/>
  <c r="F177" i="16"/>
  <c r="F173" i="16"/>
  <c r="F169" i="16"/>
  <c r="F165" i="16"/>
  <c r="F161" i="16"/>
  <c r="F153" i="16"/>
  <c r="F149" i="16"/>
  <c r="F145" i="16"/>
  <c r="F137" i="16"/>
  <c r="F133" i="16"/>
  <c r="F14" i="16"/>
  <c r="F21" i="16"/>
  <c r="F22" i="16"/>
  <c r="F29" i="16"/>
  <c r="F34" i="16"/>
  <c r="F18" i="16"/>
  <c r="F38" i="16"/>
  <c r="F41" i="16"/>
  <c r="F46" i="16"/>
  <c r="F48" i="16"/>
  <c r="F50" i="16"/>
  <c r="F51" i="16"/>
  <c r="F53" i="16"/>
  <c r="F56" i="16"/>
  <c r="F70" i="16"/>
  <c r="F73" i="16"/>
  <c r="F81" i="16"/>
  <c r="F85" i="16"/>
  <c r="F86" i="16"/>
  <c r="F92" i="16"/>
  <c r="F93" i="16"/>
  <c r="F95" i="16"/>
  <c r="F98" i="16"/>
  <c r="F100" i="16"/>
  <c r="F102" i="16"/>
  <c r="F107" i="16"/>
  <c r="F113" i="16"/>
  <c r="F117" i="16"/>
  <c r="F127" i="16" l="1"/>
  <c r="F19" i="16"/>
  <c r="F187" i="16"/>
  <c r="F124" i="16"/>
  <c r="F84" i="16"/>
  <c r="F207" i="16"/>
  <c r="F350" i="16"/>
  <c r="F302" i="16"/>
  <c r="F108" i="16"/>
  <c r="F91" i="16"/>
  <c r="F55" i="16"/>
  <c r="F28" i="16"/>
  <c r="F20" i="16"/>
  <c r="F283" i="16"/>
  <c r="F271" i="16"/>
  <c r="F52" i="16"/>
  <c r="F273" i="16"/>
  <c r="F353" i="16"/>
  <c r="H284" i="16"/>
  <c r="H305" i="16"/>
  <c r="H249" i="16"/>
  <c r="H265" i="16"/>
  <c r="F313" i="16"/>
  <c r="F324" i="16"/>
  <c r="F308" i="16"/>
  <c r="F289" i="16"/>
  <c r="F340" i="16"/>
  <c r="H317" i="16"/>
  <c r="H285" i="16"/>
  <c r="F339" i="16"/>
  <c r="H11" i="16"/>
  <c r="F341" i="16"/>
  <c r="F33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AG21" i="16" s="1"/>
  <c r="H233" i="16"/>
  <c r="F233" i="16"/>
  <c r="H261" i="16"/>
  <c r="F261" i="16"/>
  <c r="H281" i="16"/>
  <c r="F281" i="16"/>
  <c r="F293" i="16"/>
  <c r="H293" i="16"/>
  <c r="F309" i="16"/>
  <c r="H309" i="16"/>
  <c r="H292" i="16"/>
  <c r="F292" i="16"/>
  <c r="H316" i="16"/>
  <c r="F316" i="16"/>
  <c r="H351" i="16"/>
  <c r="F351" i="16"/>
  <c r="H363" i="16"/>
  <c r="F363" i="16"/>
  <c r="AG23" i="16" l="1"/>
  <c r="AG14" i="16"/>
  <c r="AG19" i="16"/>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AJ86" i="16" l="1"/>
  <c r="Y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AJ93" i="16" l="1"/>
  <c r="Y93" i="16"/>
  <c r="AQ93" i="16"/>
  <c r="AB93" i="16"/>
  <c r="U93" i="16"/>
  <c r="X94" i="16"/>
  <c r="M94" i="16"/>
  <c r="N94" i="16" s="1"/>
  <c r="AI94" i="16"/>
  <c r="T94" i="16"/>
  <c r="S94" i="16"/>
  <c r="AP94" i="16"/>
  <c r="AA94" i="16"/>
  <c r="L95" i="16"/>
  <c r="AJ94" i="16" l="1"/>
  <c r="Y94" i="16"/>
  <c r="U94" i="16"/>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AJ108" i="16" l="1"/>
  <c r="Y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AJ112" i="16" l="1"/>
  <c r="AQ112" i="16"/>
  <c r="U112" i="16"/>
  <c r="Y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AJ114" i="16" l="1"/>
  <c r="Y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AJ152" i="16" s="1"/>
  <c r="AK152" i="16" s="1"/>
  <c r="T152" i="16"/>
  <c r="X152" i="16"/>
  <c r="M152" i="16"/>
  <c r="N152" i="16" s="1"/>
  <c r="L153" i="16"/>
  <c r="Y152" i="16" l="1"/>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AJ160" i="16" l="1"/>
  <c r="Y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Y165" i="16" l="1"/>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AJ183" i="16" l="1"/>
  <c r="Y183" i="16"/>
  <c r="V182"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AJ197" i="16" l="1"/>
  <c r="Y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V198" i="16" l="1"/>
  <c r="U199" i="16"/>
  <c r="Y199" i="16"/>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U201" i="16" s="1"/>
  <c r="V201" i="16" s="1"/>
  <c r="S201" i="16"/>
  <c r="AP201" i="16"/>
  <c r="AA201" i="16"/>
  <c r="L202" i="16"/>
  <c r="AQ201" i="16" l="1"/>
  <c r="AJ201" i="16"/>
  <c r="AB201" i="16"/>
  <c r="AP202" i="16"/>
  <c r="AA202" i="16"/>
  <c r="S202" i="16"/>
  <c r="AI202" i="16"/>
  <c r="AJ202" i="16" s="1"/>
  <c r="T202" i="16"/>
  <c r="X202" i="16"/>
  <c r="M202" i="16"/>
  <c r="N202" i="16" s="1"/>
  <c r="L203" i="16"/>
  <c r="AQ202" i="16" l="1"/>
  <c r="Y202" i="16"/>
  <c r="AB202" i="16"/>
  <c r="AK202" i="16"/>
  <c r="U202" i="16"/>
  <c r="X203" i="16"/>
  <c r="AP203" i="16"/>
  <c r="M203" i="16"/>
  <c r="N203" i="16" s="1"/>
  <c r="AA203" i="16"/>
  <c r="S203" i="16"/>
  <c r="T203" i="16"/>
  <c r="AI203" i="16"/>
  <c r="AJ203" i="16" s="1"/>
  <c r="AK203" i="16" s="1"/>
  <c r="L204" i="16"/>
  <c r="AB203" i="16" l="1"/>
  <c r="Y203" i="16"/>
  <c r="U203" i="16"/>
  <c r="AQ203" i="16"/>
  <c r="AP204" i="16"/>
  <c r="AA204" i="16"/>
  <c r="S204" i="16"/>
  <c r="AI204" i="16"/>
  <c r="AJ204" i="16" s="1"/>
  <c r="T204" i="16"/>
  <c r="X204" i="16"/>
  <c r="M204" i="16"/>
  <c r="N204" i="16" s="1"/>
  <c r="L205" i="16"/>
  <c r="Y204" i="16" l="1"/>
  <c r="U204" i="16"/>
  <c r="AK204" i="16"/>
  <c r="AB204" i="16"/>
  <c r="AQ204" i="16"/>
  <c r="X205" i="16"/>
  <c r="Y205" i="16" s="1"/>
  <c r="M205" i="16"/>
  <c r="N205" i="16" s="1"/>
  <c r="AI205" i="16"/>
  <c r="AJ205" i="16" s="1"/>
  <c r="AK205" i="16" s="1"/>
  <c r="T205" i="16"/>
  <c r="U205" i="16" s="1"/>
  <c r="S205" i="16"/>
  <c r="AP205" i="16"/>
  <c r="AQ205" i="16" s="1"/>
  <c r="AR205" i="16" s="1"/>
  <c r="AA205" i="16"/>
  <c r="AB205" i="16" s="1"/>
  <c r="AC205" i="16" s="1"/>
  <c r="L206" i="16"/>
  <c r="V205" i="16" l="1"/>
  <c r="AP206" i="16"/>
  <c r="AQ206" i="16" s="1"/>
  <c r="AA206" i="16"/>
  <c r="S206" i="16"/>
  <c r="AI206" i="16"/>
  <c r="AJ206" i="16" s="1"/>
  <c r="AK206" i="16" s="1"/>
  <c r="T206" i="16"/>
  <c r="U206" i="16" s="1"/>
  <c r="V206" i="16" s="1"/>
  <c r="X206" i="16"/>
  <c r="Y206" i="16" s="1"/>
  <c r="M206" i="16"/>
  <c r="N206" i="16" s="1"/>
  <c r="L207" i="16"/>
  <c r="AR206" i="16" l="1"/>
  <c r="AB206" i="16"/>
  <c r="X207" i="16"/>
  <c r="Y207" i="16" s="1"/>
  <c r="M207" i="16"/>
  <c r="AI207" i="16"/>
  <c r="AJ207" i="16" s="1"/>
  <c r="AK207" i="16" s="1"/>
  <c r="T207" i="16"/>
  <c r="U207" i="16" s="1"/>
  <c r="V207" i="16" s="1"/>
  <c r="S207" i="16"/>
  <c r="AP207" i="16"/>
  <c r="AQ207" i="16" s="1"/>
  <c r="AA207" i="16"/>
  <c r="AB207" i="16" s="1"/>
  <c r="AC207" i="16" s="1"/>
  <c r="N207" i="16"/>
  <c r="L208" i="16"/>
  <c r="AR207" i="16" l="1"/>
  <c r="AC206" i="16"/>
  <c r="AP208" i="16"/>
  <c r="AQ208" i="16" s="1"/>
  <c r="AA208" i="16"/>
  <c r="S208" i="16"/>
  <c r="AI208" i="16"/>
  <c r="AJ208" i="16" s="1"/>
  <c r="T208" i="16"/>
  <c r="U208" i="16" s="1"/>
  <c r="X208" i="16"/>
  <c r="Y208" i="16" s="1"/>
  <c r="M208" i="16"/>
  <c r="N208" i="16" s="1"/>
  <c r="L209" i="16"/>
  <c r="AR208" i="16" l="1"/>
  <c r="V208" i="16"/>
  <c r="AK208" i="16"/>
  <c r="AB208" i="16"/>
  <c r="X209" i="16"/>
  <c r="Y209" i="16" s="1"/>
  <c r="M209" i="16"/>
  <c r="AI209" i="16"/>
  <c r="AJ209" i="16" s="1"/>
  <c r="AK209" i="16" s="1"/>
  <c r="T209" i="16"/>
  <c r="U209" i="16" s="1"/>
  <c r="V209" i="16" s="1"/>
  <c r="S209" i="16"/>
  <c r="AP209" i="16"/>
  <c r="AQ209" i="16" s="1"/>
  <c r="AR209" i="16" s="1"/>
  <c r="AA209" i="16"/>
  <c r="AB209" i="16" s="1"/>
  <c r="AC209" i="16" s="1"/>
  <c r="N209" i="16"/>
  <c r="L210" i="16"/>
  <c r="AC208" i="16" l="1"/>
  <c r="AP210" i="16"/>
  <c r="AQ210" i="16" s="1"/>
  <c r="AA210" i="16"/>
  <c r="S210" i="16"/>
  <c r="AI210" i="16"/>
  <c r="AJ210" i="16" s="1"/>
  <c r="AK210" i="16" s="1"/>
  <c r="T210" i="16"/>
  <c r="U210" i="16" s="1"/>
  <c r="V210" i="16" s="1"/>
  <c r="X210" i="16"/>
  <c r="Y210" i="16" s="1"/>
  <c r="M210" i="16"/>
  <c r="N210" i="16" s="1"/>
  <c r="L211" i="16"/>
  <c r="AR210" i="16" l="1"/>
  <c r="AB210" i="16"/>
  <c r="X211" i="16"/>
  <c r="Y211" i="16" s="1"/>
  <c r="M211" i="16"/>
  <c r="N211" i="16" s="1"/>
  <c r="AI211" i="16"/>
  <c r="AJ211" i="16" s="1"/>
  <c r="AK211" i="16" s="1"/>
  <c r="T211" i="16"/>
  <c r="U211" i="16" s="1"/>
  <c r="V211" i="16" s="1"/>
  <c r="S211" i="16"/>
  <c r="AP211" i="16"/>
  <c r="AQ211" i="16" s="1"/>
  <c r="AA211" i="16"/>
  <c r="AB211" i="16" s="1"/>
  <c r="AC211" i="16" s="1"/>
  <c r="L212" i="16"/>
  <c r="AR211" i="16" l="1"/>
  <c r="AC210" i="16"/>
  <c r="AP212" i="16"/>
  <c r="AQ212" i="16" s="1"/>
  <c r="AR212" i="16" s="1"/>
  <c r="AA212" i="16"/>
  <c r="S212" i="16"/>
  <c r="AI212" i="16"/>
  <c r="AJ212" i="16" s="1"/>
  <c r="AK212" i="16" s="1"/>
  <c r="T212" i="16"/>
  <c r="U212" i="16" s="1"/>
  <c r="V212" i="16" s="1"/>
  <c r="X212" i="16"/>
  <c r="Y212" i="16" s="1"/>
  <c r="M212" i="16"/>
  <c r="N212" i="16" s="1"/>
  <c r="L213" i="16"/>
  <c r="AB212" i="16" l="1"/>
  <c r="X213" i="16"/>
  <c r="Y213" i="16" s="1"/>
  <c r="M213" i="16"/>
  <c r="AI213" i="16"/>
  <c r="AJ213" i="16" s="1"/>
  <c r="AK213" i="16" s="1"/>
  <c r="T213" i="16"/>
  <c r="U213" i="16" s="1"/>
  <c r="V213" i="16" s="1"/>
  <c r="S213" i="16"/>
  <c r="AP213" i="16"/>
  <c r="AQ213" i="16" s="1"/>
  <c r="AA213" i="16"/>
  <c r="AB213" i="16" s="1"/>
  <c r="AC213" i="16" s="1"/>
  <c r="N213" i="16"/>
  <c r="L214" i="16"/>
  <c r="AR213" i="16" l="1"/>
  <c r="AC212" i="16"/>
  <c r="AP214" i="16"/>
  <c r="AA214" i="16"/>
  <c r="S214" i="16"/>
  <c r="AI214" i="16"/>
  <c r="T214" i="16"/>
  <c r="U214" i="16" s="1"/>
  <c r="V214" i="16" s="1"/>
  <c r="X214" i="16"/>
  <c r="Y214" i="16" s="1"/>
  <c r="M214" i="16"/>
  <c r="N214" i="16" s="1"/>
  <c r="L215" i="16"/>
  <c r="AJ214" i="16" l="1"/>
  <c r="AQ214" i="16"/>
  <c r="AR214" i="16" s="1"/>
  <c r="AB214" i="16"/>
  <c r="X215" i="16"/>
  <c r="Y215" i="16" s="1"/>
  <c r="M215" i="16"/>
  <c r="AI215" i="16"/>
  <c r="AJ215" i="16" s="1"/>
  <c r="AK215" i="16" s="1"/>
  <c r="T215" i="16"/>
  <c r="U215" i="16" s="1"/>
  <c r="V215" i="16" s="1"/>
  <c r="S215" i="16"/>
  <c r="AP215" i="16"/>
  <c r="AQ215" i="16" s="1"/>
  <c r="AR215" i="16" s="1"/>
  <c r="AA215" i="16"/>
  <c r="AB215" i="16" s="1"/>
  <c r="AC215" i="16" s="1"/>
  <c r="N215" i="16"/>
  <c r="L216" i="16"/>
  <c r="AC214" i="16" l="1"/>
  <c r="AP216" i="16"/>
  <c r="AQ216" i="16" s="1"/>
  <c r="AR216" i="16" s="1"/>
  <c r="AA216" i="16"/>
  <c r="S216" i="16"/>
  <c r="AI216" i="16"/>
  <c r="AJ216" i="16" s="1"/>
  <c r="AK216" i="16" s="1"/>
  <c r="T216" i="16"/>
  <c r="U216" i="16" s="1"/>
  <c r="V216" i="16" s="1"/>
  <c r="X216" i="16"/>
  <c r="Y216" i="16" s="1"/>
  <c r="M216" i="16"/>
  <c r="N216" i="16" s="1"/>
  <c r="L217" i="16"/>
  <c r="AB216" i="16" l="1"/>
  <c r="AC216" i="16" s="1"/>
  <c r="X217" i="16"/>
  <c r="Y217" i="16" s="1"/>
  <c r="M217" i="16"/>
  <c r="AI217" i="16"/>
  <c r="AJ217" i="16" s="1"/>
  <c r="AK217" i="16" s="1"/>
  <c r="T217" i="16"/>
  <c r="U217" i="16" s="1"/>
  <c r="V217" i="16" s="1"/>
  <c r="S217" i="16"/>
  <c r="AP217" i="16"/>
  <c r="AQ217" i="16" s="1"/>
  <c r="AR217" i="16" s="1"/>
  <c r="AA217" i="16"/>
  <c r="AB217" i="16" s="1"/>
  <c r="AC217" i="16" s="1"/>
  <c r="N217" i="16"/>
  <c r="L218" i="16"/>
  <c r="AP218" i="16" l="1"/>
  <c r="AQ218" i="16" s="1"/>
  <c r="AR218" i="16" s="1"/>
  <c r="AA218" i="16"/>
  <c r="S218" i="16"/>
  <c r="AI218" i="16"/>
  <c r="AJ218" i="16" s="1"/>
  <c r="AK218" i="16" s="1"/>
  <c r="T218" i="16"/>
  <c r="U218" i="16" s="1"/>
  <c r="V218" i="16" s="1"/>
  <c r="X218" i="16"/>
  <c r="Y218" i="16" s="1"/>
  <c r="M218" i="16"/>
  <c r="N218" i="16" s="1"/>
  <c r="L219" i="16"/>
  <c r="AB218" i="16" l="1"/>
  <c r="AC218" i="16" s="1"/>
  <c r="X219" i="16"/>
  <c r="Y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M220" i="16"/>
  <c r="N220" i="16" s="1"/>
  <c r="L221" i="16"/>
  <c r="AB220" i="16" l="1"/>
  <c r="AC220" i="16" s="1"/>
  <c r="X221" i="16"/>
  <c r="Y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M222" i="16"/>
  <c r="N222" i="16" s="1"/>
  <c r="L223" i="16"/>
  <c r="U222" i="16" l="1"/>
  <c r="V222" i="16" s="1"/>
  <c r="X223" i="16"/>
  <c r="Y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M224" i="16"/>
  <c r="N224" i="16" s="1"/>
  <c r="L225" i="16"/>
  <c r="AB224" i="16" l="1"/>
  <c r="AC224" i="16" s="1"/>
  <c r="X225" i="16"/>
  <c r="Y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M226" i="16"/>
  <c r="N226" i="16" s="1"/>
  <c r="L227" i="16"/>
  <c r="AB226" i="16" l="1"/>
  <c r="AC226" i="16" s="1"/>
  <c r="X227" i="16"/>
  <c r="Y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M228" i="16"/>
  <c r="N228" i="16" s="1"/>
  <c r="L229" i="16"/>
  <c r="AB228" i="16" l="1"/>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M230" i="16"/>
  <c r="N230" i="16" s="1"/>
  <c r="L231" i="16"/>
  <c r="AB230" i="16" l="1"/>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M232" i="16"/>
  <c r="N232" i="16" s="1"/>
  <c r="L233" i="16"/>
  <c r="U232" i="16" l="1"/>
  <c r="V232" i="16" s="1"/>
  <c r="X233" i="16"/>
  <c r="Y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M234" i="16"/>
  <c r="N234" i="16" s="1"/>
  <c r="L235" i="16"/>
  <c r="AB234" i="16" l="1"/>
  <c r="AC234" i="16" s="1"/>
  <c r="X235" i="16"/>
  <c r="Y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M236" i="16"/>
  <c r="N236" i="16" s="1"/>
  <c r="L237" i="16"/>
  <c r="AB236" i="16" l="1"/>
  <c r="AC236" i="16" s="1"/>
  <c r="X237" i="16"/>
  <c r="Y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M238" i="16"/>
  <c r="N238" i="16" s="1"/>
  <c r="L239" i="16"/>
  <c r="U238" i="16" l="1"/>
  <c r="V238" i="16" s="1"/>
  <c r="X239" i="16"/>
  <c r="Y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M240" i="16"/>
  <c r="N240" i="16" s="1"/>
  <c r="L241" i="16"/>
  <c r="U240" i="16" l="1"/>
  <c r="V240" i="16" s="1"/>
  <c r="X241" i="16"/>
  <c r="Y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M242" i="16"/>
  <c r="N242" i="16" s="1"/>
  <c r="L243" i="16"/>
  <c r="X243" i="16" l="1"/>
  <c r="Y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M244" i="16"/>
  <c r="N244" i="16" s="1"/>
  <c r="L245" i="16"/>
  <c r="AB244" i="16" l="1"/>
  <c r="AC244" i="16" s="1"/>
  <c r="X245" i="16"/>
  <c r="Y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M246" i="16"/>
  <c r="L247" i="16"/>
  <c r="X247" i="16" l="1"/>
  <c r="Y247" i="16" s="1"/>
  <c r="M247" i="16"/>
  <c r="AI247" i="16"/>
  <c r="AJ247" i="16" s="1"/>
  <c r="AK247" i="16" s="1"/>
  <c r="T247" i="16"/>
  <c r="U247" i="16" s="1"/>
  <c r="V247" i="16" s="1"/>
  <c r="S247" i="16"/>
  <c r="AP247" i="16"/>
  <c r="AQ247" i="16" s="1"/>
  <c r="AR247" i="16" s="1"/>
  <c r="AA247" i="16"/>
  <c r="AB247" i="16" s="1"/>
  <c r="AC247" i="16" s="1"/>
  <c r="N247" i="16"/>
  <c r="L248" i="16"/>
  <c r="X248" i="16" l="1"/>
  <c r="Y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M249" i="16"/>
  <c r="L250" i="16"/>
  <c r="X250" i="16" l="1"/>
  <c r="Y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M251" i="16"/>
  <c r="L252" i="16"/>
  <c r="X252" i="16" l="1"/>
  <c r="Y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M253" i="16"/>
  <c r="L254" i="16"/>
  <c r="X254" i="16" l="1"/>
  <c r="Y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M255" i="16"/>
  <c r="L256" i="16"/>
  <c r="X256" i="16" l="1"/>
  <c r="Y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M257" i="16"/>
  <c r="L258" i="16"/>
  <c r="X258" i="16" l="1"/>
  <c r="Y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M259" i="16"/>
  <c r="L260" i="16"/>
  <c r="X260" i="16" l="1"/>
  <c r="Y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M261" i="16"/>
  <c r="L262" i="16"/>
  <c r="X262" i="16" l="1"/>
  <c r="Y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M263" i="16"/>
  <c r="L264" i="16"/>
  <c r="X264" i="16" l="1"/>
  <c r="Y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M265" i="16"/>
  <c r="L266" i="16"/>
  <c r="X266" i="16" l="1"/>
  <c r="Y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M267" i="16"/>
  <c r="L268" i="16"/>
  <c r="X268" i="16" l="1"/>
  <c r="Y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M269" i="16"/>
  <c r="L270" i="16"/>
  <c r="X270" i="16" l="1"/>
  <c r="Y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M271" i="16"/>
  <c r="L272" i="16"/>
  <c r="X272" i="16" l="1"/>
  <c r="Y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M273" i="16"/>
  <c r="L274" i="16"/>
  <c r="X274" i="16" l="1"/>
  <c r="Y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M275" i="16"/>
  <c r="L276" i="16"/>
  <c r="X276" i="16" l="1"/>
  <c r="Y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M277" i="16"/>
  <c r="L278" i="16"/>
  <c r="X278" i="16" l="1"/>
  <c r="Y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M279" i="16"/>
  <c r="L280" i="16"/>
  <c r="X280" i="16" l="1"/>
  <c r="Y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M281" i="16"/>
  <c r="L282" i="16"/>
  <c r="X282" i="16" l="1"/>
  <c r="Y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M283" i="16"/>
  <c r="L284" i="16"/>
  <c r="X284" i="16" l="1"/>
  <c r="Y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M285" i="16"/>
  <c r="L286" i="16"/>
  <c r="X286" i="16" l="1"/>
  <c r="Y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M287" i="16"/>
  <c r="L288" i="16"/>
  <c r="X288" i="16" l="1"/>
  <c r="Y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M289" i="16"/>
  <c r="L290" i="16"/>
  <c r="AP290" i="16" l="1"/>
  <c r="AQ290" i="16" s="1"/>
  <c r="AR290" i="16" s="1"/>
  <c r="S290" i="16"/>
  <c r="AI290" i="16"/>
  <c r="AJ290" i="16" s="1"/>
  <c r="AK290" i="16" s="1"/>
  <c r="T290" i="16"/>
  <c r="U290" i="16" s="1"/>
  <c r="V290" i="16" s="1"/>
  <c r="X290" i="16"/>
  <c r="Y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M291" i="16"/>
  <c r="L292" i="16"/>
  <c r="X292" i="16" l="1"/>
  <c r="Y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M293" i="16"/>
  <c r="L294" i="16"/>
  <c r="X294" i="16" l="1"/>
  <c r="Y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M295" i="16"/>
  <c r="L296" i="16"/>
  <c r="X296" i="16" l="1"/>
  <c r="Y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M297" i="16"/>
  <c r="L298" i="16"/>
  <c r="X298" i="16" l="1"/>
  <c r="Y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M299" i="16"/>
  <c r="L300" i="16"/>
  <c r="X300" i="16" l="1"/>
  <c r="Y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M301" i="16"/>
  <c r="L302" i="16"/>
  <c r="X302" i="16" l="1"/>
  <c r="Y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M303" i="16"/>
  <c r="L304" i="16"/>
  <c r="X304" i="16" l="1"/>
  <c r="Y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M305" i="16"/>
  <c r="L306" i="16"/>
  <c r="X306" i="16" l="1"/>
  <c r="Y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M307" i="16"/>
  <c r="L308" i="16"/>
  <c r="X308" i="16" l="1"/>
  <c r="Y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M309" i="16"/>
  <c r="L310" i="16"/>
  <c r="X310" i="16" l="1"/>
  <c r="Y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M311" i="16"/>
  <c r="L312" i="16"/>
  <c r="AP312" i="16" l="1"/>
  <c r="AQ312" i="16" s="1"/>
  <c r="AR312" i="16" s="1"/>
  <c r="AA312" i="16"/>
  <c r="AB312" i="16" s="1"/>
  <c r="AC312" i="16" s="1"/>
  <c r="S312" i="16"/>
  <c r="N312" i="16"/>
  <c r="AI312" i="16"/>
  <c r="AJ312" i="16" s="1"/>
  <c r="AK312" i="16" s="1"/>
  <c r="X312" i="16"/>
  <c r="Y312" i="16" s="1"/>
  <c r="M312" i="16"/>
  <c r="T312" i="16"/>
  <c r="U312" i="16" s="1"/>
  <c r="V312" i="16" s="1"/>
  <c r="L313" i="16"/>
  <c r="X313" i="16" l="1"/>
  <c r="Y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M314" i="16"/>
  <c r="L315" i="16"/>
  <c r="X315" i="16" l="1"/>
  <c r="Y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M316" i="16"/>
  <c r="L317" i="16"/>
  <c r="X317" i="16" l="1"/>
  <c r="Y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M318" i="16"/>
  <c r="L319" i="16"/>
  <c r="X319" i="16" l="1"/>
  <c r="Y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M320" i="16"/>
  <c r="L321" i="16"/>
  <c r="X321" i="16" l="1"/>
  <c r="Y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M322" i="16"/>
  <c r="L323" i="16"/>
  <c r="X323" i="16" l="1"/>
  <c r="Y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M324" i="16"/>
  <c r="L325" i="16"/>
  <c r="X325" i="16" l="1"/>
  <c r="Y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M326" i="16"/>
  <c r="L327" i="16"/>
  <c r="X327" i="16" l="1"/>
  <c r="Y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M328" i="16"/>
  <c r="L329" i="16"/>
  <c r="X329" i="16" l="1"/>
  <c r="Y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M330" i="16"/>
  <c r="L331" i="16"/>
  <c r="X331" i="16" l="1"/>
  <c r="Y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M332" i="16"/>
  <c r="L333" i="16"/>
  <c r="AP333" i="16" l="1"/>
  <c r="AQ333" i="16" s="1"/>
  <c r="AR333" i="16" s="1"/>
  <c r="AA333" i="16"/>
  <c r="AB333" i="16" s="1"/>
  <c r="AC333" i="16" s="1"/>
  <c r="M333" i="16"/>
  <c r="S333" i="16"/>
  <c r="AI333" i="16"/>
  <c r="AJ333" i="16" s="1"/>
  <c r="AK333" i="16" s="1"/>
  <c r="T333" i="16"/>
  <c r="U333" i="16" s="1"/>
  <c r="V333" i="16" s="1"/>
  <c r="X333" i="16"/>
  <c r="Y333" i="16" s="1"/>
  <c r="N333" i="16"/>
  <c r="L334" i="16"/>
  <c r="X334" i="16" l="1"/>
  <c r="Y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M335" i="16"/>
  <c r="L336" i="16"/>
  <c r="X336" i="16" l="1"/>
  <c r="Y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M337" i="16"/>
  <c r="L338" i="16"/>
  <c r="X338" i="16" l="1"/>
  <c r="Y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M339" i="16"/>
  <c r="L340" i="16"/>
  <c r="X340" i="16" l="1"/>
  <c r="Y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M341" i="16"/>
  <c r="L342" i="16"/>
  <c r="X342" i="16" l="1"/>
  <c r="Y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M343" i="16"/>
  <c r="L344" i="16"/>
  <c r="X344" i="16" l="1"/>
  <c r="Y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M345" i="16"/>
  <c r="X346" i="16" l="1"/>
  <c r="Y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M347" i="16"/>
  <c r="AP347" i="16"/>
  <c r="AQ347" i="16" s="1"/>
  <c r="AR347" i="16" s="1"/>
  <c r="AA347" i="16"/>
  <c r="AB347" i="16" s="1"/>
  <c r="AC347" i="16" s="1"/>
  <c r="N347" i="16"/>
  <c r="S347" i="16"/>
  <c r="L348" i="16"/>
  <c r="L349" i="16" l="1"/>
  <c r="X348" i="16"/>
  <c r="Y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M349" i="16"/>
  <c r="L350" i="16"/>
  <c r="X350" i="16" l="1"/>
  <c r="Y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M351" i="16"/>
  <c r="L352" i="16"/>
  <c r="X352" i="16" l="1"/>
  <c r="Y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M353" i="16"/>
  <c r="L354" i="16"/>
  <c r="X354" i="16" l="1"/>
  <c r="Y354" i="16" s="1"/>
  <c r="AI354" i="16"/>
  <c r="AJ354" i="16" s="1"/>
  <c r="AK354" i="16" s="1"/>
  <c r="M354" i="16"/>
  <c r="T354" i="16"/>
  <c r="U354" i="16" s="1"/>
  <c r="V354" i="16" s="1"/>
  <c r="S354" i="16"/>
  <c r="AA354" i="16"/>
  <c r="AB354" i="16" s="1"/>
  <c r="AC354" i="16" s="1"/>
  <c r="AP354" i="16"/>
  <c r="AQ354" i="16" s="1"/>
  <c r="AR354" i="16" s="1"/>
  <c r="N354" i="16"/>
  <c r="L355" i="16"/>
  <c r="X355" i="16" l="1"/>
  <c r="Y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M356" i="16"/>
  <c r="L357" i="16"/>
  <c r="X357" i="16" l="1"/>
  <c r="Y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M358" i="16"/>
  <c r="L359" i="16"/>
  <c r="X359" i="16" l="1"/>
  <c r="Y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S360" i="16"/>
  <c r="L361" i="16"/>
  <c r="X361" i="16" l="1"/>
  <c r="Y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58"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172" i="16" l="1"/>
  <c r="Z200" i="16"/>
  <c r="Z205" i="16"/>
  <c r="Z201" i="16"/>
  <c r="Z206" i="16"/>
  <c r="Z208" i="16"/>
  <c r="Z207" i="16"/>
  <c r="Z209" i="16"/>
  <c r="Z212" i="16"/>
  <c r="Z210" i="16"/>
  <c r="Z211" i="16"/>
  <c r="Z213" i="16"/>
  <c r="Z215" i="16"/>
  <c r="Z214" i="16"/>
  <c r="Z218" i="16"/>
  <c r="Z216" i="16"/>
  <c r="Z217" i="16"/>
  <c r="Z220" i="16"/>
  <c r="Z219" i="16"/>
  <c r="Z221" i="16"/>
  <c r="Z222" i="16"/>
  <c r="Z225" i="16"/>
  <c r="Z226" i="16"/>
  <c r="Z224" i="16"/>
  <c r="Z223" i="16"/>
  <c r="Z227" i="16"/>
  <c r="Z228" i="16"/>
  <c r="Z230" i="16"/>
  <c r="Z229" i="16"/>
  <c r="Z231" i="16"/>
  <c r="Z232" i="16"/>
  <c r="Z234" i="16"/>
  <c r="Z233" i="16"/>
  <c r="Z235" i="16"/>
  <c r="Z236" i="16"/>
  <c r="Z239" i="16"/>
  <c r="Z238" i="16"/>
  <c r="Z241" i="16"/>
  <c r="Z240" i="16"/>
  <c r="Z237" i="16"/>
  <c r="Z243" i="16"/>
  <c r="Z242" i="16"/>
  <c r="Z245" i="16"/>
  <c r="Z244" i="16"/>
  <c r="Z246" i="16"/>
  <c r="Z248" i="16"/>
  <c r="Z247" i="16"/>
  <c r="Z249" i="16"/>
  <c r="Z250" i="16"/>
  <c r="Z252" i="16"/>
  <c r="Z251" i="16"/>
  <c r="Z253" i="16"/>
  <c r="Z254" i="16"/>
  <c r="Z257" i="16"/>
  <c r="Z255" i="16"/>
  <c r="Z256" i="16"/>
  <c r="Z258" i="16"/>
  <c r="Z261" i="16"/>
  <c r="Z259" i="16"/>
  <c r="Z260" i="16"/>
  <c r="Z262" i="16"/>
  <c r="Z263" i="16"/>
  <c r="Z264" i="16"/>
  <c r="Z265" i="16"/>
  <c r="Z270" i="16"/>
  <c r="Z266" i="16"/>
  <c r="Z268" i="16"/>
  <c r="Z269" i="16"/>
  <c r="Z267" i="16"/>
  <c r="Z272" i="16"/>
  <c r="Z271" i="16"/>
  <c r="Z274" i="16"/>
  <c r="Z275" i="16"/>
  <c r="Z276" i="16"/>
  <c r="Z273" i="16"/>
  <c r="Z278" i="16"/>
  <c r="Z277" i="16"/>
  <c r="Z280" i="16"/>
  <c r="Z281" i="16"/>
  <c r="Z279" i="16"/>
  <c r="Z283" i="16"/>
  <c r="Z282" i="16"/>
  <c r="Z285" i="16"/>
  <c r="Z284" i="16"/>
  <c r="Z287" i="16"/>
  <c r="Z288" i="16"/>
  <c r="Z286" i="16"/>
  <c r="Z290" i="16"/>
  <c r="Z292" i="16"/>
  <c r="Z289" i="16"/>
  <c r="Z291" i="16"/>
  <c r="Z294" i="16"/>
  <c r="Z296" i="16"/>
  <c r="Z293" i="16"/>
  <c r="Z295" i="16"/>
  <c r="Z299" i="16"/>
  <c r="Z300" i="16"/>
  <c r="Z302" i="16"/>
  <c r="Z298" i="16"/>
  <c r="Z297" i="16"/>
  <c r="Z303" i="16"/>
  <c r="Z304" i="16"/>
  <c r="Z301" i="16"/>
  <c r="Z306" i="16"/>
  <c r="Z305" i="16"/>
  <c r="Z308" i="16"/>
  <c r="Z307" i="16"/>
  <c r="Z309" i="16"/>
  <c r="Z310" i="16"/>
  <c r="Z313" i="16"/>
  <c r="Z311" i="16"/>
  <c r="Z312" i="16"/>
  <c r="Z314" i="16"/>
  <c r="Z316" i="16"/>
  <c r="Z315" i="16"/>
  <c r="Z317" i="16"/>
  <c r="Z319" i="16"/>
  <c r="Z318" i="16"/>
  <c r="Z320" i="16"/>
  <c r="Z321" i="16"/>
  <c r="Z323" i="16"/>
  <c r="Z324" i="16"/>
  <c r="Z327" i="16"/>
  <c r="Z325" i="16"/>
  <c r="Z322" i="16"/>
  <c r="Z326" i="16"/>
  <c r="Z329" i="16"/>
  <c r="Z328" i="16"/>
  <c r="Z331" i="16"/>
  <c r="Z330" i="16"/>
  <c r="Z332" i="16"/>
  <c r="Z333" i="16"/>
  <c r="Z334" i="16"/>
  <c r="Z336" i="16"/>
  <c r="Z338" i="16"/>
  <c r="Z335" i="16"/>
  <c r="Z337" i="16"/>
  <c r="Z341" i="16"/>
  <c r="Z340" i="16"/>
  <c r="Z343" i="16"/>
  <c r="Z339" i="16"/>
  <c r="Z342" i="16"/>
  <c r="Z345" i="16"/>
  <c r="Z346" i="16"/>
  <c r="Z344" i="16"/>
  <c r="Z347" i="16"/>
  <c r="Z349" i="16"/>
  <c r="Z348" i="16"/>
  <c r="Z352" i="16"/>
  <c r="Z350" i="16"/>
  <c r="Z351" i="16"/>
  <c r="Z354" i="16"/>
  <c r="Z353" i="16"/>
  <c r="Z356" i="16"/>
  <c r="Z357" i="16"/>
  <c r="Z361" i="16"/>
  <c r="Z355" i="16"/>
  <c r="Z362" i="16"/>
  <c r="Z360" i="16"/>
  <c r="Z359"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T363" i="16"/>
  <c r="U363" i="16" s="1"/>
  <c r="AA363" i="16"/>
  <c r="G119" i="8" s="1"/>
  <c r="S363" i="16"/>
  <c r="M363" i="16"/>
  <c r="M9" i="16" s="1"/>
  <c r="L37" i="8" s="1"/>
  <c r="K37" i="8" s="1"/>
  <c r="AI363" i="16"/>
  <c r="AJ363" i="16" s="1"/>
  <c r="AK44" i="16" s="1"/>
  <c r="O10" i="16"/>
  <c r="Y9" i="16"/>
  <c r="L38" i="8" s="1"/>
  <c r="AK60" i="16"/>
  <c r="AK49" i="16"/>
  <c r="AK27" i="16"/>
  <c r="AK21" i="16"/>
  <c r="AK41" i="16"/>
  <c r="AK34" i="16"/>
  <c r="U69" i="8"/>
  <c r="U67" i="8"/>
  <c r="U70" i="8"/>
  <c r="U68" i="8"/>
  <c r="U71" i="8"/>
  <c r="U73" i="8"/>
  <c r="U72" i="8"/>
  <c r="AK17" i="16" l="1"/>
  <c r="AK52" i="16"/>
  <c r="AK36" i="16"/>
  <c r="AK51" i="16"/>
  <c r="AK28" i="16"/>
  <c r="AK13"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27"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21"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2" i="16"/>
  <c r="AC24" i="16"/>
  <c r="AC27" i="16"/>
  <c r="AC34" i="16"/>
  <c r="AC42" i="16"/>
  <c r="AC40" i="16"/>
  <c r="AC49" i="16"/>
  <c r="AC53" i="16"/>
  <c r="AC55" i="16"/>
  <c r="AC58" i="16"/>
  <c r="AC61" i="16"/>
  <c r="AC62" i="16"/>
  <c r="AC64" i="16"/>
  <c r="AC65" i="16"/>
  <c r="AC67" i="16"/>
  <c r="AC69" i="16"/>
  <c r="AC71" i="16"/>
  <c r="AC72" i="16"/>
  <c r="AC74" i="16"/>
  <c r="AC78" i="16"/>
  <c r="AC79"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363"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48" i="16"/>
  <c r="P55" i="16"/>
  <c r="Q12" i="16"/>
  <c r="Q24" i="16"/>
  <c r="Q40" i="16"/>
  <c r="Q68" i="16"/>
  <c r="Q78" i="16"/>
  <c r="Q94" i="16"/>
  <c r="Q13" i="16"/>
  <c r="Q23" i="16"/>
  <c r="Q39" i="16"/>
  <c r="Q67" i="16"/>
  <c r="Q79" i="16"/>
  <c r="Q95" i="16"/>
  <c r="P62" i="16"/>
  <c r="P42" i="16"/>
  <c r="P53" i="16"/>
  <c r="P65" i="16" l="1"/>
  <c r="Q99" i="16"/>
  <c r="Q73" i="16"/>
  <c r="Q35" i="16"/>
  <c r="Q100" i="16"/>
  <c r="Q72" i="16"/>
  <c r="Q34" i="16"/>
  <c r="P43" i="16"/>
  <c r="P56" i="16"/>
  <c r="P41" i="16"/>
  <c r="P54" i="16"/>
  <c r="Q89" i="16"/>
  <c r="Q49" i="16"/>
  <c r="Q18" i="16"/>
  <c r="Q88" i="16"/>
  <c r="Q48" i="16"/>
  <c r="Q19" i="16"/>
  <c r="P63" i="16"/>
  <c r="P33" i="16"/>
  <c r="P30" i="16"/>
  <c r="Q105" i="16"/>
  <c r="Q83" i="16"/>
  <c r="Q63" i="16"/>
  <c r="Q29" i="16"/>
  <c r="Q104" i="16"/>
  <c r="Q84" i="16"/>
  <c r="Q58" i="16"/>
  <c r="Q28" i="16"/>
  <c r="P31" i="16"/>
  <c r="P36" i="16"/>
  <c r="P37" i="16"/>
  <c r="P57" i="16"/>
  <c r="P38" i="16"/>
  <c r="P58" i="16"/>
  <c r="Q103" i="16"/>
  <c r="Q91" i="16"/>
  <c r="Q81" i="16"/>
  <c r="Q71" i="16"/>
  <c r="Q55" i="16"/>
  <c r="Q37" i="16"/>
  <c r="Q27" i="16"/>
  <c r="Q15" i="16"/>
  <c r="Q102" i="16"/>
  <c r="Q92" i="16"/>
  <c r="Q80" i="16"/>
  <c r="Q70" i="16"/>
  <c r="Q56" i="16"/>
  <c r="Q36" i="16"/>
  <c r="Q26" i="16"/>
  <c r="Q16" i="16"/>
  <c r="P39" i="16"/>
  <c r="P59" i="16"/>
  <c r="P40" i="16"/>
  <c r="P64" i="16"/>
  <c r="P25" i="16"/>
  <c r="P49" i="16"/>
  <c r="P26" i="16"/>
  <c r="P46" i="16"/>
  <c r="Q107" i="16"/>
  <c r="Q97" i="16"/>
  <c r="Q87" i="16"/>
  <c r="Q75" i="16"/>
  <c r="Q65" i="16"/>
  <c r="Q47" i="16"/>
  <c r="Q31" i="16"/>
  <c r="Q21" i="16"/>
  <c r="Q11" i="16"/>
  <c r="Q96" i="16"/>
  <c r="Q86" i="16"/>
  <c r="Q76" i="16"/>
  <c r="Q64" i="16"/>
  <c r="Q42" i="16"/>
  <c r="Q32" i="16"/>
  <c r="Q20" i="16"/>
  <c r="T32" i="8"/>
  <c r="M48" i="8" s="1"/>
  <c r="P47" i="16"/>
  <c r="P32" i="16"/>
  <c r="P52" i="16"/>
  <c r="P29" i="16"/>
  <c r="P45" i="16"/>
  <c r="P61" i="16"/>
  <c r="P34" i="16"/>
  <c r="P50" i="16"/>
  <c r="Q287" i="16"/>
  <c r="Q101" i="16"/>
  <c r="Q93" i="16"/>
  <c r="Q85" i="16"/>
  <c r="Q77" i="16"/>
  <c r="Q69" i="16"/>
  <c r="Q57" i="16"/>
  <c r="Q41" i="16"/>
  <c r="Q33" i="16"/>
  <c r="Q25" i="16"/>
  <c r="Q17" i="16"/>
  <c r="Q106" i="16"/>
  <c r="Q98" i="16"/>
  <c r="Q90" i="16"/>
  <c r="Q82" i="16"/>
  <c r="Q74" i="16"/>
  <c r="Q66" i="16"/>
  <c r="Q50" i="16"/>
  <c r="Q38" i="16"/>
  <c r="Q30" i="16"/>
  <c r="Q22" i="16"/>
  <c r="Q14" i="16"/>
  <c r="P35" i="16"/>
  <c r="P51" i="16"/>
  <c r="P28" i="16"/>
  <c r="P44" i="16"/>
  <c r="P60" i="16"/>
  <c r="Q59" i="16"/>
  <c r="Q51" i="16"/>
  <c r="Q43" i="16"/>
  <c r="Q60" i="16"/>
  <c r="Q52" i="16"/>
  <c r="Q44" i="16"/>
  <c r="Q61" i="16"/>
  <c r="Q53" i="16"/>
  <c r="Q45" i="16"/>
  <c r="Q62" i="16"/>
  <c r="Q54" i="16"/>
  <c r="Q46" i="16"/>
  <c r="Q247" i="16"/>
  <c r="Q328" i="16"/>
  <c r="Q231" i="16"/>
  <c r="Q292" i="16"/>
  <c r="Q264" i="16"/>
  <c r="Q240" i="16"/>
  <c r="Q324" i="16"/>
  <c r="Q359" i="16"/>
  <c r="Q352" i="16"/>
  <c r="Q272" i="16"/>
  <c r="Q343" i="16"/>
  <c r="Q356"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R357" i="16"/>
  <c r="Q163" i="16"/>
  <c r="R229" i="16"/>
  <c r="Q115" i="16"/>
  <c r="Q114" i="16"/>
  <c r="Q190" i="16"/>
  <c r="Q130" i="16"/>
  <c r="Q36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361"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9" i="8"/>
  <c r="M50" i="8"/>
  <c r="AT13" i="16"/>
  <c r="AU13" i="16" s="1"/>
  <c r="U94" i="8"/>
  <c r="AS14" i="16"/>
  <c r="AM13" i="16"/>
  <c r="AN13" i="16" s="1"/>
  <c r="O50" i="8" l="1"/>
  <c r="M51" i="8"/>
  <c r="O51" i="8"/>
  <c r="E51" i="8"/>
  <c r="AH93" i="8"/>
  <c r="K40" i="8"/>
  <c r="O49" i="8"/>
  <c r="O48" i="8"/>
  <c r="Q121"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19" i="8" l="1"/>
  <c r="Q120" i="8"/>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<sst xmlns="http://schemas.openxmlformats.org/spreadsheetml/2006/main" count="9776" uniqueCount="898">
  <si>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</si>
  <si>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</si>
  <si>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</si>
  <si>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</si>
  <si>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</si>
  <si>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</si>
  <si>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</si>
  <si>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</si>
  <si>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</si>
  <si>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</si>
  <si>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</si>
  <si>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</si>
  <si>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</si>
  <si>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</si>
  <si>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</si>
  <si>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</si>
  <si>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</si>
  <si>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</si>
  <si>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</si>
  <si>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</si>
  <si>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</si>
  <si>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</si>
  <si>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</si>
  <si>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</si>
  <si>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</si>
  <si>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</si>
  <si>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</si>
  <si>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</si>
  <si>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</si>
  <si>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</si>
  <si>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</si>
  <si>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</si>
  <si>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</si>
  <si>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</si>
  <si>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</si>
  <si>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</si>
  <si>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</si>
  <si>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</si>
  <si>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</si>
  <si>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</si>
  <si>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</si>
  <si>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</si>
  <si>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</si>
  <si>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</si>
  <si>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</si>
  <si>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</si>
  <si>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</si>
  <si>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</si>
  <si>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</si>
  <si>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</si>
  <si>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</si>
  <si>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</si>
  <si>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</si>
  <si>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</si>
  <si>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</si>
  <si>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</si>
  <si>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</si>
  <si>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</si>
  <si>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</si>
  <si>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</si>
  <si>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</si>
  <si>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</si>
  <si>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</si>
  <si>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</si>
  <si>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</si>
  <si>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</si>
  <si>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</si>
  <si>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</si>
  <si>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</si>
  <si>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</si>
  <si>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</si>
  <si>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</si>
  <si>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</si>
  <si>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</si>
  <si>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</si>
  <si>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</si>
  <si>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</si>
  <si>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</si>
  <si>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</si>
  <si>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</si>
  <si>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</si>
  <si>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</si>
  <si>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</si>
  <si>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</si>
  <si>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</si>
  <si>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</si>
  <si>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</si>
  <si>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</si>
  <si>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</si>
  <si>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</si>
  <si>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</si>
  <si>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</si>
  <si>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</si>
  <si>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</si>
  <si>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</si>
  <si>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</si>
  <si>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</si>
  <si>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</si>
  <si>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</si>
  <si>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</si>
  <si>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</si>
  <si>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</si>
  <si>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</si>
  <si>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</si>
  <si>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</si>
  <si>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</si>
  <si>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</si>
  <si>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</si>
  <si>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</si>
  <si>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</si>
  <si>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</si>
  <si>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</si>
  <si>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</si>
  <si>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</si>
  <si>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</si>
  <si>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</si>
  <si>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</si>
  <si>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</si>
  <si>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</si>
  <si>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</si>
  <si>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</si>
  <si>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</si>
  <si>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</si>
  <si>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</si>
  <si>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</si>
  <si>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</si>
  <si>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</si>
  <si>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</si>
  <si>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</si>
  <si>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</si>
  <si>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</si>
  <si>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</si>
  <si>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</si>
  <si>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</si>
  <si>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</si>
  <si>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</si>
  <si>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</si>
  <si>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</si>
  <si>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</si>
  <si>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</si>
  <si>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</si>
  <si>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</si>
  <si>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</si>
  <si>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</si>
  <si>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</si>
  <si>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</si>
  <si>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</si>
  <si>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</si>
  <si>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</si>
  <si>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</si>
  <si>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</si>
  <si>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</si>
  <si>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</si>
  <si>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</si>
  <si>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</si>
  <si>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</si>
  <si>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</si>
  <si>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</si>
  <si>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</si>
  <si>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</si>
  <si>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</si>
  <si>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</si>
  <si>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</si>
  <si>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</si>
  <si>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</si>
  <si>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</si>
  <si>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</si>
  <si>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</si>
  <si>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</si>
  <si>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</si>
  <si>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</si>
  <si>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</si>
  <si>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</si>
  <si>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</si>
  <si>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</si>
  <si>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</si>
  <si>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</si>
  <si>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</si>
  <si>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</si>
  <si>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</si>
  <si>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</si>
  <si>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</si>
  <si>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</si>
  <si>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</si>
  <si>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</si>
  <si>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</si>
  <si>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</si>
  <si>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</si>
  <si>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</si>
  <si>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</si>
  <si>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</si>
  <si>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</si>
  <si>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</si>
  <si>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</si>
  <si>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</si>
  <si>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</si>
  <si>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</si>
  <si>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</si>
  <si>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</si>
  <si>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</si>
  <si>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</si>
  <si>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</si>
  <si>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</si>
  <si>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</si>
  <si>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</si>
  <si>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</si>
  <si>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</si>
  <si>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</si>
  <si>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</si>
  <si>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</si>
  <si>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</si>
  <si>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</si>
  <si>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</si>
  <si>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</si>
  <si>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</si>
  <si>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</si>
  <si>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</si>
  <si>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</si>
  <si>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</si>
  <si>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</si>
  <si>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</si>
  <si>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</si>
  <si>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</si>
  <si>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</si>
  <si>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</si>
  <si>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</si>
  <si>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</si>
  <si>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</si>
  <si>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</si>
  <si>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</si>
  <si>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</si>
  <si>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</si>
  <si>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</si>
  <si>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</si>
  <si>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</si>
  <si>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</si>
  <si>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</si>
  <si>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</si>
  <si>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</si>
  <si>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</si>
  <si>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</si>
  <si>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</si>
  <si>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</si>
  <si>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</si>
  <si>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</si>
  <si>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</si>
  <si>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</si>
  <si>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</si>
  <si>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</si>
  <si>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</si>
  <si>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</si>
  <si>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</si>
  <si>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</si>
  <si>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</si>
  <si>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</si>
  <si>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</si>
  <si>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</si>
  <si>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</si>
  <si>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</si>
  <si>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</si>
  <si>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</si>
  <si>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</si>
  <si>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</si>
  <si>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</si>
  <si>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</si>
  <si>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</si>
  <si>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</si>
  <si>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</si>
  <si>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</si>
  <si>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</si>
  <si>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</si>
  <si>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</si>
  <si>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</si>
  <si>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</si>
  <si>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</si>
  <si>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</si>
  <si>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</si>
  <si>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</si>
  <si>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</si>
  <si>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</si>
  <si>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</si>
  <si>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</si>
  <si>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</si>
  <si>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</si>
  <si>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</si>
  <si>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</si>
  <si>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</si>
  <si>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</si>
  <si>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</si>
  <si>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</si>
  <si>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</si>
  <si>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</si>
  <si>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</si>
  <si>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</si>
  <si>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</si>
  <si>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</si>
  <si>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</si>
  <si>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</si>
  <si>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</si>
  <si>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</si>
  <si>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</si>
  <si>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</si>
  <si>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</si>
  <si>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</si>
  <si>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</si>
  <si>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</si>
  <si>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</si>
  <si>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</si>
  <si>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</si>
  <si>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</si>
  <si>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</si>
  <si>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</si>
  <si>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</si>
  <si>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</si>
  <si>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</si>
  <si>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</si>
  <si>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</si>
  <si>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</si>
  <si>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</si>
  <si>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</si>
  <si>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</si>
  <si>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</si>
  <si>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</si>
  <si>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</si>
  <si>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</si>
  <si>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</si>
  <si>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</si>
  <si>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</si>
  <si>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</si>
  <si>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</si>
  <si>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</si>
  <si>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</si>
  <si>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</si>
  <si>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</si>
  <si>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</si>
  <si>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</si>
  <si>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</si>
  <si>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</si>
  <si>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</si>
  <si>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</si>
  <si>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</si>
  <si>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</si>
  <si>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</si>
  <si>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</si>
  <si>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</si>
  <si>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</si>
  <si>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</si>
  <si>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</si>
  <si>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</si>
  <si>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</si>
  <si>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</si>
  <si>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</si>
  <si>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</si>
  <si>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</si>
  <si>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</si>
  <si>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</si>
  <si>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</si>
  <si>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</si>
  <si>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</si>
  <si>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</si>
  <si>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</si>
  <si>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</si>
  <si>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</si>
  <si>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</si>
  <si>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</si>
  <si>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</si>
  <si>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</si>
  <si>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</si>
  <si>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</si>
  <si>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</si>
  <si>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</si>
  <si>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</si>
  <si>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</si>
  <si>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</si>
  <si>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</si>
  <si>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</si>
  <si>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</si>
  <si>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</si>
  <si>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</si>
  <si>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</si>
  <si>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</si>
  <si>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</si>
  <si>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</si>
  <si>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</si>
  <si>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</si>
  <si>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</si>
  <si>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</si>
  <si>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</si>
  <si>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</si>
  <si>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</si>
  <si>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</si>
  <si>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</si>
  <si>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</si>
  <si>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</si>
  <si>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</si>
  <si>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</si>
  <si>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</si>
  <si>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</si>
  <si>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</si>
  <si>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</si>
  <si>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</si>
  <si>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</si>
  <si>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</si>
  <si>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</si>
  <si>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</si>
  <si>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</si>
  <si>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</si>
  <si>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</si>
  <si>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</si>
  <si>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</si>
  <si>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</si>
  <si>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</si>
  <si>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</si>
  <si>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</si>
  <si>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</si>
  <si>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</si>
  <si>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</si>
  <si>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</si>
  <si>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</si>
  <si>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</si>
  <si>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</si>
  <si>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</si>
  <si>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</si>
  <si>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</si>
  <si>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</si>
  <si>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</si>
  <si>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</si>
  <si>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</si>
  <si>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</si>
  <si>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</si>
  <si>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</si>
  <si>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</si>
  <si>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</si>
  <si>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</si>
  <si>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</si>
  <si>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</si>
  <si>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</si>
  <si>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</si>
  <si>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</si>
  <si>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</si>
  <si>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</si>
  <si>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</si>
  <si>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</si>
  <si>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</si>
  <si>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</si>
  <si>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</si>
  <si>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</si>
  <si>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</si>
  <si>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</si>
  <si>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</si>
  <si>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</si>
  <si>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</si>
  <si>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</si>
  <si>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</si>
  <si>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</si>
  <si>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</si>
  <si>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</si>
  <si>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</si>
  <si>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</si>
  <si>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</si>
  <si>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</si>
  <si>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</si>
  <si>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</si>
  <si>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</si>
  <si>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</si>
  <si>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</si>
  <si>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</si>
  <si>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</si>
  <si>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</si>
  <si>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</si>
  <si>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</si>
  <si>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</si>
  <si>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</si>
  <si>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</si>
  <si>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</si>
  <si>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</si>
  <si>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</si>
  <si>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</si>
  <si>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</si>
  <si>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</si>
  <si>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</si>
  <si>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</si>
  <si>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</si>
  <si>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</si>
  <si>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</si>
  <si>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</si>
  <si>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</si>
  <si>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</si>
  <si>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</si>
  <si>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</si>
  <si>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</si>
  <si>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</si>
  <si>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</si>
  <si>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</si>
  <si>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</si>
  <si>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</si>
  <si>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</si>
  <si>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</si>
  <si>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</si>
  <si>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</si>
  <si>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</si>
  <si>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</si>
  <si>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</si>
  <si>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</si>
  <si>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</si>
  <si>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</si>
  <si>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</si>
  <si>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</si>
  <si>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</si>
  <si>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</si>
  <si>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</si>
  <si>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</si>
  <si>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</si>
  <si>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</si>
  <si>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</si>
  <si>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</si>
  <si>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</si>
  <si>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</si>
  <si>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</si>
  <si>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</si>
  <si>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</si>
  <si>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</si>
  <si>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</si>
  <si>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</si>
  <si>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</si>
  <si>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</si>
  <si>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</si>
  <si>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</si>
  <si>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</si>
  <si>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</si>
  <si>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</si>
  <si>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</si>
  <si>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</si>
  <si>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</si>
  <si>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</si>
  <si>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</si>
  <si>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</si>
  <si>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</si>
  <si>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</si>
  <si>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</si>
  <si>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</si>
  <si>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</si>
  <si>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</si>
  <si>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</si>
  <si>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</si>
  <si>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</si>
  <si>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</si>
  <si>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</si>
  <si>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</si>
  <si>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</si>
  <si>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</si>
  <si>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</si>
  <si>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</si>
  <si>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</si>
  <si>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</si>
  <si>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</si>
  <si>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</si>
  <si>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</si>
  <si>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</si>
  <si>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</si>
  <si>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</si>
  <si>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</si>
  <si>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</si>
  <si>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</si>
  <si>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</si>
  <si>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</si>
  <si>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</si>
  <si>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</si>
  <si>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</si>
  <si>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</si>
  <si>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</si>
  <si>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</si>
  <si>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</si>
  <si>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</si>
  <si>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</si>
  <si>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</si>
  <si>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</si>
  <si>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</si>
  <si>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</si>
  <si>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</si>
  <si>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</si>
  <si>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</si>
  <si>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</si>
  <si>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</si>
  <si>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</si>
  <si>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</si>
  <si>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</si>
  <si>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</si>
  <si>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</si>
  <si>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</si>
  <si>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</si>
  <si>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</si>
  <si>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</si>
  <si>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</si>
  <si>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</si>
  <si>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</si>
  <si>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</si>
  <si>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</si>
  <si>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</si>
  <si>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</si>
  <si>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</si>
  <si>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</si>
  <si>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</si>
  <si>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</si>
  <si>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</si>
  <si>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</si>
  <si>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</si>
  <si>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</si>
  <si>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</si>
  <si>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</si>
  <si>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</si>
  <si>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</si>
  <si>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</si>
  <si>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</si>
  <si>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</si>
  <si>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</si>
  <si>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</si>
  <si>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</si>
  <si>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</si>
  <si>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</si>
  <si>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</si>
  <si>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</si>
  <si>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</si>
  <si>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</si>
  <si>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</si>
  <si>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</si>
  <si>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</si>
  <si>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</si>
  <si>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</si>
  <si>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</si>
  <si>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</si>
  <si>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</si>
  <si>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</si>
  <si>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</si>
  <si>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</si>
  <si>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</si>
  <si>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</si>
  <si>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</si>
  <si>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</si>
  <si>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</si>
  <si>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</si>
  <si>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</si>
  <si>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</si>
  <si>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</si>
  <si>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</si>
  <si>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</si>
  <si>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</si>
  <si>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</si>
  <si>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</si>
  <si>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</si>
  <si>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</si>
  <si>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</si>
  <si>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</si>
  <si>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</si>
  <si>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</si>
  <si>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</si>
  <si>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</si>
  <si>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</si>
  <si>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</si>
  <si>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</si>
  <si>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</si>
  <si>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</si>
  <si>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</si>
  <si>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</si>
  <si>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</si>
  <si>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</si>
  <si>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</si>
  <si>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</si>
  <si>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</si>
  <si>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</si>
  <si>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</si>
  <si>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</si>
  <si>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</si>
  <si>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</si>
  <si>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</si>
  <si>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</si>
  <si>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</si>
  <si>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</si>
  <si>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</si>
  <si>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</si>
  <si>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</si>
  <si>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</si>
  <si>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</si>
  <si>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</si>
  <si>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</si>
  <si>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</si>
  <si>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</si>
  <si>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</si>
  <si>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</si>
  <si>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</si>
  <si>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</si>
  <si>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</si>
  <si>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</si>
  <si>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</si>
  <si>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</si>
  <si>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</si>
  <si>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</si>
  <si>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</si>
  <si>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</si>
  <si>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</si>
  <si>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</si>
  <si>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</si>
  <si>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</si>
  <si>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</si>
  <si>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</si>
  <si>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</si>
  <si>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</si>
  <si>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</si>
  <si>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</si>
  <si>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</si>
  <si>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</si>
  <si>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</si>
  <si>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</si>
  <si>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</si>
  <si>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</si>
  <si>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</si>
  <si>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</si>
  <si>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</si>
  <si>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</si>
  <si>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</si>
  <si>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</si>
  <si>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</si>
  <si>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</si>
  <si>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</si>
  <si>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</si>
  <si>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</si>
  <si>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</si>
  <si>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</si>
  <si>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</si>
  <si>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</si>
  <si>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</si>
  <si>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</si>
  <si>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</si>
  <si>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</si>
  <si>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</si>
  <si>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</si>
  <si>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</si>
  <si>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</si>
  <si>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</si>
  <si>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</si>
  <si>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</si>
  <si>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</si>
  <si>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</si>
  <si>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</si>
  <si>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</si>
  <si>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</si>
  <si>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</si>
  <si>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</si>
  <si>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</si>
  <si>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</si>
  <si>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</si>
  <si>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</si>
  <si>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</si>
  <si>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</si>
  <si>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</si>
  <si>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</si>
  <si>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</si>
  <si>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</si>
  <si>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</si>
  <si>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</si>
  <si>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</si>
  <si>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</si>
  <si>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</si>
  <si>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</si>
  <si>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</si>
  <si>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</si>
  <si>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</si>
  <si>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</si>
  <si>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</si>
  <si>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</si>
  <si>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</si>
  <si>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</si>
  <si>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</si>
  <si>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</si>
  <si>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</si>
  <si>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</si>
  <si>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</si>
  <si>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</si>
  <si>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</si>
  <si>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</si>
  <si>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</si>
  <si>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</si>
  <si>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</si>
  <si>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</si>
  <si>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</si>
  <si>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</si>
  <si>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</si>
  <si>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</si>
  <si>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</si>
  <si>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</si>
  <si>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</si>
  <si>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</si>
  <si>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</si>
  <si>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</si>
  <si>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</si>
  <si>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</si>
  <si>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</si>
  <si>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</si>
  <si>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</si>
  <si>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</si>
  <si>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</si>
  <si>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</si>
  <si>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</si>
  <si>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</si>
  <si>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</si>
  <si>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</si>
  <si>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</si>
  <si>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</si>
  <si>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</si>
  <si>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</si>
  <si>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</si>
  <si>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</si>
  <si>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</si>
  <si>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</si>
  <si>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</si>
  <si>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</si>
  <si>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</si>
  <si>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</si>
  <si>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</si>
  <si>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</si>
  <si>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</si>
  <si>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</si>
  <si>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</si>
  <si>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</si>
  <si>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</si>
  <si>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</si>
  <si>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</si>
  <si>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</si>
  <si>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</si>
  <si>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</si>
  <si>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</si>
  <si>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</si>
  <si>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</si>
  <si>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</si>
  <si>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</si>
  <si>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</si>
  <si>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</si>
  <si>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</si>
  <si>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</si>
  <si>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</si>
  <si>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</si>
  <si>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</si>
  <si>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</si>
  <si>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</si>
  <si>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</si>
  <si>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</si>
  <si>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</si>
  <si>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</si>
  <si>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</si>
  <si>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</si>
  <si>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</si>
  <si>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</si>
  <si>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</si>
  <si>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</si>
  <si>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</si>
  <si>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</si>
  <si>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</si>
  <si>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</si>
  <si>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</si>
  <si>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</si>
  <si>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</si>
  <si>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</si>
  <si>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</si>
  <si>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</si>
  <si>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</si>
  <si>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</si>
  <si>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</si>
  <si>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</si>
  <si>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</si>
  <si>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</si>
  <si>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</si>
  <si>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</si>
  <si>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</si>
  <si>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</si>
  <si>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</si>
  <si>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</si>
  <si>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</si>
  <si>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</si>
  <si>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</si>
  <si>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</si>
  <si>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</si>
  <si>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</si>
  <si>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</si>
  <si>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</si>
  <si>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</si>
  <si>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</si>
  <si>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</si>
  <si>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</si>
  <si>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</si>
  <si>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</si>
  <si>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</si>
  <si>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</si>
  <si>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</si>
  <si>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</si>
  <si>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</si>
  <si>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www.wastedataflow.org</t>
  </si>
  <si>
    <t>Recycling rate</t>
  </si>
  <si>
    <t>D</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</si>
</sst>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4" fillId="23" borderId="0" xfId="0" quotePrefix="1" applyNumberFormat="1" applyFont="1" applyFill="1" applyAlignment="1">
      <alignment horizontal="center"/>
    </xf>
    <xf numFmtId="0" fontId="7"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7" fillId="0" borderId="0" xfId="0" applyFont="1" applyAlignment="1">
      <alignment horizontal="left"/>
    </xf>
    <xf numFmtId="2" fontId="0" fillId="0" borderId="0" xfId="4" applyNumberFormat="1"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2" fontId="7" fillId="0" borderId="0" xfId="4" applyNumberFormat="1" applyFont="1" applyAlignment="1">
      <alignment horizontal="right"/>
    </xf>
    <xf numFmtId="1" fontId="0" fillId="0" borderId="0" xfId="0" applyNumberFormat="1" applyAlignment="1">
      <alignment horizontal="center"/>
    </xf>
    <xf numFmtId="0" fontId="22" fillId="23" borderId="0" xfId="0" applyFont="1" applyFill="1" applyAlignment="1">
      <alignment horizontal="center" vertical="center"/>
    </xf>
    <xf numFmtId="0" fontId="38" fillId="23" borderId="0" xfId="0" applyFont="1" applyFill="1" applyAlignment="1">
      <alignment horizontal="center" vertical="center"/>
    </xf>
    <xf numFmtId="0" fontId="19" fillId="0" borderId="0" xfId="0" applyFont="1" applyAlignment="1">
      <alignment horizont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7" fillId="23" borderId="0" xfId="0" applyFont="1" applyFill="1" applyAlignment="1">
      <alignment horizontal="center" vertical="center"/>
    </xf>
    <xf numFmtId="0" fontId="9" fillId="2" borderId="4" xfId="0" applyFont="1" applyFill="1" applyBorder="1" applyAlignment="1">
      <alignment horizontal="center"/>
    </xf>
    <xf numFmtId="1" fontId="8" fillId="0" borderId="4" xfId="4" applyNumberFormat="1" applyFont="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7"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2" fontId="7" fillId="21" borderId="0" xfId="4" applyNumberFormat="1" applyFont="1" applyFill="1" applyAlignment="1">
      <alignment horizontal="center"/>
    </xf>
    <xf numFmtId="0" fontId="7" fillId="21" borderId="0" xfId="0"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6"/>
                <c:pt idx="5">
                  <c:v>u</c:v>
                </c:pt>
              </c:strCache>
            </c:strRef>
          </c:cat>
          <c:val>
            <c:numRef>
              <c:f>[0]!TopQuart</c:f>
              <c:numCache>
                <c:formatCode>General</c:formatCode>
                <c:ptCount val="55"/>
                <c:pt idx="0">
                  <c:v>58.829808990422791</c:v>
                </c:pt>
                <c:pt idx="1">
                  <c:v>58.242844134142445</c:v>
                </c:pt>
                <c:pt idx="2">
                  <c:v>57.460052905136394</c:v>
                </c:pt>
                <c:pt idx="3">
                  <c:v>55.642925601097829</c:v>
                </c:pt>
                <c:pt idx="4">
                  <c:v>54.567311231083352</c:v>
                </c:pt>
                <c:pt idx="5">
                  <c:v>52.732715809009242</c:v>
                </c:pt>
                <c:pt idx="6">
                  <c:v>52.232455565470282</c:v>
                </c:pt>
                <c:pt idx="7">
                  <c:v>51.205970565669247</c:v>
                </c:pt>
                <c:pt idx="8">
                  <c:v>50.682524587427736</c:v>
                </c:pt>
                <c:pt idx="9">
                  <c:v>50.235683517795373</c:v>
                </c:pt>
                <c:pt idx="10">
                  <c:v>49.563625960536065</c:v>
                </c:pt>
                <c:pt idx="11">
                  <c:v>48.621863286363805</c:v>
                </c:pt>
                <c:pt idx="12">
                  <c:v>48.531282575289417</c:v>
                </c:pt>
                <c:pt idx="13">
                  <c:v>48.139441584100098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6"/>
                <c:pt idx="5">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47.29067801515184</c:v>
                </c:pt>
                <c:pt idx="15">
                  <c:v>46.600685215803281</c:v>
                </c:pt>
                <c:pt idx="16">
                  <c:v>46.564141181085851</c:v>
                </c:pt>
                <c:pt idx="17">
                  <c:v>45.489201903169594</c:v>
                </c:pt>
                <c:pt idx="18">
                  <c:v>44.38857046486153</c:v>
                </c:pt>
                <c:pt idx="19">
                  <c:v>43.958887993231833</c:v>
                </c:pt>
                <c:pt idx="20">
                  <c:v>43.897448266216713</c:v>
                </c:pt>
                <c:pt idx="21">
                  <c:v>43.739871441453495</c:v>
                </c:pt>
                <c:pt idx="22">
                  <c:v>43.723004569511154</c:v>
                </c:pt>
                <c:pt idx="23">
                  <c:v>43.662612434028858</c:v>
                </c:pt>
                <c:pt idx="24">
                  <c:v>43.504642439958893</c:v>
                </c:pt>
                <c:pt idx="25">
                  <c:v>43.091243032436694</c:v>
                </c:pt>
                <c:pt idx="26">
                  <c:v>42.728650875045147</c:v>
                </c:pt>
                <c:pt idx="27">
                  <c:v>42.652607844631532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6"/>
                <c:pt idx="5">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42.011444984246467</c:v>
                </c:pt>
                <c:pt idx="29">
                  <c:v>40.714963774323124</c:v>
                </c:pt>
                <c:pt idx="30">
                  <c:v>40.710630466772216</c:v>
                </c:pt>
                <c:pt idx="31">
                  <c:v>40.606425405078951</c:v>
                </c:pt>
                <c:pt idx="32">
                  <c:v>40.43858967351305</c:v>
                </c:pt>
                <c:pt idx="33">
                  <c:v>40.027173501729543</c:v>
                </c:pt>
                <c:pt idx="34">
                  <c:v>39.589004511820818</c:v>
                </c:pt>
                <c:pt idx="35">
                  <c:v>39.502690565788477</c:v>
                </c:pt>
                <c:pt idx="36">
                  <c:v>39.253373280478819</c:v>
                </c:pt>
                <c:pt idx="37">
                  <c:v>39.235299150687638</c:v>
                </c:pt>
                <c:pt idx="38">
                  <c:v>38.595496245153917</c:v>
                </c:pt>
                <c:pt idx="39">
                  <c:v>38.182428932161841</c:v>
                </c:pt>
                <c:pt idx="40">
                  <c:v>36.451020910806385</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6"/>
                <c:pt idx="5">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35.14781931835482</c:v>
                </c:pt>
                <c:pt idx="42">
                  <c:v>34.831571466658609</c:v>
                </c:pt>
                <c:pt idx="43">
                  <c:v>34.666756353240267</c:v>
                </c:pt>
                <c:pt idx="44">
                  <c:v>34.175723128588473</c:v>
                </c:pt>
                <c:pt idx="45">
                  <c:v>33.896626481392303</c:v>
                </c:pt>
                <c:pt idx="46">
                  <c:v>33.263194531459241</c:v>
                </c:pt>
                <c:pt idx="47">
                  <c:v>32.107323973044835</c:v>
                </c:pt>
                <c:pt idx="48">
                  <c:v>30.711762654689895</c:v>
                </c:pt>
                <c:pt idx="49">
                  <c:v>29.400485694264088</c:v>
                </c:pt>
                <c:pt idx="50">
                  <c:v>28.076358553961661</c:v>
                </c:pt>
                <c:pt idx="51">
                  <c:v>25.642376295637437</c:v>
                </c:pt>
                <c:pt idx="52">
                  <c:v>23.714063304972697</c:v>
                </c:pt>
                <c:pt idx="53">
                  <c:v>23.072572909035422</c:v>
                </c:pt>
                <c:pt idx="54">
                  <c:v>22.155958668976467</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6"/>
                <c:pt idx="5">
                  <c:v>u</c:v>
                </c:pt>
              </c:strCache>
            </c:strRef>
          </c:cat>
          <c:val>
            <c:numRef>
              <c:f>[0]!MarkData</c:f>
              <c:numCache>
                <c:formatCode>0.00</c:formatCode>
                <c:ptCount val="55"/>
                <c:pt idx="0">
                  <c:v>58.829808990422791</c:v>
                </c:pt>
                <c:pt idx="1">
                  <c:v>58.242844134142445</c:v>
                </c:pt>
                <c:pt idx="2">
                  <c:v>57.460052905136394</c:v>
                </c:pt>
                <c:pt idx="3">
                  <c:v>55.642925601097829</c:v>
                </c:pt>
                <c:pt idx="4">
                  <c:v>54.567311231083352</c:v>
                </c:pt>
                <c:pt idx="5">
                  <c:v>52.732715809009242</c:v>
                </c:pt>
                <c:pt idx="6">
                  <c:v>52.232455565470282</c:v>
                </c:pt>
                <c:pt idx="7">
                  <c:v>51.205970565669247</c:v>
                </c:pt>
                <c:pt idx="8">
                  <c:v>50.682524587427736</c:v>
                </c:pt>
                <c:pt idx="9">
                  <c:v>50.235683517795373</c:v>
                </c:pt>
                <c:pt idx="10">
                  <c:v>49.563625960536065</c:v>
                </c:pt>
                <c:pt idx="11">
                  <c:v>48.621863286363805</c:v>
                </c:pt>
                <c:pt idx="12">
                  <c:v>48.531282575289417</c:v>
                </c:pt>
                <c:pt idx="13">
                  <c:v>48.139441584100098</c:v>
                </c:pt>
                <c:pt idx="14">
                  <c:v>47.29067801515184</c:v>
                </c:pt>
                <c:pt idx="15">
                  <c:v>46.600685215803281</c:v>
                </c:pt>
                <c:pt idx="16">
                  <c:v>46.564141181085851</c:v>
                </c:pt>
                <c:pt idx="17">
                  <c:v>45.489201903169594</c:v>
                </c:pt>
                <c:pt idx="18">
                  <c:v>44.38857046486153</c:v>
                </c:pt>
                <c:pt idx="19">
                  <c:v>43.958887993231833</c:v>
                </c:pt>
                <c:pt idx="20">
                  <c:v>43.897448266216713</c:v>
                </c:pt>
                <c:pt idx="21">
                  <c:v>43.739871441453495</c:v>
                </c:pt>
                <c:pt idx="22">
                  <c:v>43.723004569511154</c:v>
                </c:pt>
                <c:pt idx="23">
                  <c:v>43.662612434028858</c:v>
                </c:pt>
                <c:pt idx="24">
                  <c:v>43.504642439958893</c:v>
                </c:pt>
                <c:pt idx="25">
                  <c:v>43.091243032436694</c:v>
                </c:pt>
                <c:pt idx="26">
                  <c:v>42.728650875045147</c:v>
                </c:pt>
                <c:pt idx="27">
                  <c:v>42.652607844631532</c:v>
                </c:pt>
                <c:pt idx="28">
                  <c:v>42.011444984246467</c:v>
                </c:pt>
                <c:pt idx="29">
                  <c:v>40.714963774323124</c:v>
                </c:pt>
                <c:pt idx="30">
                  <c:v>40.710630466772216</c:v>
                </c:pt>
                <c:pt idx="31">
                  <c:v>40.606425405078951</c:v>
                </c:pt>
                <c:pt idx="32">
                  <c:v>40.43858967351305</c:v>
                </c:pt>
                <c:pt idx="33">
                  <c:v>40.027173501729543</c:v>
                </c:pt>
                <c:pt idx="34">
                  <c:v>39.589004511820818</c:v>
                </c:pt>
                <c:pt idx="35">
                  <c:v>39.502690565788477</c:v>
                </c:pt>
                <c:pt idx="36">
                  <c:v>39.253373280478819</c:v>
                </c:pt>
                <c:pt idx="37">
                  <c:v>39.235299150687638</c:v>
                </c:pt>
                <c:pt idx="38">
                  <c:v>38.595496245153917</c:v>
                </c:pt>
                <c:pt idx="39">
                  <c:v>38.182428932161841</c:v>
                </c:pt>
                <c:pt idx="40">
                  <c:v>36.451020910806385</c:v>
                </c:pt>
                <c:pt idx="41">
                  <c:v>35.14781931835482</c:v>
                </c:pt>
                <c:pt idx="42">
                  <c:v>34.831571466658609</c:v>
                </c:pt>
                <c:pt idx="43">
                  <c:v>34.666756353240267</c:v>
                </c:pt>
                <c:pt idx="44">
                  <c:v>34.175723128588473</c:v>
                </c:pt>
                <c:pt idx="45">
                  <c:v>33.896626481392303</c:v>
                </c:pt>
                <c:pt idx="46">
                  <c:v>33.263194531459241</c:v>
                </c:pt>
                <c:pt idx="47">
                  <c:v>32.107323973044835</c:v>
                </c:pt>
                <c:pt idx="48">
                  <c:v>30.711762654689895</c:v>
                </c:pt>
                <c:pt idx="49">
                  <c:v>29.400485694264088</c:v>
                </c:pt>
                <c:pt idx="50">
                  <c:v>28.076358553961661</c:v>
                </c:pt>
                <c:pt idx="51">
                  <c:v>25.642376295637437</c:v>
                </c:pt>
                <c:pt idx="52">
                  <c:v>23.714063304972697</c:v>
                </c:pt>
                <c:pt idx="53">
                  <c:v>23.072572909035422</c:v>
                </c:pt>
                <c:pt idx="54">
                  <c:v>22.155958668976467</c:v>
                </c:pt>
              </c:numCache>
            </c:numRef>
          </c:val>
        </c:ser>
        <c:dLbls>
          <c:showLegendKey val="0"/>
          <c:showVal val="0"/>
          <c:showCatName val="0"/>
          <c:showSerName val="0"/>
          <c:showPercent val="0"/>
          <c:showBubbleSize val="0"/>
        </c:dLbls>
        <c:gapWidth val="0"/>
        <c:overlap val="100"/>
        <c:axId val="549898728"/>
        <c:axId val="549899512"/>
      </c:barChart>
      <c:catAx>
        <c:axId val="549898728"/>
        <c:scaling>
          <c:orientation val="minMax"/>
        </c:scaling>
        <c:delete val="0"/>
        <c:axPos val="b"/>
        <c:numFmt formatCode="General" sourceLinked="1"/>
        <c:majorTickMark val="none"/>
        <c:minorTickMark val="none"/>
        <c:tickLblPos val="none"/>
        <c:crossAx val="549899512"/>
        <c:crosses val="autoZero"/>
        <c:auto val="1"/>
        <c:lblAlgn val="ctr"/>
        <c:lblOffset val="100"/>
        <c:noMultiLvlLbl val="0"/>
      </c:catAx>
      <c:valAx>
        <c:axId val="549899512"/>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549898728"/>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Cheshire East</c:v>
                </c:pt>
                <c:pt idx="1">
                  <c:v>Unitaries</c:v>
                </c:pt>
                <c:pt idx="2">
                  <c:v>Family</c:v>
                </c:pt>
                <c:pt idx="3">
                  <c:v>Regional</c:v>
                </c:pt>
                <c:pt idx="4">
                  <c:v>Rural</c:v>
                </c:pt>
              </c:strCache>
            </c:strRef>
          </c:cat>
          <c:val>
            <c:numRef>
              <c:f>Profile!$E$48:$E$52</c:f>
              <c:numCache>
                <c:formatCode>0.00</c:formatCode>
                <c:ptCount val="5"/>
                <c:pt idx="0">
                  <c:v>52.732715809009242</c:v>
                </c:pt>
                <c:pt idx="1">
                  <c:v>41.712034304126696</c:v>
                </c:pt>
                <c:pt idx="2">
                  <c:v>49.553069203006302</c:v>
                </c:pt>
                <c:pt idx="3">
                  <c:v>46.629315819839128</c:v>
                </c:pt>
                <c:pt idx="4">
                  <c:v>47.540279526818921</c:v>
                </c:pt>
              </c:numCache>
            </c:numRef>
          </c:val>
        </c:ser>
        <c:dLbls>
          <c:showLegendKey val="0"/>
          <c:showVal val="0"/>
          <c:showCatName val="0"/>
          <c:showSerName val="0"/>
          <c:showPercent val="0"/>
          <c:showBubbleSize val="0"/>
        </c:dLbls>
        <c:gapWidth val="39"/>
        <c:overlap val="100"/>
        <c:axId val="549900296"/>
        <c:axId val="5499006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47.715059799625969</c:v>
                </c:pt>
                <c:pt idx="1">
                  <c:v>47.715059799625969</c:v>
                </c:pt>
                <c:pt idx="2">
                  <c:v>47.715059799625969</c:v>
                </c:pt>
                <c:pt idx="3">
                  <c:v>47.715059799625969</c:v>
                </c:pt>
                <c:pt idx="4">
                  <c:v>47.715059799625969</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42.652607844631532</c:v>
                </c:pt>
                <c:pt idx="1">
                  <c:v>42.652607844631532</c:v>
                </c:pt>
                <c:pt idx="2">
                  <c:v>42.652607844631532</c:v>
                </c:pt>
                <c:pt idx="3">
                  <c:v>42.652607844631532</c:v>
                </c:pt>
                <c:pt idx="4">
                  <c:v>42.652607844631532</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35.799420114580599</c:v>
                </c:pt>
                <c:pt idx="1">
                  <c:v>35.799420114580599</c:v>
                </c:pt>
                <c:pt idx="2">
                  <c:v>35.799420114580599</c:v>
                </c:pt>
                <c:pt idx="3">
                  <c:v>35.799420114580599</c:v>
                </c:pt>
                <c:pt idx="4">
                  <c:v>35.799420114580599</c:v>
                </c:pt>
              </c:numCache>
            </c:numRef>
          </c:val>
          <c:smooth val="0"/>
        </c:ser>
        <c:dLbls>
          <c:showLegendKey val="0"/>
          <c:showVal val="0"/>
          <c:showCatName val="0"/>
          <c:showSerName val="0"/>
          <c:showPercent val="0"/>
          <c:showBubbleSize val="0"/>
        </c:dLbls>
        <c:marker val="1"/>
        <c:smooth val="0"/>
        <c:axId val="549900296"/>
        <c:axId val="549900688"/>
      </c:lineChart>
      <c:catAx>
        <c:axId val="5499002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9900688"/>
        <c:crosses val="autoZero"/>
        <c:auto val="1"/>
        <c:lblAlgn val="ctr"/>
        <c:lblOffset val="100"/>
        <c:noMultiLvlLbl val="0"/>
      </c:catAx>
      <c:valAx>
        <c:axId val="5499006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9900296"/>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52.732715809009242</c:v>
                </c:pt>
                <c:pt idx="1">
                  <c:v>45.973608120858444</c:v>
                </c:pt>
                <c:pt idx="2">
                  <c:v>38.927125691055195</c:v>
                </c:pt>
                <c:pt idx="3">
                  <c:v>47.012376659471165</c:v>
                </c:pt>
              </c:numCache>
            </c:numRef>
          </c:val>
        </c:ser>
        <c:dLbls>
          <c:showLegendKey val="0"/>
          <c:showVal val="0"/>
          <c:showCatName val="0"/>
          <c:showSerName val="0"/>
          <c:showPercent val="0"/>
          <c:showBubbleSize val="0"/>
        </c:dLbls>
        <c:gapWidth val="39"/>
        <c:overlap val="100"/>
        <c:axId val="549901472"/>
        <c:axId val="5504919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47.715059799625969</c:v>
                </c:pt>
                <c:pt idx="1">
                  <c:v>47.715059799625969</c:v>
                </c:pt>
                <c:pt idx="2">
                  <c:v>47.715059799625969</c:v>
                </c:pt>
                <c:pt idx="3">
                  <c:v>47.715059799625969</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42.652607844631532</c:v>
                </c:pt>
                <c:pt idx="1">
                  <c:v>42.652607844631532</c:v>
                </c:pt>
                <c:pt idx="2">
                  <c:v>42.652607844631532</c:v>
                </c:pt>
                <c:pt idx="3">
                  <c:v>42.652607844631532</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35.799420114580599</c:v>
                </c:pt>
                <c:pt idx="1">
                  <c:v>35.799420114580599</c:v>
                </c:pt>
                <c:pt idx="2">
                  <c:v>35.799420114580599</c:v>
                </c:pt>
                <c:pt idx="3">
                  <c:v>35.799420114580599</c:v>
                </c:pt>
              </c:numCache>
            </c:numRef>
          </c:val>
          <c:smooth val="0"/>
        </c:ser>
        <c:dLbls>
          <c:showLegendKey val="0"/>
          <c:showVal val="0"/>
          <c:showCatName val="0"/>
          <c:showSerName val="0"/>
          <c:showPercent val="0"/>
          <c:showBubbleSize val="0"/>
        </c:dLbls>
        <c:marker val="1"/>
        <c:smooth val="0"/>
        <c:axId val="549901472"/>
        <c:axId val="550491944"/>
      </c:lineChart>
      <c:catAx>
        <c:axId val="54990147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50491944"/>
        <c:crosses val="autoZero"/>
        <c:auto val="1"/>
        <c:lblAlgn val="ctr"/>
        <c:lblOffset val="100"/>
        <c:noMultiLvlLbl val="0"/>
      </c:catAx>
      <c:valAx>
        <c:axId val="5504919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990147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6" sqref="W6:AM10"/>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7" t="str">
        <f>VLOOKUP('Filtered Data'!D1,'Filtered Data'!L1:O6,3,FALSE)</f>
        <v>Unitary</v>
      </c>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row>
    <row r="2" spans="2:40"/>
    <row r="3" spans="2:40" ht="19.5" customHeight="1">
      <c r="B3" s="320" t="str">
        <f>Data!B3</f>
        <v>Recycling rate</v>
      </c>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row>
    <row r="4" spans="2:40">
      <c r="D4" s="3"/>
      <c r="E4" s="3"/>
    </row>
    <row r="5" spans="2:40" ht="15.75" customHeight="1">
      <c r="B5" s="342" t="s">
        <v>335</v>
      </c>
      <c r="C5" s="342"/>
      <c r="D5" s="342"/>
      <c r="E5" s="342"/>
      <c r="J5" s="345" t="s">
        <v>305</v>
      </c>
      <c r="K5" s="345"/>
      <c r="L5" s="345"/>
      <c r="M5" s="345"/>
      <c r="N5" s="345"/>
      <c r="O5" s="345"/>
      <c r="P5" s="345"/>
      <c r="Q5" s="345"/>
      <c r="R5" s="345"/>
      <c r="S5" s="345"/>
      <c r="W5" s="325" t="s">
        <v>365</v>
      </c>
      <c r="X5" s="326"/>
      <c r="Y5" s="326"/>
      <c r="Z5" s="326"/>
      <c r="AA5" s="326"/>
      <c r="AB5" s="326"/>
      <c r="AC5" s="326"/>
      <c r="AD5" s="326"/>
      <c r="AE5" s="326"/>
      <c r="AF5" s="326"/>
      <c r="AG5" s="326"/>
      <c r="AH5" s="326"/>
      <c r="AI5" s="326"/>
      <c r="AJ5" s="326"/>
      <c r="AK5" s="326"/>
      <c r="AL5" s="326"/>
      <c r="AM5" s="327"/>
    </row>
    <row r="6" spans="2:40" ht="17.25" customHeight="1">
      <c r="J6" s="345"/>
      <c r="K6" s="345"/>
      <c r="L6" s="345"/>
      <c r="M6" s="345"/>
      <c r="N6" s="345"/>
      <c r="O6" s="345"/>
      <c r="P6" s="345"/>
      <c r="Q6" s="345"/>
      <c r="R6" s="345"/>
      <c r="S6" s="345"/>
      <c r="W6" s="328" t="s">
        <v>858</v>
      </c>
      <c r="X6" s="329"/>
      <c r="Y6" s="329"/>
      <c r="Z6" s="329"/>
      <c r="AA6" s="329"/>
      <c r="AB6" s="329"/>
      <c r="AC6" s="329"/>
      <c r="AD6" s="329"/>
      <c r="AE6" s="329"/>
      <c r="AF6" s="329"/>
      <c r="AG6" s="329"/>
      <c r="AH6" s="329"/>
      <c r="AI6" s="329"/>
      <c r="AJ6" s="329"/>
      <c r="AK6" s="329"/>
      <c r="AL6" s="329"/>
      <c r="AM6" s="330"/>
    </row>
    <row r="7" spans="2:40" ht="12.75" customHeight="1">
      <c r="W7" s="328"/>
      <c r="X7" s="329"/>
      <c r="Y7" s="329"/>
      <c r="Z7" s="329"/>
      <c r="AA7" s="329"/>
      <c r="AB7" s="329"/>
      <c r="AC7" s="329"/>
      <c r="AD7" s="329"/>
      <c r="AE7" s="329"/>
      <c r="AF7" s="329"/>
      <c r="AG7" s="329"/>
      <c r="AH7" s="329"/>
      <c r="AI7" s="329"/>
      <c r="AJ7" s="329"/>
      <c r="AK7" s="329"/>
      <c r="AL7" s="329"/>
      <c r="AM7" s="330"/>
    </row>
    <row r="8" spans="2:40" ht="12.75" customHeight="1">
      <c r="B8" s="346" t="str">
        <f>IF('Filtered Data'!D1="L","County:","Type of Authority:")</f>
        <v>Type of Authority:</v>
      </c>
      <c r="C8" s="347"/>
      <c r="D8" s="347"/>
      <c r="E8" s="347"/>
      <c r="F8" s="347"/>
      <c r="G8" s="347"/>
      <c r="H8" s="347"/>
      <c r="I8" s="347"/>
      <c r="J8" s="79" t="str">
        <f>IF('Filtered Data'!D1="L",'Filtered Data'!I3,VLOOKUP('Filtered Data'!D1,'Filtered Data'!L1:O5,3,FALSE))</f>
        <v>Unitary</v>
      </c>
      <c r="K8" s="79"/>
      <c r="L8" s="79"/>
      <c r="M8" s="79"/>
      <c r="N8" s="79"/>
      <c r="O8" s="79"/>
      <c r="P8" s="79"/>
      <c r="Q8" s="79"/>
      <c r="R8" s="79"/>
      <c r="W8" s="328"/>
      <c r="X8" s="329"/>
      <c r="Y8" s="329"/>
      <c r="Z8" s="329"/>
      <c r="AA8" s="329"/>
      <c r="AB8" s="329"/>
      <c r="AC8" s="329"/>
      <c r="AD8" s="329"/>
      <c r="AE8" s="329"/>
      <c r="AF8" s="329"/>
      <c r="AG8" s="329"/>
      <c r="AH8" s="329"/>
      <c r="AI8" s="329"/>
      <c r="AJ8" s="329"/>
      <c r="AK8" s="329"/>
      <c r="AL8" s="329"/>
      <c r="AM8" s="330"/>
    </row>
    <row r="9" spans="2:40" ht="12.75" customHeight="1">
      <c r="B9" s="346" t="str">
        <f>IF('Filtered Data'!D1="L","Rural Classification:","Region:")</f>
        <v>Region:</v>
      </c>
      <c r="C9" s="347"/>
      <c r="D9" s="347"/>
      <c r="E9" s="347"/>
      <c r="F9" s="347"/>
      <c r="G9" s="347"/>
      <c r="H9" s="347"/>
      <c r="I9" s="347"/>
      <c r="J9" s="79" t="str">
        <f>IF('Filtered Data'!D1="L",'Filtered Data'!H3,'Filtered Data'!G3)</f>
        <v>North West</v>
      </c>
      <c r="K9" s="79"/>
      <c r="L9" s="79"/>
      <c r="M9" s="79"/>
      <c r="N9" s="79"/>
      <c r="O9" s="79"/>
      <c r="P9" s="79"/>
      <c r="Q9" s="79"/>
      <c r="R9" s="79"/>
      <c r="W9" s="328"/>
      <c r="X9" s="329"/>
      <c r="Y9" s="329"/>
      <c r="Z9" s="329"/>
      <c r="AA9" s="329"/>
      <c r="AB9" s="329"/>
      <c r="AC9" s="329"/>
      <c r="AD9" s="329"/>
      <c r="AE9" s="329"/>
      <c r="AF9" s="329"/>
      <c r="AG9" s="329"/>
      <c r="AH9" s="329"/>
      <c r="AI9" s="329"/>
      <c r="AJ9" s="329"/>
      <c r="AK9" s="329"/>
      <c r="AL9" s="329"/>
      <c r="AM9" s="330"/>
    </row>
    <row r="10" spans="2:40" ht="12.75" customHeight="1">
      <c r="B10" s="347" t="str">
        <f>IF('Filtered Data'!D1="L","",IF('Filtered Data'!D1="SC","Rural Classification:",IF('Filtered Data'!D1="UA","Rural Classification:","County:")))</f>
        <v>Rural Classification:</v>
      </c>
      <c r="C10" s="347"/>
      <c r="D10" s="347"/>
      <c r="E10" s="347"/>
      <c r="F10" s="347"/>
      <c r="G10" s="347"/>
      <c r="H10" s="347"/>
      <c r="I10" s="347"/>
      <c r="J10" s="284" t="str">
        <f>IF('Filtered Data'!D1="L","",IF('Filtered Data'!D1="MD",'Filtered Data'!I3,IF('Filtered Data'!D1="SD",'Filtered Data'!I3,'Filtered Data'!H3)))</f>
        <v>Rural-50</v>
      </c>
      <c r="K10" s="284"/>
      <c r="L10" s="284"/>
      <c r="M10" s="284"/>
      <c r="N10" s="284"/>
      <c r="O10" s="284"/>
      <c r="P10" s="284"/>
      <c r="Q10" s="284"/>
      <c r="R10" s="284"/>
      <c r="W10" s="328"/>
      <c r="X10" s="329"/>
      <c r="Y10" s="329"/>
      <c r="Z10" s="329"/>
      <c r="AA10" s="329"/>
      <c r="AB10" s="329"/>
      <c r="AC10" s="329"/>
      <c r="AD10" s="329"/>
      <c r="AE10" s="329"/>
      <c r="AF10" s="329"/>
      <c r="AG10" s="329"/>
      <c r="AH10" s="329"/>
      <c r="AI10" s="329"/>
      <c r="AJ10" s="329"/>
      <c r="AK10" s="329"/>
      <c r="AL10" s="329"/>
      <c r="AM10" s="330"/>
    </row>
    <row r="11" spans="2:40" ht="12.75" customHeight="1">
      <c r="B11" s="347" t="str">
        <f>IF('Filtered Data'!D1="L","",IF('Filtered Data'!D1="SC","",IF('Filtered Data'!D1="UA","","Rural Classification:")))</f>
        <v/>
      </c>
      <c r="C11" s="347"/>
      <c r="D11" s="347"/>
      <c r="E11" s="347"/>
      <c r="F11" s="347"/>
      <c r="G11" s="347"/>
      <c r="H11" s="347"/>
      <c r="I11" s="347"/>
      <c r="J11" s="79" t="str">
        <f>IF('Filtered Data'!D1="MD",'Filtered Data'!H3,IF('Filtered Data'!D1="SD",'Filtered Data'!H3,""))</f>
        <v/>
      </c>
      <c r="K11" s="79"/>
      <c r="W11" s="334" t="s">
        <v>369</v>
      </c>
      <c r="X11" s="335"/>
      <c r="Y11" s="335"/>
      <c r="Z11" s="335"/>
      <c r="AA11" s="335"/>
      <c r="AB11" s="335"/>
      <c r="AC11" s="335"/>
      <c r="AD11" s="335"/>
      <c r="AE11" s="335"/>
      <c r="AF11" s="335"/>
      <c r="AG11" s="335"/>
      <c r="AH11" s="335"/>
      <c r="AI11" s="335"/>
      <c r="AJ11" s="335"/>
      <c r="AK11" s="335"/>
      <c r="AL11" s="335"/>
      <c r="AM11" s="336"/>
    </row>
    <row r="12" spans="2:40" ht="12.75" customHeight="1">
      <c r="W12" s="310" t="s">
        <v>860</v>
      </c>
      <c r="X12" s="311"/>
      <c r="Y12" s="311"/>
      <c r="Z12" s="311"/>
      <c r="AA12" s="311"/>
      <c r="AB12" s="311"/>
      <c r="AC12" s="311"/>
      <c r="AD12" s="311"/>
      <c r="AE12" s="311"/>
      <c r="AF12" s="311"/>
      <c r="AG12" s="311"/>
      <c r="AH12" s="311"/>
      <c r="AI12" s="311"/>
      <c r="AJ12" s="311"/>
      <c r="AK12" s="311"/>
      <c r="AL12" s="311"/>
      <c r="AM12" s="312"/>
    </row>
    <row r="13" spans="2:40" ht="12.75" customHeight="1">
      <c r="B13" s="25"/>
      <c r="C13" s="25"/>
      <c r="D13" s="25"/>
      <c r="E13" s="25"/>
      <c r="F13" s="25"/>
      <c r="G13" s="25"/>
      <c r="H13" s="25"/>
      <c r="I13" s="25"/>
      <c r="J13" s="3"/>
      <c r="K13" s="3"/>
      <c r="L13" s="3"/>
      <c r="M13" s="3"/>
      <c r="N13" s="3"/>
      <c r="O13" s="3"/>
      <c r="P13" s="3"/>
      <c r="Q13" s="3"/>
      <c r="R13" s="3"/>
      <c r="W13" s="348" t="s">
        <v>370</v>
      </c>
      <c r="X13" s="349"/>
      <c r="Y13" s="349"/>
      <c r="Z13" s="349"/>
      <c r="AA13" s="349"/>
      <c r="AB13" s="349"/>
      <c r="AC13" s="349"/>
      <c r="AD13" s="349"/>
      <c r="AE13" s="349"/>
      <c r="AF13" s="349"/>
      <c r="AG13" s="349"/>
      <c r="AH13" s="349"/>
      <c r="AI13" s="349"/>
      <c r="AJ13" s="349"/>
      <c r="AK13" s="349"/>
      <c r="AL13" s="349"/>
      <c r="AM13" s="350"/>
    </row>
    <row r="14" spans="2:40" ht="25.5" customHeight="1">
      <c r="B14" s="25"/>
      <c r="C14" s="25"/>
      <c r="D14" s="25"/>
      <c r="E14" s="25"/>
      <c r="F14" s="25"/>
      <c r="G14" s="25"/>
      <c r="H14" s="25"/>
      <c r="I14" s="25"/>
      <c r="J14" s="3"/>
      <c r="K14" s="3"/>
      <c r="L14" s="3"/>
      <c r="M14" s="3"/>
      <c r="N14" s="3"/>
      <c r="O14" s="3"/>
      <c r="P14" s="3"/>
      <c r="Q14" s="3"/>
      <c r="R14" s="3"/>
      <c r="W14" s="331" t="str">
        <f>HLOOKUP(W6,Data!4:6,3,FALSE)</f>
        <v>www.wastedataflow.org</v>
      </c>
      <c r="X14" s="332"/>
      <c r="Y14" s="332"/>
      <c r="Z14" s="332"/>
      <c r="AA14" s="332"/>
      <c r="AB14" s="332"/>
      <c r="AC14" s="332"/>
      <c r="AD14" s="332"/>
      <c r="AE14" s="332"/>
      <c r="AF14" s="332"/>
      <c r="AG14" s="332"/>
      <c r="AH14" s="332"/>
      <c r="AI14" s="332"/>
      <c r="AJ14" s="332"/>
      <c r="AK14" s="332"/>
      <c r="AL14" s="332"/>
      <c r="AM14" s="333"/>
    </row>
    <row r="15" spans="2:40"/>
    <row r="16" spans="2:40">
      <c r="B16" s="290" t="str">
        <f>W6&amp;" - "&amp;W12</f>
        <v>Recycling Rate - Annual up to 31 December 2013</v>
      </c>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339"/>
    </row>
    <row r="17" spans="2:42">
      <c r="B17" s="292"/>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34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3" t="s">
        <v>344</v>
      </c>
      <c r="F32" s="344"/>
      <c r="G32" s="344"/>
      <c r="H32" s="344"/>
      <c r="I32" s="344"/>
      <c r="J32" s="344"/>
      <c r="K32" s="322">
        <f>IF('Filtered Data'!$H$8="..",'Filtered Data'!O10,'Filtered Data'!O10/100)</f>
        <v>0.4771505979962597</v>
      </c>
      <c r="L32" s="322"/>
      <c r="M32" s="322"/>
      <c r="N32" s="321" t="s">
        <v>355</v>
      </c>
      <c r="O32" s="321"/>
      <c r="P32" s="321"/>
      <c r="Q32" s="321"/>
      <c r="R32" s="321"/>
      <c r="S32" s="321"/>
      <c r="T32" s="322">
        <f>IF('Filtered Data'!$H$8="..",'Filtered Data'!P10,'Filtered Data'!P10/100)</f>
        <v>0.42652607844631535</v>
      </c>
      <c r="U32" s="322"/>
      <c r="V32" s="322"/>
      <c r="W32" s="322"/>
      <c r="X32" s="341" t="s">
        <v>356</v>
      </c>
      <c r="Y32" s="341"/>
      <c r="Z32" s="341"/>
      <c r="AA32" s="341"/>
      <c r="AB32" s="341"/>
      <c r="AC32" s="322">
        <f>IF('Filtered Data'!$H$8="..",'Filtered Data'!Q10,'Filtered Data'!Q10/100)</f>
        <v>0.35799420114580599</v>
      </c>
      <c r="AD32" s="322"/>
      <c r="AE32" s="322"/>
      <c r="AF32" s="316" t="s">
        <v>345</v>
      </c>
      <c r="AG32" s="316"/>
      <c r="AH32" s="316"/>
      <c r="AI32" s="316"/>
      <c r="AJ32" s="316"/>
      <c r="AK32" s="316"/>
      <c r="AL32" s="316"/>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359</v>
      </c>
      <c r="L35" s="338">
        <f>IF(ISERROR(IF('Filtered Data'!$H$8="%.",(VLOOKUP(J5,'Filtered Data'!C:H,4,FALSE))/100,(VLOOKUP(J5,'Filtered Data'!C:H,4,FALSE)))),"",(IF('Filtered Data'!$H$8="%.",(VLOOKUP(J5,'Filtered Data'!C:H,4,FALSE))/100,(VLOOKUP(J5,'Filtered Data'!C:H,4,FALSE)))))</f>
        <v>0.52732715809009245</v>
      </c>
      <c r="M35" s="338"/>
      <c r="N35" s="338"/>
      <c r="O35" s="338"/>
      <c r="P35" s="135"/>
      <c r="Q35" s="338" t="s">
        <v>357</v>
      </c>
      <c r="R35" s="338"/>
      <c r="S35" s="338"/>
      <c r="T35" s="338"/>
      <c r="U35" s="338"/>
      <c r="V35" s="338"/>
      <c r="W35" s="338"/>
      <c r="AP35" s="85"/>
    </row>
    <row r="36" spans="2:16384" ht="12.75" customHeight="1">
      <c r="B36" s="337" t="str">
        <f>'Filtered Data'!R8&amp;" Quartile"</f>
        <v>Top Quartile</v>
      </c>
      <c r="C36" s="337"/>
      <c r="D36" s="337"/>
      <c r="E36" s="337"/>
      <c r="F36" s="337"/>
      <c r="G36" s="337"/>
      <c r="H36" s="337"/>
      <c r="I36" s="337"/>
      <c r="J36" s="337"/>
      <c r="K36" s="337"/>
      <c r="L36" s="337"/>
      <c r="M36" s="337"/>
      <c r="N36" s="337"/>
      <c r="O36" s="337"/>
      <c r="P36" s="337"/>
      <c r="Q36" s="337"/>
      <c r="R36" s="337"/>
      <c r="S36" s="337"/>
      <c r="T36" s="337"/>
      <c r="U36" s="337"/>
      <c r="V36" s="337"/>
      <c r="W36" s="337"/>
      <c r="Z36" s="21" t="s">
        <v>361</v>
      </c>
      <c r="AB36" s="315" t="s">
        <v>363</v>
      </c>
      <c r="AC36" s="315"/>
      <c r="AD36" s="315"/>
      <c r="AE36" s="315"/>
      <c r="AF36" s="315"/>
      <c r="AG36" s="315"/>
      <c r="AH36" s="315"/>
      <c r="AI36" s="315"/>
      <c r="AJ36" s="315"/>
      <c r="AK36" s="315"/>
      <c r="AL36" s="315"/>
      <c r="AM36" s="154"/>
      <c r="AP36" s="85"/>
    </row>
    <row r="37" spans="2:16384" ht="12.75" customHeight="1">
      <c r="B37" s="136" t="str">
        <f>VLOOKUP('Filtered Data'!D1,'Filtered Data'!L1:O6,2,FALSE)</f>
        <v>Unitaries</v>
      </c>
      <c r="C37" s="136"/>
      <c r="D37" s="136"/>
      <c r="E37" s="136"/>
      <c r="F37" s="136"/>
      <c r="G37" s="136"/>
      <c r="H37" s="136"/>
      <c r="I37" s="136"/>
      <c r="J37" s="313" t="s">
        <v>807</v>
      </c>
      <c r="K37" s="137" t="str">
        <f>IF(Q37="","",IF('Filtered Data'!I8="D",IF($L$35&gt;=L37,"J","L"),IF('Filtered Data'!I8="A",IF($L$35&lt;=L37,"J","L"))))</f>
        <v>J</v>
      </c>
      <c r="L37" s="318">
        <f>'Filtered Data'!M9</f>
        <v>0.41712034304126699</v>
      </c>
      <c r="M37" s="318"/>
      <c r="N37" s="318"/>
      <c r="O37" s="318"/>
      <c r="P37" s="138"/>
      <c r="Q37" s="308">
        <f>VLOOKUP(J5,'Filtered Data'!C:I,7,FALSE)</f>
        <v>6</v>
      </c>
      <c r="R37" s="308"/>
      <c r="S37" s="139"/>
      <c r="T37" s="140" t="s">
        <v>358</v>
      </c>
      <c r="U37" s="141"/>
      <c r="V37" s="308">
        <f>COUNT('Filtered Data'!I11:I363)</f>
        <v>55</v>
      </c>
      <c r="W37" s="308"/>
      <c r="AB37" s="315"/>
      <c r="AC37" s="315"/>
      <c r="AD37" s="315"/>
      <c r="AE37" s="315"/>
      <c r="AF37" s="315"/>
      <c r="AG37" s="315"/>
      <c r="AH37" s="315"/>
      <c r="AI37" s="315"/>
      <c r="AJ37" s="315"/>
      <c r="AK37" s="315"/>
      <c r="AL37" s="315"/>
      <c r="AM37" s="154"/>
      <c r="AP37" s="85"/>
    </row>
    <row r="38" spans="2:16384">
      <c r="B38" s="136" t="str">
        <f>IF('Filtered Data'!D1="L","Family",IF('Filtered Data'!D1="SD",VLOOKUP(J5,classifications!C:J,6,FALSE),"Rural"))</f>
        <v>Rural</v>
      </c>
      <c r="C38" s="136"/>
      <c r="D38" s="136"/>
      <c r="E38" s="136"/>
      <c r="F38" s="136"/>
      <c r="G38" s="136"/>
      <c r="H38" s="136"/>
      <c r="I38" s="136"/>
      <c r="J38" s="314"/>
      <c r="K38" s="137" t="str">
        <f>IF(Q38="","",IF('Filtered Data'!I8="D",IF($L$35&gt;=L38,"J","L"),IF('Filtered Data'!I8="A",IF($L$35&lt;=L38,"J","L"))))</f>
        <v>J</v>
      </c>
      <c r="L38" s="318">
        <f>IF('Filtered Data'!D1="L",'Filtered Data'!AG9,'Filtered Data'!Y9)</f>
        <v>0.47540279526818924</v>
      </c>
      <c r="M38" s="318"/>
      <c r="N38" s="318"/>
      <c r="O38" s="318"/>
      <c r="P38" s="138"/>
      <c r="Q38" s="324">
        <f>IF(ISERROR(IF('Filtered Data'!D1="L",VLOOKUP(J5,'Filtered Data'!AF11:AH26,3,FALSE),VLOOKUP(J5,'Filtered Data'!$L$11:$Z$363,15,FALSE))),"",(IF('Filtered Data'!D1="L",VLOOKUP(J5,'Filtered Data'!AF11:AH26,3,FALSE),VLOOKUP(J5,'Filtered Data'!$L$11:$Z$363,15,FALSE))))</f>
        <v>6</v>
      </c>
      <c r="R38" s="324"/>
      <c r="S38" s="317" t="s">
        <v>358</v>
      </c>
      <c r="T38" s="318"/>
      <c r="U38" s="318"/>
      <c r="V38" s="308">
        <f>IF('Filtered Data'!D1="L",16,COUNT('Filtered Data'!Z:Z))</f>
        <v>18</v>
      </c>
      <c r="W38" s="30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4"/>
      <c r="K39" s="137" t="str">
        <f>IF(Q39="","",IF('Filtered Data'!I8="D",IF($L$35&gt;=L39,"J","L"),IF('Filtered Data'!I8="A",IF($L$35&lt;=L39,"J","L"))))</f>
        <v>J</v>
      </c>
      <c r="L39" s="318">
        <f>IF('Filtered Data'!D1="L","",'Filtered Data'!AG9)</f>
        <v>0.49553069203006306</v>
      </c>
      <c r="M39" s="318"/>
      <c r="N39" s="318"/>
      <c r="O39" s="318"/>
      <c r="P39" s="138"/>
      <c r="Q39" s="308">
        <f>IF(ISERROR(IF('Filtered Data'!D1="L","",'Filtered Data'!AH11)),"",(IF('Filtered Data'!D1="L","",'Filtered Data'!AH11)))</f>
        <v>7</v>
      </c>
      <c r="R39" s="308"/>
      <c r="S39" s="139"/>
      <c r="T39" s="141" t="str">
        <f>IF(B39="","","out of")</f>
        <v>out of</v>
      </c>
      <c r="U39" s="141"/>
      <c r="V39" s="308">
        <f>IF('Filtered Data'!D1="L","",16)</f>
        <v>16</v>
      </c>
      <c r="W39" s="308"/>
      <c r="Z39" s="13" t="s">
        <v>362</v>
      </c>
      <c r="AB39" s="315" t="s">
        <v>364</v>
      </c>
      <c r="AC39" s="315"/>
      <c r="AD39" s="315"/>
      <c r="AE39" s="315"/>
      <c r="AF39" s="315"/>
      <c r="AG39" s="315"/>
      <c r="AH39" s="315"/>
      <c r="AI39" s="315"/>
      <c r="AJ39" s="315"/>
      <c r="AK39" s="315"/>
      <c r="AL39" s="315"/>
      <c r="AM39" s="315"/>
      <c r="AP39" s="85"/>
    </row>
    <row r="40" spans="2:16384" ht="12.75" customHeight="1">
      <c r="B40" s="136" t="str">
        <f>IF('Filtered Data'!D1="L","",IF('Filtered Data'!D1="SD",J10,"Regional"))</f>
        <v>Regional</v>
      </c>
      <c r="C40" s="136"/>
      <c r="D40" s="136"/>
      <c r="E40" s="136"/>
      <c r="F40" s="136"/>
      <c r="G40" s="136"/>
      <c r="H40" s="136"/>
      <c r="I40" s="136"/>
      <c r="J40" s="314"/>
      <c r="K40" s="137" t="str">
        <f>IF(Q40="","",IF('Filtered Data'!I8="D",IF($L$35&gt;=L40,"J","L"),IF('Filtered Data'!I8="A",IF($L$35&lt;=L40,"J","L"))))</f>
        <v>J</v>
      </c>
      <c r="L40" s="318">
        <f>IF('Filtered Data'!D1="L","",IF('Filtered Data'!D1="SD",'Filtered Data'!AJ9,'Filtered Data'!AQ9))</f>
        <v>0.46629315819839129</v>
      </c>
      <c r="M40" s="318"/>
      <c r="N40" s="318"/>
      <c r="O40" s="318"/>
      <c r="P40" s="138"/>
      <c r="Q40" s="308">
        <f>IF(ISERROR(IF('Filtered Data'!D1="L","",IF('Filtered Data'!D1="SD",VLOOKUP(J5,'Filtered Data'!L:AK,26,FALSE),(VLOOKUP(J5,'Filtered Data'!L:AR,33,FALSE))))),"",(IF('Filtered Data'!D1="L","",IF('Filtered Data'!D1="SD",VLOOKUP(J5,'Filtered Data'!L:AK,26,FALSE),(VLOOKUP(J5,'Filtered Data'!L:AR,33,FALSE))))))</f>
        <v>2</v>
      </c>
      <c r="R40" s="308"/>
      <c r="S40" s="318" t="str">
        <f>IF(B40="","","out of")</f>
        <v>out of</v>
      </c>
      <c r="T40" s="317"/>
      <c r="U40" s="317"/>
      <c r="V40" s="308">
        <f>IF('Filtered Data'!D1="L","",IF('Filtered Data'!D1="SD",COUNT('Filtered Data'!AK11:AK363),(COUNT('Filtered Data'!AQ11:AQ363))))</f>
        <v>6</v>
      </c>
      <c r="W40" s="308"/>
      <c r="AB40" s="315"/>
      <c r="AC40" s="315"/>
      <c r="AD40" s="315"/>
      <c r="AE40" s="315"/>
      <c r="AF40" s="315"/>
      <c r="AG40" s="315"/>
      <c r="AH40" s="315"/>
      <c r="AI40" s="315"/>
      <c r="AJ40" s="315"/>
      <c r="AK40" s="315"/>
      <c r="AL40" s="315"/>
      <c r="AM40" s="315"/>
      <c r="AP40" s="85"/>
    </row>
    <row r="41" spans="2:16384">
      <c r="B41" s="150"/>
      <c r="C41" s="150"/>
      <c r="D41" s="150"/>
      <c r="E41" s="150"/>
      <c r="F41" s="150"/>
      <c r="G41" s="150"/>
      <c r="H41" s="150"/>
      <c r="I41" s="150"/>
      <c r="J41" s="149"/>
      <c r="K41" s="151" t="str">
        <f>IF(B41="","",IF('Filtered Data'!D1="UA","",(IF($L$35&gt;=L41,"J","L"))))</f>
        <v/>
      </c>
      <c r="L41" s="309"/>
      <c r="M41" s="309"/>
      <c r="N41" s="309"/>
      <c r="O41" s="309"/>
      <c r="P41" s="152"/>
      <c r="Q41" s="319"/>
      <c r="R41" s="319"/>
      <c r="S41" s="323"/>
      <c r="T41" s="323"/>
      <c r="U41" s="323"/>
      <c r="V41" s="319"/>
      <c r="W41" s="319"/>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3" t="s">
        <v>360</v>
      </c>
      <c r="C43" s="304"/>
      <c r="D43" s="304"/>
      <c r="E43" s="304"/>
      <c r="F43" s="304"/>
      <c r="G43" s="304"/>
      <c r="H43" s="304"/>
      <c r="I43" s="304"/>
      <c r="J43" s="304"/>
      <c r="K43" s="304"/>
      <c r="L43" s="304"/>
      <c r="M43" s="304"/>
      <c r="N43" s="304"/>
      <c r="O43" s="299" t="str">
        <f>W6&amp;" - "&amp;W12</f>
        <v>Recycling Rate - Annual up to 31 December 2013</v>
      </c>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300"/>
      <c r="AP43" s="85"/>
    </row>
    <row r="44" spans="2:16384">
      <c r="B44" s="305"/>
      <c r="C44" s="306"/>
      <c r="D44" s="306"/>
      <c r="E44" s="306"/>
      <c r="F44" s="306"/>
      <c r="G44" s="306"/>
      <c r="H44" s="306"/>
      <c r="I44" s="306"/>
      <c r="J44" s="306"/>
      <c r="K44" s="306"/>
      <c r="L44" s="306"/>
      <c r="M44" s="306"/>
      <c r="N44" s="306"/>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2"/>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286">
        <f>IF('Filtered Data'!$H$8="..",L35,L35*100)</f>
        <v>52.732715809009242</v>
      </c>
      <c r="F48" s="286"/>
      <c r="G48" s="286"/>
      <c r="H48" s="286"/>
      <c r="I48" s="6"/>
      <c r="J48" s="6"/>
      <c r="K48" s="285">
        <f>IF('Filtered Data'!$H$8="..",K$32,K$32*100)</f>
        <v>47.715059799625969</v>
      </c>
      <c r="L48" s="285"/>
      <c r="M48" s="285">
        <f>IF('Filtered Data'!$H$8="..",T$32,T$32*100)</f>
        <v>42.652607844631532</v>
      </c>
      <c r="N48" s="285"/>
      <c r="O48" s="285">
        <f>IF('Filtered Data'!$H$8="..",AC$32,AC$32*100)</f>
        <v>35.799420114580599</v>
      </c>
      <c r="P48" s="285"/>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286">
        <f>IF('Filtered Data'!$H$8="..",L37,L37*100)</f>
        <v>41.712034304126696</v>
      </c>
      <c r="F49" s="286"/>
      <c r="G49" s="286"/>
      <c r="H49" s="286"/>
      <c r="I49" s="6"/>
      <c r="J49" s="6"/>
      <c r="K49" s="285">
        <f>IF('Filtered Data'!$H$8="..",K$32,K$32*100)</f>
        <v>47.715059799625969</v>
      </c>
      <c r="L49" s="285"/>
      <c r="M49" s="285">
        <f>IF('Filtered Data'!$H$8="..",T$32,T$32*100)</f>
        <v>42.652607844631532</v>
      </c>
      <c r="N49" s="285"/>
      <c r="O49" s="285">
        <f>IF('Filtered Data'!$H$8="..",AC$32,AC$32*100)</f>
        <v>35.799420114580599</v>
      </c>
      <c r="P49" s="285"/>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6">
        <f>IF('Filtered Data'!$H$8="..",L39,L39*100)</f>
        <v>49.553069203006302</v>
      </c>
      <c r="F50" s="286"/>
      <c r="G50" s="286"/>
      <c r="H50" s="286"/>
      <c r="I50" s="6"/>
      <c r="J50" s="6"/>
      <c r="K50" s="285">
        <f>IF('Filtered Data'!$H$8="..",K$32,K$32*100)</f>
        <v>47.715059799625969</v>
      </c>
      <c r="L50" s="285"/>
      <c r="M50" s="285">
        <f>IF('Filtered Data'!$H$8="..",T$32,T$32*100)</f>
        <v>42.652607844631532</v>
      </c>
      <c r="N50" s="285"/>
      <c r="O50" s="285">
        <f>IF('Filtered Data'!$H$8="..",AC$32,AC$32*100)</f>
        <v>35.799420114580599</v>
      </c>
      <c r="P50" s="285"/>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286">
        <f>IF('Filtered Data'!$H$8="..",L40,L40*100)</f>
        <v>46.629315819839128</v>
      </c>
      <c r="F51" s="286"/>
      <c r="G51" s="286"/>
      <c r="H51" s="286"/>
      <c r="I51" s="6"/>
      <c r="J51" s="6"/>
      <c r="K51" s="285">
        <f>IF('Filtered Data'!$H$8="..",K$32,K$32*100)</f>
        <v>47.715059799625969</v>
      </c>
      <c r="L51" s="285"/>
      <c r="M51" s="285">
        <f>IF('Filtered Data'!$H$8="..",T$32,T$32*100)</f>
        <v>42.652607844631532</v>
      </c>
      <c r="N51" s="285"/>
      <c r="O51" s="285">
        <f>IF('Filtered Data'!$H$8="..",AC$32,AC$32*100)</f>
        <v>35.799420114580599</v>
      </c>
      <c r="P51" s="285"/>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286">
        <f>IF('Filtered Data'!$H$8="..",L38,L38*100)</f>
        <v>47.540279526818921</v>
      </c>
      <c r="F52" s="286"/>
      <c r="G52" s="286"/>
      <c r="H52" s="286"/>
      <c r="I52" s="6"/>
      <c r="J52" s="6"/>
      <c r="K52" s="285">
        <f>IF('Filtered Data'!$H$8="..",K$32,K$32*100)</f>
        <v>47.715059799625969</v>
      </c>
      <c r="L52" s="285"/>
      <c r="M52" s="285">
        <f>IF('Filtered Data'!$H$8="..",T$32,T$32*100)</f>
        <v>42.652607844631532</v>
      </c>
      <c r="N52" s="285"/>
      <c r="O52" s="285">
        <f>IF('Filtered Data'!$H$8="..",AC$32,AC$32*100)</f>
        <v>35.799420114580599</v>
      </c>
      <c r="P52" s="285"/>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7"/>
      <c r="F53" s="287"/>
      <c r="G53" s="287"/>
      <c r="H53" s="287"/>
      <c r="I53" s="6"/>
      <c r="J53" s="6"/>
      <c r="K53" s="285"/>
      <c r="L53" s="285"/>
      <c r="M53" s="285"/>
      <c r="N53" s="285"/>
      <c r="O53" s="285"/>
      <c r="P53" s="285"/>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6" t="str">
        <f>B3</f>
        <v>Recycling rate</v>
      </c>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P59" s="85"/>
    </row>
    <row r="60" spans="2:42">
      <c r="AP60" s="85"/>
    </row>
    <row r="61" spans="2:42" ht="12" customHeight="1">
      <c r="B61" s="1" t="str">
        <f>W6&amp;" - "&amp;W12</f>
        <v>Recycling Rate - Annual up to 31 December 2013</v>
      </c>
      <c r="AP61" s="85"/>
    </row>
    <row r="62" spans="2:42" ht="12" customHeight="1">
      <c r="AP62" s="85"/>
    </row>
    <row r="63" spans="2:42" ht="12" customHeight="1">
      <c r="B63" s="1" t="s">
        <v>366</v>
      </c>
      <c r="AP63" s="85"/>
    </row>
    <row r="64" spans="2:42" ht="12" customHeight="1">
      <c r="AP64" s="85"/>
    </row>
    <row r="65" spans="2:42" ht="12" customHeight="1">
      <c r="B65" s="283" t="s">
        <v>357</v>
      </c>
      <c r="C65" s="283"/>
      <c r="D65" s="283"/>
      <c r="E65" s="288" t="s">
        <v>334</v>
      </c>
      <c r="F65" s="288"/>
      <c r="G65" s="288"/>
      <c r="H65" s="288"/>
      <c r="I65" s="288"/>
      <c r="J65" s="288"/>
      <c r="K65" s="288"/>
      <c r="L65" s="288"/>
      <c r="M65" s="288"/>
      <c r="N65" s="288"/>
      <c r="O65" s="288"/>
      <c r="P65" s="288"/>
      <c r="Q65" s="288"/>
      <c r="R65" s="288"/>
      <c r="S65" s="288"/>
      <c r="T65" s="288"/>
      <c r="U65" s="283" t="s">
        <v>368</v>
      </c>
      <c r="V65" s="283"/>
      <c r="W65" s="283"/>
      <c r="X65" s="283"/>
      <c r="Y65" s="24"/>
      <c r="Z65" s="24"/>
      <c r="AA65" s="24"/>
      <c r="AB65" s="24"/>
      <c r="AC65" s="23"/>
      <c r="AD65" s="24"/>
      <c r="AE65" s="24"/>
      <c r="AF65" s="24"/>
      <c r="AG65" s="24"/>
      <c r="AH65" s="11"/>
      <c r="AI65" s="24"/>
      <c r="AJ65" s="24"/>
      <c r="AK65" s="24"/>
      <c r="AL65" s="24"/>
      <c r="AP65" s="85"/>
    </row>
    <row r="66" spans="2:42" ht="12" customHeight="1">
      <c r="B66" s="280">
        <v>1</v>
      </c>
      <c r="C66" s="281"/>
      <c r="D66" s="281"/>
      <c r="E66" s="284" t="str">
        <f>VLOOKUP(B66,'Filtered Data'!K:L,2,FALSE)</f>
        <v>Rutland</v>
      </c>
      <c r="F66" s="284"/>
      <c r="G66" s="284"/>
      <c r="H66" s="284"/>
      <c r="I66" s="284"/>
      <c r="J66" s="284"/>
      <c r="K66" s="284"/>
      <c r="L66" s="284"/>
      <c r="M66" s="284"/>
      <c r="N66" s="284"/>
      <c r="O66" s="284"/>
      <c r="P66" s="284"/>
      <c r="Q66" s="284"/>
      <c r="R66" s="284"/>
      <c r="S66" s="284"/>
      <c r="T66" s="284"/>
      <c r="U66" s="307">
        <f>IF('Filtered Data'!$H$8="%.",(VLOOKUP(B66,'Filtered Data'!K:M,3,FALSE))/100,VLOOKUP(B66,'Filtered Data'!K:M,3,FALSE))</f>
        <v>0.58829808990422794</v>
      </c>
      <c r="V66" s="307"/>
      <c r="W66" s="307"/>
      <c r="X66" s="307"/>
      <c r="Y66" s="184" t="str">
        <f>IF((VLOOKUP(E66,classifications!C:K,9,FALSE))="Sparse","S","")</f>
        <v>S</v>
      </c>
      <c r="Z66" s="184"/>
      <c r="AA66" s="184"/>
      <c r="AB66" s="184"/>
      <c r="AC66" s="184"/>
      <c r="AD66" s="298"/>
      <c r="AE66" s="298"/>
      <c r="AF66" s="298"/>
      <c r="AG66" s="298"/>
      <c r="AH66" s="298"/>
      <c r="AI66" s="298"/>
      <c r="AJ66" s="298"/>
      <c r="AK66" s="298"/>
      <c r="AL66" s="298"/>
      <c r="AP66" s="85"/>
    </row>
    <row r="67" spans="2:42" ht="12" customHeight="1">
      <c r="B67" s="280">
        <v>2</v>
      </c>
      <c r="C67" s="281"/>
      <c r="D67" s="281"/>
      <c r="E67" s="284" t="str">
        <f>VLOOKUP(B67,'Filtered Data'!K:L,2,FALSE)</f>
        <v>Cheshire West &amp; Chester</v>
      </c>
      <c r="F67" s="284"/>
      <c r="G67" s="284"/>
      <c r="H67" s="284"/>
      <c r="I67" s="284"/>
      <c r="J67" s="284"/>
      <c r="K67" s="284"/>
      <c r="L67" s="284"/>
      <c r="M67" s="284"/>
      <c r="N67" s="284"/>
      <c r="O67" s="284"/>
      <c r="P67" s="284"/>
      <c r="Q67" s="284"/>
      <c r="R67" s="284"/>
      <c r="S67" s="284"/>
      <c r="T67" s="284"/>
      <c r="U67" s="307">
        <f>IF('Filtered Data'!$H$8="%.",(VLOOKUP(B67,'Filtered Data'!K:M,3,FALSE))/100,VLOOKUP(B67,'Filtered Data'!K:M,3,FALSE))</f>
        <v>0.58242844134142446</v>
      </c>
      <c r="V67" s="307"/>
      <c r="W67" s="307"/>
      <c r="X67" s="307"/>
      <c r="Y67" s="184" t="str">
        <f>IF((VLOOKUP(E67,classifications!C:K,9,FALSE))="Sparse","S","")</f>
        <v>S</v>
      </c>
      <c r="Z67" s="184"/>
      <c r="AA67" s="184"/>
      <c r="AB67" s="184"/>
      <c r="AC67" s="184"/>
      <c r="AD67" s="298"/>
      <c r="AE67" s="298"/>
      <c r="AF67" s="298"/>
      <c r="AG67" s="298"/>
      <c r="AH67" s="298"/>
      <c r="AI67" s="298"/>
      <c r="AJ67" s="298"/>
      <c r="AK67" s="298"/>
      <c r="AL67" s="298"/>
      <c r="AP67" s="85"/>
    </row>
    <row r="68" spans="2:42" ht="12" customHeight="1">
      <c r="B68" s="280">
        <v>3</v>
      </c>
      <c r="C68" s="281"/>
      <c r="D68" s="281"/>
      <c r="E68" s="284" t="str">
        <f>VLOOKUP(B68,'Filtered Data'!K:L,2,FALSE)</f>
        <v>North Somerset</v>
      </c>
      <c r="F68" s="284"/>
      <c r="G68" s="284"/>
      <c r="H68" s="284"/>
      <c r="I68" s="284"/>
      <c r="J68" s="284"/>
      <c r="K68" s="284"/>
      <c r="L68" s="284"/>
      <c r="M68" s="284"/>
      <c r="N68" s="284"/>
      <c r="O68" s="284"/>
      <c r="P68" s="284"/>
      <c r="Q68" s="284"/>
      <c r="R68" s="284"/>
      <c r="S68" s="284"/>
      <c r="T68" s="284"/>
      <c r="U68" s="307">
        <f>IF('Filtered Data'!$H$8="%.",(VLOOKUP(B68,'Filtered Data'!K:M,3,FALSE))/100,VLOOKUP(B68,'Filtered Data'!K:M,3,FALSE))</f>
        <v>0.57460052905136394</v>
      </c>
      <c r="V68" s="307"/>
      <c r="W68" s="307"/>
      <c r="X68" s="307"/>
      <c r="Y68" s="184" t="str">
        <f>IF((VLOOKUP(E68,classifications!C:K,9,FALSE))="Sparse","S","")</f>
        <v>S</v>
      </c>
      <c r="Z68" s="184"/>
      <c r="AA68" s="184"/>
      <c r="AB68" s="184"/>
      <c r="AC68" s="184"/>
      <c r="AD68" s="298"/>
      <c r="AE68" s="298"/>
      <c r="AF68" s="298"/>
      <c r="AG68" s="298"/>
      <c r="AH68" s="298"/>
      <c r="AI68" s="298"/>
      <c r="AJ68" s="298"/>
      <c r="AK68" s="298"/>
      <c r="AL68" s="298"/>
      <c r="AP68" s="85"/>
    </row>
    <row r="69" spans="2:42" ht="12" customHeight="1">
      <c r="B69" s="280">
        <v>4</v>
      </c>
      <c r="C69" s="281"/>
      <c r="D69" s="281"/>
      <c r="E69" s="284" t="str">
        <f>VLOOKUP(B69,'Filtered Data'!K:L,2,FALSE)</f>
        <v>East Riding of Yorkshire</v>
      </c>
      <c r="F69" s="284"/>
      <c r="G69" s="284"/>
      <c r="H69" s="284"/>
      <c r="I69" s="284"/>
      <c r="J69" s="284"/>
      <c r="K69" s="284"/>
      <c r="L69" s="284"/>
      <c r="M69" s="284"/>
      <c r="N69" s="284"/>
      <c r="O69" s="284"/>
      <c r="P69" s="284"/>
      <c r="Q69" s="284"/>
      <c r="R69" s="284"/>
      <c r="S69" s="284"/>
      <c r="T69" s="284"/>
      <c r="U69" s="307">
        <f>IF('Filtered Data'!$H$8="%.",(VLOOKUP(B69,'Filtered Data'!K:M,3,FALSE))/100,VLOOKUP(B69,'Filtered Data'!K:M,3,FALSE))</f>
        <v>0.55642925601097826</v>
      </c>
      <c r="V69" s="307"/>
      <c r="W69" s="307"/>
      <c r="X69" s="307"/>
      <c r="Y69" s="184" t="str">
        <f>IF((VLOOKUP(E69,classifications!C:K,9,FALSE))="Sparse","S","")</f>
        <v>S</v>
      </c>
      <c r="Z69" s="184"/>
      <c r="AA69" s="184"/>
      <c r="AB69" s="184"/>
      <c r="AC69" s="184"/>
      <c r="AD69" s="298"/>
      <c r="AE69" s="298"/>
      <c r="AF69" s="298"/>
      <c r="AG69" s="298"/>
      <c r="AH69" s="298"/>
      <c r="AI69" s="298"/>
      <c r="AJ69" s="298"/>
      <c r="AK69" s="298"/>
      <c r="AL69" s="298"/>
      <c r="AP69" s="85"/>
    </row>
    <row r="70" spans="2:42" ht="12" customHeight="1">
      <c r="B70" s="280">
        <v>5</v>
      </c>
      <c r="C70" s="281"/>
      <c r="D70" s="281"/>
      <c r="E70" s="284" t="str">
        <f>VLOOKUP(B70,'Filtered Data'!K:L,2,FALSE)</f>
        <v>Shropshire</v>
      </c>
      <c r="F70" s="284"/>
      <c r="G70" s="284"/>
      <c r="H70" s="284"/>
      <c r="I70" s="284"/>
      <c r="J70" s="284"/>
      <c r="K70" s="284"/>
      <c r="L70" s="284"/>
      <c r="M70" s="284"/>
      <c r="N70" s="284"/>
      <c r="O70" s="284"/>
      <c r="P70" s="284"/>
      <c r="Q70" s="284"/>
      <c r="R70" s="284"/>
      <c r="S70" s="284"/>
      <c r="T70" s="284"/>
      <c r="U70" s="307">
        <f>IF('Filtered Data'!$H$8="%.",(VLOOKUP(B70,'Filtered Data'!K:M,3,FALSE))/100,VLOOKUP(B70,'Filtered Data'!K:M,3,FALSE))</f>
        <v>0.54567311231083349</v>
      </c>
      <c r="V70" s="307"/>
      <c r="W70" s="307"/>
      <c r="X70" s="307"/>
      <c r="Y70" s="184" t="str">
        <f>IF((VLOOKUP(E70,classifications!C:K,9,FALSE))="Sparse","S","")</f>
        <v>S</v>
      </c>
      <c r="Z70" s="184"/>
      <c r="AA70" s="184"/>
      <c r="AB70" s="184"/>
      <c r="AC70" s="184"/>
      <c r="AD70" s="298"/>
      <c r="AE70" s="298"/>
      <c r="AF70" s="298"/>
      <c r="AG70" s="298"/>
      <c r="AH70" s="298"/>
      <c r="AI70" s="298"/>
      <c r="AJ70" s="298"/>
      <c r="AK70" s="298"/>
      <c r="AL70" s="298"/>
      <c r="AP70" s="85"/>
    </row>
    <row r="71" spans="2:42" ht="12" customHeight="1">
      <c r="B71" s="280">
        <v>6</v>
      </c>
      <c r="C71" s="281"/>
      <c r="D71" s="281"/>
      <c r="E71" s="284" t="str">
        <f>VLOOKUP(B71,'Filtered Data'!K:L,2,FALSE)</f>
        <v>Cheshire East</v>
      </c>
      <c r="F71" s="284"/>
      <c r="G71" s="284"/>
      <c r="H71" s="284"/>
      <c r="I71" s="284"/>
      <c r="J71" s="284"/>
      <c r="K71" s="284"/>
      <c r="L71" s="284"/>
      <c r="M71" s="284"/>
      <c r="N71" s="284"/>
      <c r="O71" s="284"/>
      <c r="P71" s="284"/>
      <c r="Q71" s="284"/>
      <c r="R71" s="284"/>
      <c r="S71" s="284"/>
      <c r="T71" s="284"/>
      <c r="U71" s="307">
        <f>IF('Filtered Data'!$H$8="%.",(VLOOKUP(B71,'Filtered Data'!K:M,3,FALSE))/100,VLOOKUP(B71,'Filtered Data'!K:M,3,FALSE))</f>
        <v>0.52732715809009245</v>
      </c>
      <c r="V71" s="307"/>
      <c r="W71" s="307"/>
      <c r="X71" s="307"/>
      <c r="Y71" s="184" t="str">
        <f>IF((VLOOKUP(E71,classifications!C:K,9,FALSE))="Sparse","S","")</f>
        <v>S</v>
      </c>
      <c r="Z71" s="184"/>
      <c r="AA71" s="184"/>
      <c r="AB71" s="184"/>
      <c r="AC71" s="184"/>
      <c r="AD71" s="298"/>
      <c r="AE71" s="298"/>
      <c r="AF71" s="298"/>
      <c r="AG71" s="298"/>
      <c r="AH71" s="298"/>
      <c r="AI71" s="298"/>
      <c r="AJ71" s="298"/>
      <c r="AK71" s="298"/>
      <c r="AL71" s="298"/>
      <c r="AP71" s="85"/>
    </row>
    <row r="72" spans="2:42" ht="12" customHeight="1">
      <c r="B72" s="280">
        <v>7</v>
      </c>
      <c r="C72" s="281"/>
      <c r="D72" s="281"/>
      <c r="E72" s="284" t="str">
        <f>VLOOKUP(B72,'Filtered Data'!K:L,2,FALSE)</f>
        <v>Milton Keynes</v>
      </c>
      <c r="F72" s="284"/>
      <c r="G72" s="284"/>
      <c r="H72" s="284"/>
      <c r="I72" s="284"/>
      <c r="J72" s="284"/>
      <c r="K72" s="284"/>
      <c r="L72" s="284"/>
      <c r="M72" s="284"/>
      <c r="N72" s="284"/>
      <c r="O72" s="284"/>
      <c r="P72" s="284"/>
      <c r="Q72" s="284"/>
      <c r="R72" s="284"/>
      <c r="S72" s="284"/>
      <c r="T72" s="284"/>
      <c r="U72" s="307">
        <f>IF('Filtered Data'!$H$8="%.",(VLOOKUP(B72,'Filtered Data'!K:M,3,FALSE))/100,VLOOKUP(B72,'Filtered Data'!K:M,3,FALSE))</f>
        <v>0.52232455565470282</v>
      </c>
      <c r="V72" s="307"/>
      <c r="W72" s="307"/>
      <c r="X72" s="307"/>
      <c r="Y72" s="184" t="str">
        <f>IF((VLOOKUP(E72,classifications!C:K,9,FALSE))="Sparse","S","")</f>
        <v/>
      </c>
      <c r="Z72" s="184"/>
      <c r="AA72" s="184"/>
      <c r="AB72" s="184"/>
      <c r="AC72" s="184"/>
      <c r="AD72" s="298"/>
      <c r="AE72" s="298"/>
      <c r="AF72" s="298"/>
      <c r="AG72" s="298"/>
      <c r="AH72" s="298"/>
      <c r="AI72" s="298"/>
      <c r="AJ72" s="298"/>
      <c r="AK72" s="298"/>
      <c r="AL72" s="298"/>
      <c r="AP72" s="85"/>
    </row>
    <row r="73" spans="2:42" ht="12" customHeight="1">
      <c r="B73" s="280">
        <v>8</v>
      </c>
      <c r="C73" s="281"/>
      <c r="D73" s="281"/>
      <c r="E73" s="284" t="str">
        <f>VLOOKUP(B73,'Filtered Data'!K:L,2,FALSE)</f>
        <v>Southend-on-Sea</v>
      </c>
      <c r="F73" s="284"/>
      <c r="G73" s="284"/>
      <c r="H73" s="284"/>
      <c r="I73" s="284"/>
      <c r="J73" s="284"/>
      <c r="K73" s="284"/>
      <c r="L73" s="284"/>
      <c r="M73" s="284"/>
      <c r="N73" s="284"/>
      <c r="O73" s="284"/>
      <c r="P73" s="284"/>
      <c r="Q73" s="284"/>
      <c r="R73" s="284"/>
      <c r="S73" s="284"/>
      <c r="T73" s="284"/>
      <c r="U73" s="307">
        <f>IF('Filtered Data'!$H$8="%.",(VLOOKUP(B73,'Filtered Data'!K:M,3,FALSE))/100,VLOOKUP(B73,'Filtered Data'!K:M,3,FALSE))</f>
        <v>0.51205970565669245</v>
      </c>
      <c r="V73" s="307"/>
      <c r="W73" s="307"/>
      <c r="X73" s="307"/>
      <c r="Y73" s="184" t="str">
        <f>IF((VLOOKUP(E73,classifications!C:K,9,FALSE))="Sparse","S","")</f>
        <v/>
      </c>
      <c r="Z73" s="184"/>
      <c r="AA73" s="184"/>
      <c r="AB73" s="184"/>
      <c r="AC73" s="184"/>
      <c r="AD73" s="298"/>
      <c r="AE73" s="298"/>
      <c r="AF73" s="298"/>
      <c r="AG73" s="298"/>
      <c r="AH73" s="298"/>
      <c r="AI73" s="298"/>
      <c r="AJ73" s="298"/>
      <c r="AK73" s="298"/>
      <c r="AL73" s="298"/>
      <c r="AP73" s="85"/>
    </row>
    <row r="74" spans="2:42" ht="12" customHeight="1">
      <c r="B74" s="280">
        <v>9</v>
      </c>
      <c r="C74" s="281"/>
      <c r="D74" s="281"/>
      <c r="E74" s="284" t="str">
        <f>VLOOKUP(B74,'Filtered Data'!K:L,2,FALSE)</f>
        <v>Peterborough</v>
      </c>
      <c r="F74" s="284"/>
      <c r="G74" s="284"/>
      <c r="H74" s="284"/>
      <c r="I74" s="284"/>
      <c r="J74" s="284"/>
      <c r="K74" s="284"/>
      <c r="L74" s="284"/>
      <c r="M74" s="284"/>
      <c r="N74" s="284"/>
      <c r="O74" s="284"/>
      <c r="P74" s="284"/>
      <c r="Q74" s="284"/>
      <c r="R74" s="284"/>
      <c r="S74" s="284"/>
      <c r="T74" s="284"/>
      <c r="U74" s="307">
        <f>IF('Filtered Data'!$H$8="%.",(VLOOKUP(B74,'Filtered Data'!K:M,3,FALSE))/100,VLOOKUP(B74,'Filtered Data'!K:M,3,FALSE))</f>
        <v>0.50682524587427735</v>
      </c>
      <c r="V74" s="307"/>
      <c r="W74" s="307"/>
      <c r="X74" s="307"/>
      <c r="Y74" s="184" t="str">
        <f>IF((VLOOKUP(E74,classifications!C:K,9,FALSE))="Sparse","S","")</f>
        <v/>
      </c>
      <c r="Z74" s="184"/>
      <c r="AA74" s="184"/>
      <c r="AB74" s="184"/>
      <c r="AC74" s="184"/>
      <c r="AD74" s="298"/>
      <c r="AE74" s="298"/>
      <c r="AF74" s="298"/>
      <c r="AG74" s="298"/>
      <c r="AH74" s="298"/>
      <c r="AI74" s="298"/>
      <c r="AJ74" s="298"/>
      <c r="AK74" s="298"/>
      <c r="AL74" s="298"/>
      <c r="AP74" s="85"/>
    </row>
    <row r="75" spans="2:42" ht="12" customHeight="1">
      <c r="B75" s="280">
        <v>10</v>
      </c>
      <c r="C75" s="281"/>
      <c r="D75" s="281"/>
      <c r="E75" s="284" t="str">
        <f>VLOOKUP(B75,'Filtered Data'!K:L,2,FALSE)</f>
        <v>Kingston upon Hull</v>
      </c>
      <c r="F75" s="284"/>
      <c r="G75" s="284"/>
      <c r="H75" s="284"/>
      <c r="I75" s="284"/>
      <c r="J75" s="284"/>
      <c r="K75" s="284"/>
      <c r="L75" s="284"/>
      <c r="M75" s="284"/>
      <c r="N75" s="284"/>
      <c r="O75" s="284"/>
      <c r="P75" s="284"/>
      <c r="Q75" s="284"/>
      <c r="R75" s="284"/>
      <c r="S75" s="284"/>
      <c r="T75" s="284"/>
      <c r="U75" s="307">
        <f>IF('Filtered Data'!$H$8="%.",(VLOOKUP(B75,'Filtered Data'!K:M,3,FALSE))/100,VLOOKUP(B75,'Filtered Data'!K:M,3,FALSE))</f>
        <v>0.50235683517795371</v>
      </c>
      <c r="V75" s="307"/>
      <c r="W75" s="307"/>
      <c r="X75" s="307"/>
      <c r="Y75" s="184" t="str">
        <f>IF((VLOOKUP(E75,classifications!C:K,9,FALSE))="Sparse","S","")</f>
        <v/>
      </c>
      <c r="Z75" s="184"/>
      <c r="AA75" s="184"/>
      <c r="AB75" s="184"/>
      <c r="AC75" s="184"/>
      <c r="AD75" s="298"/>
      <c r="AE75" s="298"/>
      <c r="AF75" s="298"/>
      <c r="AG75" s="298"/>
      <c r="AH75" s="298"/>
      <c r="AI75" s="298"/>
      <c r="AJ75" s="298"/>
      <c r="AK75" s="298"/>
      <c r="AL75" s="298"/>
      <c r="AP75" s="85"/>
    </row>
    <row r="76" spans="2:42" ht="12" customHeight="1">
      <c r="B76" s="280">
        <v>11</v>
      </c>
      <c r="C76" s="281"/>
      <c r="D76" s="281"/>
      <c r="E76" s="284" t="str">
        <f>VLOOKUP(B76,'Filtered Data'!K:L,2,FALSE)</f>
        <v>Central Bedfordshire</v>
      </c>
      <c r="F76" s="284"/>
      <c r="G76" s="284"/>
      <c r="H76" s="284"/>
      <c r="I76" s="284"/>
      <c r="J76" s="284"/>
      <c r="K76" s="284"/>
      <c r="L76" s="284"/>
      <c r="M76" s="284"/>
      <c r="N76" s="284"/>
      <c r="O76" s="284"/>
      <c r="P76" s="284"/>
      <c r="Q76" s="284"/>
      <c r="R76" s="284"/>
      <c r="S76" s="284"/>
      <c r="T76" s="284"/>
      <c r="U76" s="307">
        <f>IF('Filtered Data'!$H$8="%.",(VLOOKUP(B76,'Filtered Data'!K:M,3,FALSE))/100,VLOOKUP(B76,'Filtered Data'!K:M,3,FALSE))</f>
        <v>0.49563625960536062</v>
      </c>
      <c r="V76" s="307"/>
      <c r="W76" s="307"/>
      <c r="X76" s="307"/>
      <c r="Y76" s="184" t="str">
        <f>IF((VLOOKUP(E76,classifications!C:K,9,FALSE))="Sparse","S","")</f>
        <v/>
      </c>
      <c r="Z76" s="184"/>
      <c r="AA76" s="184"/>
      <c r="AB76" s="184"/>
      <c r="AC76" s="184"/>
      <c r="AD76" s="298"/>
      <c r="AE76" s="298"/>
      <c r="AF76" s="298"/>
      <c r="AG76" s="298"/>
      <c r="AH76" s="298"/>
      <c r="AI76" s="298"/>
      <c r="AJ76" s="298"/>
      <c r="AK76" s="298"/>
      <c r="AL76" s="298"/>
      <c r="AP76" s="85"/>
    </row>
    <row r="77" spans="2:42" ht="12" customHeight="1">
      <c r="B77" s="280">
        <v>12</v>
      </c>
      <c r="C77" s="281"/>
      <c r="D77" s="281"/>
      <c r="E77" s="284" t="str">
        <f>VLOOKUP(B77,'Filtered Data'!K:L,2,FALSE)</f>
        <v>South Gloucestershire</v>
      </c>
      <c r="F77" s="284"/>
      <c r="G77" s="284"/>
      <c r="H77" s="284"/>
      <c r="I77" s="284"/>
      <c r="J77" s="284"/>
      <c r="K77" s="284"/>
      <c r="L77" s="284"/>
      <c r="M77" s="284"/>
      <c r="N77" s="284"/>
      <c r="O77" s="284"/>
      <c r="P77" s="284"/>
      <c r="Q77" s="284"/>
      <c r="R77" s="284"/>
      <c r="S77" s="284"/>
      <c r="T77" s="284"/>
      <c r="U77" s="307">
        <f>IF('Filtered Data'!$H$8="%.",(VLOOKUP(B77,'Filtered Data'!K:M,3,FALSE))/100,VLOOKUP(B77,'Filtered Data'!K:M,3,FALSE))</f>
        <v>0.48621863286363803</v>
      </c>
      <c r="V77" s="307"/>
      <c r="W77" s="307"/>
      <c r="X77" s="307"/>
      <c r="Y77" s="184" t="str">
        <f>IF((VLOOKUP(E77,classifications!C:K,9,FALSE))="Sparse","S","")</f>
        <v/>
      </c>
      <c r="Z77" s="184"/>
      <c r="AA77" s="184"/>
      <c r="AB77" s="184"/>
      <c r="AC77" s="184"/>
      <c r="AD77" s="298"/>
      <c r="AE77" s="298"/>
      <c r="AF77" s="298"/>
      <c r="AG77" s="298"/>
      <c r="AH77" s="298"/>
      <c r="AI77" s="298"/>
      <c r="AJ77" s="298"/>
      <c r="AK77" s="298"/>
      <c r="AL77" s="298"/>
      <c r="AP77" s="85"/>
    </row>
    <row r="78" spans="2:42" ht="12" customHeight="1">
      <c r="B78" s="280">
        <v>13</v>
      </c>
      <c r="C78" s="281"/>
      <c r="D78" s="281"/>
      <c r="E78" s="284" t="str">
        <f>VLOOKUP(B78,'Filtered Data'!K:L,2,FALSE)</f>
        <v>West Berkshire</v>
      </c>
      <c r="F78" s="284"/>
      <c r="G78" s="284"/>
      <c r="H78" s="284"/>
      <c r="I78" s="284"/>
      <c r="J78" s="284"/>
      <c r="K78" s="284"/>
      <c r="L78" s="284"/>
      <c r="M78" s="284"/>
      <c r="N78" s="284"/>
      <c r="O78" s="284"/>
      <c r="P78" s="284"/>
      <c r="Q78" s="284"/>
      <c r="R78" s="284"/>
      <c r="S78" s="284"/>
      <c r="T78" s="284"/>
      <c r="U78" s="307">
        <f>IF('Filtered Data'!$H$8="%.",(VLOOKUP(B78,'Filtered Data'!K:M,3,FALSE))/100,VLOOKUP(B78,'Filtered Data'!K:M,3,FALSE))</f>
        <v>0.48531282575289414</v>
      </c>
      <c r="V78" s="307"/>
      <c r="W78" s="307"/>
      <c r="X78" s="307"/>
      <c r="Y78" s="184" t="str">
        <f>IF((VLOOKUP(E78,classifications!C:K,9,FALSE))="Sparse","S","")</f>
        <v/>
      </c>
      <c r="Z78" s="184"/>
      <c r="AA78" s="184"/>
      <c r="AB78" s="184"/>
      <c r="AC78" s="184"/>
      <c r="AD78" s="298"/>
      <c r="AE78" s="298"/>
      <c r="AF78" s="298"/>
      <c r="AG78" s="298"/>
      <c r="AH78" s="298"/>
      <c r="AI78" s="298"/>
      <c r="AJ78" s="298"/>
      <c r="AK78" s="298"/>
      <c r="AL78" s="298"/>
      <c r="AP78" s="85"/>
    </row>
    <row r="79" spans="2:42" ht="12" customHeight="1">
      <c r="B79" s="280">
        <v>14</v>
      </c>
      <c r="C79" s="281"/>
      <c r="D79" s="281"/>
      <c r="E79" s="284" t="str">
        <f>VLOOKUP(B79,'Filtered Data'!K:L,2,FALSE)</f>
        <v>Warrington</v>
      </c>
      <c r="F79" s="284"/>
      <c r="G79" s="284"/>
      <c r="H79" s="284"/>
      <c r="I79" s="284"/>
      <c r="J79" s="284"/>
      <c r="K79" s="284"/>
      <c r="L79" s="284"/>
      <c r="M79" s="284"/>
      <c r="N79" s="284"/>
      <c r="O79" s="284"/>
      <c r="P79" s="284"/>
      <c r="Q79" s="284"/>
      <c r="R79" s="284"/>
      <c r="S79" s="284"/>
      <c r="T79" s="284"/>
      <c r="U79" s="307">
        <f>IF('Filtered Data'!$H$8="%.",(VLOOKUP(B79,'Filtered Data'!K:M,3,FALSE))/100,VLOOKUP(B79,'Filtered Data'!K:M,3,FALSE))</f>
        <v>0.48139441584100101</v>
      </c>
      <c r="V79" s="307"/>
      <c r="W79" s="307"/>
      <c r="X79" s="307"/>
      <c r="Y79" s="184" t="str">
        <f>IF((VLOOKUP(E79,classifications!C:K,9,FALSE))="Sparse","S","")</f>
        <v/>
      </c>
      <c r="Z79" s="184"/>
      <c r="AA79" s="184"/>
      <c r="AB79" s="184"/>
      <c r="AC79" s="184"/>
      <c r="AD79" s="298"/>
      <c r="AE79" s="298"/>
      <c r="AF79" s="298"/>
      <c r="AG79" s="298"/>
      <c r="AH79" s="298"/>
      <c r="AI79" s="298"/>
      <c r="AJ79" s="298"/>
      <c r="AK79" s="298"/>
      <c r="AL79" s="298"/>
      <c r="AP79" s="85"/>
    </row>
    <row r="80" spans="2:42" ht="12" customHeight="1">
      <c r="B80" s="280">
        <v>15</v>
      </c>
      <c r="C80" s="281"/>
      <c r="D80" s="281"/>
      <c r="E80" s="284" t="str">
        <f>VLOOKUP(B80,'Filtered Data'!K:L,2,FALSE)</f>
        <v>Isle of Wight</v>
      </c>
      <c r="F80" s="284"/>
      <c r="G80" s="284"/>
      <c r="H80" s="284"/>
      <c r="I80" s="284"/>
      <c r="J80" s="284"/>
      <c r="K80" s="284"/>
      <c r="L80" s="284"/>
      <c r="M80" s="284"/>
      <c r="N80" s="284"/>
      <c r="O80" s="284"/>
      <c r="P80" s="284"/>
      <c r="Q80" s="284"/>
      <c r="R80" s="284"/>
      <c r="S80" s="284"/>
      <c r="T80" s="284"/>
      <c r="U80" s="307">
        <f>IF('Filtered Data'!$H$8="%.",(VLOOKUP(B80,'Filtered Data'!K:M,3,FALSE))/100,VLOOKUP(B80,'Filtered Data'!K:M,3,FALSE))</f>
        <v>0.47290678015151844</v>
      </c>
      <c r="V80" s="307"/>
      <c r="W80" s="307"/>
      <c r="X80" s="307"/>
      <c r="Y80" s="184" t="str">
        <f>IF((VLOOKUP(E80,classifications!C:K,9,FALSE))="Sparse","S","")</f>
        <v>S</v>
      </c>
      <c r="Z80" s="184"/>
      <c r="AA80" s="184"/>
      <c r="AB80" s="184"/>
      <c r="AC80" s="184"/>
      <c r="AD80" s="298"/>
      <c r="AE80" s="298"/>
      <c r="AF80" s="298"/>
      <c r="AG80" s="298"/>
      <c r="AH80" s="298"/>
      <c r="AI80" s="298"/>
      <c r="AJ80" s="298"/>
      <c r="AK80" s="298"/>
      <c r="AL80" s="298"/>
      <c r="AP80" s="85"/>
    </row>
    <row r="81" spans="1:42" ht="12" customHeight="1">
      <c r="B81" s="280">
        <v>16</v>
      </c>
      <c r="C81" s="281"/>
      <c r="D81" s="281"/>
      <c r="E81" s="284" t="str">
        <f>VLOOKUP(B81,'Filtered Data'!K:L,2,FALSE)</f>
        <v>Bath &amp; North East Somerset</v>
      </c>
      <c r="F81" s="284"/>
      <c r="G81" s="284"/>
      <c r="H81" s="284"/>
      <c r="I81" s="284"/>
      <c r="J81" s="284"/>
      <c r="K81" s="284"/>
      <c r="L81" s="284"/>
      <c r="M81" s="284"/>
      <c r="N81" s="284"/>
      <c r="O81" s="284"/>
      <c r="P81" s="284"/>
      <c r="Q81" s="284"/>
      <c r="R81" s="284"/>
      <c r="S81" s="284"/>
      <c r="T81" s="284"/>
      <c r="U81" s="307">
        <f>IF('Filtered Data'!$H$8="%.",(VLOOKUP(B81,'Filtered Data'!K:M,3,FALSE))/100,VLOOKUP(B81,'Filtered Data'!K:M,3,FALSE))</f>
        <v>0.46600685215803278</v>
      </c>
      <c r="V81" s="307"/>
      <c r="W81" s="307"/>
      <c r="X81" s="307"/>
      <c r="Y81" s="184" t="str">
        <f>IF((VLOOKUP(E81,classifications!C:K,9,FALSE))="Sparse","S","")</f>
        <v/>
      </c>
      <c r="Z81" s="184"/>
      <c r="AA81" s="184"/>
      <c r="AB81" s="184"/>
      <c r="AC81" s="184"/>
      <c r="AD81" s="298"/>
      <c r="AE81" s="298"/>
      <c r="AF81" s="298"/>
      <c r="AG81" s="298"/>
      <c r="AH81" s="298"/>
      <c r="AI81" s="298"/>
      <c r="AJ81" s="298"/>
      <c r="AK81" s="298"/>
      <c r="AL81" s="298"/>
      <c r="AP81" s="85"/>
    </row>
    <row r="82" spans="1:42" ht="12" customHeight="1">
      <c r="B82" s="280">
        <v>17</v>
      </c>
      <c r="C82" s="281"/>
      <c r="D82" s="281"/>
      <c r="E82" s="284" t="str">
        <f>VLOOKUP(B82,'Filtered Data'!K:L,2,FALSE)</f>
        <v>Bournemouth</v>
      </c>
      <c r="F82" s="284"/>
      <c r="G82" s="284"/>
      <c r="H82" s="284"/>
      <c r="I82" s="284"/>
      <c r="J82" s="284"/>
      <c r="K82" s="284"/>
      <c r="L82" s="284"/>
      <c r="M82" s="284"/>
      <c r="N82" s="284"/>
      <c r="O82" s="284"/>
      <c r="P82" s="284"/>
      <c r="Q82" s="284"/>
      <c r="R82" s="284"/>
      <c r="S82" s="284"/>
      <c r="T82" s="284"/>
      <c r="U82" s="307">
        <f>IF('Filtered Data'!$H$8="%.",(VLOOKUP(B82,'Filtered Data'!K:M,3,FALSE))/100,VLOOKUP(B82,'Filtered Data'!K:M,3,FALSE))</f>
        <v>0.4656414118108585</v>
      </c>
      <c r="V82" s="307"/>
      <c r="W82" s="307"/>
      <c r="X82" s="307"/>
      <c r="Y82" s="184" t="str">
        <f>IF((VLOOKUP(E82,classifications!C:K,9,FALSE))="Sparse","S","")</f>
        <v/>
      </c>
      <c r="Z82" s="184"/>
      <c r="AA82" s="184"/>
      <c r="AB82" s="184"/>
      <c r="AC82" s="184"/>
      <c r="AD82" s="298"/>
      <c r="AE82" s="298"/>
      <c r="AF82" s="298"/>
      <c r="AG82" s="298"/>
      <c r="AH82" s="298"/>
      <c r="AI82" s="298"/>
      <c r="AJ82" s="298"/>
      <c r="AK82" s="298"/>
      <c r="AL82" s="298"/>
      <c r="AP82" s="85"/>
    </row>
    <row r="83" spans="1:42" ht="12" customHeight="1">
      <c r="B83" s="280">
        <v>18</v>
      </c>
      <c r="C83" s="281"/>
      <c r="D83" s="281"/>
      <c r="E83" s="284" t="str">
        <f>VLOOKUP(B83,'Filtered Data'!K:L,2,FALSE)</f>
        <v>York</v>
      </c>
      <c r="F83" s="284"/>
      <c r="G83" s="284"/>
      <c r="H83" s="284"/>
      <c r="I83" s="284"/>
      <c r="J83" s="284"/>
      <c r="K83" s="284"/>
      <c r="L83" s="284"/>
      <c r="M83" s="284"/>
      <c r="N83" s="284"/>
      <c r="O83" s="284"/>
      <c r="P83" s="284"/>
      <c r="Q83" s="284"/>
      <c r="R83" s="284"/>
      <c r="S83" s="284"/>
      <c r="T83" s="284"/>
      <c r="U83" s="307">
        <f>IF('Filtered Data'!$H$8="%.",(VLOOKUP(B83,'Filtered Data'!K:M,3,FALSE))/100,VLOOKUP(B83,'Filtered Data'!K:M,3,FALSE))</f>
        <v>0.4548920190316959</v>
      </c>
      <c r="V83" s="307"/>
      <c r="W83" s="307"/>
      <c r="X83" s="307"/>
      <c r="Y83" s="184" t="str">
        <f>IF((VLOOKUP(E83,classifications!C:K,9,FALSE))="Sparse","S","")</f>
        <v/>
      </c>
      <c r="Z83" s="184"/>
      <c r="AA83" s="184"/>
      <c r="AB83" s="184"/>
      <c r="AC83" s="184"/>
      <c r="AD83" s="298"/>
      <c r="AE83" s="298"/>
      <c r="AF83" s="298"/>
      <c r="AG83" s="298"/>
      <c r="AH83" s="298"/>
      <c r="AI83" s="298"/>
      <c r="AJ83" s="298"/>
      <c r="AK83" s="298"/>
      <c r="AL83" s="298"/>
      <c r="AP83" s="85"/>
    </row>
    <row r="84" spans="1:42" ht="12" customHeight="1">
      <c r="B84" s="280">
        <v>19</v>
      </c>
      <c r="C84" s="281"/>
      <c r="D84" s="281"/>
      <c r="E84" s="284" t="str">
        <f>VLOOKUP(B84,'Filtered Data'!K:L,2,FALSE)</f>
        <v>Derby</v>
      </c>
      <c r="F84" s="284"/>
      <c r="G84" s="284"/>
      <c r="H84" s="284"/>
      <c r="I84" s="284"/>
      <c r="J84" s="284"/>
      <c r="K84" s="284"/>
      <c r="L84" s="284"/>
      <c r="M84" s="284"/>
      <c r="N84" s="284"/>
      <c r="O84" s="284"/>
      <c r="P84" s="284"/>
      <c r="Q84" s="284"/>
      <c r="R84" s="284"/>
      <c r="S84" s="284"/>
      <c r="T84" s="284"/>
      <c r="U84" s="307">
        <f>IF('Filtered Data'!$H$8="%.",(VLOOKUP(B84,'Filtered Data'!K:M,3,FALSE))/100,VLOOKUP(B84,'Filtered Data'!K:M,3,FALSE))</f>
        <v>0.44388570464861532</v>
      </c>
      <c r="V84" s="307"/>
      <c r="W84" s="307"/>
      <c r="X84" s="307"/>
      <c r="Y84" s="184" t="str">
        <f>IF((VLOOKUP(E84,classifications!C:K,9,FALSE))="Sparse","S","")</f>
        <v/>
      </c>
      <c r="Z84" s="184"/>
      <c r="AA84" s="184"/>
      <c r="AB84" s="184"/>
      <c r="AC84" s="184"/>
      <c r="AD84" s="298"/>
      <c r="AE84" s="298"/>
      <c r="AF84" s="298"/>
      <c r="AG84" s="298"/>
      <c r="AH84" s="298"/>
      <c r="AI84" s="298"/>
      <c r="AJ84" s="298"/>
      <c r="AK84" s="298"/>
      <c r="AL84" s="298"/>
      <c r="AP84" s="85"/>
    </row>
    <row r="85" spans="1:42" ht="12" customHeight="1">
      <c r="B85" s="280">
        <v>20</v>
      </c>
      <c r="C85" s="280"/>
      <c r="D85" s="280"/>
      <c r="E85" s="284" t="str">
        <f>VLOOKUP(B85,'Filtered Data'!K:L,2,FALSE)</f>
        <v>Wiltshire</v>
      </c>
      <c r="F85" s="284"/>
      <c r="G85" s="284"/>
      <c r="H85" s="284"/>
      <c r="I85" s="284"/>
      <c r="J85" s="284"/>
      <c r="K85" s="284"/>
      <c r="L85" s="284"/>
      <c r="M85" s="284"/>
      <c r="N85" s="284"/>
      <c r="O85" s="284"/>
      <c r="P85" s="284"/>
      <c r="Q85" s="284"/>
      <c r="R85" s="284"/>
      <c r="S85" s="284"/>
      <c r="T85" s="284"/>
      <c r="U85" s="307">
        <f>IF('Filtered Data'!$H$8="%.",(VLOOKUP(B85,'Filtered Data'!K:M,3,FALSE))/100,VLOOKUP(B85,'Filtered Data'!K:M,3,FALSE))</f>
        <v>0.43958887993231832</v>
      </c>
      <c r="V85" s="307"/>
      <c r="W85" s="307"/>
      <c r="X85" s="307"/>
      <c r="Y85" s="184" t="str">
        <f>IF((VLOOKUP(E85,classifications!C:K,9,FALSE))="Sparse","S","")</f>
        <v/>
      </c>
      <c r="Z85" s="184"/>
      <c r="AA85" s="184"/>
      <c r="AB85" s="184"/>
      <c r="AC85" s="184"/>
      <c r="AD85" s="298"/>
      <c r="AE85" s="298"/>
      <c r="AF85" s="298"/>
      <c r="AG85" s="298"/>
      <c r="AH85" s="298"/>
      <c r="AI85" s="298"/>
      <c r="AJ85" s="298"/>
      <c r="AK85" s="298"/>
      <c r="AL85" s="298"/>
      <c r="AP85" s="85"/>
    </row>
    <row r="86" spans="1:42" ht="12" customHeight="1">
      <c r="A86" s="80"/>
      <c r="B86" s="282" t="str">
        <f>IF(Q37&lt;=MAX(B66:D85),"",Q37)</f>
        <v/>
      </c>
      <c r="C86" s="282"/>
      <c r="D86" s="282"/>
      <c r="E86" s="279" t="str">
        <f>IF(B86="","",VLOOKUP(B86,'Filtered Data'!K:L,2,FALSE))</f>
        <v/>
      </c>
      <c r="F86" s="279"/>
      <c r="G86" s="279"/>
      <c r="H86" s="279"/>
      <c r="I86" s="279"/>
      <c r="J86" s="279"/>
      <c r="K86" s="279"/>
      <c r="L86" s="279"/>
      <c r="M86" s="279"/>
      <c r="N86" s="279"/>
      <c r="O86" s="279"/>
      <c r="P86" s="279"/>
      <c r="Q86" s="279"/>
      <c r="R86" s="279"/>
      <c r="S86" s="279"/>
      <c r="T86" s="279"/>
      <c r="U86" s="351" t="str">
        <f>IF(B86="","",L35)</f>
        <v/>
      </c>
      <c r="V86" s="351"/>
      <c r="W86" s="351"/>
      <c r="X86" s="351"/>
      <c r="Y86" s="184" t="str">
        <f>IF(B86="","",IF((VLOOKUP(E86,classifications!C:K,9,FALSE))="Sparse","S",""))</f>
        <v/>
      </c>
      <c r="Z86" s="184"/>
      <c r="AA86" s="184"/>
      <c r="AB86" s="184"/>
      <c r="AC86" s="184"/>
      <c r="AD86" s="352"/>
      <c r="AE86" s="352"/>
      <c r="AF86" s="352"/>
      <c r="AG86" s="352"/>
      <c r="AH86" s="352"/>
      <c r="AI86" s="352"/>
      <c r="AJ86" s="352"/>
      <c r="AK86" s="352"/>
      <c r="AL86" s="352"/>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North West</v>
      </c>
      <c r="AP89" s="85"/>
    </row>
    <row r="90" spans="1:42" ht="12" customHeight="1">
      <c r="B90" s="1"/>
      <c r="AP90" s="85"/>
    </row>
    <row r="91" spans="1:42" ht="12" customHeight="1">
      <c r="B91" s="283" t="s">
        <v>357</v>
      </c>
      <c r="C91" s="283"/>
      <c r="D91" s="283"/>
      <c r="E91" s="288" t="s">
        <v>334</v>
      </c>
      <c r="F91" s="288"/>
      <c r="G91" s="288"/>
      <c r="H91" s="288"/>
      <c r="I91" s="288"/>
      <c r="J91" s="288"/>
      <c r="K91" s="288"/>
      <c r="L91" s="288"/>
      <c r="M91" s="288"/>
      <c r="N91" s="288"/>
      <c r="O91" s="283" t="s">
        <v>368</v>
      </c>
      <c r="P91" s="283"/>
      <c r="Q91" s="283"/>
      <c r="U91" s="283" t="str">
        <f>IF('Filtered Data'!D1="MD","",IF('Filtered Data'!D1="SC","","Rank"))</f>
        <v>Rank</v>
      </c>
      <c r="V91" s="283"/>
      <c r="W91" s="283"/>
      <c r="X91" s="288" t="str">
        <f>IF('Filtered Data'!D1="MD","",IF('Filtered Data'!D1="SC","","Authority"))</f>
        <v>Authority</v>
      </c>
      <c r="Y91" s="288"/>
      <c r="Z91" s="288"/>
      <c r="AA91" s="288"/>
      <c r="AB91" s="288"/>
      <c r="AC91" s="288"/>
      <c r="AD91" s="288"/>
      <c r="AE91" s="288"/>
      <c r="AF91" s="288"/>
      <c r="AG91" s="288"/>
      <c r="AH91" s="283" t="str">
        <f>IF('Filtered Data'!D1="MD","",IF('Filtered Data'!D1="SC","","Value"))</f>
        <v>Value</v>
      </c>
      <c r="AI91" s="283"/>
      <c r="AJ91" s="283"/>
      <c r="AP91" s="85"/>
    </row>
    <row r="92" spans="1:42" ht="12" customHeight="1">
      <c r="B92" s="276">
        <v>1</v>
      </c>
      <c r="C92" s="277"/>
      <c r="D92" s="277"/>
      <c r="E92" s="279" t="str">
        <f>IF(ISNA(VLOOKUP(B92,'Filtered Data'!AE:AF,2,FALSE)),"",(VLOOKUP(B92,'Filtered Data'!AE:AF,2,FALSE)))</f>
        <v>Stockport</v>
      </c>
      <c r="F92" s="279"/>
      <c r="G92" s="279"/>
      <c r="H92" s="279"/>
      <c r="I92" s="279"/>
      <c r="J92" s="279"/>
      <c r="K92" s="279"/>
      <c r="L92" s="279"/>
      <c r="M92" s="279"/>
      <c r="N92" s="279"/>
      <c r="O92" s="278">
        <f>IF(E92="","",IF('Filtered Data'!$H$8="%.",(VLOOKUP(B92,'Filtered Data'!AE:AG,3,FALSE))/100,VLOOKUP(B92,'Filtered Data'!AE:AG,3,FALSE)))</f>
        <v>0.6122045453749746</v>
      </c>
      <c r="P92" s="278"/>
      <c r="Q92" s="278"/>
      <c r="R92" s="278"/>
      <c r="S92" s="185" t="str">
        <f>IF(E92="","",IF((VLOOKUP(E92,classifications!C:K,9,FALSE))="Sparse","S",""))</f>
        <v/>
      </c>
      <c r="U92" s="295">
        <f>IF('Filtered Data'!$D$1="MD","",IF('Filtered Data'!$D$1="SC","",IF('Filtered Data'!$D$1="UA",'Filtered Data'!AS11,'Filtered Data'!AL11)))</f>
        <v>1</v>
      </c>
      <c r="V92" s="281"/>
      <c r="W92" s="281"/>
      <c r="X92" s="284" t="str">
        <f>IF(U92="","",IF('Filtered Data'!$D$1="UA",VLOOKUP(U92,'Filtered Data'!AS:AU,2,FALSE),VLOOKUP(U92,'Filtered Data'!AL:AN,2,FALSE)))</f>
        <v>Cheshire West &amp; Chester</v>
      </c>
      <c r="Y92" s="284"/>
      <c r="Z92" s="284"/>
      <c r="AA92" s="284"/>
      <c r="AB92" s="284"/>
      <c r="AC92" s="284"/>
      <c r="AD92" s="284"/>
      <c r="AE92" s="284"/>
      <c r="AF92" s="284"/>
      <c r="AG92" s="284"/>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0.58242844134142446</v>
      </c>
      <c r="AI92" s="278"/>
      <c r="AJ92" s="278"/>
      <c r="AK92" s="278"/>
      <c r="AL92" s="185" t="str">
        <f>IF(X92="","",IF((VLOOKUP(X92,classifications!C:K,9,FALSE))="Sparse","S",""))</f>
        <v>S</v>
      </c>
      <c r="AP92" s="85"/>
    </row>
    <row r="93" spans="1:42" ht="12" customHeight="1">
      <c r="B93" s="276">
        <v>2</v>
      </c>
      <c r="C93" s="277"/>
      <c r="D93" s="277"/>
      <c r="E93" s="279" t="str">
        <f>IF(ISNA(VLOOKUP(B93,'Filtered Data'!AE:AF,2,FALSE)),"",(VLOOKUP(B93,'Filtered Data'!AE:AF,2,FALSE)))</f>
        <v>Cheshire West &amp; Chester</v>
      </c>
      <c r="F93" s="279"/>
      <c r="G93" s="279"/>
      <c r="H93" s="279"/>
      <c r="I93" s="279"/>
      <c r="J93" s="279"/>
      <c r="K93" s="279"/>
      <c r="L93" s="279"/>
      <c r="M93" s="279"/>
      <c r="N93" s="279"/>
      <c r="O93" s="278">
        <f>IF(E93="","",IF('Filtered Data'!$H$8="%.",(VLOOKUP(B93,'Filtered Data'!AE:AG,3,FALSE))/100,VLOOKUP(B93,'Filtered Data'!AE:AG,3,FALSE)))</f>
        <v>0.58242844134142446</v>
      </c>
      <c r="P93" s="278"/>
      <c r="Q93" s="278"/>
      <c r="R93" s="278"/>
      <c r="S93" s="185" t="str">
        <f>IF(E93="","",IF((VLOOKUP(E93,classifications!C:K,9,FALSE))="Sparse","S",""))</f>
        <v>S</v>
      </c>
      <c r="U93" s="295">
        <f>IF('Filtered Data'!$D$1="MD","",IF('Filtered Data'!$D$1="SC","",IF('Filtered Data'!$D$1="UA",'Filtered Data'!AS12,'Filtered Data'!AL12)))</f>
        <v>2</v>
      </c>
      <c r="V93" s="281"/>
      <c r="W93" s="281"/>
      <c r="X93" s="284" t="str">
        <f>IF(U93="","",IF('Filtered Data'!$D$1="UA",VLOOKUP(U93,'Filtered Data'!AS:AU,2,FALSE),VLOOKUP(U93,'Filtered Data'!AL:AN,2,FALSE)))</f>
        <v>Cheshire East</v>
      </c>
      <c r="Y93" s="284"/>
      <c r="Z93" s="284"/>
      <c r="AA93" s="284"/>
      <c r="AB93" s="284"/>
      <c r="AC93" s="284"/>
      <c r="AD93" s="284"/>
      <c r="AE93" s="284"/>
      <c r="AF93" s="284"/>
      <c r="AG93" s="284"/>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0.52732715809009245</v>
      </c>
      <c r="AI93" s="278"/>
      <c r="AJ93" s="278"/>
      <c r="AK93" s="278"/>
      <c r="AL93" s="185" t="str">
        <f>IF(X93="","",IF((VLOOKUP(X93,classifications!C:K,9,FALSE))="Sparse","S",""))</f>
        <v>S</v>
      </c>
      <c r="AP93" s="85"/>
    </row>
    <row r="94" spans="1:42" ht="12" customHeight="1">
      <c r="B94" s="276">
        <v>3</v>
      </c>
      <c r="C94" s="277"/>
      <c r="D94" s="277"/>
      <c r="E94" s="279" t="str">
        <f>IF(ISNA(VLOOKUP(B94,'Filtered Data'!AE:AF,2,FALSE)),"",(VLOOKUP(B94,'Filtered Data'!AE:AF,2,FALSE)))</f>
        <v>North Somerset</v>
      </c>
      <c r="F94" s="279"/>
      <c r="G94" s="279"/>
      <c r="H94" s="279"/>
      <c r="I94" s="279"/>
      <c r="J94" s="279"/>
      <c r="K94" s="279"/>
      <c r="L94" s="279"/>
      <c r="M94" s="279"/>
      <c r="N94" s="279"/>
      <c r="O94" s="278">
        <f>IF(E94="","",IF('Filtered Data'!$H$8="%.",(VLOOKUP(B94,'Filtered Data'!AE:AG,3,FALSE))/100,VLOOKUP(B94,'Filtered Data'!AE:AG,3,FALSE)))</f>
        <v>0.57460052905136394</v>
      </c>
      <c r="P94" s="278"/>
      <c r="Q94" s="278"/>
      <c r="R94" s="278"/>
      <c r="S94" s="185" t="str">
        <f>IF(E94="","",IF((VLOOKUP(E94,classifications!C:K,9,FALSE))="Sparse","S",""))</f>
        <v>S</v>
      </c>
      <c r="U94" s="295">
        <f>IF('Filtered Data'!$D$1="MD","",IF('Filtered Data'!$D$1="SC","",IF('Filtered Data'!$D$1="UA",'Filtered Data'!AS13,'Filtered Data'!AL13)))</f>
        <v>3</v>
      </c>
      <c r="V94" s="281"/>
      <c r="W94" s="281"/>
      <c r="X94" s="284" t="str">
        <f>IF(U94="","",IF('Filtered Data'!$D$1="UA",VLOOKUP(U94,'Filtered Data'!AS:AU,2,FALSE),VLOOKUP(U94,'Filtered Data'!AL:AN,2,FALSE)))</f>
        <v>Warrington</v>
      </c>
      <c r="Y94" s="284"/>
      <c r="Z94" s="284"/>
      <c r="AA94" s="284"/>
      <c r="AB94" s="284"/>
      <c r="AC94" s="284"/>
      <c r="AD94" s="284"/>
      <c r="AE94" s="284"/>
      <c r="AF94" s="284"/>
      <c r="AG94" s="284"/>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0.48139441584100101</v>
      </c>
      <c r="AI94" s="278"/>
      <c r="AJ94" s="278"/>
      <c r="AK94" s="278"/>
      <c r="AL94" s="185" t="str">
        <f>IF(X94="","",IF((VLOOKUP(X94,classifications!C:K,9,FALSE))="Sparse","S",""))</f>
        <v/>
      </c>
      <c r="AP94" s="85"/>
    </row>
    <row r="95" spans="1:42" ht="12" customHeight="1">
      <c r="B95" s="276">
        <v>4</v>
      </c>
      <c r="C95" s="277"/>
      <c r="D95" s="277"/>
      <c r="E95" s="279" t="str">
        <f>IF(ISNA(VLOOKUP(B95,'Filtered Data'!AE:AF,2,FALSE)),"",(VLOOKUP(B95,'Filtered Data'!AE:AF,2,FALSE)))</f>
        <v>East Riding of Yorkshire</v>
      </c>
      <c r="F95" s="279"/>
      <c r="G95" s="279"/>
      <c r="H95" s="279"/>
      <c r="I95" s="279"/>
      <c r="J95" s="279"/>
      <c r="K95" s="279"/>
      <c r="L95" s="279"/>
      <c r="M95" s="279"/>
      <c r="N95" s="279"/>
      <c r="O95" s="278">
        <f>IF(E95="","",IF('Filtered Data'!$H$8="%.",(VLOOKUP(B95,'Filtered Data'!AE:AG,3,FALSE))/100,VLOOKUP(B95,'Filtered Data'!AE:AG,3,FALSE)))</f>
        <v>0.55642925601097826</v>
      </c>
      <c r="P95" s="278"/>
      <c r="Q95" s="278"/>
      <c r="R95" s="278"/>
      <c r="S95" s="185" t="str">
        <f>IF(E95="","",IF((VLOOKUP(E95,classifications!C:K,9,FALSE))="Sparse","S",""))</f>
        <v>S</v>
      </c>
      <c r="U95" s="295">
        <f>IF('Filtered Data'!$D$1="MD","",IF('Filtered Data'!$D$1="SC","",IF('Filtered Data'!$D$1="UA",'Filtered Data'!AS14,'Filtered Data'!AL14)))</f>
        <v>4</v>
      </c>
      <c r="V95" s="281"/>
      <c r="W95" s="281"/>
      <c r="X95" s="284" t="str">
        <f>IF(U95="","",IF('Filtered Data'!$D$1="UA",VLOOKUP(U95,'Filtered Data'!AS:AU,2,FALSE),VLOOKUP(U95,'Filtered Data'!AL:AN,2,FALSE)))</f>
        <v>Blackburn with Darwen</v>
      </c>
      <c r="Y95" s="284"/>
      <c r="Z95" s="284"/>
      <c r="AA95" s="284"/>
      <c r="AB95" s="284"/>
      <c r="AC95" s="284"/>
      <c r="AD95" s="284"/>
      <c r="AE95" s="284"/>
      <c r="AF95" s="284"/>
      <c r="AG95" s="284"/>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0.40714963774323126</v>
      </c>
      <c r="AI95" s="278"/>
      <c r="AJ95" s="278"/>
      <c r="AK95" s="278"/>
      <c r="AL95" s="185" t="str">
        <f>IF(X95="","",IF((VLOOKUP(X95,classifications!C:K,9,FALSE))="Sparse","S",""))</f>
        <v/>
      </c>
      <c r="AP95" s="85"/>
    </row>
    <row r="96" spans="1:42" ht="12" customHeight="1">
      <c r="B96" s="276">
        <v>5</v>
      </c>
      <c r="C96" s="277"/>
      <c r="D96" s="277"/>
      <c r="E96" s="279" t="str">
        <f>IF(ISNA(VLOOKUP(B96,'Filtered Data'!AE:AF,2,FALSE)),"",(VLOOKUP(B96,'Filtered Data'!AE:AF,2,FALSE)))</f>
        <v>Shropshire</v>
      </c>
      <c r="F96" s="279"/>
      <c r="G96" s="279"/>
      <c r="H96" s="279"/>
      <c r="I96" s="279"/>
      <c r="J96" s="279"/>
      <c r="K96" s="279"/>
      <c r="L96" s="279"/>
      <c r="M96" s="279"/>
      <c r="N96" s="279"/>
      <c r="O96" s="278">
        <f>IF(E96="","",IF('Filtered Data'!$H$8="%.",(VLOOKUP(B96,'Filtered Data'!AE:AG,3,FALSE))/100,VLOOKUP(B96,'Filtered Data'!AE:AG,3,FALSE)))</f>
        <v>0.54567311231083349</v>
      </c>
      <c r="P96" s="278"/>
      <c r="Q96" s="278"/>
      <c r="R96" s="278"/>
      <c r="S96" s="185" t="str">
        <f>IF(E96="","",IF((VLOOKUP(E96,classifications!C:K,9,FALSE))="Sparse","S",""))</f>
        <v>S</v>
      </c>
      <c r="U96" s="295">
        <f>IF('Filtered Data'!$D$1="MD","",IF('Filtered Data'!$D$1="SC","",IF('Filtered Data'!$D$1="UA",'Filtered Data'!AS15,'Filtered Data'!AL15)))</f>
        <v>5</v>
      </c>
      <c r="V96" s="281"/>
      <c r="W96" s="281"/>
      <c r="X96" s="284" t="str">
        <f>IF(U96="","",IF('Filtered Data'!$D$1="UA",VLOOKUP(U96,'Filtered Data'!AS:AU,2,FALSE),VLOOKUP(U96,'Filtered Data'!AL:AN,2,FALSE)))</f>
        <v>Blackpool</v>
      </c>
      <c r="Y96" s="284"/>
      <c r="Z96" s="284"/>
      <c r="AA96" s="284"/>
      <c r="AB96" s="284"/>
      <c r="AC96" s="284"/>
      <c r="AD96" s="284"/>
      <c r="AE96" s="284"/>
      <c r="AF96" s="284"/>
      <c r="AG96" s="284"/>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0.40710630466772213</v>
      </c>
      <c r="AI96" s="278"/>
      <c r="AJ96" s="278"/>
      <c r="AK96" s="278"/>
      <c r="AL96" s="185" t="str">
        <f>IF(X96="","",IF((VLOOKUP(X96,classifications!C:K,9,FALSE))="Sparse","S",""))</f>
        <v/>
      </c>
      <c r="AP96" s="85"/>
    </row>
    <row r="97" spans="2:42" ht="12" customHeight="1">
      <c r="B97" s="276">
        <v>6</v>
      </c>
      <c r="C97" s="277"/>
      <c r="D97" s="277"/>
      <c r="E97" s="279" t="str">
        <f>IF(ISNA(VLOOKUP(B97,'Filtered Data'!AE:AF,2,FALSE)),"",(VLOOKUP(B97,'Filtered Data'!AE:AF,2,FALSE)))</f>
        <v>Trafford</v>
      </c>
      <c r="F97" s="279"/>
      <c r="G97" s="279"/>
      <c r="H97" s="279"/>
      <c r="I97" s="279"/>
      <c r="J97" s="279"/>
      <c r="K97" s="279"/>
      <c r="L97" s="279"/>
      <c r="M97" s="279"/>
      <c r="N97" s="279"/>
      <c r="O97" s="278">
        <f>IF(E97="","",IF('Filtered Data'!$H$8="%.",(VLOOKUP(B97,'Filtered Data'!AE:AG,3,FALSE))/100,VLOOKUP(B97,'Filtered Data'!AE:AG,3,FALSE)))</f>
        <v>0.53918284646054504</v>
      </c>
      <c r="P97" s="278"/>
      <c r="Q97" s="278"/>
      <c r="R97" s="278"/>
      <c r="S97" s="185" t="str">
        <f>IF(E97="","",IF((VLOOKUP(E97,classifications!C:K,9,FALSE))="Sparse","S",""))</f>
        <v/>
      </c>
      <c r="U97" s="295">
        <f>IF('Filtered Data'!$D$1="MD","",IF('Filtered Data'!$D$1="SC","",IF('Filtered Data'!$D$1="UA",'Filtered Data'!AS16,'Filtered Data'!AL16)))</f>
        <v>6</v>
      </c>
      <c r="V97" s="281"/>
      <c r="W97" s="281"/>
      <c r="X97" s="284" t="str">
        <f>IF(U97="","",IF('Filtered Data'!$D$1="UA",VLOOKUP(U97,'Filtered Data'!AS:AU,2,FALSE),VLOOKUP(U97,'Filtered Data'!AL:AN,2,FALSE)))</f>
        <v>Halton</v>
      </c>
      <c r="Y97" s="284"/>
      <c r="Z97" s="284"/>
      <c r="AA97" s="284"/>
      <c r="AB97" s="284"/>
      <c r="AC97" s="284"/>
      <c r="AD97" s="284"/>
      <c r="AE97" s="284"/>
      <c r="AF97" s="284"/>
      <c r="AG97" s="284"/>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0.39235299150687641</v>
      </c>
      <c r="AI97" s="278"/>
      <c r="AJ97" s="278"/>
      <c r="AK97" s="278"/>
      <c r="AL97" s="185" t="str">
        <f>IF(X97="","",IF((VLOOKUP(X97,classifications!C:K,9,FALSE))="Sparse","S",""))</f>
        <v/>
      </c>
      <c r="AP97" s="85"/>
    </row>
    <row r="98" spans="2:42" ht="12" customHeight="1">
      <c r="B98" s="276">
        <v>7</v>
      </c>
      <c r="C98" s="277"/>
      <c r="D98" s="277"/>
      <c r="E98" s="279" t="str">
        <f>IF(ISNA(VLOOKUP(B98,'Filtered Data'!AE:AF,2,FALSE)),"",(VLOOKUP(B98,'Filtered Data'!AE:AF,2,FALSE)))</f>
        <v>Cheshire East</v>
      </c>
      <c r="F98" s="279"/>
      <c r="G98" s="279"/>
      <c r="H98" s="279"/>
      <c r="I98" s="279"/>
      <c r="J98" s="279"/>
      <c r="K98" s="279"/>
      <c r="L98" s="279"/>
      <c r="M98" s="279"/>
      <c r="N98" s="279"/>
      <c r="O98" s="278">
        <f>IF(E98="","",IF('Filtered Data'!$H$8="%.",(VLOOKUP(B98,'Filtered Data'!AE:AG,3,FALSE))/100,VLOOKUP(B98,'Filtered Data'!AE:AG,3,FALSE)))</f>
        <v>0.52732715809009245</v>
      </c>
      <c r="P98" s="278"/>
      <c r="Q98" s="278"/>
      <c r="R98" s="278"/>
      <c r="S98" s="185" t="str">
        <f>IF(E98="","",IF((VLOOKUP(E98,classifications!C:K,9,FALSE))="Sparse","S",""))</f>
        <v>S</v>
      </c>
      <c r="U98" s="295" t="str">
        <f>IF('Filtered Data'!$D$1="MD","",IF('Filtered Data'!$D$1="SC","",IF('Filtered Data'!$D$1="UA",'Filtered Data'!AS17,'Filtered Data'!AL17)))</f>
        <v/>
      </c>
      <c r="V98" s="281"/>
      <c r="W98" s="281"/>
      <c r="X98" s="284" t="str">
        <f>IF(U98="","",IF('Filtered Data'!$D$1="UA",VLOOKUP(U98,'Filtered Data'!AS:AU,2,FALSE),VLOOKUP(U98,'Filtered Data'!AL:AN,2,FALSE)))</f>
        <v/>
      </c>
      <c r="Y98" s="284"/>
      <c r="Z98" s="284"/>
      <c r="AA98" s="284"/>
      <c r="AB98" s="284"/>
      <c r="AC98" s="284"/>
      <c r="AD98" s="284"/>
      <c r="AE98" s="284"/>
      <c r="AF98" s="284"/>
      <c r="AG98" s="284"/>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76">
        <v>8</v>
      </c>
      <c r="C99" s="277"/>
      <c r="D99" s="277"/>
      <c r="E99" s="279" t="str">
        <f>IF(ISNA(VLOOKUP(B99,'Filtered Data'!AE:AF,2,FALSE)),"",(VLOOKUP(B99,'Filtered Data'!AE:AF,2,FALSE)))</f>
        <v>Central Bedfordshire</v>
      </c>
      <c r="F99" s="279"/>
      <c r="G99" s="279"/>
      <c r="H99" s="279"/>
      <c r="I99" s="279"/>
      <c r="J99" s="279"/>
      <c r="K99" s="279"/>
      <c r="L99" s="279"/>
      <c r="M99" s="279"/>
      <c r="N99" s="279"/>
      <c r="O99" s="278">
        <f>IF(E99="","",IF('Filtered Data'!$H$8="%.",(VLOOKUP(B99,'Filtered Data'!AE:AG,3,FALSE))/100,VLOOKUP(B99,'Filtered Data'!AE:AG,3,FALSE)))</f>
        <v>0.49563625960536062</v>
      </c>
      <c r="P99" s="278"/>
      <c r="Q99" s="278"/>
      <c r="R99" s="278"/>
      <c r="S99" s="185" t="str">
        <f>IF(E99="","",IF((VLOOKUP(E99,classifications!C:K,9,FALSE))="Sparse","S",""))</f>
        <v/>
      </c>
      <c r="U99" s="295" t="str">
        <f>IF('Filtered Data'!$D$1="MD","",IF('Filtered Data'!$D$1="SC","",IF('Filtered Data'!$D$1="UA",'Filtered Data'!AS18,'Filtered Data'!AL18)))</f>
        <v/>
      </c>
      <c r="V99" s="281"/>
      <c r="W99" s="281"/>
      <c r="X99" s="284" t="str">
        <f>IF(U99="","",IF('Filtered Data'!$D$1="UA",VLOOKUP(U99,'Filtered Data'!AS:AU,2,FALSE),VLOOKUP(U99,'Filtered Data'!AL:AN,2,FALSE)))</f>
        <v/>
      </c>
      <c r="Y99" s="284"/>
      <c r="Z99" s="284"/>
      <c r="AA99" s="284"/>
      <c r="AB99" s="284"/>
      <c r="AC99" s="284"/>
      <c r="AD99" s="284"/>
      <c r="AE99" s="284"/>
      <c r="AF99" s="284"/>
      <c r="AG99" s="284"/>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76">
        <v>9</v>
      </c>
      <c r="C100" s="277"/>
      <c r="D100" s="277"/>
      <c r="E100" s="279" t="str">
        <f>IF(ISNA(VLOOKUP(B100,'Filtered Data'!AE:AF,2,FALSE)),"",(VLOOKUP(B100,'Filtered Data'!AE:AF,2,FALSE)))</f>
        <v>South Gloucestershire</v>
      </c>
      <c r="F100" s="279"/>
      <c r="G100" s="279"/>
      <c r="H100" s="279"/>
      <c r="I100" s="279"/>
      <c r="J100" s="279"/>
      <c r="K100" s="279"/>
      <c r="L100" s="279"/>
      <c r="M100" s="279"/>
      <c r="N100" s="279"/>
      <c r="O100" s="278">
        <f>IF(E100="","",IF('Filtered Data'!$H$8="%.",(VLOOKUP(B100,'Filtered Data'!AE:AG,3,FALSE))/100,VLOOKUP(B100,'Filtered Data'!AE:AG,3,FALSE)))</f>
        <v>0.48621863286363803</v>
      </c>
      <c r="P100" s="278"/>
      <c r="Q100" s="278"/>
      <c r="R100" s="278"/>
      <c r="S100" s="185" t="str">
        <f>IF(E100="","",IF((VLOOKUP(E100,classifications!C:K,9,FALSE))="Sparse","S",""))</f>
        <v/>
      </c>
      <c r="U100" s="295" t="str">
        <f>IF('Filtered Data'!$D$1="MD","",IF('Filtered Data'!$D$1="SC","",IF('Filtered Data'!$D$1="UA",'Filtered Data'!AS19,'Filtered Data'!AL19)))</f>
        <v/>
      </c>
      <c r="V100" s="281"/>
      <c r="W100" s="281"/>
      <c r="X100" s="284" t="str">
        <f>IF(U100="","",IF('Filtered Data'!$D$1="UA",VLOOKUP(U100,'Filtered Data'!AS:AU,2,FALSE),VLOOKUP(U100,'Filtered Data'!AL:AN,2,FALSE)))</f>
        <v/>
      </c>
      <c r="Y100" s="284"/>
      <c r="Z100" s="284"/>
      <c r="AA100" s="284"/>
      <c r="AB100" s="284"/>
      <c r="AC100" s="284"/>
      <c r="AD100" s="284"/>
      <c r="AE100" s="284"/>
      <c r="AF100" s="284"/>
      <c r="AG100" s="284"/>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76">
        <v>10</v>
      </c>
      <c r="C101" s="277"/>
      <c r="D101" s="277"/>
      <c r="E101" s="279" t="str">
        <f>IF(ISNA(VLOOKUP(B101,'Filtered Data'!AE:AF,2,FALSE)),"",(VLOOKUP(B101,'Filtered Data'!AE:AF,2,FALSE)))</f>
        <v>Warrington</v>
      </c>
      <c r="F101" s="279"/>
      <c r="G101" s="279"/>
      <c r="H101" s="279"/>
      <c r="I101" s="279"/>
      <c r="J101" s="279"/>
      <c r="K101" s="279"/>
      <c r="L101" s="279"/>
      <c r="M101" s="279"/>
      <c r="N101" s="279"/>
      <c r="O101" s="278">
        <f>IF(E101="","",IF('Filtered Data'!$H$8="%.",(VLOOKUP(B101,'Filtered Data'!AE:AG,3,FALSE))/100,VLOOKUP(B101,'Filtered Data'!AE:AG,3,FALSE)))</f>
        <v>0.48139441584100101</v>
      </c>
      <c r="P101" s="278"/>
      <c r="Q101" s="278"/>
      <c r="R101" s="278"/>
      <c r="S101" s="185" t="str">
        <f>IF(E101="","",IF((VLOOKUP(E101,classifications!C:K,9,FALSE))="Sparse","S",""))</f>
        <v/>
      </c>
      <c r="U101" s="295" t="str">
        <f>IF('Filtered Data'!$D$1="MD","",IF('Filtered Data'!$D$1="SC","",IF('Filtered Data'!$D$1="UA",'Filtered Data'!AS20,'Filtered Data'!AL20)))</f>
        <v/>
      </c>
      <c r="V101" s="281"/>
      <c r="W101" s="281"/>
      <c r="X101" s="284" t="str">
        <f>IF(U101="","",IF('Filtered Data'!$D$1="UA",VLOOKUP(U101,'Filtered Data'!AS:AU,2,FALSE),VLOOKUP(U101,'Filtered Data'!AL:AN,2,FALSE)))</f>
        <v/>
      </c>
      <c r="Y101" s="284"/>
      <c r="Z101" s="284"/>
      <c r="AA101" s="284"/>
      <c r="AB101" s="284"/>
      <c r="AC101" s="284"/>
      <c r="AD101" s="284"/>
      <c r="AE101" s="284"/>
      <c r="AF101" s="284"/>
      <c r="AG101" s="284"/>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76">
        <v>11</v>
      </c>
      <c r="C102" s="277"/>
      <c r="D102" s="277"/>
      <c r="E102" s="279" t="str">
        <f>IF(ISNA(VLOOKUP(B102,'Filtered Data'!AE:AF,2,FALSE)),"",(VLOOKUP(B102,'Filtered Data'!AE:AF,2,FALSE)))</f>
        <v>Bath &amp; North East Somerset</v>
      </c>
      <c r="F102" s="279"/>
      <c r="G102" s="279"/>
      <c r="H102" s="279"/>
      <c r="I102" s="279"/>
      <c r="J102" s="279"/>
      <c r="K102" s="279"/>
      <c r="L102" s="279"/>
      <c r="M102" s="279"/>
      <c r="N102" s="279"/>
      <c r="O102" s="278">
        <f>IF(E102="","",IF('Filtered Data'!$H$8="%.",(VLOOKUP(B102,'Filtered Data'!AE:AG,3,FALSE))/100,VLOOKUP(B102,'Filtered Data'!AE:AG,3,FALSE)))</f>
        <v>0.46600685215803278</v>
      </c>
      <c r="P102" s="278"/>
      <c r="Q102" s="278"/>
      <c r="R102" s="278"/>
      <c r="S102" s="185" t="str">
        <f>IF(E102="","",IF((VLOOKUP(E102,classifications!C:K,9,FALSE))="Sparse","S",""))</f>
        <v/>
      </c>
      <c r="U102" s="295" t="str">
        <f>IF('Filtered Data'!$D$1="MD","",IF('Filtered Data'!$D$1="SC","",IF('Filtered Data'!$D$1="UA",'Filtered Data'!AS21,'Filtered Data'!AL21)))</f>
        <v/>
      </c>
      <c r="V102" s="281"/>
      <c r="W102" s="281"/>
      <c r="X102" s="284" t="str">
        <f>IF(U102="","",IF('Filtered Data'!$D$1="UA",VLOOKUP(U102,'Filtered Data'!AS:AU,2,FALSE),VLOOKUP(U102,'Filtered Data'!AL:AN,2,FALSE)))</f>
        <v/>
      </c>
      <c r="Y102" s="284"/>
      <c r="Z102" s="284"/>
      <c r="AA102" s="284"/>
      <c r="AB102" s="284"/>
      <c r="AC102" s="284"/>
      <c r="AD102" s="284"/>
      <c r="AE102" s="284"/>
      <c r="AF102" s="284"/>
      <c r="AG102" s="284"/>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76">
        <v>12</v>
      </c>
      <c r="C103" s="276"/>
      <c r="D103" s="276"/>
      <c r="E103" s="279" t="str">
        <f>IF(ISNA(VLOOKUP(B103,'Filtered Data'!AE:AF,2,FALSE)),"",(VLOOKUP(B103,'Filtered Data'!AE:AF,2,FALSE)))</f>
        <v>York</v>
      </c>
      <c r="F103" s="279"/>
      <c r="G103" s="279"/>
      <c r="H103" s="279"/>
      <c r="I103" s="279"/>
      <c r="J103" s="279"/>
      <c r="K103" s="279"/>
      <c r="L103" s="279"/>
      <c r="M103" s="279"/>
      <c r="N103" s="279"/>
      <c r="O103" s="278">
        <f>IF(E103="","",IF('Filtered Data'!$H$8="%.",(VLOOKUP(B103,'Filtered Data'!AE:AG,3,FALSE))/100,VLOOKUP(B103,'Filtered Data'!AE:AG,3,FALSE)))</f>
        <v>0.4548920190316959</v>
      </c>
      <c r="P103" s="278"/>
      <c r="Q103" s="278"/>
      <c r="R103" s="278"/>
      <c r="S103" s="185" t="str">
        <f>IF(E103="","",IF((VLOOKUP(E103,classifications!C:K,9,FALSE))="Sparse","S",""))</f>
        <v/>
      </c>
      <c r="U103" s="295" t="str">
        <f>IF('Filtered Data'!$D$1="MD","",IF('Filtered Data'!$D$1="SC","",IF('Filtered Data'!$D$1="UA",'Filtered Data'!AS22,'Filtered Data'!AL22)))</f>
        <v/>
      </c>
      <c r="V103" s="281"/>
      <c r="W103" s="281"/>
      <c r="X103" s="284" t="str">
        <f>IF(U103="","",IF('Filtered Data'!$D$1="UA",VLOOKUP(U103,'Filtered Data'!AS:AU,2,FALSE),VLOOKUP(U103,'Filtered Data'!AL:AN,2,FALSE)))</f>
        <v/>
      </c>
      <c r="Y103" s="284"/>
      <c r="Z103" s="284"/>
      <c r="AA103" s="284"/>
      <c r="AB103" s="284"/>
      <c r="AC103" s="284"/>
      <c r="AD103" s="284"/>
      <c r="AE103" s="284"/>
      <c r="AF103" s="284"/>
      <c r="AG103" s="284"/>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76">
        <v>13</v>
      </c>
      <c r="C104" s="277"/>
      <c r="D104" s="277"/>
      <c r="E104" s="279" t="str">
        <f>IF(ISNA(VLOOKUP(B104,'Filtered Data'!AE:AF,2,FALSE)),"",(VLOOKUP(B104,'Filtered Data'!AE:AF,2,FALSE)))</f>
        <v>Wiltshire</v>
      </c>
      <c r="F104" s="279"/>
      <c r="G104" s="279"/>
      <c r="H104" s="279"/>
      <c r="I104" s="279"/>
      <c r="J104" s="279"/>
      <c r="K104" s="279"/>
      <c r="L104" s="279"/>
      <c r="M104" s="279"/>
      <c r="N104" s="279"/>
      <c r="O104" s="278">
        <f>IF(E104="","",IF('Filtered Data'!$H$8="%.",(VLOOKUP(B104,'Filtered Data'!AE:AG,3,FALSE))/100,VLOOKUP(B104,'Filtered Data'!AE:AG,3,FALSE)))</f>
        <v>0.43958887993231832</v>
      </c>
      <c r="P104" s="278"/>
      <c r="Q104" s="278"/>
      <c r="R104" s="278"/>
      <c r="S104" s="185" t="str">
        <f>IF(E104="","",IF((VLOOKUP(E104,classifications!C:K,9,FALSE))="Sparse","S",""))</f>
        <v/>
      </c>
      <c r="U104" s="295" t="str">
        <f>IF('Filtered Data'!$D$1="MD","",IF('Filtered Data'!$D$1="SC","",IF('Filtered Data'!$D$1="UA",'Filtered Data'!AS23,'Filtered Data'!AL23)))</f>
        <v/>
      </c>
      <c r="V104" s="281"/>
      <c r="W104" s="281"/>
      <c r="X104" s="284" t="str">
        <f>IF(U104="","",IF('Filtered Data'!$D$1="UA",VLOOKUP(U104,'Filtered Data'!AS:AU,2,FALSE),VLOOKUP(U104,'Filtered Data'!AL:AN,2,FALSE)))</f>
        <v/>
      </c>
      <c r="Y104" s="284"/>
      <c r="Z104" s="284"/>
      <c r="AA104" s="284"/>
      <c r="AB104" s="284"/>
      <c r="AC104" s="284"/>
      <c r="AD104" s="284"/>
      <c r="AE104" s="284"/>
      <c r="AF104" s="284"/>
      <c r="AG104" s="284"/>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76">
        <v>14</v>
      </c>
      <c r="C105" s="277"/>
      <c r="D105" s="277"/>
      <c r="E105" s="279" t="str">
        <f>IF(ISNA(VLOOKUP(B105,'Filtered Data'!AE:AF,2,FALSE)),"",(VLOOKUP(B105,'Filtered Data'!AE:AF,2,FALSE)))</f>
        <v>Solihull</v>
      </c>
      <c r="F105" s="279"/>
      <c r="G105" s="279"/>
      <c r="H105" s="279"/>
      <c r="I105" s="279"/>
      <c r="J105" s="279"/>
      <c r="K105" s="279"/>
      <c r="L105" s="279"/>
      <c r="M105" s="279"/>
      <c r="N105" s="279"/>
      <c r="O105" s="278">
        <f>IF(E105="","",IF('Filtered Data'!$H$8="%.",(VLOOKUP(B105,'Filtered Data'!AE:AG,3,FALSE))/100,VLOOKUP(B105,'Filtered Data'!AE:AG,3,FALSE)))</f>
        <v>0.3991288726355921</v>
      </c>
      <c r="P105" s="278"/>
      <c r="Q105" s="278"/>
      <c r="R105" s="278"/>
      <c r="S105" s="185" t="str">
        <f>IF(E105="","",IF((VLOOKUP(E105,classifications!C:K,9,FALSE))="Sparse","S",""))</f>
        <v/>
      </c>
      <c r="U105" s="295" t="str">
        <f>IF('Filtered Data'!$D$1="MD","",IF('Filtered Data'!$D$1="SC","",IF('Filtered Data'!$D$1="UA",'Filtered Data'!AS24,'Filtered Data'!AL24)))</f>
        <v/>
      </c>
      <c r="V105" s="281"/>
      <c r="W105" s="281"/>
      <c r="X105" s="284" t="str">
        <f>IF(U105="","",IF('Filtered Data'!$D$1="UA",VLOOKUP(U105,'Filtered Data'!AS:AU,2,FALSE),VLOOKUP(U105,'Filtered Data'!AL:AN,2,FALSE)))</f>
        <v/>
      </c>
      <c r="Y105" s="284"/>
      <c r="Z105" s="284"/>
      <c r="AA105" s="284"/>
      <c r="AB105" s="284"/>
      <c r="AC105" s="284"/>
      <c r="AD105" s="284"/>
      <c r="AE105" s="284"/>
      <c r="AF105" s="284"/>
      <c r="AG105" s="284"/>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76">
        <v>15</v>
      </c>
      <c r="C106" s="277"/>
      <c r="D106" s="277"/>
      <c r="E106" s="279" t="str">
        <f>IF(ISNA(VLOOKUP(B106,'Filtered Data'!AE:AF,2,FALSE)),"",(VLOOKUP(B106,'Filtered Data'!AE:AF,2,FALSE)))</f>
        <v>Herefordshire</v>
      </c>
      <c r="F106" s="279"/>
      <c r="G106" s="279"/>
      <c r="H106" s="279"/>
      <c r="I106" s="279"/>
      <c r="J106" s="279"/>
      <c r="K106" s="279"/>
      <c r="L106" s="279"/>
      <c r="M106" s="279"/>
      <c r="N106" s="279"/>
      <c r="O106" s="278">
        <f>IF(E106="","",IF('Filtered Data'!$H$8="%.",(VLOOKUP(B106,'Filtered Data'!AE:AG,3,FALSE))/100,VLOOKUP(B106,'Filtered Data'!AE:AG,3,FALSE)))</f>
        <v>0.38595496245153915</v>
      </c>
      <c r="P106" s="278"/>
      <c r="Q106" s="278"/>
      <c r="R106" s="278"/>
      <c r="S106" s="185" t="str">
        <f>IF(E106="","",IF((VLOOKUP(E106,classifications!C:K,9,FALSE))="Sparse","S",""))</f>
        <v>S</v>
      </c>
      <c r="U106" s="295" t="str">
        <f>IF('Filtered Data'!$D$1="MD","",IF('Filtered Data'!$D$1="SC","",IF('Filtered Data'!$D$1="UA",'Filtered Data'!AS25,'Filtered Data'!AL25)))</f>
        <v/>
      </c>
      <c r="V106" s="281"/>
      <c r="W106" s="281"/>
      <c r="X106" s="284" t="str">
        <f>IF(U106="","",IF('Filtered Data'!$D$1="UA",VLOOKUP(U106,'Filtered Data'!AS:AU,2,FALSE),VLOOKUP(U106,'Filtered Data'!AL:AN,2,FALSE)))</f>
        <v/>
      </c>
      <c r="Y106" s="284"/>
      <c r="Z106" s="284"/>
      <c r="AA106" s="284"/>
      <c r="AB106" s="284"/>
      <c r="AC106" s="284"/>
      <c r="AD106" s="284"/>
      <c r="AE106" s="284"/>
      <c r="AF106" s="284"/>
      <c r="AG106" s="284"/>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76">
        <v>16</v>
      </c>
      <c r="C107" s="277"/>
      <c r="D107" s="277"/>
      <c r="E107" s="279" t="str">
        <f>IF(ISNA(VLOOKUP(B107,'Filtered Data'!AE:AF,2,FALSE)),"",(VLOOKUP(B107,'Filtered Data'!AE:AF,2,FALSE)))</f>
        <v>Bedford</v>
      </c>
      <c r="F107" s="279"/>
      <c r="G107" s="279"/>
      <c r="H107" s="279"/>
      <c r="I107" s="279"/>
      <c r="J107" s="279"/>
      <c r="K107" s="279"/>
      <c r="L107" s="279"/>
      <c r="M107" s="279"/>
      <c r="N107" s="279"/>
      <c r="O107" s="278">
        <f>IF(E107="","",IF('Filtered Data'!$H$8="%.",(VLOOKUP(B107,'Filtered Data'!AE:AG,3,FALSE))/100,VLOOKUP(B107,'Filtered Data'!AE:AG,3,FALSE)))</f>
        <v>0.38182428932161844</v>
      </c>
      <c r="P107" s="278"/>
      <c r="Q107" s="278"/>
      <c r="R107" s="278"/>
      <c r="S107" s="185" t="str">
        <f>IF(E107="","",IF((VLOOKUP(E107,classifications!C:K,9,FALSE))="Sparse","S",""))</f>
        <v/>
      </c>
      <c r="U107" s="295" t="str">
        <f>IF('Filtered Data'!$D$1="MD","",IF('Filtered Data'!$D$1="SC","",IF('Filtered Data'!$D$1="UA",'Filtered Data'!AS26,'Filtered Data'!AL26)))</f>
        <v/>
      </c>
      <c r="V107" s="281"/>
      <c r="W107" s="281"/>
      <c r="X107" s="284" t="str">
        <f>IF(U107="","",IF('Filtered Data'!$D$1="UA",VLOOKUP(U107,'Filtered Data'!AS:AU,2,FALSE),VLOOKUP(U107,'Filtered Data'!AL:AN,2,FALSE)))</f>
        <v/>
      </c>
      <c r="Y107" s="284"/>
      <c r="Z107" s="284"/>
      <c r="AA107" s="284"/>
      <c r="AB107" s="284"/>
      <c r="AC107" s="284"/>
      <c r="AD107" s="284"/>
      <c r="AE107" s="284"/>
      <c r="AF107" s="284"/>
      <c r="AG107" s="284"/>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1"/>
      <c r="C108" s="281"/>
      <c r="D108" s="281"/>
      <c r="E108" s="288" t="s">
        <v>343</v>
      </c>
      <c r="F108" s="288"/>
      <c r="G108" s="288"/>
      <c r="H108" s="288"/>
      <c r="I108" s="288"/>
      <c r="J108" s="288"/>
      <c r="K108" s="288"/>
      <c r="L108" s="288"/>
      <c r="M108" s="288"/>
      <c r="N108" s="288"/>
      <c r="O108" s="294">
        <f>IF(ISERROR(AVERAGE(O92:O107)),"",AVERAGE(O92:O107))</f>
        <v>0.49553069203006306</v>
      </c>
      <c r="P108" s="294"/>
      <c r="Q108" s="294"/>
      <c r="R108" s="294"/>
      <c r="S108" s="185"/>
      <c r="U108" s="281"/>
      <c r="V108" s="281"/>
      <c r="W108" s="281"/>
      <c r="X108" s="24" t="str">
        <f>IF('Filtered Data'!D1="MD","",IF('Filtered Data'!D1="SC","","Average"))</f>
        <v>Average</v>
      </c>
      <c r="Y108" s="24"/>
      <c r="Z108" s="24"/>
      <c r="AA108" s="24"/>
      <c r="AB108" s="24"/>
      <c r="AC108" s="24"/>
      <c r="AD108" s="24"/>
      <c r="AE108" s="24"/>
      <c r="AF108" s="24"/>
      <c r="AG108" s="27"/>
      <c r="AH108" s="294">
        <f>L40</f>
        <v>0.46629315819839129</v>
      </c>
      <c r="AI108" s="294"/>
      <c r="AJ108" s="294"/>
      <c r="AK108" s="294"/>
      <c r="AP108" s="85"/>
    </row>
    <row r="109" spans="2:42" ht="12" customHeight="1">
      <c r="W109" s="22">
        <f>COUNT(U92:V107)</f>
        <v>6</v>
      </c>
    </row>
    <row r="110" spans="2:42" ht="19.5" customHeight="1">
      <c r="B110" s="296" t="str">
        <f>B3</f>
        <v>Recycling rate</v>
      </c>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row>
    <row r="111" spans="2:42" ht="12" customHeight="1"/>
    <row r="112" spans="2:42" ht="12" customHeight="1">
      <c r="B112" s="288" t="s">
        <v>376</v>
      </c>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row>
    <row r="113" spans="2:40" ht="12" customHeight="1"/>
    <row r="114" spans="2:40" ht="12" customHeight="1">
      <c r="B114" s="290" t="str">
        <f>W6&amp;" - "&amp;W12</f>
        <v>Recycling Rate - Annual up to 31 December 2013</v>
      </c>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291"/>
      <c r="AK114" s="291"/>
      <c r="AL114" s="291"/>
      <c r="AM114" s="291"/>
      <c r="AN114" s="26"/>
    </row>
    <row r="115" spans="2:40" ht="12" customHeight="1">
      <c r="B115" s="292"/>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289">
        <f>IF('Filtered Data'!H8="..",L35,L35*100)</f>
        <v>52.732715809009242</v>
      </c>
      <c r="H118" s="289"/>
      <c r="I118" s="289"/>
      <c r="J118" s="289"/>
      <c r="K118" s="289"/>
      <c r="L118" s="6"/>
      <c r="M118" s="285">
        <f>K$48</f>
        <v>47.715059799625969</v>
      </c>
      <c r="N118" s="285"/>
      <c r="O118" s="285">
        <f>M$48</f>
        <v>42.652607844631532</v>
      </c>
      <c r="P118" s="285"/>
      <c r="Q118" s="285">
        <f>O$48</f>
        <v>35.799420114580599</v>
      </c>
      <c r="R118" s="285"/>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89">
        <f>IF('Filtered Data'!H8="%%",(AVERAGEIF('Filtered Data'!AA$10:AA$500,$F119,'Filtered Data'!M$10:M$500))*100,(AVERAGEIF('Filtered Data'!AA$10:AA$500,$F119,'Filtered Data'!M$10:M$500)))</f>
        <v>45.973608120858444</v>
      </c>
      <c r="H119" s="289"/>
      <c r="I119" s="289"/>
      <c r="J119" s="289"/>
      <c r="K119" s="289"/>
      <c r="L119" s="6"/>
      <c r="M119" s="285">
        <f>K$48</f>
        <v>47.715059799625969</v>
      </c>
      <c r="N119" s="285"/>
      <c r="O119" s="285">
        <f>M$48</f>
        <v>42.652607844631532</v>
      </c>
      <c r="P119" s="285"/>
      <c r="Q119" s="285">
        <f>O$48</f>
        <v>35.799420114580599</v>
      </c>
      <c r="R119" s="285"/>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89">
        <f>IF('Filtered Data'!H8="%%",(AVERAGEIF('Filtered Data'!AA$10:AA$500,$F120,'Filtered Data'!M$10:M$500))*100,(AVERAGEIF('Filtered Data'!AA$10:AA$500,$F120,'Filtered Data'!M$10:M$500)))</f>
        <v>38.927125691055195</v>
      </c>
      <c r="H120" s="289"/>
      <c r="I120" s="289"/>
      <c r="J120" s="289"/>
      <c r="K120" s="289"/>
      <c r="L120" s="6"/>
      <c r="M120" s="285">
        <f>K$48</f>
        <v>47.715059799625969</v>
      </c>
      <c r="N120" s="285"/>
      <c r="O120" s="285">
        <f>M$48</f>
        <v>42.652607844631532</v>
      </c>
      <c r="P120" s="285"/>
      <c r="Q120" s="285">
        <f>O$48</f>
        <v>35.799420114580599</v>
      </c>
      <c r="R120" s="285"/>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89">
        <f>IF('Filtered Data'!H8="%%",(AVERAGEIF('Filtered Data'!AA$10:AA$500,$F121,'Filtered Data'!M$10:M$500))*100,(AVERAGEIF('Filtered Data'!AA$10:AA$500,$F121,'Filtered Data'!M$10:M$500)))</f>
        <v>47.012376659471165</v>
      </c>
      <c r="H121" s="289"/>
      <c r="I121" s="289"/>
      <c r="J121" s="289"/>
      <c r="K121" s="289"/>
      <c r="L121" s="6"/>
      <c r="M121" s="285">
        <f>K$48</f>
        <v>47.715059799625969</v>
      </c>
      <c r="N121" s="285"/>
      <c r="O121" s="285">
        <f>M$48</f>
        <v>42.652607844631532</v>
      </c>
      <c r="P121" s="285"/>
      <c r="Q121" s="285">
        <f>O$48</f>
        <v>35.799420114580599</v>
      </c>
      <c r="R121" s="285"/>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9"/>
      <c r="H122" s="289"/>
      <c r="I122" s="289"/>
      <c r="J122" s="289"/>
      <c r="K122" s="289"/>
      <c r="L122" s="6"/>
      <c r="M122" s="285"/>
      <c r="N122" s="285"/>
      <c r="O122" s="285"/>
      <c r="P122" s="285"/>
      <c r="Q122" s="285"/>
      <c r="R122" s="285"/>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9"/>
      <c r="H123" s="289"/>
      <c r="I123" s="289"/>
      <c r="J123" s="289"/>
      <c r="K123" s="289"/>
      <c r="L123" s="6"/>
      <c r="M123" s="285"/>
      <c r="N123" s="285"/>
      <c r="O123" s="285"/>
      <c r="P123" s="285"/>
      <c r="Q123" s="285"/>
      <c r="R123" s="285"/>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9"/>
      <c r="H124" s="289"/>
      <c r="I124" s="289"/>
      <c r="J124" s="289"/>
      <c r="K124" s="289"/>
      <c r="L124" s="6"/>
      <c r="M124" s="285"/>
      <c r="N124" s="285"/>
      <c r="O124" s="285"/>
      <c r="P124" s="285"/>
      <c r="Q124" s="285"/>
      <c r="R124" s="285"/>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Cheshire East</v>
      </c>
      <c r="F3" s="108" t="str">
        <f>VLOOKUP(D3,classifications!C:G,4,FALSE)</f>
        <v>UA</v>
      </c>
      <c r="G3" s="48" t="str">
        <f>VLOOKUP(D3,classifications!C:E,3,FALSE)</f>
        <v>North West</v>
      </c>
      <c r="H3" s="118" t="str">
        <f>VLOOKUP(D3,classifications!C:H,6,FALSE)</f>
        <v>Rural-50</v>
      </c>
      <c r="I3" s="48" t="str">
        <f>VLOOKUP(D3,classifications!C:J,8,FALSE)</f>
        <v>Unitary</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Recycling Rate</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Annual up to 31 December 2013</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58.829808990422791</v>
      </c>
      <c r="Q7" s="145">
        <f>IF(I8="A",MAX(N11:N363),MIN(N11:N363))</f>
        <v>22.155958668976467</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Cheshire East</v>
      </c>
      <c r="Q8" s="146">
        <f>VLOOKUP(D3,L11:N363,3,FALSE)</f>
        <v>52.732715809009242</v>
      </c>
      <c r="R8" s="147" t="str">
        <f>IF(I8="A",IF(Q8&gt;Q10,"Bottom",IF(Q8&gt;P10,"Third",IF(Q8&gt;O10,"Second","Top"))),IF(Q8&gt;=O10,"Top",IF(Q8&gt;=P10,"Second",IF(Q8&gt;=Q10,"Third","Bottom"))))</f>
        <v>Top</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0.41712034304126699</v>
      </c>
      <c r="N9" s="123"/>
      <c r="O9" s="126" t="s">
        <v>344</v>
      </c>
      <c r="P9" s="126" t="s">
        <v>355</v>
      </c>
      <c r="Q9" s="126" t="s">
        <v>356</v>
      </c>
      <c r="R9" s="128" t="s">
        <v>408</v>
      </c>
      <c r="S9" s="53"/>
      <c r="T9" s="233" t="s">
        <v>828</v>
      </c>
      <c r="U9" s="234">
        <f>IF($H$8="%.",(AVERAGE(U11:U363))/100,(AVERAGE(U11:U363)))</f>
        <v>0.48781956530479936</v>
      </c>
      <c r="V9" s="235"/>
      <c r="W9" s="235"/>
      <c r="X9" s="121" t="str">
        <f>"Lower Level Ranking for Authorites in "&amp;H3&amp;" &amp; are a "&amp;F3</f>
        <v>Lower Level Ranking for Authorites in Rural-50 &amp; are a UA</v>
      </c>
      <c r="Y9" s="123">
        <f>IF($H$8="%.",(AVERAGE(Y11:Y363))/100,(AVERAGE(Y11:Y363)))</f>
        <v>0.47540279526818924</v>
      </c>
      <c r="Z9" s="122"/>
      <c r="AA9" s="243" t="s">
        <v>384</v>
      </c>
      <c r="AB9" s="234">
        <f>IF($H$8="%.",(AVERAGE(AB11:AB363))/100,(AVERAGE(AB11:AB363)))</f>
        <v>0.45973608120858445</v>
      </c>
      <c r="AC9" s="244"/>
      <c r="AD9" s="244"/>
      <c r="AE9" s="54" t="s">
        <v>417</v>
      </c>
      <c r="AG9" s="123">
        <f>IF($H$8="%.",(AVERAGE(AG11:AG363))/100,(AVERAGE(AG11:AG363)))</f>
        <v>0.49553069203006306</v>
      </c>
      <c r="AI9" s="121" t="str">
        <f>"County Ranking &amp; Top Authorites in "&amp;I3&amp;" &amp; are a "&amp;F3</f>
        <v>County Ranking &amp; Top Authorites in Unitary &amp; are a UA</v>
      </c>
      <c r="AJ9" s="123">
        <f>IF($H$8="%.",(AVERAGE(AJ11:AJ363))/100,(AVERAGE(AJ11:AJ363)))</f>
        <v>0.41712034304126699</v>
      </c>
      <c r="AK9" s="122"/>
      <c r="AL9" s="70"/>
      <c r="AM9" s="31"/>
      <c r="AN9" s="31"/>
      <c r="AP9" s="121" t="str">
        <f>"Regional Ranking in for "&amp;F3</f>
        <v>Regional Ranking in for UA</v>
      </c>
      <c r="AQ9" s="123">
        <f>IF($H$8="%.",(AVERAGE(AQ11:AQ363))/100,(AVERAGE(AQ11:AQ363)))</f>
        <v>0.46629315819839129</v>
      </c>
      <c r="AR9" s="122"/>
      <c r="AS9" s="122"/>
      <c r="AT9" s="122"/>
      <c r="AU9" s="122"/>
      <c r="AV9" s="49"/>
      <c r="AW9" s="115"/>
      <c r="AX9" s="178" t="str">
        <f>Profile!$W$6</f>
        <v>Recycling Rate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47.715059799625969</v>
      </c>
      <c r="P10" s="130">
        <f>QUARTILE(N:N,2)</f>
        <v>42.652607844631532</v>
      </c>
      <c r="Q10" s="130">
        <f>IF(I8="A",QUARTILE(N:N,3),QUARTILE(N:N,1))</f>
        <v>35.799420114580599</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Annual up to 31 December 2013</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HLOOKUP($D$6,AX$10:ZX$363,ROW()-9,FALSE)</f>
        <v>0.32464445363906108</v>
      </c>
      <c r="G11" s="105"/>
      <c r="H11" s="60" t="str">
        <f>IF(D11=$D$1,HLOOKUP($D$6,$AX$10:$ZZ$363,ROW()-9,FALSE),"")</f>
        <v/>
      </c>
      <c r="I11" s="112" t="str">
        <f>IF(H11="","",IF($I$8="A",(RANK(H11,H$11:H$363,1)+COUNTIF(H$11:H11,H11)-1),(RANK(H11,H$11:H$363)+COUNTIF(H$11:H11,H11)-1)))</f>
        <v/>
      </c>
      <c r="J11" s="58"/>
      <c r="K11" s="51">
        <v>1</v>
      </c>
      <c r="L11" s="59" t="str">
        <f>IF(K11="","",INDEX(C$11:C$363,MATCH(K11,I$11:I$363,0)))</f>
        <v>Rutland</v>
      </c>
      <c r="M11" s="153">
        <f>IF(L11="","",IF(VLOOKUP(L11,C:D,2,FALSE)=$F$3,VLOOKUP(L11,C:H,6,FALSE),""))</f>
        <v>0.58829808990422794</v>
      </c>
      <c r="N11" s="148">
        <f>IF(L11="","",IF($H$8="%%",M11*100,M11))</f>
        <v>58.829808990422791</v>
      </c>
      <c r="O11" s="131">
        <f>IF(I$8="A",IF(N11&gt;=$P$7,IF(N11&lt;=$O$10,N11,""),""),IF(N11&lt;=$P$7,IF(N11&gt;=$O$10,N11,""),""))</f>
        <v>58.829808990422791</v>
      </c>
      <c r="P11" s="131" t="str">
        <f>IF(I$8="A",IF(N11&gt;$O$10,IF(N11&lt;=$P$10,N11,""),""),IF(N11&lt;$O$10,IF(N11&gt;=$P$10,N11,""),""))</f>
        <v/>
      </c>
      <c r="Q11" s="131" t="str">
        <f>IF(I$8="A",IF(N11&gt;$P$10,IF(N11&lt;=$Q$10,N11,""),""),IF(N11&lt;$P$10,IF(N11&gt;=$Q$10,N11,""),""))</f>
        <v/>
      </c>
      <c r="R11" s="127" t="str">
        <f>IF(I$8="A",IF(N11&gt;$Q$10,N11,""),IF(N11&lt;$Q$10,N11,""))</f>
        <v/>
      </c>
      <c r="S11" s="60" t="str">
        <f>IF(L11=D$3,"u","")</f>
        <v/>
      </c>
      <c r="T11" s="231" t="str">
        <f>IF(L11="","",VLOOKUP(L11,classifications!C:K,9,FALSE))</f>
        <v>Sparse</v>
      </c>
      <c r="U11" s="238">
        <f>IF(T11="Sparse",M11,"")</f>
        <v>0.58829808990422794</v>
      </c>
      <c r="V11" s="239">
        <f>IF(U11="","",IF($I$8="A",(RANK(U11,U$11:U$363)+COUNTIF(U$11:U11,U11)-1),(RANK(U11,U$11:U$363,1)+COUNTIF(U$11:U11,U11)-1)))</f>
        <v>12</v>
      </c>
      <c r="W11" s="240"/>
      <c r="X11" s="61" t="str">
        <f>IF(L11="","",VLOOKUP($L11,classifications!$C:$J,6,FALSE))</f>
        <v>Rural-80</v>
      </c>
      <c r="Y11" s="49">
        <f>IF($D$1="UA",IF(X11="Rural-50",M11,IF(X11="Rural-80",M11,IF(X11="Significant Rural",M11,""))),IF($D$1="SD",IF(X11=$H$3,M11,"")))</f>
        <v>0.58829808990422794</v>
      </c>
      <c r="Z11" s="57">
        <f>IF(Y11="","",IF(I$8="A",(RANK(Y11,Y$11:Y$363,1)+COUNTIF(Y$11:Y11,Y11)-1),(RANK(Y11,Y$11:Y$363)+COUNTIF(Y$11:Y11,Y11)-1)))</f>
        <v>1</v>
      </c>
      <c r="AA11" s="245" t="str">
        <f>IF(L11="","",VLOOKUP($L11,classifications!C:I,7,FALSE))</f>
        <v>Predominantly Rural</v>
      </c>
      <c r="AB11" s="239">
        <f>IF(AA11=$J$3,M11,"")</f>
        <v>0.58829808990422794</v>
      </c>
      <c r="AC11" s="239">
        <f>IF(AB11="","",IF($I$8="A",(RANK(AB11,AB$11:AB$363)+COUNTIF(AB$11:AB11,AB11)-1),(RANK(AB11,AB$11:AB$363,1)+COUNTIF(AB$11:AB11,AB11)-1)))</f>
        <v>16</v>
      </c>
      <c r="AD11" s="239"/>
      <c r="AE11" s="71">
        <f>IF(I$8="A",(RANK(AG11,AG$11:AG$363,1)+COUNTIF(AG$11:AG11,AG11)-1),(RANK(AG11,AG$11:AG$363)+COUNTIF(AG$11:AG11,AG11)-1))</f>
        <v>7</v>
      </c>
      <c r="AF11" s="69" t="str">
        <f>'Filtered Data'!D3</f>
        <v>Cheshire East</v>
      </c>
      <c r="AG11" s="142">
        <f>VLOOKUP(Profile!$J$5,$C$11:$H$363,4,FALSE)</f>
        <v>0.52732715809009245</v>
      </c>
      <c r="AH11" s="72">
        <f>AE11</f>
        <v>7</v>
      </c>
      <c r="AI11" s="61" t="str">
        <f>IF(L11="","",VLOOKUP($L11,classifications!$C:$J,8,FALSE))</f>
        <v>Unitary</v>
      </c>
      <c r="AJ11" s="62">
        <f t="shared" ref="AJ11:AJ74" si="0">IF(AI11=$I$3,M11,"")</f>
        <v>0.58829808990422794</v>
      </c>
      <c r="AK11" s="57">
        <f>IF(AJ11="","",IF(I$8="A",(RANK(AJ11,AJ$11:AJ$363,1)+COUNTIF(AJ$11:AJ11,AJ11)-1),(RANK(AJ11,AJ$11:AJ$363)+COUNTIF(AJ$11:AJ11,AJ11)-1)))</f>
        <v>1</v>
      </c>
      <c r="AL11" s="57">
        <v>1</v>
      </c>
      <c r="AM11" s="31" t="str">
        <f>IF(ISNA(IF(AL11="","",INDEX(L$11:L$363,MATCH(AL11,AK$11:AK$363,0)))),"",(IF(AL11="","",INDEX(L$11:L$363,MATCH(AL11,AK$11:AK$363,0)))))</f>
        <v>Rutland</v>
      </c>
      <c r="AN11" s="31">
        <f>(VLOOKUP(AM11,L:M,2,FALSE))</f>
        <v>0.58829808990422794</v>
      </c>
      <c r="AP11" s="61" t="str">
        <f>IF(L11="","",VLOOKUP($L11,classifications!$C:$E,3,FALSE))</f>
        <v>East Midlands</v>
      </c>
      <c r="AQ11" s="62" t="str">
        <f>IF(AP11=$G$3,$M11,"")</f>
        <v/>
      </c>
      <c r="AR11" s="57" t="str">
        <f>IF(AQ11="","",IF(I$8="A",(RANK(AQ11,AQ$11:AQ$363,1)+COUNTIF(AQ$11:AQ11,AQ11)-1),(RANK(AQ11,AQ$11:AQ$363)+COUNTIF(AQ$11:AQ11,AQ11)-1)))</f>
        <v/>
      </c>
      <c r="AS11" s="57">
        <v>1</v>
      </c>
      <c r="AT11" s="57" t="str">
        <f>IF(AS11="","",INDEX(L$11:L$363,MATCH(AS11,AR$11:AR$363,0)))</f>
        <v>Cheshire West &amp; Chester</v>
      </c>
      <c r="AU11" s="62">
        <f>IF(AT11="","",VLOOKUP(AT11,L:M,2,FALSE))</f>
        <v>0.58242844134142446</v>
      </c>
      <c r="AX11" s="44">
        <f>HLOOKUP($AX$9&amp;$AX$10,Data!$A$1:$ZZ$2000,(MATCH($C11,Data!$A$1:$A$2000,0)),FALSE)</f>
        <v>0.32464445363906108</v>
      </c>
      <c r="AY11" s="156"/>
      <c r="AZ11" s="44"/>
    </row>
    <row r="12" spans="1:735">
      <c r="A12" s="84" t="str">
        <f>$D$1&amp;2</f>
        <v>UA2</v>
      </c>
      <c r="B12" s="85" t="str">
        <f>IF(ISERROR(VLOOKUP(A12,classifications!A:C,3,FALSE)),0,VLOOKUP(A12,classifications!A:C,3,FALSE))</f>
        <v>Cheshire West &amp; Chester</v>
      </c>
      <c r="C12" s="31" t="s">
        <v>6</v>
      </c>
      <c r="D12" s="49" t="str">
        <f>VLOOKUP($C12,classifications!$C:$J,4,FALSE)</f>
        <v>SD</v>
      </c>
      <c r="E12" s="49" t="str">
        <f>VLOOKUP(C12,classifications!C:K,9,FALSE)</f>
        <v>Sparse</v>
      </c>
      <c r="F12" s="59">
        <f t="shared" ref="F12:F74" si="1">HLOOKUP($D$6,AX$10:ZX$363,ROW()-9,FALSE)</f>
        <v>0.39391001938844622</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Cheshire West &amp; Chester</v>
      </c>
      <c r="M12" s="153">
        <f>IF(L12="","",IF(VLOOKUP(L12,C:D,2,FALSE)=$F$3,VLOOKUP(L12,C:H,6,FALSE),""))</f>
        <v>0.58242844134142446</v>
      </c>
      <c r="N12" s="148">
        <f>IF(L12="","",IF($H$8="%%",M12*100,M12))</f>
        <v>58.242844134142445</v>
      </c>
      <c r="O12" s="131">
        <f t="shared" ref="O12:O74" si="3">IF(I$8="A",IF(N12&gt;=$P$7,IF(N12&lt;=$O$10,N12,""),""),IF(N12&lt;=$P$7,IF(N12&gt;=$O$10,N12,""),""))</f>
        <v>58.242844134142445</v>
      </c>
      <c r="P12" s="131" t="str">
        <f>IF(I$8="A",IF(N12&gt;$O$10,IF(N12&lt;=$P$10,N12,""),""),IF(N12&lt;$O$10,IF(N12&gt;=$P$10,N12,""),""))</f>
        <v/>
      </c>
      <c r="Q12" s="131" t="str">
        <f>IF(I$8="A",IF(N12&gt;$P$10,IF(N12&lt;=$Q$10,N12,""),""),IF(N12&lt;$P$10,IF(N12&gt;=$Q$10,N12,""),""))</f>
        <v/>
      </c>
      <c r="R12" s="127" t="str">
        <f>IF(I$8="A",IF(N12&gt;$Q$10,N12,""),IF(N12&lt;$Q$10,N12,""))</f>
        <v/>
      </c>
      <c r="S12" s="60" t="str">
        <f t="shared" ref="S12:S75" si="4">IF(L12=D$3,"u","")</f>
        <v/>
      </c>
      <c r="T12" s="231" t="str">
        <f>IF(L12="","",VLOOKUP(L12,classifications!C:K,9,FALSE))</f>
        <v>Sparse</v>
      </c>
      <c r="U12" s="238">
        <f t="shared" ref="U12:U42" si="5">IF(T12="Sparse",M12,"")</f>
        <v>0.58242844134142446</v>
      </c>
      <c r="V12" s="239">
        <f>IF(U12="","",IF($I$8="A",(RANK(U12,U$11:U$363)+COUNTIF(U$11:U12,U12)-1),(RANK(U12,U$11:U$363,1)+COUNTIF(U$11:U12,U12)-1)))</f>
        <v>11</v>
      </c>
      <c r="W12" s="240"/>
      <c r="X12" s="61" t="str">
        <f>IF(L12="","",VLOOKUP($L12,classifications!$C:$J,6,FALSE))</f>
        <v>Significant Rural</v>
      </c>
      <c r="Y12" s="49">
        <f t="shared" ref="Y12:Y75" si="6">IF($D$1="UA",IF(X12="Rural-50",M12,IF(X12="Rural-80",M12,IF(X12="Significant Rural",M12,""))),IF($D$1="SD",IF(X12=$H$3,M12,"")))</f>
        <v>0.58242844134142446</v>
      </c>
      <c r="Z12" s="57">
        <f>IF(Y12="","",IF(I$8="A",(RANK(Y12,Y$11:Y$363,1)+COUNTIF(Y$11:Y12,Y12)-1),(RANK(Y12,Y$11:Y$363)+COUNTIF(Y$11:Y12,Y12)-1)))</f>
        <v>2</v>
      </c>
      <c r="AA12" s="245" t="str">
        <f>IF(L12="","",VLOOKUP($L12,classifications!C:I,7,FALSE))</f>
        <v>Significant Rural</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2</v>
      </c>
      <c r="AF12" s="6" t="str">
        <f>VLOOKUP(Profile!$J$5,Families!$C:$R,2,FALSE)</f>
        <v>Cheshire West &amp; Chester</v>
      </c>
      <c r="AG12" s="143">
        <f>VLOOKUP(AF12,$C$11:$H$363,4,FALSE)</f>
        <v>0.58242844134142446</v>
      </c>
      <c r="AH12" s="72">
        <f>AE12</f>
        <v>2</v>
      </c>
      <c r="AI12" s="61" t="str">
        <f>IF(L12="","",VLOOKUP($L12,classifications!$C:$J,8,FALSE))</f>
        <v>Unitary</v>
      </c>
      <c r="AJ12" s="62">
        <f t="shared" si="0"/>
        <v>0.58242844134142446</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Cheshire West &amp; Chester</v>
      </c>
      <c r="AN12" s="31">
        <f t="shared" ref="AN12:AN75" si="9">(VLOOKUP(AM12,L:M,2,FALSE))</f>
        <v>0.58242844134142446</v>
      </c>
      <c r="AP12" s="61" t="str">
        <f>IF(L12="","",VLOOKUP($L12,classifications!$C:$E,3,FALSE))</f>
        <v>North West</v>
      </c>
      <c r="AQ12" s="62">
        <f t="shared" ref="AQ12:AQ75" si="10">IF(AP12=$G$3,$M12,"")</f>
        <v>0.58242844134142446</v>
      </c>
      <c r="AR12" s="57">
        <f>IF(AQ12="","",IF(I$8="A",(RANK(AQ12,AQ$11:AQ$363,1)+COUNTIF(AQ$11:AQ12,AQ12)-1),(RANK(AQ12,AQ$11:AQ$363)+COUNTIF(AQ$11:AQ12,AQ12)-1)))</f>
        <v>1</v>
      </c>
      <c r="AS12" s="52">
        <f>IF(AS11="","",IF(AS11+1&gt;(COUNT(AQ$11:AQ$363)),"",AS11+1))</f>
        <v>2</v>
      </c>
      <c r="AT12" s="57" t="str">
        <f t="shared" ref="AT12:AT75" si="11">IF(AS12="","",INDEX(L$11:L$363,MATCH(AS12,AR$11:AR$363,0)))</f>
        <v>Cheshire East</v>
      </c>
      <c r="AU12" s="62">
        <f t="shared" ref="AU12:AU75" si="12">IF(AT12="","",VLOOKUP(AT12,L:M,2,FALSE))</f>
        <v>0.52732715809009245</v>
      </c>
      <c r="AX12" s="44">
        <f>HLOOKUP($AX$9&amp;$AX$10,Data!$A$1:$ZZ$2000,(MATCH($C12,Data!$A$1:$A$2000,0)),FALSE)</f>
        <v>0.39391001938844622</v>
      </c>
      <c r="AY12" s="156"/>
      <c r="AZ12" s="44"/>
    </row>
    <row r="13" spans="1:735">
      <c r="A13" s="84" t="str">
        <f>$D$1&amp;3</f>
        <v>UA3</v>
      </c>
      <c r="B13" s="85" t="str">
        <f>IF(ISERROR(VLOOKUP(A13,classifications!A:C,3,FALSE)),0,VLOOKUP(A13,classifications!A:C,3,FALSE))</f>
        <v>Cornwall</v>
      </c>
      <c r="C13" s="31" t="s">
        <v>7</v>
      </c>
      <c r="D13" s="49" t="str">
        <f>VLOOKUP($C13,classifications!$C:$J,4,FALSE)</f>
        <v>SD</v>
      </c>
      <c r="E13" s="49">
        <f>VLOOKUP(C13,classifications!C:K,9,FALSE)</f>
        <v>0</v>
      </c>
      <c r="F13" s="59">
        <f t="shared" si="1"/>
        <v>0.33039160133664547</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North Somerset</v>
      </c>
      <c r="M13" s="153">
        <f>IF(L13="","",IF(VLOOKUP(L13,C:D,2,FALSE)=$F$3,VLOOKUP(L13,C:H,6,FALSE),""))</f>
        <v>0.57460052905136394</v>
      </c>
      <c r="N13" s="148">
        <f>IF(L13="","",IF($H$8="%%",M13*100,M13))</f>
        <v>57.460052905136394</v>
      </c>
      <c r="O13" s="131">
        <f t="shared" si="3"/>
        <v>57.460052905136394</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0.57460052905136394</v>
      </c>
      <c r="V13" s="239">
        <f>IF(U13="","",IF($I$8="A",(RANK(U13,U$11:U$363)+COUNTIF(U$11:U13,U13)-1),(RANK(U13,U$11:U$363,1)+COUNTIF(U$11:U13,U13)-1)))</f>
        <v>10</v>
      </c>
      <c r="W13" s="240"/>
      <c r="X13" s="61" t="str">
        <f>IF(L13="","",VLOOKUP($L13,classifications!$C:$J,6,FALSE))</f>
        <v>Rural-50</v>
      </c>
      <c r="Y13" s="49">
        <f t="shared" si="6"/>
        <v>0.57460052905136394</v>
      </c>
      <c r="Z13" s="57">
        <f>IF(Y13="","",IF(I$8="A",(RANK(Y13,Y$11:Y$363,1)+COUNTIF(Y$11:Y13,Y13)-1),(RANK(Y13,Y$11:Y$363)+COUNTIF(Y$11:Y13,Y13)-1)))</f>
        <v>3</v>
      </c>
      <c r="AA13" s="245" t="str">
        <f>IF(L13="","",VLOOKUP($L13,classifications!C:I,7,FALSE))</f>
        <v>Predominantly Rural</v>
      </c>
      <c r="AB13" s="239">
        <f>IF(AA13=$J$3,M13,"")</f>
        <v>0.57460052905136394</v>
      </c>
      <c r="AC13" s="239">
        <f>IF(AB13="","",IF($I$8="A",(RANK(AB13,AB$11:AB$363)+COUNTIF(AB$11:AB13,AB13)-1),(RANK(AB13,AB$11:AB$363,1)+COUNTIF(AB$11:AB13,AB13)-1)))</f>
        <v>15</v>
      </c>
      <c r="AD13" s="239"/>
      <c r="AE13" s="71">
        <f>IF(I$8="A",(RANK(AG13,AG$11:AG$363,1)+COUNTIF(AG$11:AG13,AG13)-1),(RANK(AG13,AG$11:AG$363)+COUNTIF(AG$11:AG13,AG13)-1))</f>
        <v>13</v>
      </c>
      <c r="AF13" s="6" t="str">
        <f>VLOOKUP(Profile!$J$5,Families!$C:$R,3,FALSE)</f>
        <v>Wiltshire</v>
      </c>
      <c r="AG13" s="143">
        <f>VLOOKUP(AF13,$C$11:$H$363,4,FALSE)</f>
        <v>0.43958887993231832</v>
      </c>
      <c r="AH13" s="72">
        <f t="shared" ref="AH13:AH26" si="18">AE13</f>
        <v>13</v>
      </c>
      <c r="AI13" s="61" t="str">
        <f>IF(L13="","",VLOOKUP($L13,classifications!$C:$J,8,FALSE))</f>
        <v>Unitary</v>
      </c>
      <c r="AJ13" s="62">
        <f>IF(AI13=$I$3,M13,"")</f>
        <v>0.57460052905136394</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North Somerset</v>
      </c>
      <c r="AN13" s="31">
        <f t="shared" si="9"/>
        <v>0.57460052905136394</v>
      </c>
      <c r="AP13" s="61" t="str">
        <f>IF(L13="","",VLOOKUP($L13,classifications!$C:$E,3,FALSE))</f>
        <v>South West</v>
      </c>
      <c r="AQ13" s="62" t="str">
        <f t="shared" si="10"/>
        <v/>
      </c>
      <c r="AR13" s="57" t="str">
        <f>IF(AQ13="","",IF(I$8="A",(RANK(AQ13,AQ$11:AQ$363,1)+COUNTIF(AQ$11:AQ13,AQ13)-1),(RANK(AQ13,AQ$11:AQ$363)+COUNTIF(AQ$11:AQ13,AQ13)-1)))</f>
        <v/>
      </c>
      <c r="AS13" s="52">
        <f>IF(AS12="","",IF(AS12+1&gt;(COUNT(AQ$11:AQ$363)),"",AS12+1))</f>
        <v>3</v>
      </c>
      <c r="AT13" s="57" t="str">
        <f t="shared" si="11"/>
        <v>Warrington</v>
      </c>
      <c r="AU13" s="62">
        <f t="shared" si="12"/>
        <v>0.48139441584100101</v>
      </c>
      <c r="AX13" s="44">
        <f>HLOOKUP($AX$9&amp;$AX$10,Data!$A$1:$ZZ$2000,(MATCH($C13,Data!$A$1:$A$2000,0)),FALSE)</f>
        <v>0.33039160133664547</v>
      </c>
      <c r="AY13" s="156"/>
      <c r="AZ13" s="44"/>
    </row>
    <row r="14" spans="1:735">
      <c r="A14" s="84" t="str">
        <f>$D$1&amp;4</f>
        <v>UA4</v>
      </c>
      <c r="B14" s="85" t="str">
        <f>IF(ISERROR(VLOOKUP(A14,classifications!A:C,3,FALSE)),0,VLOOKUP(A14,classifications!A:C,3,FALSE))</f>
        <v>Durham</v>
      </c>
      <c r="C14" s="31" t="s">
        <v>8</v>
      </c>
      <c r="D14" s="49" t="str">
        <f>VLOOKUP($C14,classifications!$C:$J,4,FALSE)</f>
        <v>SD</v>
      </c>
      <c r="E14" s="49">
        <f>VLOOKUP(C14,classifications!C:K,9,FALSE)</f>
        <v>0</v>
      </c>
      <c r="F14" s="59">
        <f t="shared" si="1"/>
        <v>0.36262048497229343</v>
      </c>
      <c r="G14" s="105"/>
      <c r="H14" s="60" t="str">
        <f t="shared" si="2"/>
        <v/>
      </c>
      <c r="I14" s="112" t="str">
        <f>IF(H14="","",IF($I$8="A",(RANK(H14,H$11:H$363,1)+COUNTIF(H$11:H14,H14)-1),(RANK(H14,H$11:H$363)+COUNTIF(H$11:H14,H14)-1)))</f>
        <v/>
      </c>
      <c r="J14" s="58"/>
      <c r="K14" s="51">
        <f t="shared" si="13"/>
        <v>4</v>
      </c>
      <c r="L14" s="59" t="str">
        <f t="shared" si="14"/>
        <v>East Riding of Yorkshire</v>
      </c>
      <c r="M14" s="153">
        <f t="shared" ref="M14:M75" si="20">IF(L14="","",IF(VLOOKUP(L14,C:D,2,FALSE)=$F$3,VLOOKUP(L14,C:H,6,FALSE),""))</f>
        <v>0.55642925601097826</v>
      </c>
      <c r="N14" s="148">
        <f t="shared" ref="N14:N75" si="21">IF(L14="","",IF($H$8="%%",M14*100,M14))</f>
        <v>55.642925601097829</v>
      </c>
      <c r="O14" s="131">
        <f t="shared" si="3"/>
        <v>55.642925601097829</v>
      </c>
      <c r="P14" s="131" t="str">
        <f t="shared" si="15"/>
        <v/>
      </c>
      <c r="Q14" s="131" t="str">
        <f t="shared" si="16"/>
        <v/>
      </c>
      <c r="R14" s="127" t="str">
        <f t="shared" si="17"/>
        <v/>
      </c>
      <c r="S14" s="60" t="str">
        <f t="shared" si="4"/>
        <v/>
      </c>
      <c r="T14" s="231" t="str">
        <f>IF(L14="","",VLOOKUP(L14,classifications!C:K,9,FALSE))</f>
        <v>Sparse</v>
      </c>
      <c r="U14" s="238">
        <f t="shared" si="5"/>
        <v>0.55642925601097826</v>
      </c>
      <c r="V14" s="239">
        <f>IF(U14="","",IF($I$8="A",(RANK(U14,U$11:U$363)+COUNTIF(U$11:U14,U14)-1),(RANK(U14,U$11:U$363,1)+COUNTIF(U$11:U14,U14)-1)))</f>
        <v>9</v>
      </c>
      <c r="W14" s="240"/>
      <c r="X14" s="61" t="str">
        <f>IF(L14="","",VLOOKUP($L14,classifications!$C:$J,6,FALSE))</f>
        <v>Rural-50</v>
      </c>
      <c r="Y14" s="49">
        <f t="shared" si="6"/>
        <v>0.55642925601097826</v>
      </c>
      <c r="Z14" s="57">
        <f>IF(Y14="","",IF(I$8="A",(RANK(Y14,Y$11:Y$363,1)+COUNTIF(Y$11:Y14,Y14)-1),(RANK(Y14,Y$11:Y$363)+COUNTIF(Y$11:Y14,Y14)-1)))</f>
        <v>4</v>
      </c>
      <c r="AA14" s="245" t="str">
        <f>IF(L14="","",VLOOKUP($L14,classifications!C:I,7,FALSE))</f>
        <v>Predominantly Rural</v>
      </c>
      <c r="AB14" s="239">
        <f t="shared" si="7"/>
        <v>0.55642925601097826</v>
      </c>
      <c r="AC14" s="239">
        <f>IF(AB14="","",IF($I$8="A",(RANK(AB14,AB$11:AB$363)+COUNTIF(AB$11:AB14,AB14)-1),(RANK(AB14,AB$11:AB$363,1)+COUNTIF(AB$11:AB14,AB14)-1)))</f>
        <v>14</v>
      </c>
      <c r="AD14" s="239"/>
      <c r="AE14" s="71">
        <f>IF(I$8="A",(RANK(AG14,AG$11:AG$363,1)+COUNTIF(AG$11:AG14,AG14)-1),(RANK(AG14,AG$11:AG$363)+COUNTIF(AG$11:AG14,AG14)-1))</f>
        <v>14</v>
      </c>
      <c r="AF14" s="6" t="str">
        <f>VLOOKUP(Profile!$J$5,Families!$C:$R,4,FALSE)</f>
        <v>Solihull</v>
      </c>
      <c r="AG14" s="143">
        <f t="shared" ref="AG14:AG26" si="22">VLOOKUP(AF14,$C$11:$H$363,4,FALSE)</f>
        <v>0.3991288726355921</v>
      </c>
      <c r="AH14" s="72">
        <f t="shared" si="18"/>
        <v>14</v>
      </c>
      <c r="AI14" s="61" t="str">
        <f>IF(L14="","",VLOOKUP($L14,classifications!$C:$J,8,FALSE))</f>
        <v>Unitary</v>
      </c>
      <c r="AJ14" s="62">
        <f t="shared" si="0"/>
        <v>0.55642925601097826</v>
      </c>
      <c r="AK14" s="57">
        <f>IF(AJ14="","",IF(I$8="A",(RANK(AJ14,AJ$11:AJ$363,1)+COUNTIF(AJ$11:AJ14,AJ14)-1),(RANK(AJ14,AJ$11:AJ$363)+COUNTIF(AJ$11:AJ14,AJ14)-1)))</f>
        <v>4</v>
      </c>
      <c r="AL14" s="52">
        <f t="shared" si="19"/>
        <v>4</v>
      </c>
      <c r="AM14" s="31" t="str">
        <f t="shared" si="8"/>
        <v>East Riding of Yorkshire</v>
      </c>
      <c r="AN14" s="31">
        <f t="shared" si="9"/>
        <v>0.55642925601097826</v>
      </c>
      <c r="AP14" s="61" t="str">
        <f>IF(L14="","",VLOOKUP($L14,classifications!$C:$E,3,FALSE))</f>
        <v>Yorkshire &amp; Humberside</v>
      </c>
      <c r="AQ14" s="62" t="str">
        <f t="shared" si="10"/>
        <v/>
      </c>
      <c r="AR14" s="57" t="str">
        <f>IF(AQ14="","",IF(I$8="A",(RANK(AQ14,AQ$11:AQ$363,1)+COUNTIF(AQ$11:AQ14,AQ14)-1),(RANK(AQ14,AQ$11:AQ$363)+COUNTIF(AQ$11:AQ14,AQ14)-1)))</f>
        <v/>
      </c>
      <c r="AS14" s="52">
        <f t="shared" ref="AS14:AS75" si="23">IF(AS13="","",IF(AS13+1&gt;(COUNT(AQ$11:AQ$363)),"",AS13+1))</f>
        <v>4</v>
      </c>
      <c r="AT14" s="57" t="str">
        <f t="shared" si="11"/>
        <v>Blackburn with Darwen</v>
      </c>
      <c r="AU14" s="62">
        <f t="shared" si="12"/>
        <v>0.40714963774323126</v>
      </c>
      <c r="AX14" s="44">
        <f>HLOOKUP($AX$9&amp;$AX$10,Data!$A$1:$ZZ$2000,(MATCH($C14,Data!$A$1:$A$2000,0)),FALSE)</f>
        <v>0.36262048497229343</v>
      </c>
      <c r="AY14" s="156"/>
      <c r="AZ14" s="44"/>
    </row>
    <row r="15" spans="1:735">
      <c r="A15" s="84" t="str">
        <f>$D$1&amp;5</f>
        <v>UA5</v>
      </c>
      <c r="B15" s="85" t="str">
        <f>IF(ISERROR(VLOOKUP(A15,classifications!A:C,3,FALSE)),0,VLOOKUP(A15,classifications!A:C,3,FALSE))</f>
        <v>East Riding of Yorkshire</v>
      </c>
      <c r="C15" s="31" t="s">
        <v>9</v>
      </c>
      <c r="D15" s="49" t="str">
        <f>VLOOKUP($C15,classifications!$C:$J,4,FALSE)</f>
        <v>SD</v>
      </c>
      <c r="E15" s="49">
        <f>VLOOKUP(C15,classifications!C:K,9,FALSE)</f>
        <v>0</v>
      </c>
      <c r="F15" s="59">
        <f t="shared" si="1"/>
        <v>0.33073007630028972</v>
      </c>
      <c r="G15" s="105"/>
      <c r="H15" s="60" t="str">
        <f t="shared" si="2"/>
        <v/>
      </c>
      <c r="I15" s="112" t="str">
        <f>IF(H15="","",IF($I$8="A",(RANK(H15,H$11:H$363,1)+COUNTIF(H$11:H15,H15)-1),(RANK(H15,H$11:H$363)+COUNTIF(H$11:H15,H15)-1)))</f>
        <v/>
      </c>
      <c r="J15" s="58"/>
      <c r="K15" s="51">
        <f t="shared" si="13"/>
        <v>5</v>
      </c>
      <c r="L15" s="59" t="str">
        <f t="shared" si="14"/>
        <v>Shropshire</v>
      </c>
      <c r="M15" s="153">
        <f t="shared" si="20"/>
        <v>0.54567311231083349</v>
      </c>
      <c r="N15" s="148">
        <f t="shared" si="21"/>
        <v>54.567311231083352</v>
      </c>
      <c r="O15" s="131">
        <f t="shared" si="3"/>
        <v>54.567311231083352</v>
      </c>
      <c r="P15" s="131" t="str">
        <f t="shared" si="15"/>
        <v/>
      </c>
      <c r="Q15" s="131" t="str">
        <f t="shared" si="16"/>
        <v/>
      </c>
      <c r="R15" s="127" t="str">
        <f t="shared" si="17"/>
        <v/>
      </c>
      <c r="S15" s="60" t="str">
        <f t="shared" si="4"/>
        <v/>
      </c>
      <c r="T15" s="231" t="str">
        <f>IF(L15="","",VLOOKUP(L15,classifications!C:K,9,FALSE))</f>
        <v>Sparse</v>
      </c>
      <c r="U15" s="238">
        <f t="shared" si="5"/>
        <v>0.54567311231083349</v>
      </c>
      <c r="V15" s="239">
        <f>IF(U15="","",IF($I$8="A",(RANK(U15,U$11:U$363)+COUNTIF(U$11:U15,U15)-1),(RANK(U15,U$11:U$363,1)+COUNTIF(U$11:U15,U15)-1)))</f>
        <v>8</v>
      </c>
      <c r="W15" s="240"/>
      <c r="X15" s="61" t="str">
        <f>IF(L15="","",VLOOKUP($L15,classifications!$C:$J,6,FALSE))</f>
        <v>Rural-50</v>
      </c>
      <c r="Y15" s="49">
        <f t="shared" si="6"/>
        <v>0.54567311231083349</v>
      </c>
      <c r="Z15" s="57">
        <f>IF(Y15="","",IF(I$8="A",(RANK(Y15,Y$11:Y$363,1)+COUNTIF(Y$11:Y15,Y15)-1),(RANK(Y15,Y$11:Y$363)+COUNTIF(Y$11:Y15,Y15)-1)))</f>
        <v>5</v>
      </c>
      <c r="AA15" s="245" t="str">
        <f>IF(L15="","",VLOOKUP($L15,classifications!C:I,7,FALSE))</f>
        <v>Predominantly Rural</v>
      </c>
      <c r="AB15" s="239">
        <f t="shared" si="7"/>
        <v>0.54567311231083349</v>
      </c>
      <c r="AC15" s="239">
        <f>IF(AB15="","",IF($I$8="A",(RANK(AB15,AB$11:AB$363)+COUNTIF(AB$11:AB15,AB15)-1),(RANK(AB15,AB$11:AB$363,1)+COUNTIF(AB$11:AB15,AB15)-1)))</f>
        <v>13</v>
      </c>
      <c r="AD15" s="239"/>
      <c r="AE15" s="71">
        <f>IF(I$8="A",(RANK(AG15,AG$11:AG$363,1)+COUNTIF(AG$11:AG15,AG15)-1),(RANK(AG15,AG$11:AG$363)+COUNTIF(AG$11:AG15,AG15)-1))</f>
        <v>11</v>
      </c>
      <c r="AF15" s="6" t="str">
        <f>VLOOKUP(Profile!$J$5,Families!$C:$R,5,FALSE)</f>
        <v>Bath &amp; North East Somerset</v>
      </c>
      <c r="AG15" s="143">
        <f t="shared" si="22"/>
        <v>0.46600685215803278</v>
      </c>
      <c r="AH15" s="72">
        <f t="shared" si="18"/>
        <v>11</v>
      </c>
      <c r="AI15" s="61" t="str">
        <f>IF(L15="","",VLOOKUP($L15,classifications!$C:$J,8,FALSE))</f>
        <v>Unitary</v>
      </c>
      <c r="AJ15" s="62">
        <f t="shared" si="0"/>
        <v>0.54567311231083349</v>
      </c>
      <c r="AK15" s="57">
        <f>IF(AJ15="","",IF(I$8="A",(RANK(AJ15,AJ$11:AJ$363,1)+COUNTIF(AJ$11:AJ15,AJ15)-1),(RANK(AJ15,AJ$11:AJ$363)+COUNTIF(AJ$11:AJ15,AJ15)-1)))</f>
        <v>5</v>
      </c>
      <c r="AL15" s="52">
        <f t="shared" si="19"/>
        <v>5</v>
      </c>
      <c r="AM15" s="31" t="str">
        <f>IF(ISNA(IF(AL15="","",INDEX(L$11:L$363,MATCH(AL15,AK$11:AK$363,0)))),"",(IF(AL15="","",INDEX(L$11:L$363,MATCH(AL15,AK$11:AK$363,0)))))</f>
        <v>Shropshire</v>
      </c>
      <c r="AN15" s="31">
        <f t="shared" si="9"/>
        <v>0.54567311231083349</v>
      </c>
      <c r="AP15" s="61" t="str">
        <f>IF(L15="","",VLOOKUP($L15,classifications!$C:$E,3,FALSE))</f>
        <v>West Midlands</v>
      </c>
      <c r="AQ15" s="62" t="str">
        <f t="shared" si="10"/>
        <v/>
      </c>
      <c r="AR15" s="57" t="str">
        <f>IF(AQ15="","",IF(I$8="A",(RANK(AQ15,AQ$11:AQ$363,1)+COUNTIF(AQ$11:AQ15,AQ15)-1),(RANK(AQ15,AQ$11:AQ$363)+COUNTIF(AQ$11:AQ15,AQ15)-1)))</f>
        <v/>
      </c>
      <c r="AS15" s="52">
        <f t="shared" si="23"/>
        <v>5</v>
      </c>
      <c r="AT15" s="57" t="str">
        <f t="shared" si="11"/>
        <v>Blackpool</v>
      </c>
      <c r="AU15" s="62">
        <f t="shared" si="12"/>
        <v>0.40710630466772213</v>
      </c>
      <c r="AX15" s="44">
        <f>HLOOKUP($AX$9&amp;$AX$10,Data!$A$1:$ZZ$2000,(MATCH($C15,Data!$A$1:$A$2000,0)),FALSE)</f>
        <v>0.33073007630028972</v>
      </c>
      <c r="AY15" s="156"/>
      <c r="AZ15" s="44"/>
    </row>
    <row r="16" spans="1:735">
      <c r="A16" s="84" t="str">
        <f>$D$1&amp;6</f>
        <v>UA6</v>
      </c>
      <c r="B16" s="85" t="str">
        <f>IF(ISERROR(VLOOKUP(A16,classifications!A:C,3,FALSE)),0,VLOOKUP(A16,classifications!A:C,3,FALSE))</f>
        <v>Herefordshire</v>
      </c>
      <c r="C16" s="31" t="s">
        <v>10</v>
      </c>
      <c r="D16" s="49" t="str">
        <f>VLOOKUP($C16,classifications!$C:$J,4,FALSE)</f>
        <v>SD</v>
      </c>
      <c r="E16" s="49" t="str">
        <f>VLOOKUP(C16,classifications!C:K,9,FALSE)</f>
        <v>Sparse</v>
      </c>
      <c r="F16" s="59">
        <f t="shared" si="1"/>
        <v>0.32034190407958318</v>
      </c>
      <c r="G16" s="105"/>
      <c r="H16" s="60" t="str">
        <f t="shared" si="2"/>
        <v/>
      </c>
      <c r="I16" s="112" t="str">
        <f>IF(H16="","",IF($I$8="A",(RANK(H16,H$11:H$363,1)+COUNTIF(H$11:H16,H16)-1),(RANK(H16,H$11:H$363)+COUNTIF(H$11:H16,H16)-1)))</f>
        <v/>
      </c>
      <c r="J16" s="58"/>
      <c r="K16" s="51">
        <f t="shared" si="13"/>
        <v>6</v>
      </c>
      <c r="L16" s="59" t="str">
        <f t="shared" si="14"/>
        <v>Cheshire East</v>
      </c>
      <c r="M16" s="153">
        <f t="shared" si="20"/>
        <v>0.52732715809009245</v>
      </c>
      <c r="N16" s="148">
        <f t="shared" si="21"/>
        <v>52.732715809009242</v>
      </c>
      <c r="O16" s="131">
        <f t="shared" si="3"/>
        <v>52.732715809009242</v>
      </c>
      <c r="P16" s="131" t="str">
        <f t="shared" si="15"/>
        <v/>
      </c>
      <c r="Q16" s="131" t="str">
        <f t="shared" si="16"/>
        <v/>
      </c>
      <c r="R16" s="127" t="str">
        <f t="shared" si="17"/>
        <v/>
      </c>
      <c r="S16" s="60" t="str">
        <f t="shared" si="4"/>
        <v>u</v>
      </c>
      <c r="T16" s="231" t="str">
        <f>IF(L16="","",VLOOKUP(L16,classifications!C:K,9,FALSE))</f>
        <v>Sparse</v>
      </c>
      <c r="U16" s="238">
        <f t="shared" si="5"/>
        <v>0.52732715809009245</v>
      </c>
      <c r="V16" s="239">
        <f>IF(U16="","",IF($I$8="A",(RANK(U16,U$11:U$363)+COUNTIF(U$11:U16,U16)-1),(RANK(U16,U$11:U$363,1)+COUNTIF(U$11:U16,U16)-1)))</f>
        <v>7</v>
      </c>
      <c r="W16" s="240"/>
      <c r="X16" s="61" t="str">
        <f>IF(L16="","",VLOOKUP($L16,classifications!$C:$J,6,FALSE))</f>
        <v>Rural-50</v>
      </c>
      <c r="Y16" s="49">
        <f t="shared" si="6"/>
        <v>0.52732715809009245</v>
      </c>
      <c r="Z16" s="57">
        <f>IF(Y16="","",IF(I$8="A",(RANK(Y16,Y$11:Y$363,1)+COUNTIF(Y$11:Y16,Y16)-1),(RANK(Y16,Y$11:Y$363)+COUNTIF(Y$11:Y16,Y16)-1)))</f>
        <v>6</v>
      </c>
      <c r="AA16" s="245" t="str">
        <f>IF(L16="","",VLOOKUP($L16,classifications!C:I,7,FALSE))</f>
        <v>Predominantly Rural</v>
      </c>
      <c r="AB16" s="239">
        <f t="shared" si="7"/>
        <v>0.52732715809009245</v>
      </c>
      <c r="AC16" s="239">
        <f>IF(AB16="","",IF($I$8="A",(RANK(AB16,AB$11:AB$363)+COUNTIF(AB$11:AB16,AB16)-1),(RANK(AB16,AB$11:AB$363,1)+COUNTIF(AB$11:AB16,AB16)-1)))</f>
        <v>12</v>
      </c>
      <c r="AD16" s="239"/>
      <c r="AE16" s="71">
        <f>IF(I$8="A",(RANK(AG16,AG$11:AG$363,1)+COUNTIF(AG$11:AG16,AG16)-1),(RANK(AG16,AG$11:AG$363)+COUNTIF(AG$11:AG16,AG16)-1))</f>
        <v>1</v>
      </c>
      <c r="AF16" s="6" t="str">
        <f>VLOOKUP(Profile!$J$5,Families!$C:$R,6,FALSE)</f>
        <v>Stockport</v>
      </c>
      <c r="AG16" s="143">
        <f t="shared" si="22"/>
        <v>0.6122045453749746</v>
      </c>
      <c r="AH16" s="72">
        <f t="shared" si="18"/>
        <v>1</v>
      </c>
      <c r="AI16" s="61" t="str">
        <f>IF(L16="","",VLOOKUP($L16,classifications!$C:$J,8,FALSE))</f>
        <v>Unitary</v>
      </c>
      <c r="AJ16" s="62">
        <f t="shared" si="0"/>
        <v>0.52732715809009245</v>
      </c>
      <c r="AK16" s="57">
        <f>IF(AJ16="","",IF(I$8="A",(RANK(AJ16,AJ$11:AJ$363,1)+COUNTIF(AJ$11:AJ16,AJ16)-1),(RANK(AJ16,AJ$11:AJ$363)+COUNTIF(AJ$11:AJ16,AJ16)-1)))</f>
        <v>6</v>
      </c>
      <c r="AL16" s="52">
        <f t="shared" si="19"/>
        <v>6</v>
      </c>
      <c r="AM16" s="31" t="str">
        <f t="shared" si="8"/>
        <v>Cheshire East</v>
      </c>
      <c r="AN16" s="31">
        <f t="shared" si="9"/>
        <v>0.52732715809009245</v>
      </c>
      <c r="AP16" s="61" t="str">
        <f>IF(L16="","",VLOOKUP($L16,classifications!$C:$E,3,FALSE))</f>
        <v>North West</v>
      </c>
      <c r="AQ16" s="62">
        <f t="shared" si="10"/>
        <v>0.52732715809009245</v>
      </c>
      <c r="AR16" s="57">
        <f>IF(AQ16="","",IF(I$8="A",(RANK(AQ16,AQ$11:AQ$363,1)+COUNTIF(AQ$11:AQ16,AQ16)-1),(RANK(AQ16,AQ$11:AQ$363)+COUNTIF(AQ$11:AQ16,AQ16)-1)))</f>
        <v>2</v>
      </c>
      <c r="AS16" s="52">
        <f t="shared" si="23"/>
        <v>6</v>
      </c>
      <c r="AT16" s="57" t="str">
        <f t="shared" si="11"/>
        <v>Halton</v>
      </c>
      <c r="AU16" s="62">
        <f t="shared" si="12"/>
        <v>0.39235299150687641</v>
      </c>
      <c r="AX16" s="44">
        <f>HLOOKUP($AX$9&amp;$AX$10,Data!$A$1:$ZZ$2000,(MATCH($C16,Data!$A$1:$A$2000,0)),FALSE)</f>
        <v>0.32034190407958318</v>
      </c>
      <c r="AY16" s="156"/>
      <c r="AZ16" s="44"/>
    </row>
    <row r="17" spans="1:52">
      <c r="A17" s="84" t="str">
        <f>$D$1&amp;7</f>
        <v>UA7</v>
      </c>
      <c r="B17" s="85" t="str">
        <f>IF(ISERROR(VLOOKUP(A17,classifications!A:C,3,FALSE)),0,VLOOKUP(A17,classifications!A:C,3,FALSE))</f>
        <v>Isle of Wight</v>
      </c>
      <c r="C17" s="31" t="s">
        <v>11</v>
      </c>
      <c r="D17" s="49" t="str">
        <f>VLOOKUP($C17,classifications!$C:$J,4,FALSE)</f>
        <v>SD</v>
      </c>
      <c r="E17" s="49" t="str">
        <f>VLOOKUP(C17,classifications!C:K,9,FALSE)</f>
        <v>Sparse</v>
      </c>
      <c r="F17" s="59">
        <f t="shared" si="1"/>
        <v>0.5029122977388315</v>
      </c>
      <c r="G17" s="105"/>
      <c r="H17" s="60" t="str">
        <f t="shared" si="2"/>
        <v/>
      </c>
      <c r="I17" s="112" t="str">
        <f>IF(H17="","",IF($I$8="A",(RANK(H17,H$11:H$363,1)+COUNTIF(H$11:H17,H17)-1),(RANK(H17,H$11:H$363)+COUNTIF(H$11:H17,H17)-1)))</f>
        <v/>
      </c>
      <c r="J17" s="58"/>
      <c r="K17" s="51">
        <f t="shared" si="13"/>
        <v>7</v>
      </c>
      <c r="L17" s="59" t="str">
        <f t="shared" si="14"/>
        <v>Milton Keynes</v>
      </c>
      <c r="M17" s="153">
        <f t="shared" si="20"/>
        <v>0.52232455565470282</v>
      </c>
      <c r="N17" s="148">
        <f t="shared" si="21"/>
        <v>52.232455565470282</v>
      </c>
      <c r="O17" s="131">
        <f t="shared" si="3"/>
        <v>52.232455565470282</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Other Urban</v>
      </c>
      <c r="Y17" s="49" t="str">
        <f t="shared" si="6"/>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8</v>
      </c>
      <c r="AF17" s="6" t="str">
        <f>VLOOKUP(Profile!$J$5,Families!$C:$R,7,FALSE)</f>
        <v>Central Bedfordshire</v>
      </c>
      <c r="AG17" s="143">
        <f t="shared" si="22"/>
        <v>0.49563625960536062</v>
      </c>
      <c r="AH17" s="72">
        <f t="shared" si="18"/>
        <v>8</v>
      </c>
      <c r="AI17" s="61" t="str">
        <f>IF(L17="","",VLOOKUP($L17,classifications!$C:$J,8,FALSE))</f>
        <v>Unitary</v>
      </c>
      <c r="AJ17" s="62">
        <f t="shared" si="0"/>
        <v>0.52232455565470282</v>
      </c>
      <c r="AK17" s="57">
        <f>IF(AJ17="","",IF(I$8="A",(RANK(AJ17,AJ$11:AJ$363,1)+COUNTIF(AJ$11:AJ17,AJ17)-1),(RANK(AJ17,AJ$11:AJ$363)+COUNTIF(AJ$11:AJ17,AJ17)-1)))</f>
        <v>7</v>
      </c>
      <c r="AL17" s="52">
        <f t="shared" si="19"/>
        <v>7</v>
      </c>
      <c r="AM17" s="31" t="str">
        <f t="shared" si="8"/>
        <v>Milton Keynes</v>
      </c>
      <c r="AN17" s="31">
        <f t="shared" si="9"/>
        <v>0.52232455565470282</v>
      </c>
      <c r="AP17" s="61" t="str">
        <f>IF(L17="","",VLOOKUP($L17,classifications!$C:$E,3,FALSE))</f>
        <v>South East</v>
      </c>
      <c r="AQ17" s="62" t="str">
        <f t="shared" si="10"/>
        <v/>
      </c>
      <c r="AR17" s="57" t="str">
        <f>IF(AQ17="","",IF(I$8="A",(RANK(AQ17,AQ$11:AQ$363,1)+COUNTIF(AQ$11:AQ17,AQ17)-1),(RANK(AQ17,AQ$11:AQ$363)+COUNTIF(AQ$11:AQ17,AQ17)-1)))</f>
        <v/>
      </c>
      <c r="AS17" s="52" t="str">
        <f t="shared" si="23"/>
        <v/>
      </c>
      <c r="AT17" s="57" t="str">
        <f t="shared" si="11"/>
        <v/>
      </c>
      <c r="AU17" s="62" t="str">
        <f t="shared" si="12"/>
        <v/>
      </c>
      <c r="AX17" s="44">
        <f>HLOOKUP($AX$9&amp;$AX$10,Data!$A$1:$ZZ$2000,(MATCH($C17,Data!$A$1:$A$2000,0)),FALSE)</f>
        <v>0.5029122977388315</v>
      </c>
      <c r="AY17" s="156"/>
      <c r="AZ17" s="44"/>
    </row>
    <row r="18" spans="1:52">
      <c r="A18" s="84" t="str">
        <f>$D$1&amp;8</f>
        <v>UA8</v>
      </c>
      <c r="B18" s="85" t="str">
        <f>IF(ISERROR(VLOOKUP(A18,classifications!A:C,3,FALSE)),0,VLOOKUP(A18,classifications!A:C,3,FALSE))</f>
        <v>North Lincolnshire</v>
      </c>
      <c r="C18" s="31" t="s">
        <v>12</v>
      </c>
      <c r="D18" s="49" t="str">
        <f>VLOOKUP($C18,classifications!$C:$J,4,FALSE)</f>
        <v>SD</v>
      </c>
      <c r="E18" s="49" t="str">
        <f>VLOOKUP(C18,classifications!C:K,9,FALSE)</f>
        <v>Sparse</v>
      </c>
      <c r="F18" s="59" t="str">
        <f t="shared" si="1"/>
        <v/>
      </c>
      <c r="G18" s="105"/>
      <c r="H18" s="60" t="str">
        <f t="shared" si="2"/>
        <v/>
      </c>
      <c r="I18" s="112" t="str">
        <f>IF(H18="","",IF($I$8="A",(RANK(H18,H$11:H$363,1)+COUNTIF(H$11:H18,H18)-1),(RANK(H18,H$11:H$363)+COUNTIF(H$11:H18,H18)-1)))</f>
        <v/>
      </c>
      <c r="J18" s="58"/>
      <c r="K18" s="51">
        <f t="shared" si="13"/>
        <v>8</v>
      </c>
      <c r="L18" s="59" t="str">
        <f t="shared" si="14"/>
        <v>Southend-on-Sea</v>
      </c>
      <c r="M18" s="153">
        <f t="shared" si="20"/>
        <v>0.51205970565669245</v>
      </c>
      <c r="N18" s="148">
        <f t="shared" si="21"/>
        <v>51.205970565669247</v>
      </c>
      <c r="O18" s="131">
        <f t="shared" si="3"/>
        <v>51.205970565669247</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Large Urban</v>
      </c>
      <c r="Y18" s="49" t="str">
        <f t="shared" si="6"/>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5</v>
      </c>
      <c r="AF18" s="6" t="str">
        <f>VLOOKUP(Profile!$J$5,Families!$C:$R,8,FALSE)</f>
        <v>Shropshire</v>
      </c>
      <c r="AG18" s="143">
        <f t="shared" si="22"/>
        <v>0.54567311231083349</v>
      </c>
      <c r="AH18" s="72">
        <f t="shared" si="18"/>
        <v>5</v>
      </c>
      <c r="AI18" s="61" t="str">
        <f>IF(L18="","",VLOOKUP($L18,classifications!$C:$J,8,FALSE))</f>
        <v>Unitary</v>
      </c>
      <c r="AJ18" s="62">
        <f t="shared" si="0"/>
        <v>0.51205970565669245</v>
      </c>
      <c r="AK18" s="57">
        <f>IF(AJ18="","",IF(I$8="A",(RANK(AJ18,AJ$11:AJ$363,1)+COUNTIF(AJ$11:AJ18,AJ18)-1),(RANK(AJ18,AJ$11:AJ$363)+COUNTIF(AJ$11:AJ18,AJ18)-1)))</f>
        <v>8</v>
      </c>
      <c r="AL18" s="52">
        <f t="shared" si="19"/>
        <v>8</v>
      </c>
      <c r="AM18" s="31" t="str">
        <f t="shared" si="8"/>
        <v>Southend-on-Sea</v>
      </c>
      <c r="AN18" s="31">
        <f t="shared" si="9"/>
        <v>0.51205970565669245</v>
      </c>
      <c r="AP18" s="61" t="str">
        <f>IF(L18="","",VLOOKUP($L18,classifications!$C:$E,3,FALSE))</f>
        <v>East of England</v>
      </c>
      <c r="AQ18" s="62" t="str">
        <f t="shared" si="10"/>
        <v/>
      </c>
      <c r="AR18" s="57" t="str">
        <f>IF(AQ18="","",IF(I$8="A",(RANK(AQ18,AQ$11:AQ$363,1)+COUNTIF(AQ$11:AQ18,AQ18)-1),(RANK(AQ18,AQ$11:AQ$363)+COUNTIF(AQ$11:AQ18,AQ18)-1)))</f>
        <v/>
      </c>
      <c r="AS18" s="52" t="str">
        <f t="shared" si="23"/>
        <v/>
      </c>
      <c r="AT18" s="57" t="str">
        <f t="shared" si="11"/>
        <v/>
      </c>
      <c r="AU18" s="62" t="str">
        <f t="shared" si="12"/>
        <v/>
      </c>
      <c r="AX18" s="44" t="str">
        <f>HLOOKUP($AX$9&amp;$AX$10,Data!$A$1:$ZZ$2000,(MATCH($C18,Data!$A$1:$A$2000,0)),FALSE)</f>
        <v/>
      </c>
      <c r="AY18" s="156"/>
      <c r="AZ18" s="44"/>
    </row>
    <row r="19" spans="1:52">
      <c r="A19" s="84" t="str">
        <f>$D$1&amp;9</f>
        <v>UA9</v>
      </c>
      <c r="B19" s="85" t="str">
        <f>IF(ISERROR(VLOOKUP(A19,classifications!A:C,3,FALSE)),0,VLOOKUP(A19,classifications!A:C,3,FALSE))</f>
        <v>North Somerset</v>
      </c>
      <c r="C19" s="31" t="s">
        <v>341</v>
      </c>
      <c r="D19" s="49" t="str">
        <f>VLOOKUP($C19,classifications!$C:$J,4,FALSE)</f>
        <v>L</v>
      </c>
      <c r="E19" s="49">
        <f>VLOOKUP(C19,classifications!C:K,9,FALSE)</f>
        <v>0</v>
      </c>
      <c r="F19" s="59">
        <f t="shared" si="1"/>
        <v>0.25795005194343751</v>
      </c>
      <c r="G19" s="105"/>
      <c r="H19" s="60" t="str">
        <f t="shared" si="2"/>
        <v/>
      </c>
      <c r="I19" s="112" t="str">
        <f>IF(H19="","",IF($I$8="A",(RANK(H19,H$11:H$363,1)+COUNTIF(H$11:H19,H19)-1),(RANK(H19,H$11:H$363)+COUNTIF(H$11:H19,H19)-1)))</f>
        <v/>
      </c>
      <c r="J19" s="58"/>
      <c r="K19" s="51">
        <f t="shared" si="13"/>
        <v>9</v>
      </c>
      <c r="L19" s="59" t="str">
        <f t="shared" si="14"/>
        <v>Peterborough</v>
      </c>
      <c r="M19" s="153">
        <f t="shared" si="20"/>
        <v>0.50682524587427735</v>
      </c>
      <c r="N19" s="148">
        <f t="shared" si="21"/>
        <v>50.682524587427736</v>
      </c>
      <c r="O19" s="131">
        <f t="shared" si="3"/>
        <v>50.682524587427736</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Other Urban</v>
      </c>
      <c r="Y19" s="49" t="str">
        <f t="shared" si="6"/>
        <v/>
      </c>
      <c r="Z19" s="57" t="str">
        <f>IF(Y19="","",IF(I$8="A",(RANK(Y19,Y$11:Y$363,1)+COUNTIF(Y$11:Y19,Y19)-1),(RANK(Y19,Y$11:Y$363)+COUNTIF(Y$11:Y19,Y19)-1)))</f>
        <v/>
      </c>
      <c r="AA19" s="245" t="str">
        <f>IF(L19="","",VLOOKUP($L19,classifications!C:I,7,FALSE))</f>
        <v>Predominantly Rural</v>
      </c>
      <c r="AB19" s="239">
        <f t="shared" si="7"/>
        <v>0.50682524587427735</v>
      </c>
      <c r="AC19" s="239">
        <f>IF(AB19="","",IF($I$8="A",(RANK(AB19,AB$11:AB$363)+COUNTIF(AB$11:AB19,AB19)-1),(RANK(AB19,AB$11:AB$363,1)+COUNTIF(AB$11:AB19,AB19)-1)))</f>
        <v>11</v>
      </c>
      <c r="AD19" s="239"/>
      <c r="AE19" s="71">
        <f>IF(I$8="A",(RANK(AG19,AG$11:AG$363,1)+COUNTIF(AG$11:AG19,AG19)-1),(RANK(AG19,AG$11:AG$363)+COUNTIF(AG$11:AG19,AG19)-1))</f>
        <v>3</v>
      </c>
      <c r="AF19" s="6" t="str">
        <f>VLOOKUP(Profile!$J$5,Families!$C:$R,9,FALSE)</f>
        <v>North Somerset</v>
      </c>
      <c r="AG19" s="143">
        <f t="shared" si="22"/>
        <v>0.57460052905136394</v>
      </c>
      <c r="AH19" s="72">
        <f t="shared" si="18"/>
        <v>3</v>
      </c>
      <c r="AI19" s="61" t="str">
        <f>IF(L19="","",VLOOKUP($L19,classifications!$C:$J,8,FALSE))</f>
        <v>Unitary</v>
      </c>
      <c r="AJ19" s="62">
        <f t="shared" si="0"/>
        <v>0.50682524587427735</v>
      </c>
      <c r="AK19" s="57">
        <f>IF(AJ19="","",IF(I$8="A",(RANK(AJ19,AJ$11:AJ$363,1)+COUNTIF(AJ$11:AJ19,AJ19)-1),(RANK(AJ19,AJ$11:AJ$363)+COUNTIF(AJ$11:AJ19,AJ19)-1)))</f>
        <v>9</v>
      </c>
      <c r="AL19" s="52">
        <f t="shared" si="19"/>
        <v>9</v>
      </c>
      <c r="AM19" s="31" t="str">
        <f t="shared" si="8"/>
        <v>Peterborough</v>
      </c>
      <c r="AN19" s="31">
        <f t="shared" si="9"/>
        <v>0.50682524587427735</v>
      </c>
      <c r="AP19" s="61" t="str">
        <f>IF(L19="","",VLOOKUP($L19,classifications!$C:$E,3,FALSE))</f>
        <v>East of England</v>
      </c>
      <c r="AQ19" s="62" t="str">
        <f t="shared" si="10"/>
        <v/>
      </c>
      <c r="AR19" s="57" t="str">
        <f>IF(AQ19="","",IF(I$8="A",(RANK(AQ19,AQ$11:AQ$363,1)+COUNTIF(AQ$11:AQ19,AQ19)-1),(RANK(AQ19,AQ$11:AQ$363)+COUNTIF(AQ$11:AQ19,AQ19)-1)))</f>
        <v/>
      </c>
      <c r="AS19" s="52" t="str">
        <f t="shared" si="23"/>
        <v/>
      </c>
      <c r="AT19" s="57" t="str">
        <f t="shared" si="11"/>
        <v/>
      </c>
      <c r="AU19" s="62" t="str">
        <f t="shared" si="12"/>
        <v/>
      </c>
      <c r="AX19" s="44">
        <f>HLOOKUP($AX$9&amp;$AX$10,Data!$A$1:$ZZ$2000,(MATCH($C19,Data!$A$1:$A$2000,0)),FALSE)</f>
        <v>0.25795005194343751</v>
      </c>
      <c r="AY19" s="156"/>
      <c r="AZ19" s="44"/>
    </row>
    <row r="20" spans="1:52">
      <c r="A20" s="84" t="str">
        <f>$D$1&amp;10</f>
        <v>UA10</v>
      </c>
      <c r="B20" s="85" t="str">
        <f>IF(ISERROR(VLOOKUP(A20,classifications!A:C,3,FALSE)),0,VLOOKUP(A20,classifications!A:C,3,FALSE))</f>
        <v>Northumberland</v>
      </c>
      <c r="C20" s="31" t="s">
        <v>197</v>
      </c>
      <c r="D20" s="49" t="str">
        <f>VLOOKUP($C20,classifications!$C:$J,4,FALSE)</f>
        <v>L</v>
      </c>
      <c r="E20" s="49">
        <f>VLOOKUP(C20,classifications!C:K,9,FALSE)</f>
        <v>0</v>
      </c>
      <c r="F20" s="59">
        <f t="shared" si="1"/>
        <v>0.34503699746083094</v>
      </c>
      <c r="G20" s="105"/>
      <c r="H20" s="60" t="str">
        <f t="shared" si="2"/>
        <v/>
      </c>
      <c r="I20" s="112" t="str">
        <f>IF(H20="","",IF($I$8="A",(RANK(H20,H$11:H$363,1)+COUNTIF(H$11:H20,H20)-1),(RANK(H20,H$11:H$363)+COUNTIF(H$11:H20,H20)-1)))</f>
        <v/>
      </c>
      <c r="J20" s="58"/>
      <c r="K20" s="51">
        <f t="shared" si="13"/>
        <v>10</v>
      </c>
      <c r="L20" s="59" t="str">
        <f t="shared" si="14"/>
        <v>Kingston upon Hull</v>
      </c>
      <c r="M20" s="153">
        <f t="shared" si="20"/>
        <v>0.50235683517795371</v>
      </c>
      <c r="N20" s="148">
        <f t="shared" si="21"/>
        <v>50.235683517795373</v>
      </c>
      <c r="O20" s="131">
        <f t="shared" si="3"/>
        <v>50.235683517795373</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Large Urban</v>
      </c>
      <c r="Y20" s="49" t="str">
        <f t="shared" si="6"/>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12</v>
      </c>
      <c r="AF20" s="6" t="str">
        <f>VLOOKUP(Profile!$J$5,Families!$C:$R,10,FALSE)</f>
        <v>York</v>
      </c>
      <c r="AG20" s="143">
        <f t="shared" si="22"/>
        <v>0.4548920190316959</v>
      </c>
      <c r="AH20" s="72">
        <f t="shared" si="18"/>
        <v>12</v>
      </c>
      <c r="AI20" s="61" t="str">
        <f>IF(L20="","",VLOOKUP($L20,classifications!$C:$J,8,FALSE))</f>
        <v>Unitary</v>
      </c>
      <c r="AJ20" s="62">
        <f t="shared" si="0"/>
        <v>0.50235683517795371</v>
      </c>
      <c r="AK20" s="57">
        <f>IF(AJ20="","",IF(I$8="A",(RANK(AJ20,AJ$11:AJ$363,1)+COUNTIF(AJ$11:AJ20,AJ20)-1),(RANK(AJ20,AJ$11:AJ$363)+COUNTIF(AJ$11:AJ20,AJ20)-1)))</f>
        <v>10</v>
      </c>
      <c r="AL20" s="52">
        <f t="shared" si="19"/>
        <v>10</v>
      </c>
      <c r="AM20" s="31" t="str">
        <f t="shared" si="8"/>
        <v>Kingston upon Hull</v>
      </c>
      <c r="AN20" s="31">
        <f t="shared" si="9"/>
        <v>0.50235683517795371</v>
      </c>
      <c r="AP20" s="61" t="str">
        <f>IF(L20="","",VLOOKUP($L20,classifications!$C:$E,3,FALSE))</f>
        <v>Yorkshire &amp; Humberside</v>
      </c>
      <c r="AQ20" s="62" t="str">
        <f t="shared" si="10"/>
        <v/>
      </c>
      <c r="AR20" s="57" t="str">
        <f>IF(AQ20="","",IF(I$8="A",(RANK(AQ20,AQ$11:AQ$363,1)+COUNTIF(AQ$11:AQ20,AQ20)-1),(RANK(AQ20,AQ$11:AQ$363)+COUNTIF(AQ$11:AQ20,AQ20)-1)))</f>
        <v/>
      </c>
      <c r="AS20" s="52" t="str">
        <f t="shared" si="23"/>
        <v/>
      </c>
      <c r="AT20" s="57" t="str">
        <f t="shared" si="11"/>
        <v/>
      </c>
      <c r="AU20" s="62" t="str">
        <f t="shared" si="12"/>
        <v/>
      </c>
      <c r="AX20" s="44">
        <f>HLOOKUP($AX$9&amp;$AX$10,Data!$A$1:$ZZ$2000,(MATCH($C20,Data!$A$1:$A$2000,0)),FALSE)</f>
        <v>0.34503699746083094</v>
      </c>
      <c r="AY20" s="156"/>
      <c r="AZ20" s="44"/>
    </row>
    <row r="21" spans="1:52">
      <c r="A21" s="84" t="str">
        <f>$D$1&amp;11</f>
        <v>UA11</v>
      </c>
      <c r="B21" s="85" t="str">
        <f>IF(ISERROR(VLOOKUP(A21,classifications!A:C,3,FALSE)),0,VLOOKUP(A21,classifications!A:C,3,FALSE))</f>
        <v>Rutland</v>
      </c>
      <c r="C21" s="31" t="s">
        <v>223</v>
      </c>
      <c r="D21" s="49" t="str">
        <f>VLOOKUP($C21,classifications!$C:$J,4,FALSE)</f>
        <v>MD</v>
      </c>
      <c r="E21" s="49">
        <f>VLOOKUP(C21,classifications!C:K,9,FALSE)</f>
        <v>0</v>
      </c>
      <c r="F21" s="59">
        <f t="shared" si="1"/>
        <v>0.52704085594692751</v>
      </c>
      <c r="G21" s="105"/>
      <c r="H21" s="60" t="str">
        <f t="shared" si="2"/>
        <v/>
      </c>
      <c r="I21" s="112" t="str">
        <f>IF(H21="","",IF($I$8="A",(RANK(H21,H$11:H$363,1)+COUNTIF(H$11:H21,H21)-1),(RANK(H21,H$11:H$363)+COUNTIF(H$11:H21,H21)-1)))</f>
        <v/>
      </c>
      <c r="J21" s="58"/>
      <c r="K21" s="51">
        <f t="shared" si="13"/>
        <v>11</v>
      </c>
      <c r="L21" s="59" t="str">
        <f t="shared" si="14"/>
        <v>Central Bedfordshire</v>
      </c>
      <c r="M21" s="153">
        <f t="shared" si="20"/>
        <v>0.49563625960536062</v>
      </c>
      <c r="N21" s="148">
        <f t="shared" si="21"/>
        <v>49.563625960536065</v>
      </c>
      <c r="O21" s="131">
        <f t="shared" si="3"/>
        <v>49.563625960536065</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Rural-50</v>
      </c>
      <c r="Y21" s="49">
        <f t="shared" si="6"/>
        <v>0.49563625960536062</v>
      </c>
      <c r="Z21" s="57">
        <f>IF(Y21="","",IF(I$8="A",(RANK(Y21,Y$11:Y$363,1)+COUNTIF(Y$11:Y21,Y21)-1),(RANK(Y21,Y$11:Y$363)+COUNTIF(Y$11:Y21,Y21)-1)))</f>
        <v>7</v>
      </c>
      <c r="AA21" s="245" t="str">
        <f>IF(L21="","",VLOOKUP($L21,classifications!C:I,7,FALSE))</f>
        <v>Predominantly Rural</v>
      </c>
      <c r="AB21" s="239">
        <f t="shared" si="7"/>
        <v>0.49563625960536062</v>
      </c>
      <c r="AC21" s="239">
        <f>IF(AB21="","",IF($I$8="A",(RANK(AB21,AB$11:AB$363)+COUNTIF(AB$11:AB21,AB21)-1),(RANK(AB21,AB$11:AB$363,1)+COUNTIF(AB$11:AB21,AB21)-1)))</f>
        <v>10</v>
      </c>
      <c r="AD21" s="239"/>
      <c r="AE21" s="71">
        <f>IF(I$8="A",(RANK(AG21,AG$11:AG$363,1)+COUNTIF(AG$11:AG21,AG21)-1),(RANK(AG21,AG$11:AG$363)+COUNTIF(AG$11:AG21,AG21)-1))</f>
        <v>6</v>
      </c>
      <c r="AF21" s="6" t="str">
        <f>VLOOKUP(Profile!$J$5,Families!$C:$R,11,FALSE)</f>
        <v>Trafford</v>
      </c>
      <c r="AG21" s="143">
        <f t="shared" si="22"/>
        <v>0.53918284646054504</v>
      </c>
      <c r="AH21" s="72">
        <f t="shared" si="18"/>
        <v>6</v>
      </c>
      <c r="AI21" s="61" t="str">
        <f>IF(L21="","",VLOOKUP($L21,classifications!$C:$J,8,FALSE))</f>
        <v>Unitary</v>
      </c>
      <c r="AJ21" s="62">
        <f t="shared" si="0"/>
        <v>0.49563625960536062</v>
      </c>
      <c r="AK21" s="57">
        <f>IF(AJ21="","",IF(I$8="A",(RANK(AJ21,AJ$11:AJ$363,1)+COUNTIF(AJ$11:AJ21,AJ21)-1),(RANK(AJ21,AJ$11:AJ$363)+COUNTIF(AJ$11:AJ21,AJ21)-1)))</f>
        <v>11</v>
      </c>
      <c r="AL21" s="52">
        <f t="shared" si="19"/>
        <v>11</v>
      </c>
      <c r="AM21" s="31" t="str">
        <f t="shared" si="8"/>
        <v>Central Bedfordshire</v>
      </c>
      <c r="AN21" s="31">
        <f t="shared" si="9"/>
        <v>0.49563625960536062</v>
      </c>
      <c r="AP21" s="61" t="str">
        <f>IF(L21="","",VLOOKUP($L21,classifications!$C:$E,3,FALSE))</f>
        <v>East of England</v>
      </c>
      <c r="AQ21" s="62" t="str">
        <f t="shared" si="10"/>
        <v/>
      </c>
      <c r="AR21" s="57" t="str">
        <f>IF(AQ21="","",IF(I$8="A",(RANK(AQ21,AQ$11:AQ$363,1)+COUNTIF(AQ$11:AQ21,AQ21)-1),(RANK(AQ21,AQ$11:AQ$363)+COUNTIF(AQ$11:AQ21,AQ21)-1)))</f>
        <v/>
      </c>
      <c r="AS21" s="52" t="str">
        <f t="shared" si="23"/>
        <v/>
      </c>
      <c r="AT21" s="57" t="str">
        <f t="shared" si="11"/>
        <v/>
      </c>
      <c r="AU21" s="62" t="str">
        <f t="shared" si="12"/>
        <v/>
      </c>
      <c r="AX21" s="44">
        <f>HLOOKUP($AX$9&amp;$AX$10,Data!$A$1:$ZZ$2000,(MATCH($C21,Data!$A$1:$A$2000,0)),FALSE)</f>
        <v>0.52704085594692751</v>
      </c>
      <c r="AY21" s="156"/>
      <c r="AZ21" s="44"/>
    </row>
    <row r="22" spans="1:52">
      <c r="A22" s="84" t="str">
        <f>$D$1&amp;12</f>
        <v>UA12</v>
      </c>
      <c r="B22" s="85" t="str">
        <f>IF(ISERROR(VLOOKUP(A22,classifications!A:C,3,FALSE)),0,VLOOKUP(A22,classifications!A:C,3,FALSE))</f>
        <v>Shropshire</v>
      </c>
      <c r="C22" s="31" t="s">
        <v>13</v>
      </c>
      <c r="D22" s="49" t="str">
        <f>VLOOKUP($C22,classifications!$C:$J,4,FALSE)</f>
        <v>SD</v>
      </c>
      <c r="E22" s="49">
        <f>VLOOKUP(C22,classifications!C:K,9,FALSE)</f>
        <v>0</v>
      </c>
      <c r="F22" s="59">
        <f t="shared" si="1"/>
        <v>0.34531330995385356</v>
      </c>
      <c r="G22" s="105"/>
      <c r="H22" s="60" t="str">
        <f t="shared" si="2"/>
        <v/>
      </c>
      <c r="I22" s="112" t="str">
        <f>IF(H22="","",IF($I$8="A",(RANK(H22,H$11:H$363,1)+COUNTIF(H$11:H22,H22)-1),(RANK(H22,H$11:H$363)+COUNTIF(H$11:H22,H22)-1)))</f>
        <v/>
      </c>
      <c r="J22" s="58"/>
      <c r="K22" s="51">
        <f t="shared" si="13"/>
        <v>12</v>
      </c>
      <c r="L22" s="59" t="str">
        <f t="shared" si="14"/>
        <v>South Gloucestershire</v>
      </c>
      <c r="M22" s="153">
        <f t="shared" si="20"/>
        <v>0.48621863286363803</v>
      </c>
      <c r="N22" s="148">
        <f t="shared" si="21"/>
        <v>48.621863286363805</v>
      </c>
      <c r="O22" s="131">
        <f t="shared" si="3"/>
        <v>48.621863286363805</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Large Urban</v>
      </c>
      <c r="Y22" s="49" t="str">
        <f t="shared" si="6"/>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10</v>
      </c>
      <c r="AF22" s="6" t="str">
        <f>VLOOKUP(Profile!$J$5,Families!$C:$R,12,FALSE)</f>
        <v>Warrington</v>
      </c>
      <c r="AG22" s="143">
        <f t="shared" si="22"/>
        <v>0.48139441584100101</v>
      </c>
      <c r="AH22" s="72">
        <f t="shared" si="18"/>
        <v>10</v>
      </c>
      <c r="AI22" s="61" t="str">
        <f>IF(L22="","",VLOOKUP($L22,classifications!$C:$J,8,FALSE))</f>
        <v>Unitary</v>
      </c>
      <c r="AJ22" s="62">
        <f t="shared" si="0"/>
        <v>0.48621863286363803</v>
      </c>
      <c r="AK22" s="57">
        <f>IF(AJ22="","",IF(I$8="A",(RANK(AJ22,AJ$11:AJ$363,1)+COUNTIF(AJ$11:AJ22,AJ22)-1),(RANK(AJ22,AJ$11:AJ$363)+COUNTIF(AJ$11:AJ22,AJ22)-1)))</f>
        <v>12</v>
      </c>
      <c r="AL22" s="52">
        <f t="shared" si="19"/>
        <v>12</v>
      </c>
      <c r="AM22" s="31" t="str">
        <f>IF(ISNA(IF(AL22="","",INDEX(L$11:L$363,MATCH(AL22,AK$11:AK$363,0)))),"",(IF(AL22="","",INDEX(L$11:L$363,MATCH(AL22,AK$11:AK$363,0)))))</f>
        <v>South Gloucestershire</v>
      </c>
      <c r="AN22" s="31">
        <f t="shared" si="9"/>
        <v>0.48621863286363803</v>
      </c>
      <c r="AP22" s="61" t="str">
        <f>IF(L22="","",VLOOKUP($L22,classifications!$C:$E,3,FALSE))</f>
        <v>South West</v>
      </c>
      <c r="AQ22" s="62" t="str">
        <f t="shared" si="10"/>
        <v/>
      </c>
      <c r="AR22" s="57" t="str">
        <f>IF(AQ22="","",IF(I$8="A",(RANK(AQ22,AQ$11:AQ$363,1)+COUNTIF(AQ$11:AQ22,AQ22)-1),(RANK(AQ22,AQ$11:AQ$363)+COUNTIF(AQ$11:AQ22,AQ22)-1)))</f>
        <v/>
      </c>
      <c r="AS22" s="52" t="str">
        <f t="shared" si="23"/>
        <v/>
      </c>
      <c r="AT22" s="57" t="str">
        <f t="shared" si="11"/>
        <v/>
      </c>
      <c r="AU22" s="62" t="str">
        <f t="shared" si="12"/>
        <v/>
      </c>
      <c r="AX22" s="44">
        <f>HLOOKUP($AX$9&amp;$AX$10,Data!$A$1:$ZZ$2000,(MATCH($C22,Data!$A$1:$A$2000,0)),FALSE)</f>
        <v>0.34531330995385356</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1"/>
        <v>0.52276812178701038</v>
      </c>
      <c r="G23" s="105"/>
      <c r="H23" s="60" t="str">
        <f t="shared" si="2"/>
        <v/>
      </c>
      <c r="I23" s="112" t="str">
        <f>IF(H23="","",IF($I$8="A",(RANK(H23,H$11:H$363,1)+COUNTIF(H$11:H23,H23)-1),(RANK(H23,H$11:H$363)+COUNTIF(H$11:H23,H23)-1)))</f>
        <v/>
      </c>
      <c r="J23" s="58"/>
      <c r="K23" s="51">
        <f t="shared" si="13"/>
        <v>13</v>
      </c>
      <c r="L23" s="59" t="str">
        <f t="shared" si="14"/>
        <v>West Berkshire</v>
      </c>
      <c r="M23" s="153">
        <f t="shared" si="20"/>
        <v>0.48531282575289414</v>
      </c>
      <c r="N23" s="148">
        <f t="shared" si="21"/>
        <v>48.531282575289417</v>
      </c>
      <c r="O23" s="131">
        <f t="shared" si="3"/>
        <v>48.531282575289417</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Significant Rural</v>
      </c>
      <c r="Y23" s="49">
        <f t="shared" si="6"/>
        <v>0.48531282575289414</v>
      </c>
      <c r="Z23" s="57">
        <f>IF(Y23="","",IF(I$8="A",(RANK(Y23,Y$11:Y$363,1)+COUNTIF(Y$11:Y23,Y23)-1),(RANK(Y23,Y$11:Y$363)+COUNTIF(Y$11:Y23,Y23)-1)))</f>
        <v>8</v>
      </c>
      <c r="AA23" s="245" t="str">
        <f>IF(L23="","",VLOOKUP($L23,classifications!C:I,7,FALSE))</f>
        <v>Significant Rural</v>
      </c>
      <c r="AB23" s="239" t="str">
        <f t="shared" si="7"/>
        <v/>
      </c>
      <c r="AC23" s="239" t="str">
        <f>IF(AB23="","",IF($I$8="A",(RANK(AB23,AB$11:AB$363)+COUNTIF(AB$11:AB23,AB23)-1),(RANK(AB23,AB$11:AB$363,1)+COUNTIF(AB$11:AB23,AB23)-1)))</f>
        <v/>
      </c>
      <c r="AD23" s="239"/>
      <c r="AE23" s="71">
        <f>IF(I$8="A",(RANK(AG23,AG$11:AG$363,1)+COUNTIF(AG$11:AG23,AG23)-1),(RANK(AG23,AG$11:AG$363)+COUNTIF(AG$11:AG23,AG23)-1))</f>
        <v>4</v>
      </c>
      <c r="AF23" s="6" t="str">
        <f>VLOOKUP(Profile!$J$5,Families!$C:$R,13,FALSE)</f>
        <v>East Riding of Yorkshire</v>
      </c>
      <c r="AG23" s="143">
        <f t="shared" si="22"/>
        <v>0.55642925601097826</v>
      </c>
      <c r="AH23" s="72">
        <f t="shared" si="18"/>
        <v>4</v>
      </c>
      <c r="AI23" s="61" t="str">
        <f>IF(L23="","",VLOOKUP($L23,classifications!$C:$J,8,FALSE))</f>
        <v>Unitary</v>
      </c>
      <c r="AJ23" s="62">
        <f t="shared" si="0"/>
        <v>0.48531282575289414</v>
      </c>
      <c r="AK23" s="57">
        <f>IF(AJ23="","",IF(I$8="A",(RANK(AJ23,AJ$11:AJ$363,1)+COUNTIF(AJ$11:AJ23,AJ23)-1),(RANK(AJ23,AJ$11:AJ$363)+COUNTIF(AJ$11:AJ23,AJ23)-1)))</f>
        <v>13</v>
      </c>
      <c r="AL23" s="52">
        <f t="shared" si="19"/>
        <v>13</v>
      </c>
      <c r="AM23" s="31" t="str">
        <f t="shared" ref="AM23:AM86" si="24">IF(ISNA(IF(AL23="","",INDEX(L$11:L$363,MATCH(AL23,AK$11:AK$363,0)))),"",(IF(AL23="","",INDEX(L$11:L$363,MATCH(AL23,AK$11:AK$363,0)))))</f>
        <v>West Berkshire</v>
      </c>
      <c r="AN23" s="31">
        <f t="shared" si="9"/>
        <v>0.48531282575289414</v>
      </c>
      <c r="AP23" s="61" t="str">
        <f>IF(L23="","",VLOOKUP($L23,classifications!$C:$E,3,FALSE))</f>
        <v>South East</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0.52276812178701038</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0.25335093538026882</v>
      </c>
      <c r="G24" s="105"/>
      <c r="H24" s="60" t="str">
        <f t="shared" si="2"/>
        <v/>
      </c>
      <c r="I24" s="112" t="str">
        <f>IF(H24="","",IF($I$8="A",(RANK(H24,H$11:H$363,1)+COUNTIF(H$11:H24,H24)-1),(RANK(H24,H$11:H$363)+COUNTIF(H$11:H24,H24)-1)))</f>
        <v/>
      </c>
      <c r="J24" s="58"/>
      <c r="K24" s="51">
        <f t="shared" si="13"/>
        <v>14</v>
      </c>
      <c r="L24" s="59" t="str">
        <f t="shared" si="14"/>
        <v>Warrington</v>
      </c>
      <c r="M24" s="153">
        <f t="shared" si="20"/>
        <v>0.48139441584100101</v>
      </c>
      <c r="N24" s="148">
        <f t="shared" si="21"/>
        <v>48.139441584100098</v>
      </c>
      <c r="O24" s="131">
        <f t="shared" si="3"/>
        <v>48.139441584100098</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Other Urban</v>
      </c>
      <c r="Y24" s="49" t="str">
        <f t="shared" si="6"/>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15</v>
      </c>
      <c r="AF24" s="6" t="str">
        <f>VLOOKUP(Profile!$J$5,Families!$C:$R,14,FALSE)</f>
        <v>Herefordshire</v>
      </c>
      <c r="AG24" s="143">
        <f t="shared" si="22"/>
        <v>0.38595496245153915</v>
      </c>
      <c r="AH24" s="72">
        <f t="shared" si="18"/>
        <v>15</v>
      </c>
      <c r="AI24" s="61" t="str">
        <f>IF(L24="","",VLOOKUP($L24,classifications!$C:$J,8,FALSE))</f>
        <v>Unitary</v>
      </c>
      <c r="AJ24" s="62">
        <f t="shared" si="0"/>
        <v>0.48139441584100101</v>
      </c>
      <c r="AK24" s="57">
        <f>IF(AJ24="","",IF(I$8="A",(RANK(AJ24,AJ$11:AJ$363,1)+COUNTIF(AJ$11:AJ24,AJ24)-1),(RANK(AJ24,AJ$11:AJ$363)+COUNTIF(AJ$11:AJ24,AJ24)-1)))</f>
        <v>14</v>
      </c>
      <c r="AL24" s="52">
        <f t="shared" si="19"/>
        <v>14</v>
      </c>
      <c r="AM24" s="31" t="str">
        <f t="shared" si="24"/>
        <v>Warrington</v>
      </c>
      <c r="AN24" s="31">
        <f t="shared" si="9"/>
        <v>0.48139441584100101</v>
      </c>
      <c r="AP24" s="61" t="str">
        <f>IF(L24="","",VLOOKUP($L24,classifications!$C:$E,3,FALSE))</f>
        <v>North West</v>
      </c>
      <c r="AQ24" s="62">
        <f t="shared" si="10"/>
        <v>0.48139441584100101</v>
      </c>
      <c r="AR24" s="57">
        <f>IF(AQ24="","",IF(I$8="A",(RANK(AQ24,AQ$11:AQ$363,1)+COUNTIF(AQ$11:AQ24,AQ24)-1),(RANK(AQ24,AQ$11:AQ$363)+COUNTIF(AQ$11:AQ24,AQ24)-1)))</f>
        <v>3</v>
      </c>
      <c r="AS24" s="52" t="str">
        <f t="shared" si="23"/>
        <v/>
      </c>
      <c r="AT24" s="57" t="str">
        <f t="shared" si="11"/>
        <v/>
      </c>
      <c r="AU24" s="62" t="str">
        <f t="shared" si="12"/>
        <v/>
      </c>
      <c r="AX24" s="44">
        <f>HLOOKUP($AX$9&amp;$AX$10,Data!$A$1:$ZZ$2000,(MATCH($C24,Data!$A$1:$A$2000,0)),FALSE)</f>
        <v>0.25335093538026882</v>
      </c>
      <c r="AY24" s="156"/>
      <c r="AZ24" s="44"/>
    </row>
    <row r="25" spans="1:52">
      <c r="A25" s="84" t="str">
        <f>$D$1&amp;15</f>
        <v>UA15</v>
      </c>
      <c r="B25" s="85">
        <f>IF(ISERROR(VLOOKUP(A25,classifications!A:C,3,FALSE)),0,VLOOKUP(A25,classifications!A:C,3,FALSE))</f>
        <v>0</v>
      </c>
      <c r="C25" s="31" t="s">
        <v>15</v>
      </c>
      <c r="D25" s="49" t="str">
        <f>VLOOKUP($C25,classifications!$C:$J,4,FALSE)</f>
        <v>SD</v>
      </c>
      <c r="E25" s="49" t="str">
        <f>VLOOKUP(C25,classifications!C:K,9,FALSE)</f>
        <v>Sparse</v>
      </c>
      <c r="F25" s="59">
        <f t="shared" si="1"/>
        <v>0.21784061801790128</v>
      </c>
      <c r="G25" s="105"/>
      <c r="H25" s="60" t="str">
        <f t="shared" si="2"/>
        <v/>
      </c>
      <c r="I25" s="112" t="str">
        <f>IF(H25="","",IF($I$8="A",(RANK(H25,H$11:H$363,1)+COUNTIF(H$11:H25,H25)-1),(RANK(H25,H$11:H$363)+COUNTIF(H$11:H25,H25)-1)))</f>
        <v/>
      </c>
      <c r="J25" s="58"/>
      <c r="K25" s="51">
        <f t="shared" si="13"/>
        <v>15</v>
      </c>
      <c r="L25" s="59" t="str">
        <f t="shared" si="14"/>
        <v>Isle of Wight</v>
      </c>
      <c r="M25" s="153">
        <f t="shared" si="20"/>
        <v>0.47290678015151844</v>
      </c>
      <c r="N25" s="148">
        <f t="shared" si="21"/>
        <v>47.29067801515184</v>
      </c>
      <c r="O25" s="131" t="str">
        <f t="shared" si="3"/>
        <v/>
      </c>
      <c r="P25" s="131">
        <f t="shared" si="15"/>
        <v>47.29067801515184</v>
      </c>
      <c r="Q25" s="131" t="str">
        <f t="shared" si="16"/>
        <v/>
      </c>
      <c r="R25" s="127" t="str">
        <f t="shared" si="17"/>
        <v/>
      </c>
      <c r="S25" s="60" t="str">
        <f t="shared" si="4"/>
        <v/>
      </c>
      <c r="T25" s="231" t="str">
        <f>IF(L25="","",VLOOKUP(L25,classifications!C:K,9,FALSE))</f>
        <v>Sparse</v>
      </c>
      <c r="U25" s="238">
        <f t="shared" si="5"/>
        <v>0.47290678015151844</v>
      </c>
      <c r="V25" s="239">
        <f>IF(U25="","",IF($I$8="A",(RANK(U25,U$11:U$363)+COUNTIF(U$11:U25,U25)-1),(RANK(U25,U$11:U$363,1)+COUNTIF(U$11:U25,U25)-1)))</f>
        <v>6</v>
      </c>
      <c r="W25" s="240"/>
      <c r="X25" s="61" t="str">
        <f>IF(L25="","",VLOOKUP($L25,classifications!$C:$J,6,FALSE))</f>
        <v>Rural-80</v>
      </c>
      <c r="Y25" s="49">
        <f t="shared" si="6"/>
        <v>0.47290678015151844</v>
      </c>
      <c r="Z25" s="57">
        <f>IF(Y25="","",IF(I$8="A",(RANK(Y25,Y$11:Y$363,1)+COUNTIF(Y$11:Y25,Y25)-1),(RANK(Y25,Y$11:Y$363)+COUNTIF(Y$11:Y25,Y25)-1)))</f>
        <v>9</v>
      </c>
      <c r="AA25" s="245" t="str">
        <f>IF(L25="","",VLOOKUP($L25,classifications!C:I,7,FALSE))</f>
        <v>Predominantly Rural</v>
      </c>
      <c r="AB25" s="239">
        <f t="shared" si="7"/>
        <v>0.47290678015151844</v>
      </c>
      <c r="AC25" s="239">
        <f>IF(AB25="","",IF($I$8="A",(RANK(AB25,AB$11:AB$363)+COUNTIF(AB$11:AB25,AB25)-1),(RANK(AB25,AB$11:AB$363,1)+COUNTIF(AB$11:AB25,AB25)-1)))</f>
        <v>9</v>
      </c>
      <c r="AD25" s="239"/>
      <c r="AE25" s="71">
        <f>IF(I$8="A",(RANK(AG25,AG$11:AG$363,1)+COUNTIF(AG$11:AG25,AG25)-1),(RANK(AG25,AG$11:AG$363)+COUNTIF(AG$11:AG25,AG25)-1))</f>
        <v>9</v>
      </c>
      <c r="AF25" s="6" t="str">
        <f>VLOOKUP(Profile!$J$5,Families!$C:$R,15,FALSE)</f>
        <v>South Gloucestershire</v>
      </c>
      <c r="AG25" s="143">
        <f t="shared" si="22"/>
        <v>0.48621863286363803</v>
      </c>
      <c r="AH25" s="72">
        <f t="shared" si="18"/>
        <v>9</v>
      </c>
      <c r="AI25" s="61" t="str">
        <f>IF(L25="","",VLOOKUP($L25,classifications!$C:$J,8,FALSE))</f>
        <v>Unitary</v>
      </c>
      <c r="AJ25" s="62">
        <f t="shared" si="0"/>
        <v>0.47290678015151844</v>
      </c>
      <c r="AK25" s="57">
        <f>IF(AJ25="","",IF(I$8="A",(RANK(AJ25,AJ$11:AJ$363,1)+COUNTIF(AJ$11:AJ25,AJ25)-1),(RANK(AJ25,AJ$11:AJ$363)+COUNTIF(AJ$11:AJ25,AJ25)-1)))</f>
        <v>15</v>
      </c>
      <c r="AL25" s="52">
        <f t="shared" si="19"/>
        <v>15</v>
      </c>
      <c r="AM25" s="31" t="str">
        <f t="shared" si="24"/>
        <v>Isle of Wight</v>
      </c>
      <c r="AN25" s="31">
        <f t="shared" si="9"/>
        <v>0.47290678015151844</v>
      </c>
      <c r="AP25" s="61" t="str">
        <f>IF(L25="","",VLOOKUP($L25,classifications!$C:$E,3,FALSE))</f>
        <v>South East</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0.21784061801790128</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f t="shared" si="1"/>
        <v>0.46600685215803278</v>
      </c>
      <c r="G26" s="105"/>
      <c r="H26" s="60">
        <f t="shared" si="2"/>
        <v>0.46600685215803278</v>
      </c>
      <c r="I26" s="112">
        <f>IF(H26="","",IF($I$8="A",(RANK(H26,H$11:H$363,1)+COUNTIF(H$11:H26,H26)-1),(RANK(H26,H$11:H$363)+COUNTIF(H$11:H26,H26)-1)))</f>
        <v>16</v>
      </c>
      <c r="J26" s="58"/>
      <c r="K26" s="51">
        <f t="shared" si="13"/>
        <v>16</v>
      </c>
      <c r="L26" s="59" t="str">
        <f t="shared" si="14"/>
        <v>Bath &amp; North East Somerset</v>
      </c>
      <c r="M26" s="153">
        <f t="shared" si="20"/>
        <v>0.46600685215803278</v>
      </c>
      <c r="N26" s="148">
        <f t="shared" si="21"/>
        <v>46.600685215803281</v>
      </c>
      <c r="O26" s="131" t="str">
        <f t="shared" si="3"/>
        <v/>
      </c>
      <c r="P26" s="131">
        <f t="shared" si="15"/>
        <v>46.600685215803281</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Significant Rural</v>
      </c>
      <c r="Y26" s="49">
        <f t="shared" si="6"/>
        <v>0.46600685215803278</v>
      </c>
      <c r="Z26" s="57">
        <f>IF(Y26="","",IF(I$8="A",(RANK(Y26,Y$11:Y$363,1)+COUNTIF(Y$11:Y26,Y26)-1),(RANK(Y26,Y$11:Y$363)+COUNTIF(Y$11:Y26,Y26)-1)))</f>
        <v>10</v>
      </c>
      <c r="AA26" s="245" t="str">
        <f>IF(L26="","",VLOOKUP($L26,classifications!C:I,7,FALSE))</f>
        <v>Significant Rural</v>
      </c>
      <c r="AB26" s="239" t="str">
        <f t="shared" si="7"/>
        <v/>
      </c>
      <c r="AC26" s="239" t="str">
        <f>IF(AB26="","",IF($I$8="A",(RANK(AB26,AB$11:AB$363)+COUNTIF(AB$11:AB26,AB26)-1),(RANK(AB26,AB$11:AB$363,1)+COUNTIF(AB$11:AB26,AB26)-1)))</f>
        <v/>
      </c>
      <c r="AD26" s="239"/>
      <c r="AE26" s="71">
        <f>IF(I$8="A",(RANK(AG26,AG$11:AG$363,1)+COUNTIF(AG$11:AG26,AG26)-1),(RANK(AG26,AG$11:AG$363)+COUNTIF(AG$11:AG26,AG26)-1))</f>
        <v>16</v>
      </c>
      <c r="AF26" s="6" t="str">
        <f>VLOOKUP(Profile!$J$5,Families!$C:$R,16,FALSE)</f>
        <v>Bedford</v>
      </c>
      <c r="AG26" s="143">
        <f t="shared" si="22"/>
        <v>0.38182428932161844</v>
      </c>
      <c r="AH26" s="72">
        <f t="shared" si="18"/>
        <v>16</v>
      </c>
      <c r="AI26" s="61" t="str">
        <f>IF(L26="","",VLOOKUP($L26,classifications!$C:$J,8,FALSE))</f>
        <v>Unitary</v>
      </c>
      <c r="AJ26" s="62">
        <f t="shared" si="0"/>
        <v>0.46600685215803278</v>
      </c>
      <c r="AK26" s="57">
        <f>IF(AJ26="","",IF(I$8="A",(RANK(AJ26,AJ$11:AJ$363,1)+COUNTIF(AJ$11:AJ26,AJ26)-1),(RANK(AJ26,AJ$11:AJ$363)+COUNTIF(AJ$11:AJ26,AJ26)-1)))</f>
        <v>16</v>
      </c>
      <c r="AL26" s="52">
        <f t="shared" si="19"/>
        <v>16</v>
      </c>
      <c r="AM26" s="31" t="str">
        <f t="shared" si="24"/>
        <v>Bath &amp; North East Somerset</v>
      </c>
      <c r="AN26" s="31">
        <f t="shared" si="9"/>
        <v>0.46600685215803278</v>
      </c>
      <c r="AP26" s="61" t="str">
        <f>IF(L26="","",VLOOKUP($L26,classifications!$C:$E,3,FALSE))</f>
        <v>South West</v>
      </c>
      <c r="AQ26" s="62" t="str">
        <f t="shared" si="10"/>
        <v/>
      </c>
      <c r="AR26" s="57" t="str">
        <f>IF(AQ26="","",IF(I$8="A",(RANK(AQ26,AQ$11:AQ$363,1)+COUNTIF(AQ$11:AQ26,AQ26)-1),(RANK(AQ26,AQ$11:AQ$363)+COUNTIF(AQ$11:AQ26,AQ26)-1)))</f>
        <v/>
      </c>
      <c r="AS26" s="52" t="str">
        <f t="shared" si="23"/>
        <v/>
      </c>
      <c r="AT26" s="57" t="str">
        <f t="shared" si="11"/>
        <v/>
      </c>
      <c r="AU26" s="62" t="str">
        <f t="shared" si="12"/>
        <v/>
      </c>
      <c r="AX26" s="44">
        <f>HLOOKUP($AX$9&amp;$AX$10,Data!$A$1:$ZZ$2000,(MATCH($C26,Data!$A$1:$A$2000,0)),FALSE)</f>
        <v>0.46600685215803278</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0.38182428932161844</v>
      </c>
      <c r="G27" s="105"/>
      <c r="H27" s="60">
        <f t="shared" si="2"/>
        <v>0.38182428932161844</v>
      </c>
      <c r="I27" s="112">
        <f>IF(H27="","",IF($I$8="A",(RANK(H27,H$11:H$363,1)+COUNTIF(H$11:H27,H27)-1),(RANK(H27,H$11:H$363)+COUNTIF(H$11:H27,H27)-1)))</f>
        <v>40</v>
      </c>
      <c r="J27" s="58"/>
      <c r="K27" s="51">
        <f t="shared" si="13"/>
        <v>17</v>
      </c>
      <c r="L27" s="59" t="str">
        <f>IF(K27="","",INDEX(C$11:C$363,MATCH(K27,I$11:I$363,0)))</f>
        <v>Bournemouth</v>
      </c>
      <c r="M27" s="153">
        <f t="shared" si="20"/>
        <v>0.4656414118108585</v>
      </c>
      <c r="N27" s="148">
        <f t="shared" si="21"/>
        <v>46.564141181085851</v>
      </c>
      <c r="O27" s="131" t="str">
        <f t="shared" si="3"/>
        <v/>
      </c>
      <c r="P27" s="131">
        <f t="shared" si="15"/>
        <v>46.564141181085851</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Large Urban</v>
      </c>
      <c r="Y27" s="49" t="str">
        <f t="shared" si="6"/>
        <v/>
      </c>
      <c r="Z27" s="57" t="str">
        <f>IF(Y27="","",IF(I$8="A",(RANK(Y27,Y$11:Y$363,1)+COUNTIF(Y$11:Y27,Y27)-1),(RANK(Y27,Y$11:Y$363)+COUNTIF(Y$11:Y27,Y27)-1)))</f>
        <v/>
      </c>
      <c r="AA27" s="245" t="str">
        <f>IF(L27="","",VLOOKUP($L27,classifications!C:I,7,FALSE))</f>
        <v>Predominantly Urban</v>
      </c>
      <c r="AB27" s="239" t="str">
        <f t="shared" si="7"/>
        <v/>
      </c>
      <c r="AC27" s="239" t="str">
        <f>IF(AB27="","",IF($I$8="A",(RANK(AB27,AB$11:AB$363)+COUNTIF(AB$11:AB27,AB27)-1),(RANK(AB27,AB$11:AB$363,1)+COUNTIF(AB$11:AB27,AB27)-1)))</f>
        <v/>
      </c>
      <c r="AD27" s="239"/>
      <c r="AE27" s="51"/>
      <c r="AF27" s="6"/>
      <c r="AG27" s="143"/>
      <c r="AH27" s="52"/>
      <c r="AI27" s="61" t="str">
        <f>IF(L27="","",VLOOKUP($L27,classifications!$C:$J,8,FALSE))</f>
        <v>Unitary</v>
      </c>
      <c r="AJ27" s="62">
        <f t="shared" si="0"/>
        <v>0.4656414118108585</v>
      </c>
      <c r="AK27" s="57">
        <f>IF(AJ27="","",IF(I$8="A",(RANK(AJ27,AJ$11:AJ$363,1)+COUNTIF(AJ$11:AJ27,AJ27)-1),(RANK(AJ27,AJ$11:AJ$363)+COUNTIF(AJ$11:AJ27,AJ27)-1)))</f>
        <v>17</v>
      </c>
      <c r="AL27" s="52">
        <f t="shared" si="19"/>
        <v>17</v>
      </c>
      <c r="AM27" s="31" t="str">
        <f t="shared" si="24"/>
        <v>Bournemouth</v>
      </c>
      <c r="AN27" s="31">
        <f t="shared" si="9"/>
        <v>0.4656414118108585</v>
      </c>
      <c r="AP27" s="61" t="str">
        <f>IF(L27="","",VLOOKUP($L27,classifications!$C:$E,3,FALSE))</f>
        <v>South West</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0.38182428932161844</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0.54622495706682583</v>
      </c>
      <c r="G28" s="105"/>
      <c r="H28" s="60" t="str">
        <f t="shared" si="2"/>
        <v/>
      </c>
      <c r="I28" s="112" t="str">
        <f>IF(H28="","",IF($I$8="A",(RANK(H28,H$11:H$363,1)+COUNTIF(H$11:H28,H28)-1),(RANK(H28,H$11:H$363)+COUNTIF(H$11:H28,H28)-1)))</f>
        <v/>
      </c>
      <c r="J28" s="58"/>
      <c r="K28" s="51">
        <f t="shared" si="13"/>
        <v>18</v>
      </c>
      <c r="L28" s="59" t="str">
        <f t="shared" si="14"/>
        <v>York</v>
      </c>
      <c r="M28" s="153">
        <f t="shared" si="20"/>
        <v>0.4548920190316959</v>
      </c>
      <c r="N28" s="148">
        <f t="shared" si="21"/>
        <v>45.489201903169594</v>
      </c>
      <c r="O28" s="131" t="str">
        <f t="shared" si="3"/>
        <v/>
      </c>
      <c r="P28" s="131">
        <f t="shared" si="15"/>
        <v>45.489201903169594</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Other Urban</v>
      </c>
      <c r="Y28" s="49" t="str">
        <f t="shared" si="6"/>
        <v/>
      </c>
      <c r="Z28" s="57" t="str">
        <f>IF(Y28="","",IF(I$8="A",(RANK(Y28,Y$11:Y$363,1)+COUNTIF(Y$11:Y28,Y28)-1),(RANK(Y28,Y$11:Y$363)+COUNTIF(Y$11:Y28,Y28)-1)))</f>
        <v/>
      </c>
      <c r="AA28" s="245" t="str">
        <f>IF(L28="","",VLOOKUP($L28,classifications!C:I,7,FALSE))</f>
        <v>Predominantly Urban</v>
      </c>
      <c r="AB28" s="239" t="str">
        <f t="shared" si="7"/>
        <v/>
      </c>
      <c r="AC28" s="239" t="str">
        <f>IF(AB28="","",IF($I$8="A",(RANK(AB28,AB$11:AB$363)+COUNTIF(AB$11:AB28,AB28)-1),(RANK(AB28,AB$11:AB$363,1)+COUNTIF(AB$11:AB28,AB28)-1)))</f>
        <v/>
      </c>
      <c r="AD28" s="239"/>
      <c r="AE28" s="51"/>
      <c r="AF28" s="6"/>
      <c r="AG28" s="143"/>
      <c r="AH28" s="52"/>
      <c r="AI28" s="61" t="str">
        <f>IF(L28="","",VLOOKUP($L28,classifications!$C:$J,8,FALSE))</f>
        <v>Unitary</v>
      </c>
      <c r="AJ28" s="62">
        <f t="shared" si="0"/>
        <v>0.4548920190316959</v>
      </c>
      <c r="AK28" s="57">
        <f>IF(AJ28="","",IF(I$8="A",(RANK(AJ28,AJ$11:AJ$363,1)+COUNTIF(AJ$11:AJ28,AJ28)-1),(RANK(AJ28,AJ$11:AJ$363)+COUNTIF(AJ$11:AJ28,AJ28)-1)))</f>
        <v>18</v>
      </c>
      <c r="AL28" s="52">
        <f t="shared" si="19"/>
        <v>18</v>
      </c>
      <c r="AM28" s="31" t="str">
        <f t="shared" si="24"/>
        <v>York</v>
      </c>
      <c r="AN28" s="31">
        <f t="shared" si="9"/>
        <v>0.4548920190316959</v>
      </c>
      <c r="AP28" s="61" t="str">
        <f>IF(L28="","",VLOOKUP($L28,classifications!$C:$E,3,FALSE))</f>
        <v>Yorkshire &amp; Humberside</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0.54622495706682583</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0.28440110926869172</v>
      </c>
      <c r="G29" s="105"/>
      <c r="H29" s="60" t="str">
        <f t="shared" si="2"/>
        <v/>
      </c>
      <c r="I29" s="112" t="str">
        <f>IF(H29="","",IF($I$8="A",(RANK(H29,H$11:H$363,1)+COUNTIF(H$11:H29,H29)-1),(RANK(H29,H$11:H$363)+COUNTIF(H$11:H29,H29)-1)))</f>
        <v/>
      </c>
      <c r="J29" s="58"/>
      <c r="K29" s="51">
        <f t="shared" si="13"/>
        <v>19</v>
      </c>
      <c r="L29" s="59" t="str">
        <f t="shared" si="14"/>
        <v>Derby</v>
      </c>
      <c r="M29" s="153">
        <f t="shared" si="20"/>
        <v>0.44388570464861532</v>
      </c>
      <c r="N29" s="148">
        <f t="shared" si="21"/>
        <v>44.38857046486153</v>
      </c>
      <c r="O29" s="131" t="str">
        <f t="shared" si="3"/>
        <v/>
      </c>
      <c r="P29" s="131">
        <f t="shared" si="15"/>
        <v>44.38857046486153</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Other Urban</v>
      </c>
      <c r="Y29" s="49" t="str">
        <f t="shared" si="6"/>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Unitary</v>
      </c>
      <c r="AJ29" s="62">
        <f t="shared" si="0"/>
        <v>0.44388570464861532</v>
      </c>
      <c r="AK29" s="57">
        <f>IF(AJ29="","",IF(I$8="A",(RANK(AJ29,AJ$11:AJ$363,1)+COUNTIF(AJ$11:AJ29,AJ29)-1),(RANK(AJ29,AJ$11:AJ$363)+COUNTIF(AJ$11:AJ29,AJ29)-1)))</f>
        <v>19</v>
      </c>
      <c r="AL29" s="52">
        <f t="shared" si="19"/>
        <v>19</v>
      </c>
      <c r="AM29" s="31" t="str">
        <f t="shared" si="24"/>
        <v>Derby</v>
      </c>
      <c r="AN29" s="31">
        <f t="shared" si="9"/>
        <v>0.44388570464861532</v>
      </c>
      <c r="AP29" s="61" t="str">
        <f>IF(L29="","",VLOOKUP($L29,classifications!$C:$E,3,FALSE))</f>
        <v>East Midlands</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0.28440110926869172</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0.5002392463546862</v>
      </c>
      <c r="G30" s="105"/>
      <c r="H30" s="60" t="str">
        <f t="shared" si="2"/>
        <v/>
      </c>
      <c r="I30" s="112" t="str">
        <f>IF(H30="","",IF($I$8="A",(RANK(H30,H$11:H$363,1)+COUNTIF(H$11:H30,H30)-1),(RANK(H30,H$11:H$363)+COUNTIF(H$11:H30,H30)-1)))</f>
        <v/>
      </c>
      <c r="J30" s="58"/>
      <c r="K30" s="51">
        <f t="shared" si="13"/>
        <v>20</v>
      </c>
      <c r="L30" s="59" t="str">
        <f t="shared" si="14"/>
        <v>Wiltshire</v>
      </c>
      <c r="M30" s="153">
        <f t="shared" si="20"/>
        <v>0.43958887993231832</v>
      </c>
      <c r="N30" s="148">
        <f t="shared" si="21"/>
        <v>43.958887993231833</v>
      </c>
      <c r="O30" s="131" t="str">
        <f t="shared" si="3"/>
        <v/>
      </c>
      <c r="P30" s="131">
        <f t="shared" si="15"/>
        <v>43.958887993231833</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Rural-50</v>
      </c>
      <c r="Y30" s="49">
        <f t="shared" si="6"/>
        <v>0.43958887993231832</v>
      </c>
      <c r="Z30" s="57">
        <f>IF(Y30="","",IF(I$8="A",(RANK(Y30,Y$11:Y$363,1)+COUNTIF(Y$11:Y30,Y30)-1),(RANK(Y30,Y$11:Y$363)+COUNTIF(Y$11:Y30,Y30)-1)))</f>
        <v>11</v>
      </c>
      <c r="AA30" s="245" t="str">
        <f>IF(L30="","",VLOOKUP($L30,classifications!C:I,7,FALSE))</f>
        <v>Predominantly Rural</v>
      </c>
      <c r="AB30" s="239">
        <f t="shared" si="7"/>
        <v>0.43958887993231832</v>
      </c>
      <c r="AC30" s="239">
        <f>IF(AB30="","",IF($I$8="A",(RANK(AB30,AB$11:AB$363)+COUNTIF(AB$11:AB30,AB30)-1),(RANK(AB30,AB$11:AB$363,1)+COUNTIF(AB$11:AB30,AB30)-1)))</f>
        <v>8</v>
      </c>
      <c r="AD30" s="239"/>
      <c r="AE30" s="51"/>
      <c r="AF30" s="6"/>
      <c r="AG30" s="143"/>
      <c r="AH30" s="52"/>
      <c r="AI30" s="61" t="str">
        <f>IF(L30="","",VLOOKUP($L30,classifications!$C:$J,8,FALSE))</f>
        <v>Unitary</v>
      </c>
      <c r="AJ30" s="62">
        <f t="shared" si="0"/>
        <v>0.43958887993231832</v>
      </c>
      <c r="AK30" s="57">
        <f>IF(AJ30="","",IF(I$8="A",(RANK(AJ30,AJ$11:AJ$363,1)+COUNTIF(AJ$11:AJ30,AJ30)-1),(RANK(AJ30,AJ$11:AJ$363)+COUNTIF(AJ$11:AJ30,AJ30)-1)))</f>
        <v>20</v>
      </c>
      <c r="AL30" s="52">
        <f t="shared" si="19"/>
        <v>20</v>
      </c>
      <c r="AM30" s="31" t="str">
        <f t="shared" si="24"/>
        <v>Wiltshire</v>
      </c>
      <c r="AN30" s="31">
        <f t="shared" si="9"/>
        <v>0.43958887993231832</v>
      </c>
      <c r="AP30" s="61" t="str">
        <f>IF(L30="","",VLOOKUP($L30,classifications!$C:$E,3,FALSE))</f>
        <v>South West</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0.5002392463546862</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1"/>
        <v>0.40714963774323126</v>
      </c>
      <c r="G31" s="105"/>
      <c r="H31" s="60">
        <f t="shared" si="2"/>
        <v>0.40714963774323126</v>
      </c>
      <c r="I31" s="112">
        <f>IF(H31="","",IF($I$8="A",(RANK(H31,H$11:H$363,1)+COUNTIF(H$11:H31,H31)-1),(RANK(H31,H$11:H$363)+COUNTIF(H$11:H31,H31)-1)))</f>
        <v>30</v>
      </c>
      <c r="J31" s="58"/>
      <c r="K31" s="51">
        <f t="shared" si="13"/>
        <v>21</v>
      </c>
      <c r="L31" s="59" t="str">
        <f t="shared" si="14"/>
        <v>Durham</v>
      </c>
      <c r="M31" s="153">
        <f t="shared" si="20"/>
        <v>0.43897448266216715</v>
      </c>
      <c r="N31" s="148">
        <f t="shared" si="21"/>
        <v>43.897448266216713</v>
      </c>
      <c r="O31" s="131" t="str">
        <f t="shared" si="3"/>
        <v/>
      </c>
      <c r="P31" s="131">
        <f t="shared" si="15"/>
        <v>43.897448266216713</v>
      </c>
      <c r="Q31" s="131" t="str">
        <f t="shared" si="16"/>
        <v/>
      </c>
      <c r="R31" s="127" t="str">
        <f t="shared" si="17"/>
        <v/>
      </c>
      <c r="S31" s="60" t="str">
        <f t="shared" si="4"/>
        <v/>
      </c>
      <c r="T31" s="231" t="str">
        <f>IF(L31="","",VLOOKUP(L31,classifications!C:K,9,FALSE))</f>
        <v>Sparse</v>
      </c>
      <c r="U31" s="238">
        <f t="shared" si="5"/>
        <v>0.43897448266216715</v>
      </c>
      <c r="V31" s="239">
        <f>IF(U31="","",IF($I$8="A",(RANK(U31,U$11:U$363)+COUNTIF(U$11:U31,U31)-1),(RANK(U31,U$11:U$363,1)+COUNTIF(U$11:U31,U31)-1)))</f>
        <v>5</v>
      </c>
      <c r="W31" s="240"/>
      <c r="X31" s="61" t="str">
        <f>IF(L31="","",VLOOKUP($L31,classifications!$C:$J,6,FALSE))</f>
        <v>Rural-50</v>
      </c>
      <c r="Y31" s="49">
        <f t="shared" si="6"/>
        <v>0.43897448266216715</v>
      </c>
      <c r="Z31" s="57">
        <f>IF(Y31="","",IF(I$8="A",(RANK(Y31,Y$11:Y$363,1)+COUNTIF(Y$11:Y31,Y31)-1),(RANK(Y31,Y$11:Y$363)+COUNTIF(Y$11:Y31,Y31)-1)))</f>
        <v>12</v>
      </c>
      <c r="AA31" s="245" t="str">
        <f>IF(L31="","",VLOOKUP($L31,classifications!C:I,7,FALSE))</f>
        <v>Predominantly Rural</v>
      </c>
      <c r="AB31" s="239">
        <f t="shared" si="7"/>
        <v>0.43897448266216715</v>
      </c>
      <c r="AC31" s="239">
        <f>IF(AB31="","",IF($I$8="A",(RANK(AB31,AB$11:AB$363)+COUNTIF(AB$11:AB31,AB31)-1),(RANK(AB31,AB$11:AB$363,1)+COUNTIF(AB$11:AB31,AB31)-1)))</f>
        <v>7</v>
      </c>
      <c r="AD31" s="239"/>
      <c r="AE31" s="51"/>
      <c r="AF31" s="6"/>
      <c r="AG31" s="143"/>
      <c r="AH31" s="52"/>
      <c r="AI31" s="61" t="str">
        <f>IF(L31="","",VLOOKUP($L31,classifications!$C:$J,8,FALSE))</f>
        <v>Unitary</v>
      </c>
      <c r="AJ31" s="62">
        <f t="shared" si="0"/>
        <v>0.43897448266216715</v>
      </c>
      <c r="AK31" s="57">
        <f>IF(AJ31="","",IF(I$8="A",(RANK(AJ31,AJ$11:AJ$363,1)+COUNTIF(AJ$11:AJ31,AJ31)-1),(RANK(AJ31,AJ$11:AJ$363)+COUNTIF(AJ$11:AJ31,AJ31)-1)))</f>
        <v>21</v>
      </c>
      <c r="AL31" s="52">
        <f t="shared" si="19"/>
        <v>21</v>
      </c>
      <c r="AM31" s="31" t="str">
        <f t="shared" si="24"/>
        <v>Durham</v>
      </c>
      <c r="AN31" s="31">
        <f t="shared" si="9"/>
        <v>0.43897448266216715</v>
      </c>
      <c r="AP31" s="61" t="str">
        <f>IF(L31="","",VLOOKUP($L31,classifications!$C:$E,3,FALSE))</f>
        <v>NE</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0.40714963774323126</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0.40710630466772213</v>
      </c>
      <c r="G32" s="105"/>
      <c r="H32" s="60">
        <f t="shared" si="2"/>
        <v>0.40710630466772213</v>
      </c>
      <c r="I32" s="112">
        <f>IF(H32="","",IF($I$8="A",(RANK(H32,H$11:H$363,1)+COUNTIF(H$11:H32,H32)-1),(RANK(H32,H$11:H$363)+COUNTIF(H$11:H32,H32)-1)))</f>
        <v>31</v>
      </c>
      <c r="J32" s="58"/>
      <c r="K32" s="51">
        <f t="shared" si="13"/>
        <v>22</v>
      </c>
      <c r="L32" s="59" t="str">
        <f t="shared" si="14"/>
        <v>Windsor &amp; Maidenhead</v>
      </c>
      <c r="M32" s="153">
        <f t="shared" si="20"/>
        <v>0.43739871441453498</v>
      </c>
      <c r="N32" s="148">
        <f t="shared" si="21"/>
        <v>43.739871441453495</v>
      </c>
      <c r="O32" s="131" t="str">
        <f t="shared" si="3"/>
        <v/>
      </c>
      <c r="P32" s="131">
        <f t="shared" si="15"/>
        <v>43.739871441453495</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Other Urban</v>
      </c>
      <c r="Y32" s="49" t="str">
        <f t="shared" si="6"/>
        <v/>
      </c>
      <c r="Z32" s="57" t="str">
        <f>IF(Y32="","",IF(I$8="A",(RANK(Y32,Y$11:Y$363,1)+COUNTIF(Y$11:Y32,Y32)-1),(RANK(Y32,Y$11:Y$363)+COUNTIF(Y$11:Y32,Y32)-1)))</f>
        <v/>
      </c>
      <c r="AA32" s="245" t="str">
        <f>IF(L32="","",VLOOKUP($L32,classifications!C:I,7,FALSE))</f>
        <v>Predominantly Urban</v>
      </c>
      <c r="AB32" s="239" t="str">
        <f t="shared" si="7"/>
        <v/>
      </c>
      <c r="AC32" s="239" t="str">
        <f>IF(AB32="","",IF($I$8="A",(RANK(AB32,AB$11:AB$363)+COUNTIF(AB$11:AB32,AB32)-1),(RANK(AB32,AB$11:AB$363,1)+COUNTIF(AB$11:AB32,AB32)-1)))</f>
        <v/>
      </c>
      <c r="AD32" s="239"/>
      <c r="AE32" s="51"/>
      <c r="AG32" s="143"/>
      <c r="AH32" s="52"/>
      <c r="AI32" s="61" t="str">
        <f>IF(L32="","",VLOOKUP($L32,classifications!$C:$J,8,FALSE))</f>
        <v>Unitary</v>
      </c>
      <c r="AJ32" s="62">
        <f t="shared" si="0"/>
        <v>0.43739871441453498</v>
      </c>
      <c r="AK32" s="57">
        <f>IF(AJ32="","",IF(I$8="A",(RANK(AJ32,AJ$11:AJ$363,1)+COUNTIF(AJ$11:AJ32,AJ32)-1),(RANK(AJ32,AJ$11:AJ$363)+COUNTIF(AJ$11:AJ32,AJ32)-1)))</f>
        <v>22</v>
      </c>
      <c r="AL32" s="52">
        <f t="shared" si="19"/>
        <v>22</v>
      </c>
      <c r="AM32" s="31" t="str">
        <f t="shared" si="24"/>
        <v>Windsor &amp; Maidenhead</v>
      </c>
      <c r="AN32" s="31">
        <f t="shared" si="9"/>
        <v>0.43739871441453498</v>
      </c>
      <c r="AP32" s="61" t="str">
        <f>IF(L32="","",VLOOKUP($L32,classifications!$C:$E,3,FALSE))</f>
        <v>South East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0.40710630466772213</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0.40682888126483935</v>
      </c>
      <c r="G33" s="105"/>
      <c r="H33" s="60" t="str">
        <f t="shared" si="2"/>
        <v/>
      </c>
      <c r="I33" s="112" t="str">
        <f>IF(H33="","",IF($I$8="A",(RANK(H33,H$11:H$363,1)+COUNTIF(H$11:H33,H33)-1),(RANK(H33,H$11:H$363)+COUNTIF(H$11:H33,H33)-1)))</f>
        <v/>
      </c>
      <c r="J33" s="58"/>
      <c r="K33" s="51">
        <f t="shared" si="13"/>
        <v>23</v>
      </c>
      <c r="L33" s="59" t="str">
        <f t="shared" si="14"/>
        <v>North Lincolnshire</v>
      </c>
      <c r="M33" s="153">
        <f t="shared" si="20"/>
        <v>0.43723004569511154</v>
      </c>
      <c r="N33" s="148">
        <f t="shared" si="21"/>
        <v>43.723004569511154</v>
      </c>
      <c r="O33" s="131" t="str">
        <f t="shared" si="3"/>
        <v/>
      </c>
      <c r="P33" s="131">
        <f t="shared" si="15"/>
        <v>43.723004569511154</v>
      </c>
      <c r="Q33" s="131" t="str">
        <f t="shared" si="16"/>
        <v/>
      </c>
      <c r="R33" s="127" t="str">
        <f t="shared" si="17"/>
        <v/>
      </c>
      <c r="S33" s="60" t="str">
        <f t="shared" si="4"/>
        <v/>
      </c>
      <c r="T33" s="231" t="str">
        <f>IF(L33="","",VLOOKUP(L33,classifications!C:K,9,FALSE))</f>
        <v>Sparse</v>
      </c>
      <c r="U33" s="238">
        <f t="shared" si="5"/>
        <v>0.43723004569511154</v>
      </c>
      <c r="V33" s="239">
        <f>IF(U33="","",IF($I$8="A",(RANK(U33,U$11:U$363)+COUNTIF(U$11:U33,U33)-1),(RANK(U33,U$11:U$363,1)+COUNTIF(U$11:U33,U33)-1)))</f>
        <v>4</v>
      </c>
      <c r="W33" s="240"/>
      <c r="X33" s="61" t="str">
        <f>IF(L33="","",VLOOKUP($L33,classifications!$C:$J,6,FALSE))</f>
        <v>Rural-50</v>
      </c>
      <c r="Y33" s="49">
        <f t="shared" si="6"/>
        <v>0.43723004569511154</v>
      </c>
      <c r="Z33" s="57">
        <f>IF(Y33="","",IF(I$8="A",(RANK(Y33,Y$11:Y$363,1)+COUNTIF(Y$11:Y33,Y33)-1),(RANK(Y33,Y$11:Y$363)+COUNTIF(Y$11:Y33,Y33)-1)))</f>
        <v>13</v>
      </c>
      <c r="AA33" s="245" t="str">
        <f>IF(L33="","",VLOOKUP($L33,classifications!C:I,7,FALSE))</f>
        <v>Predominantly Rural</v>
      </c>
      <c r="AB33" s="239">
        <f t="shared" si="7"/>
        <v>0.43723004569511154</v>
      </c>
      <c r="AC33" s="239">
        <f>IF(AB33="","",IF($I$8="A",(RANK(AB33,AB$11:AB$363)+COUNTIF(AB$11:AB33,AB33)-1),(RANK(AB33,AB$11:AB$363,1)+COUNTIF(AB$11:AB33,AB33)-1)))</f>
        <v>6</v>
      </c>
      <c r="AD33" s="239"/>
      <c r="AE33" s="51"/>
      <c r="AG33" s="143"/>
      <c r="AH33" s="52"/>
      <c r="AI33" s="61" t="str">
        <f>IF(L33="","",VLOOKUP($L33,classifications!$C:$J,8,FALSE))</f>
        <v>Unitary</v>
      </c>
      <c r="AJ33" s="62">
        <f t="shared" si="0"/>
        <v>0.43723004569511154</v>
      </c>
      <c r="AK33" s="57">
        <f>IF(AJ33="","",IF(I$8="A",(RANK(AJ33,AJ$11:AJ$363,1)+COUNTIF(AJ$11:AJ33,AJ33)-1),(RANK(AJ33,AJ$11:AJ$363)+COUNTIF(AJ$11:AJ33,AJ33)-1)))</f>
        <v>23</v>
      </c>
      <c r="AL33" s="52">
        <f t="shared" si="19"/>
        <v>23</v>
      </c>
      <c r="AM33" s="31" t="str">
        <f t="shared" si="24"/>
        <v>North Lincolnshire</v>
      </c>
      <c r="AN33" s="31">
        <f t="shared" si="9"/>
        <v>0.43723004569511154</v>
      </c>
      <c r="AP33" s="61" t="str">
        <f>IF(L33="","",VLOOKUP($L33,classifications!$C:$E,3,FALSE))</f>
        <v>Yorkshire &amp; Humberside</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0.40682888126483935</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0.35414701583255315</v>
      </c>
      <c r="G34" s="105"/>
      <c r="H34" s="60" t="str">
        <f t="shared" si="2"/>
        <v/>
      </c>
      <c r="I34" s="112" t="str">
        <f>IF(H34="","",IF($I$8="A",(RANK(H34,H$11:H$363,1)+COUNTIF(H$11:H34,H34)-1),(RANK(H34,H$11:H$363)+COUNTIF(H$11:H34,H34)-1)))</f>
        <v/>
      </c>
      <c r="J34" s="58"/>
      <c r="K34" s="51">
        <f t="shared" si="13"/>
        <v>24</v>
      </c>
      <c r="L34" s="59" t="str">
        <f t="shared" si="14"/>
        <v>Telford &amp; Wrekin</v>
      </c>
      <c r="M34" s="153">
        <f t="shared" si="20"/>
        <v>0.43662612434028858</v>
      </c>
      <c r="N34" s="148">
        <f t="shared" si="21"/>
        <v>43.662612434028858</v>
      </c>
      <c r="O34" s="131" t="str">
        <f t="shared" si="3"/>
        <v/>
      </c>
      <c r="P34" s="131">
        <f t="shared" si="15"/>
        <v>43.662612434028858</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Other Urban</v>
      </c>
      <c r="Y34" s="49" t="str">
        <f t="shared" si="6"/>
        <v/>
      </c>
      <c r="Z34" s="57" t="str">
        <f>IF(Y34="","",IF(I$8="A",(RANK(Y34,Y$11:Y$363,1)+COUNTIF(Y$11:Y34,Y34)-1),(RANK(Y34,Y$11:Y$363)+COUNTIF(Y$11:Y34,Y34)-1)))</f>
        <v/>
      </c>
      <c r="AA34" s="245" t="str">
        <f>IF(L34="","",VLOOKUP($L34,classifications!C:I,7,FALSE))</f>
        <v>Predominantly Urban</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0.43662612434028858</v>
      </c>
      <c r="AK34" s="57">
        <f>IF(AJ34="","",IF(I$8="A",(RANK(AJ34,AJ$11:AJ$363,1)+COUNTIF(AJ$11:AJ34,AJ34)-1),(RANK(AJ34,AJ$11:AJ$363)+COUNTIF(AJ$11:AJ34,AJ34)-1)))</f>
        <v>24</v>
      </c>
      <c r="AL34" s="52">
        <f t="shared" si="19"/>
        <v>24</v>
      </c>
      <c r="AM34" s="31" t="str">
        <f t="shared" si="24"/>
        <v>Telford &amp; Wrekin</v>
      </c>
      <c r="AN34" s="31">
        <f t="shared" si="9"/>
        <v>0.43662612434028858</v>
      </c>
      <c r="AP34" s="61" t="str">
        <f>IF(L34="","",VLOOKUP($L34,classifications!$C:$E,3,FALSE))</f>
        <v>West Midlands</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0.35414701583255315</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0.40951715736173472</v>
      </c>
      <c r="G35" s="105"/>
      <c r="H35" s="60" t="str">
        <f t="shared" si="2"/>
        <v/>
      </c>
      <c r="I35" s="112" t="str">
        <f>IF(H35="","",IF($I$8="A",(RANK(H35,H$11:H$363,1)+COUNTIF(H$11:H35,H35)-1),(RANK(H35,H$11:H$363)+COUNTIF(H$11:H35,H35)-1)))</f>
        <v/>
      </c>
      <c r="J35" s="58"/>
      <c r="K35" s="51">
        <f t="shared" si="13"/>
        <v>25</v>
      </c>
      <c r="L35" s="59" t="str">
        <f t="shared" si="14"/>
        <v>Redcar &amp; Cleveland</v>
      </c>
      <c r="M35" s="153">
        <f t="shared" si="20"/>
        <v>0.4350464243995889</v>
      </c>
      <c r="N35" s="148">
        <f t="shared" si="21"/>
        <v>43.504642439958893</v>
      </c>
      <c r="O35" s="131" t="str">
        <f t="shared" si="3"/>
        <v/>
      </c>
      <c r="P35" s="131">
        <f t="shared" si="15"/>
        <v>43.504642439958893</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Significant Rural</v>
      </c>
      <c r="Y35" s="49">
        <f t="shared" si="6"/>
        <v>0.4350464243995889</v>
      </c>
      <c r="Z35" s="57">
        <f>IF(Y35="","",IF(I$8="A",(RANK(Y35,Y$11:Y$363,1)+COUNTIF(Y$11:Y35,Y35)-1),(RANK(Y35,Y$11:Y$363)+COUNTIF(Y$11:Y35,Y35)-1)))</f>
        <v>14</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0"/>
        <v>0.4350464243995889</v>
      </c>
      <c r="AK35" s="57">
        <f>IF(AJ35="","",IF(I$8="A",(RANK(AJ35,AJ$11:AJ$363,1)+COUNTIF(AJ$11:AJ35,AJ35)-1),(RANK(AJ35,AJ$11:AJ$363)+COUNTIF(AJ$11:AJ35,AJ35)-1)))</f>
        <v>25</v>
      </c>
      <c r="AL35" s="52">
        <f t="shared" si="19"/>
        <v>25</v>
      </c>
      <c r="AM35" s="31" t="str">
        <f t="shared" si="24"/>
        <v>Redcar &amp; Cleveland</v>
      </c>
      <c r="AN35" s="31">
        <f t="shared" si="9"/>
        <v>0.4350464243995889</v>
      </c>
      <c r="AP35" s="61" t="str">
        <f>IF(L35="","",VLOOKUP($L35,classifications!$C:$E,3,FALSE))</f>
        <v>NE</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0.40951715736173472</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0.4656414118108585</v>
      </c>
      <c r="G36" s="105"/>
      <c r="H36" s="60">
        <f t="shared" si="2"/>
        <v>0.4656414118108585</v>
      </c>
      <c r="I36" s="112">
        <f>IF(H36="","",IF($I$8="A",(RANK(H36,H$11:H$363,1)+COUNTIF(H$11:H36,H36)-1),(RANK(H36,H$11:H$363)+COUNTIF(H$11:H36,H36)-1)))</f>
        <v>17</v>
      </c>
      <c r="J36" s="58"/>
      <c r="K36" s="51">
        <f t="shared" si="13"/>
        <v>26</v>
      </c>
      <c r="L36" s="59" t="str">
        <f t="shared" si="14"/>
        <v>Swindon</v>
      </c>
      <c r="M36" s="153">
        <f t="shared" si="20"/>
        <v>0.43091243032436694</v>
      </c>
      <c r="N36" s="148">
        <f t="shared" si="21"/>
        <v>43.091243032436694</v>
      </c>
      <c r="O36" s="131" t="str">
        <f t="shared" si="3"/>
        <v/>
      </c>
      <c r="P36" s="131">
        <f t="shared" si="15"/>
        <v>43.091243032436694</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Other Urban</v>
      </c>
      <c r="Y36" s="49" t="str">
        <f t="shared" si="6"/>
        <v/>
      </c>
      <c r="Z36" s="57" t="str">
        <f>IF(Y36="","",IF(I$8="A",(RANK(Y36,Y$11:Y$363,1)+COUNTIF(Y$11:Y36,Y36)-1),(RANK(Y36,Y$11:Y$363)+COUNTIF(Y$11:Y36,Y36)-1)))</f>
        <v/>
      </c>
      <c r="AA36" s="245" t="str">
        <f>IF(L36="","",VLOOKUP($L36,classifications!C:I,7,FALSE))</f>
        <v>Predominantly Urban</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Unitary</v>
      </c>
      <c r="AJ36" s="62">
        <f t="shared" si="0"/>
        <v>0.43091243032436694</v>
      </c>
      <c r="AK36" s="57">
        <f>IF(AJ36="","",IF(I$8="A",(RANK(AJ36,AJ$11:AJ$363,1)+COUNTIF(AJ$11:AJ36,AJ36)-1),(RANK(AJ36,AJ$11:AJ$363)+COUNTIF(AJ$11:AJ36,AJ36)-1)))</f>
        <v>26</v>
      </c>
      <c r="AL36" s="52">
        <f t="shared" si="19"/>
        <v>26</v>
      </c>
      <c r="AM36" s="31" t="str">
        <f t="shared" si="24"/>
        <v>Swindon</v>
      </c>
      <c r="AN36" s="31">
        <f t="shared" si="9"/>
        <v>0.43091243032436694</v>
      </c>
      <c r="AP36" s="61" t="str">
        <f>IF(L36="","",VLOOKUP($L36,classifications!$C:$E,3,FALSE))</f>
        <v>South West</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0.4656414118108585</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0.36451020910806387</v>
      </c>
      <c r="G37" s="105"/>
      <c r="H37" s="60">
        <f t="shared" si="2"/>
        <v>0.36451020910806387</v>
      </c>
      <c r="I37" s="112">
        <f>IF(H37="","",IF($I$8="A",(RANK(H37,H$11:H$363,1)+COUNTIF(H$11:H37,H37)-1),(RANK(H37,H$11:H$363)+COUNTIF(H$11:H37,H37)-1)))</f>
        <v>41</v>
      </c>
      <c r="J37" s="58"/>
      <c r="K37" s="51">
        <f t="shared" si="13"/>
        <v>27</v>
      </c>
      <c r="L37" s="59" t="str">
        <f t="shared" si="14"/>
        <v>Torbay</v>
      </c>
      <c r="M37" s="153">
        <f t="shared" si="20"/>
        <v>0.42728650875045149</v>
      </c>
      <c r="N37" s="148">
        <f t="shared" si="21"/>
        <v>42.728650875045147</v>
      </c>
      <c r="O37" s="131" t="str">
        <f t="shared" si="3"/>
        <v/>
      </c>
      <c r="P37" s="131">
        <f t="shared" si="15"/>
        <v>42.728650875045147</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Other Urban</v>
      </c>
      <c r="Y37" s="49" t="str">
        <f t="shared" si="6"/>
        <v/>
      </c>
      <c r="Z37" s="57" t="str">
        <f>IF(Y37="","",IF(I$8="A",(RANK(Y37,Y$11:Y$363,1)+COUNTIF(Y$11:Y37,Y37)-1),(RANK(Y37,Y$11:Y$363)+COUNTIF(Y$11:Y37,Y37)-1)))</f>
        <v/>
      </c>
      <c r="AA37" s="245" t="str">
        <f>IF(L37="","",VLOOKUP($L37,classifications!C:I,7,FALSE))</f>
        <v>Predominantly Urban</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Unitary</v>
      </c>
      <c r="AJ37" s="62">
        <f t="shared" si="0"/>
        <v>0.42728650875045149</v>
      </c>
      <c r="AK37" s="57">
        <f>IF(AJ37="","",IF(I$8="A",(RANK(AJ37,AJ$11:AJ$363,1)+COUNTIF(AJ$11:AJ37,AJ37)-1),(RANK(AJ37,AJ$11:AJ$363)+COUNTIF(AJ$11:AJ37,AJ37)-1)))</f>
        <v>27</v>
      </c>
      <c r="AL37" s="52">
        <f t="shared" si="19"/>
        <v>27</v>
      </c>
      <c r="AM37" s="31" t="str">
        <f t="shared" si="24"/>
        <v>Torbay</v>
      </c>
      <c r="AN37" s="31">
        <f t="shared" si="9"/>
        <v>0.42728650875045149</v>
      </c>
      <c r="AP37" s="61" t="str">
        <f>IF(L37="","",VLOOKUP($L37,classifications!$C:$E,3,FALSE))</f>
        <v>South West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0.36451020910806387</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0.51457834598399477</v>
      </c>
      <c r="G38" s="105"/>
      <c r="H38" s="60" t="str">
        <f t="shared" si="2"/>
        <v/>
      </c>
      <c r="I38" s="112" t="str">
        <f>IF(H38="","",IF($I$8="A",(RANK(H38,H$11:H$363,1)+COUNTIF(H$11:H38,H38)-1),(RANK(H38,H$11:H$363)+COUNTIF(H$11:H38,H38)-1)))</f>
        <v/>
      </c>
      <c r="J38" s="58"/>
      <c r="K38" s="51">
        <f t="shared" si="13"/>
        <v>28</v>
      </c>
      <c r="L38" s="59" t="str">
        <f t="shared" si="14"/>
        <v>Leicester</v>
      </c>
      <c r="M38" s="153">
        <f t="shared" si="20"/>
        <v>0.42652607844631535</v>
      </c>
      <c r="N38" s="148">
        <f t="shared" si="21"/>
        <v>42.652607844631532</v>
      </c>
      <c r="O38" s="131" t="str">
        <f t="shared" si="3"/>
        <v/>
      </c>
      <c r="P38" s="131">
        <f t="shared" si="15"/>
        <v>42.652607844631532</v>
      </c>
      <c r="Q38" s="131" t="str">
        <f t="shared" si="16"/>
        <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Large Urban</v>
      </c>
      <c r="Y38" s="49" t="str">
        <f t="shared" si="6"/>
        <v/>
      </c>
      <c r="Z38" s="57" t="str">
        <f>IF(Y38="","",IF(I$8="A",(RANK(Y38,Y$11:Y$363,1)+COUNTIF(Y$11:Y38,Y38)-1),(RANK(Y38,Y$11:Y$363)+COUNTIF(Y$11:Y38,Y38)-1)))</f>
        <v/>
      </c>
      <c r="AA38" s="245" t="str">
        <f>IF(L38="","",VLOOKUP($L38,classifications!C:I,7,FALSE))</f>
        <v>Predominantly Urban</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0"/>
        <v>0.42652607844631535</v>
      </c>
      <c r="AK38" s="57">
        <f>IF(AJ38="","",IF(I$8="A",(RANK(AJ38,AJ$11:AJ$363,1)+COUNTIF(AJ$11:AJ38,AJ38)-1),(RANK(AJ38,AJ$11:AJ$363)+COUNTIF(AJ$11:AJ38,AJ38)-1)))</f>
        <v>28</v>
      </c>
      <c r="AL38" s="52">
        <f t="shared" si="19"/>
        <v>28</v>
      </c>
      <c r="AM38" s="31" t="str">
        <f t="shared" si="24"/>
        <v>Leicester</v>
      </c>
      <c r="AN38" s="31">
        <f t="shared" si="9"/>
        <v>0.42652607844631535</v>
      </c>
      <c r="AP38" s="61" t="str">
        <f>IF(L38="","",VLOOKUP($L38,classifications!$C:$E,3,FALSE))</f>
        <v>East Midlands</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0.51457834598399477</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0.55868363690593636</v>
      </c>
      <c r="G39" s="105"/>
      <c r="H39" s="60" t="str">
        <f t="shared" si="2"/>
        <v/>
      </c>
      <c r="I39" s="112" t="str">
        <f>IF(H39="","",IF($I$8="A",(RANK(H39,H$11:H$363,1)+COUNTIF(H$11:H39,H39)-1),(RANK(H39,H$11:H$363)+COUNTIF(H$11:H39,H39)-1)))</f>
        <v/>
      </c>
      <c r="J39" s="58"/>
      <c r="K39" s="51">
        <f t="shared" si="13"/>
        <v>29</v>
      </c>
      <c r="L39" s="59" t="str">
        <f t="shared" si="14"/>
        <v>Bristol</v>
      </c>
      <c r="M39" s="153">
        <f t="shared" si="20"/>
        <v>0.42011444984246465</v>
      </c>
      <c r="N39" s="148">
        <f t="shared" si="21"/>
        <v>42.011444984246467</v>
      </c>
      <c r="O39" s="131" t="str">
        <f t="shared" si="3"/>
        <v/>
      </c>
      <c r="P39" s="131" t="str">
        <f t="shared" si="15"/>
        <v/>
      </c>
      <c r="Q39" s="131">
        <f t="shared" si="16"/>
        <v>42.011444984246467</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Large Urban</v>
      </c>
      <c r="Y39" s="49" t="str">
        <f t="shared" si="6"/>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0"/>
        <v>0.42011444984246465</v>
      </c>
      <c r="AK39" s="57">
        <f>IF(AJ39="","",IF(I$8="A",(RANK(AJ39,AJ$11:AJ$363,1)+COUNTIF(AJ$11:AJ39,AJ39)-1),(RANK(AJ39,AJ$11:AJ$363)+COUNTIF(AJ$11:AJ39,AJ39)-1)))</f>
        <v>29</v>
      </c>
      <c r="AL39" s="52">
        <f t="shared" si="19"/>
        <v>29</v>
      </c>
      <c r="AM39" s="31" t="str">
        <f t="shared" si="24"/>
        <v>Bristol</v>
      </c>
      <c r="AN39" s="31">
        <f t="shared" si="9"/>
        <v>0.42011444984246465</v>
      </c>
      <c r="AP39" s="61" t="str">
        <f>IF(L39="","",VLOOKUP($L39,classifications!$C:$E,3,FALSE))</f>
        <v>South West</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0.55868363690593636</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0.3630350603404835</v>
      </c>
      <c r="G40" s="105"/>
      <c r="H40" s="60" t="str">
        <f t="shared" si="2"/>
        <v/>
      </c>
      <c r="I40" s="112" t="str">
        <f>IF(H40="","",IF($I$8="A",(RANK(H40,H$11:H$363,1)+COUNTIF(H$11:H40,H40)-1),(RANK(H40,H$11:H$363)+COUNTIF(H$11:H40,H40)-1)))</f>
        <v/>
      </c>
      <c r="J40" s="58"/>
      <c r="K40" s="51">
        <f t="shared" si="13"/>
        <v>30</v>
      </c>
      <c r="L40" s="59" t="str">
        <f t="shared" si="14"/>
        <v>Blackburn with Darwen</v>
      </c>
      <c r="M40" s="153">
        <f t="shared" si="20"/>
        <v>0.40714963774323126</v>
      </c>
      <c r="N40" s="148">
        <f t="shared" si="21"/>
        <v>40.714963774323124</v>
      </c>
      <c r="O40" s="131" t="str">
        <f t="shared" si="3"/>
        <v/>
      </c>
      <c r="P40" s="131" t="str">
        <f t="shared" si="15"/>
        <v/>
      </c>
      <c r="Q40" s="131">
        <f t="shared" si="16"/>
        <v>40.714963774323124</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Other Urban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0"/>
        <v>0.40714963774323126</v>
      </c>
      <c r="AK40" s="57">
        <f>IF(AJ40="","",IF(I$8="A",(RANK(AJ40,AJ$11:AJ$363,1)+COUNTIF(AJ$11:AJ40,AJ40)-1),(RANK(AJ40,AJ$11:AJ$363)+COUNTIF(AJ$11:AJ40,AJ40)-1)))</f>
        <v>30</v>
      </c>
      <c r="AL40" s="52">
        <f t="shared" si="19"/>
        <v>30</v>
      </c>
      <c r="AM40" s="31" t="str">
        <f t="shared" si="24"/>
        <v>Blackburn with Darwen</v>
      </c>
      <c r="AN40" s="31">
        <f t="shared" si="9"/>
        <v>0.40714963774323126</v>
      </c>
      <c r="AP40" s="61" t="str">
        <f>IF(L40="","",VLOOKUP($L40,classifications!$C:$E,3,FALSE))</f>
        <v>North West</v>
      </c>
      <c r="AQ40" s="62">
        <f t="shared" si="10"/>
        <v>0.40714963774323126</v>
      </c>
      <c r="AR40" s="57">
        <f>IF(AQ40="","",IF(I$8="A",(RANK(AQ40,AQ$11:AQ$363,1)+COUNTIF(AQ$11:AQ40,AQ40)-1),(RANK(AQ40,AQ$11:AQ$363)+COUNTIF(AQ$11:AQ40,AQ40)-1)))</f>
        <v>4</v>
      </c>
      <c r="AS40" s="52" t="str">
        <f t="shared" si="23"/>
        <v/>
      </c>
      <c r="AT40" s="57" t="str">
        <f t="shared" si="11"/>
        <v/>
      </c>
      <c r="AU40" s="62" t="str">
        <f t="shared" si="12"/>
        <v/>
      </c>
      <c r="AX40" s="44">
        <f>HLOOKUP($AX$9&amp;$AX$10,Data!$A$1:$ZZ$2000,(MATCH($C40,Data!$A$1:$A$2000,0)),FALSE)</f>
        <v>0.3630350603404835</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0.40635520149002652</v>
      </c>
      <c r="G41" s="105"/>
      <c r="H41" s="60" t="str">
        <f t="shared" si="2"/>
        <v/>
      </c>
      <c r="I41" s="112" t="str">
        <f>IF(H41="","",IF($I$8="A",(RANK(H41,H$11:H$363,1)+COUNTIF(H$11:H41,H41)-1),(RANK(H41,H$11:H$363)+COUNTIF(H$11:H41,H41)-1)))</f>
        <v/>
      </c>
      <c r="J41" s="58"/>
      <c r="K41" s="51">
        <f t="shared" si="13"/>
        <v>31</v>
      </c>
      <c r="L41" s="59" t="str">
        <f t="shared" si="14"/>
        <v>Blackpool</v>
      </c>
      <c r="M41" s="153">
        <f t="shared" si="20"/>
        <v>0.40710630466772213</v>
      </c>
      <c r="N41" s="148">
        <f t="shared" si="21"/>
        <v>40.710630466772216</v>
      </c>
      <c r="O41" s="131" t="str">
        <f t="shared" si="3"/>
        <v/>
      </c>
      <c r="P41" s="131" t="str">
        <f t="shared" si="15"/>
        <v/>
      </c>
      <c r="Q41" s="131">
        <f t="shared" si="16"/>
        <v>40.710630466772216</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Large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0"/>
        <v>0.40710630466772213</v>
      </c>
      <c r="AK41" s="57">
        <f>IF(AJ41="","",IF(I$8="A",(RANK(AJ41,AJ$11:AJ$363,1)+COUNTIF(AJ$11:AJ41,AJ41)-1),(RANK(AJ41,AJ$11:AJ$363)+COUNTIF(AJ$11:AJ41,AJ41)-1)))</f>
        <v>31</v>
      </c>
      <c r="AL41" s="52">
        <f t="shared" si="19"/>
        <v>31</v>
      </c>
      <c r="AM41" s="31" t="str">
        <f t="shared" si="24"/>
        <v>Blackpool</v>
      </c>
      <c r="AN41" s="31">
        <f t="shared" si="9"/>
        <v>0.40710630466772213</v>
      </c>
      <c r="AP41" s="61" t="str">
        <f>IF(L41="","",VLOOKUP($L41,classifications!$C:$E,3,FALSE))</f>
        <v>North West</v>
      </c>
      <c r="AQ41" s="62">
        <f t="shared" si="10"/>
        <v>0.40710630466772213</v>
      </c>
      <c r="AR41" s="57">
        <f>IF(AQ41="","",IF(I$8="A",(RANK(AQ41,AQ$11:AQ$363,1)+COUNTIF(AQ$11:AQ41,AQ41)-1),(RANK(AQ41,AQ$11:AQ$363)+COUNTIF(AQ$11:AQ41,AQ41)-1)))</f>
        <v>5</v>
      </c>
      <c r="AS41" s="52" t="str">
        <f t="shared" si="23"/>
        <v/>
      </c>
      <c r="AT41" s="57" t="str">
        <f t="shared" si="11"/>
        <v/>
      </c>
      <c r="AU41" s="62" t="str">
        <f t="shared" si="12"/>
        <v/>
      </c>
      <c r="AX41" s="44">
        <f>HLOOKUP($AX$9&amp;$AX$10,Data!$A$1:$ZZ$2000,(MATCH($C41,Data!$A$1:$A$2000,0)),FALSE)</f>
        <v>0.40635520149002652</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0.49073264391730104</v>
      </c>
      <c r="G42" s="105"/>
      <c r="H42" s="60" t="str">
        <f t="shared" si="2"/>
        <v/>
      </c>
      <c r="I42" s="112" t="str">
        <f>IF(H42="","",IF($I$8="A",(RANK(H42,H$11:H$363,1)+COUNTIF(H$11:H42,H42)-1),(RANK(H42,H$11:H$363)+COUNTIF(H$11:H42,H42)-1)))</f>
        <v/>
      </c>
      <c r="J42" s="58"/>
      <c r="K42" s="51">
        <f t="shared" si="13"/>
        <v>32</v>
      </c>
      <c r="L42" s="59" t="str">
        <f t="shared" si="14"/>
        <v>Medway</v>
      </c>
      <c r="M42" s="153">
        <f t="shared" si="20"/>
        <v>0.4060642540507895</v>
      </c>
      <c r="N42" s="148">
        <f t="shared" si="21"/>
        <v>40.606425405078951</v>
      </c>
      <c r="O42" s="131" t="str">
        <f t="shared" si="3"/>
        <v/>
      </c>
      <c r="P42" s="131" t="str">
        <f t="shared" si="15"/>
        <v/>
      </c>
      <c r="Q42" s="131">
        <f t="shared" si="16"/>
        <v>40.606425405078951</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Other Urban</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0.4060642540507895</v>
      </c>
      <c r="AK42" s="57">
        <f>IF(AJ42="","",IF(I$8="A",(RANK(AJ42,AJ$11:AJ$363,1)+COUNTIF(AJ$11:AJ42,AJ42)-1),(RANK(AJ42,AJ$11:AJ$363)+COUNTIF(AJ$11:AJ42,AJ42)-1)))</f>
        <v>32</v>
      </c>
      <c r="AL42" s="52">
        <f t="shared" si="19"/>
        <v>32</v>
      </c>
      <c r="AM42" s="31" t="str">
        <f t="shared" si="24"/>
        <v>Medway</v>
      </c>
      <c r="AN42" s="31">
        <f t="shared" si="9"/>
        <v>0.4060642540507895</v>
      </c>
      <c r="AP42" s="61" t="str">
        <f>IF(L42="","",VLOOKUP($L42,classifications!$C:$E,3,FALSE))</f>
        <v>South East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0.49073264391730104</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0.25642376295637437</v>
      </c>
      <c r="G43" s="105"/>
      <c r="H43" s="60">
        <f t="shared" si="2"/>
        <v>0.25642376295637437</v>
      </c>
      <c r="I43" s="112">
        <f>IF(H43="","",IF($I$8="A",(RANK(H43,H$11:H$363,1)+COUNTIF(H$11:H43,H43)-1),(RANK(H43,H$11:H$363)+COUNTIF(H$11:H43,H43)-1)))</f>
        <v>52</v>
      </c>
      <c r="J43" s="58"/>
      <c r="K43" s="51">
        <f t="shared" si="13"/>
        <v>33</v>
      </c>
      <c r="L43" s="59" t="str">
        <f t="shared" si="14"/>
        <v>Thurrock</v>
      </c>
      <c r="M43" s="153">
        <f t="shared" si="20"/>
        <v>0.40438589673513053</v>
      </c>
      <c r="N43" s="148">
        <f t="shared" si="21"/>
        <v>40.43858967351305</v>
      </c>
      <c r="O43" s="131" t="str">
        <f t="shared" si="3"/>
        <v/>
      </c>
      <c r="P43" s="131" t="str">
        <f t="shared" si="15"/>
        <v/>
      </c>
      <c r="Q43" s="131">
        <f t="shared" si="16"/>
        <v>40.43858967351305</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Other Urban</v>
      </c>
      <c r="Y43" s="49" t="str">
        <f t="shared" si="6"/>
        <v/>
      </c>
      <c r="Z43" s="57" t="str">
        <f>IF(Y43="","",IF(I$8="A",(RANK(Y43,Y$11:Y$363,1)+COUNTIF(Y$11:Y43,Y43)-1),(RANK(Y43,Y$11:Y$363)+COUNTIF(Y$11:Y43,Y43)-1)))</f>
        <v/>
      </c>
      <c r="AA43" s="245" t="str">
        <f>IF(L43="","",VLOOKUP($L43,classifications!C:I,7,FALSE))</f>
        <v>Predominantly Urban</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0"/>
        <v>0.40438589673513053</v>
      </c>
      <c r="AK43" s="57">
        <f>IF(AJ43="","",IF(I$8="A",(RANK(AJ43,AJ$11:AJ$363,1)+COUNTIF(AJ$11:AJ43,AJ43)-1),(RANK(AJ43,AJ$11:AJ$363)+COUNTIF(AJ$11:AJ43,AJ43)-1)))</f>
        <v>33</v>
      </c>
      <c r="AL43" s="52">
        <f t="shared" si="19"/>
        <v>33</v>
      </c>
      <c r="AM43" s="31" t="str">
        <f t="shared" si="24"/>
        <v>Thurrock</v>
      </c>
      <c r="AN43" s="31">
        <f t="shared" si="9"/>
        <v>0.40438589673513053</v>
      </c>
      <c r="AP43" s="61" t="str">
        <f>IF(L43="","",VLOOKUP($L43,classifications!$C:$E,3,FALSE))</f>
        <v>East of England</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0.25642376295637437</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0.42011444984246465</v>
      </c>
      <c r="G44" s="105"/>
      <c r="H44" s="60">
        <f t="shared" si="2"/>
        <v>0.42011444984246465</v>
      </c>
      <c r="I44" s="112">
        <f>IF(H44="","",IF($I$8="A",(RANK(H44,H$11:H$363,1)+COUNTIF(H$11:H44,H44)-1),(RANK(H44,H$11:H$363)+COUNTIF(H$11:H44,H44)-1)))</f>
        <v>29</v>
      </c>
      <c r="J44" s="58"/>
      <c r="K44" s="51">
        <f t="shared" si="13"/>
        <v>34</v>
      </c>
      <c r="L44" s="59" t="str">
        <f t="shared" si="14"/>
        <v>Hartlepool</v>
      </c>
      <c r="M44" s="153">
        <f t="shared" si="20"/>
        <v>0.4002717350172954</v>
      </c>
      <c r="N44" s="148">
        <f t="shared" si="21"/>
        <v>40.027173501729543</v>
      </c>
      <c r="O44" s="131" t="str">
        <f t="shared" si="3"/>
        <v/>
      </c>
      <c r="P44" s="131" t="str">
        <f t="shared" si="15"/>
        <v/>
      </c>
      <c r="Q44" s="131">
        <f t="shared" si="16"/>
        <v>40.027173501729543</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Other Urban</v>
      </c>
      <c r="Y44" s="49" t="str">
        <f t="shared" si="6"/>
        <v/>
      </c>
      <c r="Z44" s="57" t="str">
        <f>IF(Y44="","",IF(I$8="A",(RANK(Y44,Y$11:Y$363,1)+COUNTIF(Y$11:Y44,Y44)-1),(RANK(Y44,Y$11:Y$363)+COUNTIF(Y$11:Y44,Y44)-1)))</f>
        <v/>
      </c>
      <c r="AA44" s="245" t="str">
        <f>IF(L44="","",VLOOKUP($L44,classifications!C:I,7,FALSE))</f>
        <v>Predominantly Urban</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0"/>
        <v>0.4002717350172954</v>
      </c>
      <c r="AK44" s="57">
        <f>IF(AJ44="","",IF(I$8="A",(RANK(AJ44,AJ$11:AJ$363,1)+COUNTIF(AJ$11:AJ44,AJ44)-1),(RANK(AJ44,AJ$11:AJ$363)+COUNTIF(AJ$11:AJ44,AJ44)-1)))</f>
        <v>34</v>
      </c>
      <c r="AL44" s="52">
        <f t="shared" si="19"/>
        <v>34</v>
      </c>
      <c r="AM44" s="31" t="str">
        <f t="shared" si="24"/>
        <v>Hartlepool</v>
      </c>
      <c r="AN44" s="31">
        <f t="shared" si="9"/>
        <v>0.4002717350172954</v>
      </c>
      <c r="AP44" s="61" t="str">
        <f>IF(L44="","",VLOOKUP($L44,classifications!$C:$E,3,FALSE))</f>
        <v>NE</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0.42011444984246465</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0.43543051811522748</v>
      </c>
      <c r="G45" s="105"/>
      <c r="H45" s="60" t="str">
        <f t="shared" si="2"/>
        <v/>
      </c>
      <c r="I45" s="112" t="str">
        <f>IF(H45="","",IF($I$8="A",(RANK(H45,H$11:H$363,1)+COUNTIF(H$11:H45,H45)-1),(RANK(H45,H$11:H$363)+COUNTIF(H$11:H45,H45)-1)))</f>
        <v/>
      </c>
      <c r="J45" s="58"/>
      <c r="K45" s="51">
        <f t="shared" si="13"/>
        <v>35</v>
      </c>
      <c r="L45" s="59" t="str">
        <f t="shared" si="14"/>
        <v>Wokingham</v>
      </c>
      <c r="M45" s="153">
        <f t="shared" si="20"/>
        <v>0.39589004511820819</v>
      </c>
      <c r="N45" s="148">
        <f t="shared" si="21"/>
        <v>39.589004511820818</v>
      </c>
      <c r="O45" s="131" t="str">
        <f t="shared" si="3"/>
        <v/>
      </c>
      <c r="P45" s="131" t="str">
        <f t="shared" si="15"/>
        <v/>
      </c>
      <c r="Q45" s="131">
        <f t="shared" si="16"/>
        <v>39.589004511820818</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Large Urban</v>
      </c>
      <c r="Y45" s="49" t="str">
        <f t="shared" si="6"/>
        <v/>
      </c>
      <c r="Z45" s="57" t="str">
        <f>IF(Y45="","",IF(I$8="A",(RANK(Y45,Y$11:Y$363,1)+COUNTIF(Y$11:Y45,Y45)-1),(RANK(Y45,Y$11:Y$363)+COUNTIF(Y$11:Y45,Y45)-1)))</f>
        <v/>
      </c>
      <c r="AA45" s="245" t="str">
        <f>IF(L45="","",VLOOKUP($L45,classifications!C:I,7,FALSE))</f>
        <v>Predominantly Urban</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0.39589004511820819</v>
      </c>
      <c r="AK45" s="57">
        <f>IF(AJ45="","",IF(I$8="A",(RANK(AJ45,AJ$11:AJ$363,1)+COUNTIF(AJ$11:AJ45,AJ45)-1),(RANK(AJ45,AJ$11:AJ$363)+COUNTIF(AJ$11:AJ45,AJ45)-1)))</f>
        <v>35</v>
      </c>
      <c r="AL45" s="52">
        <f t="shared" si="19"/>
        <v>35</v>
      </c>
      <c r="AM45" s="31" t="str">
        <f t="shared" si="24"/>
        <v>Wokingham</v>
      </c>
      <c r="AN45" s="31">
        <f t="shared" si="9"/>
        <v>0.39589004511820819</v>
      </c>
      <c r="AP45" s="61" t="str">
        <f>IF(L45="","",VLOOKUP($L45,classifications!$C:$E,3,FALSE))</f>
        <v>South East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0.43543051811522748</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0.50042248585660343</v>
      </c>
      <c r="G46" s="105"/>
      <c r="H46" s="60" t="str">
        <f t="shared" si="2"/>
        <v/>
      </c>
      <c r="I46" s="112" t="str">
        <f>IF(H46="","",IF($I$8="A",(RANK(H46,H$11:H$363,1)+COUNTIF(H$11:H46,H46)-1),(RANK(H46,H$11:H$363)+COUNTIF(H$11:H46,H46)-1)))</f>
        <v/>
      </c>
      <c r="J46" s="58"/>
      <c r="K46" s="51">
        <f t="shared" si="13"/>
        <v>36</v>
      </c>
      <c r="L46" s="59" t="str">
        <f t="shared" si="14"/>
        <v>Poole</v>
      </c>
      <c r="M46" s="153">
        <f t="shared" si="20"/>
        <v>0.39502690565788479</v>
      </c>
      <c r="N46" s="148">
        <f t="shared" si="21"/>
        <v>39.502690565788477</v>
      </c>
      <c r="O46" s="131" t="str">
        <f t="shared" si="3"/>
        <v/>
      </c>
      <c r="P46" s="131" t="str">
        <f t="shared" si="15"/>
        <v/>
      </c>
      <c r="Q46" s="131">
        <f t="shared" si="16"/>
        <v>39.502690565788477</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Large Urban</v>
      </c>
      <c r="Y46" s="49" t="str">
        <f t="shared" si="6"/>
        <v/>
      </c>
      <c r="Z46" s="57" t="str">
        <f>IF(Y46="","",IF(I$8="A",(RANK(Y46,Y$11:Y$363,1)+COUNTIF(Y$11:Y46,Y46)-1),(RANK(Y46,Y$11:Y$363)+COUNTIF(Y$11:Y46,Y46)-1)))</f>
        <v/>
      </c>
      <c r="AA46" s="245" t="str">
        <f>IF(L46="","",VLOOKUP($L46,classifications!C:I,7,FALSE))</f>
        <v>Predominantly Urban</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Unitary</v>
      </c>
      <c r="AJ46" s="62">
        <f t="shared" si="0"/>
        <v>0.39502690565788479</v>
      </c>
      <c r="AK46" s="57">
        <f>IF(AJ46="","",IF(I$8="A",(RANK(AJ46,AJ$11:AJ$363,1)+COUNTIF(AJ$11:AJ46,AJ46)-1),(RANK(AJ46,AJ$11:AJ$363)+COUNTIF(AJ$11:AJ46,AJ46)-1)))</f>
        <v>36</v>
      </c>
      <c r="AL46" s="52">
        <f t="shared" si="19"/>
        <v>36</v>
      </c>
      <c r="AM46" s="31" t="str">
        <f t="shared" si="24"/>
        <v>Poole</v>
      </c>
      <c r="AN46" s="31">
        <f t="shared" si="9"/>
        <v>0.39502690565788479</v>
      </c>
      <c r="AP46" s="61" t="str">
        <f>IF(L46="","",VLOOKUP($L46,classifications!$C:$E,3,FALSE))</f>
        <v>South West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0.50042248585660343</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1"/>
        <v>0.40011611389676033</v>
      </c>
      <c r="G47" s="105"/>
      <c r="H47" s="60" t="str">
        <f t="shared" si="2"/>
        <v/>
      </c>
      <c r="I47" s="112" t="str">
        <f>IF(H47="","",IF($I$8="A",(RANK(H47,H$11:H$363,1)+COUNTIF(H$11:H47,H47)-1),(RANK(H47,H$11:H$363)+COUNTIF(H$11:H47,H47)-1)))</f>
        <v/>
      </c>
      <c r="J47" s="58"/>
      <c r="K47" s="51">
        <f t="shared" si="13"/>
        <v>37</v>
      </c>
      <c r="L47" s="59" t="str">
        <f t="shared" si="14"/>
        <v>Northumberland</v>
      </c>
      <c r="M47" s="153">
        <f t="shared" si="20"/>
        <v>0.3925337328047882</v>
      </c>
      <c r="N47" s="148">
        <f t="shared" si="21"/>
        <v>39.253373280478819</v>
      </c>
      <c r="O47" s="131" t="str">
        <f t="shared" si="3"/>
        <v/>
      </c>
      <c r="P47" s="131" t="str">
        <f t="shared" si="15"/>
        <v/>
      </c>
      <c r="Q47" s="131">
        <f t="shared" si="16"/>
        <v>39.253373280478819</v>
      </c>
      <c r="R47" s="127" t="str">
        <f t="shared" si="17"/>
        <v/>
      </c>
      <c r="S47" s="60" t="str">
        <f t="shared" si="4"/>
        <v/>
      </c>
      <c r="T47" s="231" t="str">
        <f>IF(L47="","",VLOOKUP(L47,classifications!C:K,9,FALSE))</f>
        <v>Sparse</v>
      </c>
      <c r="U47" s="238">
        <f t="shared" si="26"/>
        <v>0.3925337328047882</v>
      </c>
      <c r="V47" s="239">
        <f>IF(U47="","",IF($I$8="A",(RANK(U47,U$11:U$363)+COUNTIF(U$11:U47,U47)-1),(RANK(U47,U$11:U$363,1)+COUNTIF(U$11:U47,U47)-1)))</f>
        <v>3</v>
      </c>
      <c r="W47" s="240"/>
      <c r="X47" s="61" t="str">
        <f>IF(L47="","",VLOOKUP($L47,classifications!$C:$J,6,FALSE))</f>
        <v>Rural-50</v>
      </c>
      <c r="Y47" s="49">
        <f t="shared" si="6"/>
        <v>0.3925337328047882</v>
      </c>
      <c r="Z47" s="57">
        <f>IF(Y47="","",IF(I$8="A",(RANK(Y47,Y$11:Y$363,1)+COUNTIF(Y$11:Y47,Y47)-1),(RANK(Y47,Y$11:Y$363)+COUNTIF(Y$11:Y47,Y47)-1)))</f>
        <v>15</v>
      </c>
      <c r="AA47" s="245" t="str">
        <f>IF(L47="","",VLOOKUP($L47,classifications!C:I,7,FALSE))</f>
        <v>Predominantly Rural</v>
      </c>
      <c r="AB47" s="239">
        <f t="shared" si="7"/>
        <v>0.3925337328047882</v>
      </c>
      <c r="AC47" s="239">
        <f>IF(AB47="","",IF($I$8="A",(RANK(AB47,AB$11:AB$363)+COUNTIF(AB$11:AB47,AB47)-1),(RANK(AB47,AB$11:AB$363,1)+COUNTIF(AB$11:AB47,AB47)-1)))</f>
        <v>5</v>
      </c>
      <c r="AD47" s="239"/>
      <c r="AE47" s="51" t="str">
        <f t="shared" si="25"/>
        <v/>
      </c>
      <c r="AG47" s="143"/>
      <c r="AH47" s="52"/>
      <c r="AI47" s="61" t="str">
        <f>IF(L47="","",VLOOKUP($L47,classifications!$C:$J,8,FALSE))</f>
        <v>Unitary</v>
      </c>
      <c r="AJ47" s="62">
        <f t="shared" si="0"/>
        <v>0.3925337328047882</v>
      </c>
      <c r="AK47" s="57">
        <f>IF(AJ47="","",IF(I$8="A",(RANK(AJ47,AJ$11:AJ$363,1)+COUNTIF(AJ$11:AJ47,AJ47)-1),(RANK(AJ47,AJ$11:AJ$363)+COUNTIF(AJ$11:AJ47,AJ47)-1)))</f>
        <v>37</v>
      </c>
      <c r="AL47" s="52">
        <f t="shared" si="19"/>
        <v>37</v>
      </c>
      <c r="AM47" s="31" t="str">
        <f t="shared" si="24"/>
        <v>Northumberland</v>
      </c>
      <c r="AN47" s="31">
        <f t="shared" si="9"/>
        <v>0.3925337328047882</v>
      </c>
      <c r="AP47" s="61" t="str">
        <f>IF(L47="","",VLOOKUP($L47,classifications!$C:$E,3,FALSE))</f>
        <v>NE</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0.40011611389676033</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0.34015456555451218</v>
      </c>
      <c r="G48" s="105"/>
      <c r="H48" s="60" t="str">
        <f t="shared" si="2"/>
        <v/>
      </c>
      <c r="I48" s="112" t="str">
        <f>IF(H48="","",IF($I$8="A",(RANK(H48,H$11:H$363,1)+COUNTIF(H$11:H48,H48)-1),(RANK(H48,H$11:H$363)+COUNTIF(H$11:H48,H48)-1)))</f>
        <v/>
      </c>
      <c r="J48" s="58"/>
      <c r="K48" s="51">
        <f t="shared" si="13"/>
        <v>38</v>
      </c>
      <c r="L48" s="59" t="str">
        <f t="shared" si="14"/>
        <v>Halton</v>
      </c>
      <c r="M48" s="153">
        <f t="shared" si="20"/>
        <v>0.39235299150687641</v>
      </c>
      <c r="N48" s="148">
        <f t="shared" si="21"/>
        <v>39.235299150687638</v>
      </c>
      <c r="O48" s="131" t="str">
        <f t="shared" si="3"/>
        <v/>
      </c>
      <c r="P48" s="131" t="str">
        <f t="shared" si="15"/>
        <v/>
      </c>
      <c r="Q48" s="131">
        <f t="shared" si="16"/>
        <v>39.235299150687638</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Other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0"/>
        <v>0.39235299150687641</v>
      </c>
      <c r="AK48" s="57">
        <f>IF(AJ48="","",IF(I$8="A",(RANK(AJ48,AJ$11:AJ$363,1)+COUNTIF(AJ$11:AJ48,AJ48)-1),(RANK(AJ48,AJ$11:AJ$363)+COUNTIF(AJ$11:AJ48,AJ48)-1)))</f>
        <v>38</v>
      </c>
      <c r="AL48" s="52">
        <f t="shared" si="19"/>
        <v>38</v>
      </c>
      <c r="AM48" s="31" t="str">
        <f t="shared" si="24"/>
        <v>Halton</v>
      </c>
      <c r="AN48" s="31">
        <f t="shared" si="9"/>
        <v>0.39235299150687641</v>
      </c>
      <c r="AP48" s="61" t="str">
        <f>IF(L48="","",VLOOKUP($L48,classifications!$C:$E,3,FALSE))</f>
        <v>North West</v>
      </c>
      <c r="AQ48" s="62">
        <f t="shared" si="10"/>
        <v>0.39235299150687641</v>
      </c>
      <c r="AR48" s="57">
        <f>IF(AQ48="","",IF(I$8="A",(RANK(AQ48,AQ$11:AQ$363,1)+COUNTIF(AQ$11:AQ48,AQ48)-1),(RANK(AQ48,AQ$11:AQ$363)+COUNTIF(AQ$11:AQ48,AQ48)-1)))</f>
        <v>6</v>
      </c>
      <c r="AS48" s="52" t="str">
        <f t="shared" si="23"/>
        <v/>
      </c>
      <c r="AT48" s="57" t="str">
        <f t="shared" si="11"/>
        <v/>
      </c>
      <c r="AU48" s="62" t="str">
        <f t="shared" si="12"/>
        <v/>
      </c>
      <c r="AX48" s="44">
        <f>HLOOKUP($AX$9&amp;$AX$10,Data!$A$1:$ZZ$2000,(MATCH($C48,Data!$A$1:$A$2000,0)),FALSE)</f>
        <v>0.34015456555451218</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0.39904156885956815</v>
      </c>
      <c r="G49" s="105"/>
      <c r="H49" s="60" t="str">
        <f t="shared" si="2"/>
        <v/>
      </c>
      <c r="I49" s="112" t="str">
        <f>IF(H49="","",IF($I$8="A",(RANK(H49,H$11:H$363,1)+COUNTIF(H$11:H49,H49)-1),(RANK(H49,H$11:H$363)+COUNTIF(H$11:H49,H49)-1)))</f>
        <v/>
      </c>
      <c r="J49" s="58"/>
      <c r="K49" s="51">
        <f t="shared" si="13"/>
        <v>39</v>
      </c>
      <c r="L49" s="59" t="str">
        <f t="shared" si="14"/>
        <v>Herefordshire</v>
      </c>
      <c r="M49" s="153">
        <f t="shared" si="20"/>
        <v>0.38595496245153915</v>
      </c>
      <c r="N49" s="148">
        <f t="shared" si="21"/>
        <v>38.595496245153917</v>
      </c>
      <c r="O49" s="131" t="str">
        <f t="shared" si="3"/>
        <v/>
      </c>
      <c r="P49" s="131" t="str">
        <f t="shared" si="15"/>
        <v/>
      </c>
      <c r="Q49" s="131">
        <f t="shared" si="16"/>
        <v>38.595496245153917</v>
      </c>
      <c r="R49" s="127" t="str">
        <f t="shared" si="17"/>
        <v/>
      </c>
      <c r="S49" s="60" t="str">
        <f t="shared" si="4"/>
        <v/>
      </c>
      <c r="T49" s="231" t="str">
        <f>IF(L49="","",VLOOKUP(L49,classifications!C:K,9,FALSE))</f>
        <v>Sparse</v>
      </c>
      <c r="U49" s="238">
        <f t="shared" si="26"/>
        <v>0.38595496245153915</v>
      </c>
      <c r="V49" s="239">
        <f>IF(U49="","",IF($I$8="A",(RANK(U49,U$11:U$363)+COUNTIF(U$11:U49,U49)-1),(RANK(U49,U$11:U$363,1)+COUNTIF(U$11:U49,U49)-1)))</f>
        <v>2</v>
      </c>
      <c r="W49" s="240"/>
      <c r="X49" s="61" t="str">
        <f>IF(L49="","",VLOOKUP($L49,classifications!$C:$J,6,FALSE))</f>
        <v>Rural-50</v>
      </c>
      <c r="Y49" s="49">
        <f t="shared" si="6"/>
        <v>0.38595496245153915</v>
      </c>
      <c r="Z49" s="57">
        <f>IF(Y49="","",IF(I$8="A",(RANK(Y49,Y$11:Y$363,1)+COUNTIF(Y$11:Y49,Y49)-1),(RANK(Y49,Y$11:Y$363)+COUNTIF(Y$11:Y49,Y49)-1)))</f>
        <v>16</v>
      </c>
      <c r="AA49" s="245" t="str">
        <f>IF(L49="","",VLOOKUP($L49,classifications!C:I,7,FALSE))</f>
        <v>Predominantly Rural</v>
      </c>
      <c r="AB49" s="239">
        <f t="shared" si="7"/>
        <v>0.38595496245153915</v>
      </c>
      <c r="AC49" s="239">
        <f>IF(AB49="","",IF($I$8="A",(RANK(AB49,AB$11:AB$363)+COUNTIF(AB$11:AB49,AB49)-1),(RANK(AB49,AB$11:AB$363,1)+COUNTIF(AB$11:AB49,AB49)-1)))</f>
        <v>4</v>
      </c>
      <c r="AD49" s="239"/>
      <c r="AE49" s="51" t="str">
        <f t="shared" si="25"/>
        <v/>
      </c>
      <c r="AG49" s="143"/>
      <c r="AH49" s="52"/>
      <c r="AI49" s="61" t="str">
        <f>IF(L49="","",VLOOKUP($L49,classifications!$C:$J,8,FALSE))</f>
        <v>Unitary</v>
      </c>
      <c r="AJ49" s="62">
        <f t="shared" si="0"/>
        <v>0.38595496245153915</v>
      </c>
      <c r="AK49" s="57">
        <f>IF(AJ49="","",IF(I$8="A",(RANK(AJ49,AJ$11:AJ$363,1)+COUNTIF(AJ$11:AJ49,AJ49)-1),(RANK(AJ49,AJ$11:AJ$363)+COUNTIF(AJ$11:AJ49,AJ49)-1)))</f>
        <v>39</v>
      </c>
      <c r="AL49" s="52">
        <f t="shared" si="19"/>
        <v>39</v>
      </c>
      <c r="AM49" s="31" t="str">
        <f t="shared" si="24"/>
        <v>Herefordshire</v>
      </c>
      <c r="AN49" s="31">
        <f t="shared" si="9"/>
        <v>0.38595496245153915</v>
      </c>
      <c r="AP49" s="61" t="str">
        <f>IF(L49="","",VLOOKUP($L49,classifications!$C:$E,3,FALSE))</f>
        <v>West Midlands</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0.39904156885956815</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Bedford</v>
      </c>
      <c r="M50" s="153">
        <f t="shared" si="20"/>
        <v>0.38182428932161844</v>
      </c>
      <c r="N50" s="148">
        <f t="shared" si="21"/>
        <v>38.182428932161841</v>
      </c>
      <c r="O50" s="131" t="str">
        <f t="shared" si="3"/>
        <v/>
      </c>
      <c r="P50" s="131" t="str">
        <f t="shared" si="15"/>
        <v/>
      </c>
      <c r="Q50" s="131">
        <f t="shared" si="16"/>
        <v>38.182428932161841</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Significant Rural</v>
      </c>
      <c r="Y50" s="49">
        <f t="shared" si="6"/>
        <v>0.38182428932161844</v>
      </c>
      <c r="Z50" s="57">
        <f>IF(Y50="","",IF(I$8="A",(RANK(Y50,Y$11:Y$363,1)+COUNTIF(Y$11:Y50,Y50)-1),(RANK(Y50,Y$11:Y$363)+COUNTIF(Y$11:Y50,Y50)-1)))</f>
        <v>17</v>
      </c>
      <c r="AA50" s="245" t="str">
        <f>IF(L50="","",VLOOKUP($L50,classifications!C:I,7,FALSE))</f>
        <v>Significant Rural</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Unitary</v>
      </c>
      <c r="AJ50" s="62">
        <f t="shared" si="0"/>
        <v>0.38182428932161844</v>
      </c>
      <c r="AK50" s="57">
        <f>IF(AJ50="","",IF(I$8="A",(RANK(AJ50,AJ$11:AJ$363,1)+COUNTIF(AJ$11:AJ50,AJ50)-1),(RANK(AJ50,AJ$11:AJ$363)+COUNTIF(AJ$11:AJ50,AJ50)-1)))</f>
        <v>40</v>
      </c>
      <c r="AL50" s="52">
        <f t="shared" si="19"/>
        <v>40</v>
      </c>
      <c r="AM50" s="31" t="str">
        <f t="shared" si="24"/>
        <v>Bedford</v>
      </c>
      <c r="AN50" s="31">
        <f t="shared" si="9"/>
        <v>0.38182428932161844</v>
      </c>
      <c r="AP50" s="61" t="str">
        <f>IF(L50="","",VLOOKUP($L50,classifications!$C:$E,3,FALSE))</f>
        <v>East of England</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0.32519275309186069</v>
      </c>
      <c r="G51" s="105"/>
      <c r="H51" s="60" t="str">
        <f t="shared" si="2"/>
        <v/>
      </c>
      <c r="I51" s="112" t="str">
        <f>IF(H51="","",IF($I$8="A",(RANK(H51,H$11:H$363,1)+COUNTIF(H$11:H51,H51)-1),(RANK(H51,H$11:H$363)+COUNTIF(H$11:H51,H51)-1)))</f>
        <v/>
      </c>
      <c r="J51" s="58"/>
      <c r="K51" s="51">
        <f t="shared" si="13"/>
        <v>41</v>
      </c>
      <c r="L51" s="59" t="str">
        <f t="shared" si="14"/>
        <v>Bracknell Forest</v>
      </c>
      <c r="M51" s="153">
        <f t="shared" si="20"/>
        <v>0.36451020910806387</v>
      </c>
      <c r="N51" s="148">
        <f t="shared" si="21"/>
        <v>36.451020910806385</v>
      </c>
      <c r="O51" s="131" t="str">
        <f t="shared" si="3"/>
        <v/>
      </c>
      <c r="P51" s="131" t="str">
        <f t="shared" si="15"/>
        <v/>
      </c>
      <c r="Q51" s="131">
        <f t="shared" si="16"/>
        <v>36.451020910806385</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Large Urban</v>
      </c>
      <c r="Y51" s="49" t="str">
        <f t="shared" si="6"/>
        <v/>
      </c>
      <c r="Z51" s="57" t="str">
        <f>IF(Y51="","",IF(I$8="A",(RANK(Y51,Y$11:Y$363,1)+COUNTIF(Y$11:Y51,Y51)-1),(RANK(Y51,Y$11:Y$363)+COUNTIF(Y$11:Y51,Y51)-1)))</f>
        <v/>
      </c>
      <c r="AA51" s="245" t="str">
        <f>IF(L51="","",VLOOKUP($L51,classifications!C:I,7,FALSE))</f>
        <v>Predominantly Urban</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0"/>
        <v>0.36451020910806387</v>
      </c>
      <c r="AK51" s="57">
        <f>IF(AJ51="","",IF(I$8="A",(RANK(AJ51,AJ$11:AJ$363,1)+COUNTIF(AJ$11:AJ51,AJ51)-1),(RANK(AJ51,AJ$11:AJ$363)+COUNTIF(AJ$11:AJ51,AJ51)-1)))</f>
        <v>41</v>
      </c>
      <c r="AL51" s="52">
        <f t="shared" si="19"/>
        <v>41</v>
      </c>
      <c r="AM51" s="31" t="str">
        <f t="shared" si="24"/>
        <v>Bracknell Forest</v>
      </c>
      <c r="AN51" s="31">
        <f t="shared" si="9"/>
        <v>0.36451020910806387</v>
      </c>
      <c r="AP51" s="61" t="str">
        <f>IF(L51="","",VLOOKUP($L51,classifications!$C:$E,3,FALSE))</f>
        <v>South East</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0.32519275309186069</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0.43033349731791193</v>
      </c>
      <c r="G52" s="105"/>
      <c r="H52" s="60" t="str">
        <f t="shared" si="2"/>
        <v/>
      </c>
      <c r="I52" s="112" t="str">
        <f>IF(H52="","",IF($I$8="A",(RANK(H52,H$11:H$363,1)+COUNTIF(H$11:H52,H52)-1),(RANK(H52,H$11:H$363)+COUNTIF(H$11:H52,H52)-1)))</f>
        <v/>
      </c>
      <c r="J52" s="58"/>
      <c r="K52" s="51">
        <f t="shared" si="13"/>
        <v>42</v>
      </c>
      <c r="L52" s="59" t="str">
        <f t="shared" si="14"/>
        <v>Cornwall</v>
      </c>
      <c r="M52" s="153">
        <f t="shared" si="20"/>
        <v>0.35147819318354823</v>
      </c>
      <c r="N52" s="148">
        <f t="shared" si="21"/>
        <v>35.14781931835482</v>
      </c>
      <c r="O52" s="131" t="str">
        <f t="shared" si="3"/>
        <v/>
      </c>
      <c r="P52" s="131" t="str">
        <f t="shared" si="15"/>
        <v/>
      </c>
      <c r="Q52" s="131" t="str">
        <f t="shared" si="16"/>
        <v/>
      </c>
      <c r="R52" s="127">
        <f t="shared" si="17"/>
        <v>35.14781931835482</v>
      </c>
      <c r="S52" s="60" t="str">
        <f t="shared" si="4"/>
        <v/>
      </c>
      <c r="T52" s="231" t="str">
        <f>IF(L52="","",VLOOKUP(L52,classifications!C:K,9,FALSE))</f>
        <v>Sparse</v>
      </c>
      <c r="U52" s="238">
        <f t="shared" si="26"/>
        <v>0.35147819318354823</v>
      </c>
      <c r="V52" s="239">
        <f>IF(U52="","",IF($I$8="A",(RANK(U52,U$11:U$363)+COUNTIF(U$11:U52,U52)-1),(RANK(U52,U$11:U$363,1)+COUNTIF(U$11:U52,U52)-1)))</f>
        <v>1</v>
      </c>
      <c r="W52" s="240"/>
      <c r="X52" s="61" t="str">
        <f>IF(L52="","",VLOOKUP($L52,classifications!$C:$J,6,FALSE))</f>
        <v>Rural-80</v>
      </c>
      <c r="Y52" s="49">
        <f t="shared" si="6"/>
        <v>0.35147819318354823</v>
      </c>
      <c r="Z52" s="57">
        <f>IF(Y52="","",IF(I$8="A",(RANK(Y52,Y$11:Y$363,1)+COUNTIF(Y$11:Y52,Y52)-1),(RANK(Y52,Y$11:Y$363)+COUNTIF(Y$11:Y52,Y52)-1)))</f>
        <v>18</v>
      </c>
      <c r="AA52" s="245" t="str">
        <f>IF(L52="","",VLOOKUP($L52,classifications!C:I,7,FALSE))</f>
        <v>Predominantly Rural</v>
      </c>
      <c r="AB52" s="239">
        <f t="shared" si="7"/>
        <v>0.35147819318354823</v>
      </c>
      <c r="AC52" s="239">
        <f>IF(AB52="","",IF($I$8="A",(RANK(AB52,AB$11:AB$363)+COUNTIF(AB$11:AB52,AB52)-1),(RANK(AB52,AB$11:AB$363,1)+COUNTIF(AB$11:AB52,AB52)-1)))</f>
        <v>3</v>
      </c>
      <c r="AD52" s="239"/>
      <c r="AE52" s="51" t="str">
        <f t="shared" si="25"/>
        <v/>
      </c>
      <c r="AG52" s="143"/>
      <c r="AH52" s="52"/>
      <c r="AI52" s="61" t="str">
        <f>IF(L52="","",VLOOKUP($L52,classifications!$C:$J,8,FALSE))</f>
        <v>Unitary</v>
      </c>
      <c r="AJ52" s="62">
        <f t="shared" si="0"/>
        <v>0.35147819318354823</v>
      </c>
      <c r="AK52" s="57">
        <f>IF(AJ52="","",IF(I$8="A",(RANK(AJ52,AJ$11:AJ$363,1)+COUNTIF(AJ$11:AJ52,AJ52)-1),(RANK(AJ52,AJ$11:AJ$363)+COUNTIF(AJ$11:AJ52,AJ52)-1)))</f>
        <v>42</v>
      </c>
      <c r="AL52" s="52">
        <f t="shared" si="19"/>
        <v>42</v>
      </c>
      <c r="AM52" s="31" t="str">
        <f t="shared" si="24"/>
        <v>Cornwall</v>
      </c>
      <c r="AN52" s="31">
        <f t="shared" si="9"/>
        <v>0.35147819318354823</v>
      </c>
      <c r="AP52" s="61" t="str">
        <f>IF(L52="","",VLOOKUP($L52,classifications!$C:$E,3,FALSE))</f>
        <v>South West</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0.43033349731791193</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0.60609470352471861</v>
      </c>
      <c r="G53" s="105"/>
      <c r="H53" s="60" t="str">
        <f t="shared" si="2"/>
        <v/>
      </c>
      <c r="I53" s="112" t="str">
        <f>IF(H53="","",IF($I$8="A",(RANK(H53,H$11:H$363,1)+COUNTIF(H$11:H53,H53)-1),(RANK(H53,H$11:H$363)+COUNTIF(H$11:H53,H53)-1)))</f>
        <v/>
      </c>
      <c r="J53" s="58"/>
      <c r="K53" s="51">
        <f t="shared" si="13"/>
        <v>43</v>
      </c>
      <c r="L53" s="59" t="str">
        <f t="shared" si="14"/>
        <v>Darlington</v>
      </c>
      <c r="M53" s="153">
        <f t="shared" si="20"/>
        <v>0.34831571466658606</v>
      </c>
      <c r="N53" s="148">
        <f t="shared" si="21"/>
        <v>34.831571466658609</v>
      </c>
      <c r="O53" s="131" t="str">
        <f t="shared" si="3"/>
        <v/>
      </c>
      <c r="P53" s="131" t="str">
        <f t="shared" si="15"/>
        <v/>
      </c>
      <c r="Q53" s="131" t="str">
        <f t="shared" si="16"/>
        <v/>
      </c>
      <c r="R53" s="127">
        <f t="shared" si="17"/>
        <v>34.831571466658609</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Other Urban</v>
      </c>
      <c r="Y53" s="49" t="str">
        <f t="shared" si="6"/>
        <v/>
      </c>
      <c r="Z53" s="57" t="str">
        <f>IF(Y53="","",IF(I$8="A",(RANK(Y53,Y$11:Y$363,1)+COUNTIF(Y$11:Y53,Y53)-1),(RANK(Y53,Y$11:Y$363)+COUNTIF(Y$11:Y53,Y53)-1)))</f>
        <v/>
      </c>
      <c r="AA53" s="245" t="str">
        <f>IF(L53="","",VLOOKUP($L53,classifications!C:I,7,FALSE))</f>
        <v>Predominantly Rural</v>
      </c>
      <c r="AB53" s="239">
        <f t="shared" si="7"/>
        <v>0.34831571466658606</v>
      </c>
      <c r="AC53" s="239">
        <f>IF(AB53="","",IF($I$8="A",(RANK(AB53,AB$11:AB$363)+COUNTIF(AB$11:AB53,AB53)-1),(RANK(AB53,AB$11:AB$363,1)+COUNTIF(AB$11:AB53,AB53)-1)))</f>
        <v>2</v>
      </c>
      <c r="AD53" s="239"/>
      <c r="AE53" s="51" t="str">
        <f t="shared" si="25"/>
        <v/>
      </c>
      <c r="AG53" s="143"/>
      <c r="AH53" s="52"/>
      <c r="AI53" s="61" t="str">
        <f>IF(L53="","",VLOOKUP($L53,classifications!$C:$J,8,FALSE))</f>
        <v>Unitary</v>
      </c>
      <c r="AJ53" s="62">
        <f t="shared" si="0"/>
        <v>0.34831571466658606</v>
      </c>
      <c r="AK53" s="57">
        <f>IF(AJ53="","",IF(I$8="A",(RANK(AJ53,AJ$11:AJ$363,1)+COUNTIF(AJ$11:AJ53,AJ53)-1),(RANK(AJ53,AJ$11:AJ$363)+COUNTIF(AJ$11:AJ53,AJ53)-1)))</f>
        <v>43</v>
      </c>
      <c r="AL53" s="52">
        <f t="shared" si="19"/>
        <v>43</v>
      </c>
      <c r="AM53" s="31" t="str">
        <f t="shared" si="24"/>
        <v>Darlington</v>
      </c>
      <c r="AN53" s="31">
        <f t="shared" si="9"/>
        <v>0.34831571466658606</v>
      </c>
      <c r="AP53" s="61" t="str">
        <f>IF(L53="","",VLOOKUP($L53,classifications!$C:$E,3,FALSE))</f>
        <v>NE</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0.60609470352471861</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1"/>
        <v>0.43355782695233103</v>
      </c>
      <c r="G54" s="105"/>
      <c r="H54" s="60" t="str">
        <f t="shared" si="2"/>
        <v/>
      </c>
      <c r="I54" s="112" t="str">
        <f>IF(H54="","",IF($I$8="A",(RANK(H54,H$11:H$363,1)+COUNTIF(H$11:H54,H54)-1),(RANK(H54,H$11:H$363)+COUNTIF(H$11:H54,H54)-1)))</f>
        <v/>
      </c>
      <c r="J54" s="58"/>
      <c r="K54" s="51">
        <f t="shared" si="13"/>
        <v>44</v>
      </c>
      <c r="L54" s="59" t="str">
        <f t="shared" si="14"/>
        <v>Reading</v>
      </c>
      <c r="M54" s="153">
        <f t="shared" si="20"/>
        <v>0.34666756353240269</v>
      </c>
      <c r="N54" s="148">
        <f t="shared" si="21"/>
        <v>34.666756353240267</v>
      </c>
      <c r="O54" s="131" t="str">
        <f t="shared" si="3"/>
        <v/>
      </c>
      <c r="P54" s="131" t="str">
        <f t="shared" si="15"/>
        <v/>
      </c>
      <c r="Q54" s="131" t="str">
        <f t="shared" si="16"/>
        <v/>
      </c>
      <c r="R54" s="127">
        <f t="shared" si="17"/>
        <v>34.666756353240267</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Large Urban</v>
      </c>
      <c r="Y54" s="49" t="str">
        <f t="shared" si="6"/>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0.34666756353240269</v>
      </c>
      <c r="AK54" s="57">
        <f>IF(AJ54="","",IF(I$8="A",(RANK(AJ54,AJ$11:AJ$363,1)+COUNTIF(AJ$11:AJ54,AJ54)-1),(RANK(AJ54,AJ$11:AJ$363)+COUNTIF(AJ$11:AJ54,AJ54)-1)))</f>
        <v>44</v>
      </c>
      <c r="AL54" s="52">
        <f t="shared" si="19"/>
        <v>44</v>
      </c>
      <c r="AM54" s="31" t="str">
        <f t="shared" si="24"/>
        <v>Reading</v>
      </c>
      <c r="AN54" s="31">
        <f t="shared" si="9"/>
        <v>0.34666756353240269</v>
      </c>
      <c r="AP54" s="61" t="str">
        <f>IF(L54="","",VLOOKUP($L54,classifications!$C:$E,3,FALSE))</f>
        <v>South East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0.43355782695233103</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Stoke-on-Trent</v>
      </c>
      <c r="M55" s="153">
        <f t="shared" si="20"/>
        <v>0.3417572312858847</v>
      </c>
      <c r="N55" s="148">
        <f t="shared" si="21"/>
        <v>34.175723128588473</v>
      </c>
      <c r="O55" s="131" t="str">
        <f t="shared" si="3"/>
        <v/>
      </c>
      <c r="P55" s="131" t="str">
        <f t="shared" si="15"/>
        <v/>
      </c>
      <c r="Q55" s="131" t="str">
        <f t="shared" si="16"/>
        <v/>
      </c>
      <c r="R55" s="127">
        <f t="shared" si="17"/>
        <v>34.175723128588473</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Large Urban</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Unitary</v>
      </c>
      <c r="AJ55" s="62">
        <f t="shared" si="0"/>
        <v>0.3417572312858847</v>
      </c>
      <c r="AK55" s="57">
        <f>IF(AJ55="","",IF(I$8="A",(RANK(AJ55,AJ$11:AJ$363,1)+COUNTIF(AJ$11:AJ55,AJ55)-1),(RANK(AJ55,AJ$11:AJ$363)+COUNTIF(AJ$11:AJ55,AJ55)-1)))</f>
        <v>45</v>
      </c>
      <c r="AL55" s="52">
        <f t="shared" si="19"/>
        <v>45</v>
      </c>
      <c r="AM55" s="31" t="str">
        <f t="shared" si="24"/>
        <v>Stoke-on-Trent</v>
      </c>
      <c r="AN55" s="31">
        <f t="shared" si="9"/>
        <v>0.3417572312858847</v>
      </c>
      <c r="AP55" s="61" t="str">
        <f>IF(L55="","",VLOOKUP($L55,classifications!$C:$E,3,FALSE))</f>
        <v>West Midlands</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0.29370450740928655</v>
      </c>
      <c r="G56" s="105"/>
      <c r="H56" s="60" t="str">
        <f t="shared" si="2"/>
        <v/>
      </c>
      <c r="I56" s="112" t="str">
        <f>IF(H56="","",IF($I$8="A",(RANK(H56,H$11:H$363,1)+COUNTIF(H$11:H56,H56)-1),(RANK(H56,H$11:H$363)+COUNTIF(H$11:H56,H56)-1)))</f>
        <v/>
      </c>
      <c r="J56" s="58"/>
      <c r="K56" s="51">
        <f t="shared" si="13"/>
        <v>46</v>
      </c>
      <c r="L56" s="59" t="str">
        <f t="shared" si="14"/>
        <v>Luton</v>
      </c>
      <c r="M56" s="153">
        <f t="shared" si="20"/>
        <v>0.33896626481392306</v>
      </c>
      <c r="N56" s="148">
        <f t="shared" si="21"/>
        <v>33.896626481392303</v>
      </c>
      <c r="O56" s="131" t="str">
        <f t="shared" si="3"/>
        <v/>
      </c>
      <c r="P56" s="131" t="str">
        <f t="shared" si="15"/>
        <v/>
      </c>
      <c r="Q56" s="131" t="str">
        <f t="shared" si="16"/>
        <v/>
      </c>
      <c r="R56" s="127">
        <f t="shared" si="17"/>
        <v>33.896626481392303</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Other Urban</v>
      </c>
      <c r="Y56" s="49" t="str">
        <f t="shared" si="6"/>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Unitary</v>
      </c>
      <c r="AJ56" s="62">
        <f t="shared" si="0"/>
        <v>0.33896626481392306</v>
      </c>
      <c r="AK56" s="57">
        <f>IF(AJ56="","",IF(I$8="A",(RANK(AJ56,AJ$11:AJ$363,1)+COUNTIF(AJ$11:AJ56,AJ56)-1),(RANK(AJ56,AJ$11:AJ$363)+COUNTIF(AJ$11:AJ56,AJ56)-1)))</f>
        <v>46</v>
      </c>
      <c r="AL56" s="52">
        <f t="shared" si="19"/>
        <v>46</v>
      </c>
      <c r="AM56" s="31" t="str">
        <f t="shared" si="24"/>
        <v>Luton</v>
      </c>
      <c r="AN56" s="31">
        <f t="shared" si="9"/>
        <v>0.33896626481392306</v>
      </c>
      <c r="AP56" s="61" t="str">
        <f>IF(L56="","",VLOOKUP($L56,classifications!$C:$E,3,FALSE))</f>
        <v>East of England</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0.29370450740928655</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1"/>
        <v>0.50859693659828753</v>
      </c>
      <c r="G57" s="105"/>
      <c r="H57" s="60" t="str">
        <f t="shared" si="2"/>
        <v/>
      </c>
      <c r="I57" s="112" t="str">
        <f>IF(H57="","",IF($I$8="A",(RANK(H57,H$11:H$363,1)+COUNTIF(H$11:H57,H57)-1),(RANK(H57,H$11:H$363)+COUNTIF(H$11:H57,H57)-1)))</f>
        <v/>
      </c>
      <c r="J57" s="58"/>
      <c r="K57" s="51">
        <f t="shared" si="13"/>
        <v>47</v>
      </c>
      <c r="L57" s="59" t="str">
        <f t="shared" si="14"/>
        <v>Plymouth</v>
      </c>
      <c r="M57" s="153">
        <f t="shared" si="20"/>
        <v>0.33263194531459245</v>
      </c>
      <c r="N57" s="148">
        <f t="shared" si="21"/>
        <v>33.263194531459241</v>
      </c>
      <c r="O57" s="131" t="str">
        <f t="shared" si="3"/>
        <v/>
      </c>
      <c r="P57" s="131" t="str">
        <f t="shared" si="15"/>
        <v/>
      </c>
      <c r="Q57" s="131" t="str">
        <f t="shared" si="16"/>
        <v/>
      </c>
      <c r="R57" s="127">
        <f t="shared" si="17"/>
        <v>33.263194531459241</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Other Urban</v>
      </c>
      <c r="Y57" s="49" t="str">
        <f t="shared" si="6"/>
        <v/>
      </c>
      <c r="Z57" s="57" t="str">
        <f>IF(Y57="","",IF(I$8="A",(RANK(Y57,Y$11:Y$363,1)+COUNTIF(Y$11:Y57,Y57)-1),(RANK(Y57,Y$11:Y$363)+COUNTIF(Y$11:Y57,Y57)-1)))</f>
        <v/>
      </c>
      <c r="AA57" s="245" t="str">
        <f>IF(L57="","",VLOOKUP($L57,classifications!C:I,7,FALSE))</f>
        <v>Predominantly Urban</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Unitary</v>
      </c>
      <c r="AJ57" s="62">
        <f t="shared" si="0"/>
        <v>0.33263194531459245</v>
      </c>
      <c r="AK57" s="57">
        <f>IF(AJ57="","",IF(I$8="A",(RANK(AJ57,AJ$11:AJ$363,1)+COUNTIF(AJ$11:AJ57,AJ57)-1),(RANK(AJ57,AJ$11:AJ$363)+COUNTIF(AJ$11:AJ57,AJ57)-1)))</f>
        <v>47</v>
      </c>
      <c r="AL57" s="52">
        <f t="shared" si="19"/>
        <v>47</v>
      </c>
      <c r="AM57" s="31" t="str">
        <f t="shared" si="24"/>
        <v>Plymouth</v>
      </c>
      <c r="AN57" s="31">
        <f t="shared" si="9"/>
        <v>0.33263194531459245</v>
      </c>
      <c r="AP57" s="61" t="str">
        <f>IF(L57="","",VLOOKUP($L57,classifications!$C:$E,3,FALSE))</f>
        <v>South West</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0.50859693659828753</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0.46966755336824112</v>
      </c>
      <c r="G58" s="105"/>
      <c r="H58" s="60" t="str">
        <f t="shared" si="2"/>
        <v/>
      </c>
      <c r="I58" s="112" t="str">
        <f>IF(H58="","",IF($I$8="A",(RANK(H58,H$11:H$363,1)+COUNTIF(H$11:H58,H58)-1),(RANK(H58,H$11:H$363)+COUNTIF(H$11:H58,H58)-1)))</f>
        <v/>
      </c>
      <c r="J58" s="58"/>
      <c r="K58" s="51">
        <f t="shared" si="13"/>
        <v>48</v>
      </c>
      <c r="L58" s="59" t="str">
        <f t="shared" si="14"/>
        <v>Nottingham</v>
      </c>
      <c r="M58" s="153">
        <f t="shared" si="20"/>
        <v>0.32107323973044838</v>
      </c>
      <c r="N58" s="148">
        <f t="shared" si="21"/>
        <v>32.107323973044835</v>
      </c>
      <c r="O58" s="131" t="str">
        <f t="shared" si="3"/>
        <v/>
      </c>
      <c r="P58" s="131" t="str">
        <f t="shared" si="15"/>
        <v/>
      </c>
      <c r="Q58" s="131" t="str">
        <f t="shared" si="16"/>
        <v/>
      </c>
      <c r="R58" s="127">
        <f t="shared" si="17"/>
        <v>32.107323973044835</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Large Urban</v>
      </c>
      <c r="Y58" s="49" t="str">
        <f t="shared" si="6"/>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0"/>
        <v>0.32107323973044838</v>
      </c>
      <c r="AK58" s="57">
        <f>IF(AJ58="","",IF(I$8="A",(RANK(AJ58,AJ$11:AJ$363,1)+COUNTIF(AJ$11:AJ58,AJ58)-1),(RANK(AJ58,AJ$11:AJ$363)+COUNTIF(AJ$11:AJ58,AJ58)-1)))</f>
        <v>48</v>
      </c>
      <c r="AL58" s="52">
        <f t="shared" si="19"/>
        <v>48</v>
      </c>
      <c r="AM58" s="31" t="str">
        <f t="shared" si="24"/>
        <v>Nottingham</v>
      </c>
      <c r="AN58" s="31">
        <f t="shared" si="9"/>
        <v>0.32107323973044838</v>
      </c>
      <c r="AP58" s="61" t="str">
        <f>IF(L58="","",VLOOKUP($L58,classifications!$C:$E,3,FALSE))</f>
        <v>East Midlands</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0.46966755336824112</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0.43610887070435755</v>
      </c>
      <c r="G59" s="105"/>
      <c r="H59" s="60" t="str">
        <f t="shared" si="2"/>
        <v/>
      </c>
      <c r="I59" s="112" t="str">
        <f>IF(H59="","",IF($I$8="A",(RANK(H59,H$11:H$363,1)+COUNTIF(H$11:H59,H59)-1),(RANK(H59,H$11:H$363)+COUNTIF(H$11:H59,H59)-1)))</f>
        <v/>
      </c>
      <c r="J59" s="58"/>
      <c r="K59" s="51">
        <f t="shared" si="13"/>
        <v>49</v>
      </c>
      <c r="L59" s="59" t="str">
        <f t="shared" si="14"/>
        <v>North East Lincolnshire</v>
      </c>
      <c r="M59" s="153">
        <f t="shared" si="20"/>
        <v>0.30711762654689895</v>
      </c>
      <c r="N59" s="148">
        <f t="shared" si="21"/>
        <v>30.711762654689895</v>
      </c>
      <c r="O59" s="131" t="str">
        <f t="shared" si="3"/>
        <v/>
      </c>
      <c r="P59" s="131" t="str">
        <f t="shared" si="15"/>
        <v/>
      </c>
      <c r="Q59" s="131" t="str">
        <f t="shared" si="16"/>
        <v/>
      </c>
      <c r="R59" s="127">
        <f t="shared" si="17"/>
        <v>30.711762654689895</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Other Urban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0"/>
        <v>0.30711762654689895</v>
      </c>
      <c r="AK59" s="57">
        <f>IF(AJ59="","",IF(I$8="A",(RANK(AJ59,AJ$11:AJ$363,1)+COUNTIF(AJ$11:AJ59,AJ59)-1),(RANK(AJ59,AJ$11:AJ$363)+COUNTIF(AJ$11:AJ59,AJ59)-1)))</f>
        <v>49</v>
      </c>
      <c r="AL59" s="52">
        <f t="shared" si="19"/>
        <v>49</v>
      </c>
      <c r="AM59" s="31" t="str">
        <f t="shared" si="24"/>
        <v>North East Lincolnshire</v>
      </c>
      <c r="AN59" s="31">
        <f t="shared" si="9"/>
        <v>0.30711762654689895</v>
      </c>
      <c r="AP59" s="61" t="str">
        <f>IF(L59="","",VLOOKUP($L59,classifications!$C:$E,3,FALSE))</f>
        <v>Yorkshire &amp; Humberside</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0.43610887070435755</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1"/>
        <v>0.54256280657942113</v>
      </c>
      <c r="G60" s="105"/>
      <c r="H60" s="60" t="str">
        <f t="shared" si="2"/>
        <v/>
      </c>
      <c r="I60" s="112" t="str">
        <f>IF(H60="","",IF($I$8="A",(RANK(H60,H$11:H$363,1)+COUNTIF(H$11:H60,H60)-1),(RANK(H60,H$11:H$363)+COUNTIF(H$11:H60,H60)-1)))</f>
        <v/>
      </c>
      <c r="J60" s="58"/>
      <c r="K60" s="51">
        <f t="shared" si="13"/>
        <v>50</v>
      </c>
      <c r="L60" s="59" t="str">
        <f t="shared" si="14"/>
        <v>Slough</v>
      </c>
      <c r="M60" s="153">
        <f t="shared" si="20"/>
        <v>0.29400485694264089</v>
      </c>
      <c r="N60" s="148">
        <f t="shared" si="21"/>
        <v>29.400485694264088</v>
      </c>
      <c r="O60" s="131" t="str">
        <f t="shared" si="3"/>
        <v/>
      </c>
      <c r="P60" s="131" t="str">
        <f t="shared" si="15"/>
        <v/>
      </c>
      <c r="Q60" s="131" t="str">
        <f t="shared" si="16"/>
        <v/>
      </c>
      <c r="R60" s="127">
        <f t="shared" si="17"/>
        <v>29.400485694264088</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Other Urban</v>
      </c>
      <c r="Y60" s="49" t="str">
        <f t="shared" si="6"/>
        <v/>
      </c>
      <c r="Z60" s="57" t="str">
        <f>IF(Y60="","",IF(I$8="A",(RANK(Y60,Y$11:Y$363,1)+COUNTIF(Y$11:Y60,Y60)-1),(RANK(Y60,Y$11:Y$363)+COUNTIF(Y$11:Y60,Y60)-1)))</f>
        <v/>
      </c>
      <c r="AA60" s="245" t="str">
        <f>IF(L60="","",VLOOKUP($L60,classifications!C:I,7,FALSE))</f>
        <v>Predominantly Rural</v>
      </c>
      <c r="AB60" s="239">
        <f t="shared" si="7"/>
        <v>0.29400485694264089</v>
      </c>
      <c r="AC60" s="239">
        <f>IF(AB60="","",IF($I$8="A",(RANK(AB60,AB$11:AB$363)+COUNTIF(AB$11:AB60,AB60)-1),(RANK(AB60,AB$11:AB$363,1)+COUNTIF(AB$11:AB60,AB60)-1)))</f>
        <v>1</v>
      </c>
      <c r="AD60" s="239"/>
      <c r="AE60" s="51" t="str">
        <f t="shared" si="25"/>
        <v/>
      </c>
      <c r="AG60" s="143"/>
      <c r="AH60" s="52"/>
      <c r="AI60" s="61" t="str">
        <f>IF(L60="","",VLOOKUP($L60,classifications!$C:$J,8,FALSE))</f>
        <v>Unitary</v>
      </c>
      <c r="AJ60" s="62">
        <f t="shared" si="0"/>
        <v>0.29400485694264089</v>
      </c>
      <c r="AK60" s="57">
        <f>IF(AJ60="","",IF(I$8="A",(RANK(AJ60,AJ$11:AJ$363,1)+COUNTIF(AJ$11:AJ60,AJ60)-1),(RANK(AJ60,AJ$11:AJ$363)+COUNTIF(AJ$11:AJ60,AJ60)-1)))</f>
        <v>50</v>
      </c>
      <c r="AL60" s="52">
        <f t="shared" si="19"/>
        <v>50</v>
      </c>
      <c r="AM60" s="31" t="str">
        <f t="shared" si="24"/>
        <v>Slough</v>
      </c>
      <c r="AN60" s="31">
        <f t="shared" si="9"/>
        <v>0.29400485694264089</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0.54256280657942113</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0.49563625960536062</v>
      </c>
      <c r="G61" s="105"/>
      <c r="H61" s="60">
        <f t="shared" si="2"/>
        <v>0.49563625960536062</v>
      </c>
      <c r="I61" s="112">
        <f>IF(H61="","",IF($I$8="A",(RANK(H61,H$11:H$363,1)+COUNTIF(H$11:H61,H61)-1),(RANK(H61,H$11:H$363)+COUNTIF(H$11:H61,H61)-1)))</f>
        <v>11</v>
      </c>
      <c r="J61" s="58"/>
      <c r="K61" s="51">
        <f t="shared" si="13"/>
        <v>51</v>
      </c>
      <c r="L61" s="59" t="str">
        <f t="shared" si="14"/>
        <v>Stockton-on-Tees</v>
      </c>
      <c r="M61" s="153">
        <f t="shared" si="20"/>
        <v>0.28076358553961661</v>
      </c>
      <c r="N61" s="148">
        <f t="shared" si="21"/>
        <v>28.076358553961661</v>
      </c>
      <c r="O61" s="131" t="str">
        <f t="shared" si="3"/>
        <v/>
      </c>
      <c r="P61" s="131" t="str">
        <f t="shared" si="15"/>
        <v/>
      </c>
      <c r="Q61" s="131" t="str">
        <f t="shared" si="16"/>
        <v/>
      </c>
      <c r="R61" s="127">
        <f t="shared" si="17"/>
        <v>28.076358553961661</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Large Urban</v>
      </c>
      <c r="Y61" s="49" t="str">
        <f t="shared" si="6"/>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0"/>
        <v>0.28076358553961661</v>
      </c>
      <c r="AK61" s="57">
        <f>IF(AJ61="","",IF(I$8="A",(RANK(AJ61,AJ$11:AJ$363,1)+COUNTIF(AJ$11:AJ61,AJ61)-1),(RANK(AJ61,AJ$11:AJ$363)+COUNTIF(AJ$11:AJ61,AJ61)-1)))</f>
        <v>51</v>
      </c>
      <c r="AL61" s="52">
        <f t="shared" si="19"/>
        <v>51</v>
      </c>
      <c r="AM61" s="31" t="str">
        <f t="shared" si="24"/>
        <v>Stockton-on-Tees</v>
      </c>
      <c r="AN61" s="31">
        <f t="shared" si="9"/>
        <v>0.28076358553961661</v>
      </c>
      <c r="AP61" s="61" t="str">
        <f>IF(L61="","",VLOOKUP($L61,classifications!$C:$E,3,FALSE))</f>
        <v>NE</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0.49563625960536062</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0.48973120050720026</v>
      </c>
      <c r="G62" s="105"/>
      <c r="H62" s="60" t="str">
        <f t="shared" si="2"/>
        <v/>
      </c>
      <c r="I62" s="112" t="str">
        <f>IF(H62="","",IF($I$8="A",(RANK(H62,H$11:H$363,1)+COUNTIF(H$11:H62,H62)-1),(RANK(H62,H$11:H$363)+COUNTIF(H$11:H62,H62)-1)))</f>
        <v/>
      </c>
      <c r="J62" s="58"/>
      <c r="K62" s="51">
        <f t="shared" si="13"/>
        <v>52</v>
      </c>
      <c r="L62" s="59" t="str">
        <f t="shared" si="14"/>
        <v>Brighton &amp; Hove</v>
      </c>
      <c r="M62" s="153">
        <f t="shared" si="20"/>
        <v>0.25642376295637437</v>
      </c>
      <c r="N62" s="148">
        <f t="shared" si="21"/>
        <v>25.642376295637437</v>
      </c>
      <c r="O62" s="131" t="str">
        <f t="shared" si="3"/>
        <v/>
      </c>
      <c r="P62" s="131" t="str">
        <f t="shared" si="15"/>
        <v/>
      </c>
      <c r="Q62" s="131" t="str">
        <f t="shared" si="16"/>
        <v/>
      </c>
      <c r="R62" s="127">
        <f t="shared" si="17"/>
        <v>25.642376295637437</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Large Urban</v>
      </c>
      <c r="Y62" s="49" t="str">
        <f t="shared" si="6"/>
        <v/>
      </c>
      <c r="Z62" s="57" t="str">
        <f>IF(Y62="","",IF(I$8="A",(RANK(Y62,Y$11:Y$363,1)+COUNTIF(Y$11:Y62,Y62)-1),(RANK(Y62,Y$11:Y$363)+COUNTIF(Y$11:Y62,Y62)-1)))</f>
        <v/>
      </c>
      <c r="AA62" s="245" t="str">
        <f>IF(L62="","",VLOOKUP($L62,classifications!C:I,7,FALSE))</f>
        <v>Predominantly Urban</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0"/>
        <v>0.25642376295637437</v>
      </c>
      <c r="AK62" s="57">
        <f>IF(AJ62="","",IF(I$8="A",(RANK(AJ62,AJ$11:AJ$363,1)+COUNTIF(AJ$11:AJ62,AJ62)-1),(RANK(AJ62,AJ$11:AJ$363)+COUNTIF(AJ$11:AJ62,AJ62)-1)))</f>
        <v>52</v>
      </c>
      <c r="AL62" s="52">
        <f t="shared" si="19"/>
        <v>52</v>
      </c>
      <c r="AM62" s="31" t="str">
        <f t="shared" si="24"/>
        <v>Brighton &amp; Hove</v>
      </c>
      <c r="AN62" s="31">
        <f t="shared" si="9"/>
        <v>0.25642376295637437</v>
      </c>
      <c r="AP62" s="61" t="str">
        <f>IF(L62="","",VLOOKUP($L62,classifications!$C:$E,3,FALSE))</f>
        <v>South East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0.48973120050720026</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0.4522244235411213</v>
      </c>
      <c r="G63" s="105"/>
      <c r="H63" s="60" t="str">
        <f t="shared" si="2"/>
        <v/>
      </c>
      <c r="I63" s="112" t="str">
        <f>IF(H63="","",IF($I$8="A",(RANK(H63,H$11:H$363,1)+COUNTIF(H$11:H63,H63)-1),(RANK(H63,H$11:H$363)+COUNTIF(H$11:H63,H63)-1)))</f>
        <v/>
      </c>
      <c r="J63" s="58"/>
      <c r="K63" s="51">
        <f t="shared" si="13"/>
        <v>53</v>
      </c>
      <c r="L63" s="59" t="str">
        <f t="shared" si="14"/>
        <v>Middlesbrough</v>
      </c>
      <c r="M63" s="153">
        <f t="shared" si="20"/>
        <v>0.23714063304972699</v>
      </c>
      <c r="N63" s="148">
        <f t="shared" si="21"/>
        <v>23.714063304972697</v>
      </c>
      <c r="O63" s="131" t="str">
        <f t="shared" si="3"/>
        <v/>
      </c>
      <c r="P63" s="131" t="str">
        <f t="shared" si="15"/>
        <v/>
      </c>
      <c r="Q63" s="131" t="str">
        <f t="shared" si="16"/>
        <v/>
      </c>
      <c r="R63" s="127">
        <f t="shared" si="17"/>
        <v>23.714063304972697</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Large Urban</v>
      </c>
      <c r="Y63" s="49" t="str">
        <f t="shared" si="6"/>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0"/>
        <v>0.23714063304972699</v>
      </c>
      <c r="AK63" s="57">
        <f>IF(AJ63="","",IF(I$8="A",(RANK(AJ63,AJ$11:AJ$363,1)+COUNTIF(AJ$11:AJ63,AJ63)-1),(RANK(AJ63,AJ$11:AJ$363)+COUNTIF(AJ$11:AJ63,AJ63)-1)))</f>
        <v>53</v>
      </c>
      <c r="AL63" s="52">
        <f t="shared" si="19"/>
        <v>53</v>
      </c>
      <c r="AM63" s="31" t="str">
        <f t="shared" si="24"/>
        <v>Middlesbrough</v>
      </c>
      <c r="AN63" s="31">
        <f t="shared" si="9"/>
        <v>0.23714063304972699</v>
      </c>
      <c r="AP63" s="61" t="str">
        <f>IF(L63="","",VLOOKUP($L63,classifications!$C:$E,3,FALSE))</f>
        <v>NE</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0.4522244235411213</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1"/>
        <v>0.4508252787519676</v>
      </c>
      <c r="G64" s="105"/>
      <c r="H64" s="60" t="str">
        <f t="shared" si="2"/>
        <v/>
      </c>
      <c r="I64" s="112" t="str">
        <f>IF(H64="","",IF($I$8="A",(RANK(H64,H$11:H$363,1)+COUNTIF(H$11:H64,H64)-1),(RANK(H64,H$11:H$363)+COUNTIF(H$11:H64,H64)-1)))</f>
        <v/>
      </c>
      <c r="J64" s="58"/>
      <c r="K64" s="51">
        <f t="shared" si="13"/>
        <v>54</v>
      </c>
      <c r="L64" s="59" t="str">
        <f t="shared" si="14"/>
        <v>Southampton</v>
      </c>
      <c r="M64" s="153">
        <f t="shared" si="20"/>
        <v>0.23072572909035421</v>
      </c>
      <c r="N64" s="148">
        <f t="shared" si="21"/>
        <v>23.072572909035422</v>
      </c>
      <c r="O64" s="131" t="str">
        <f t="shared" si="3"/>
        <v/>
      </c>
      <c r="P64" s="131" t="str">
        <f t="shared" si="15"/>
        <v/>
      </c>
      <c r="Q64" s="131" t="str">
        <f t="shared" si="16"/>
        <v/>
      </c>
      <c r="R64" s="127">
        <f t="shared" si="17"/>
        <v>23.072572909035422</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Large Urban</v>
      </c>
      <c r="Y64" s="49" t="str">
        <f t="shared" si="6"/>
        <v/>
      </c>
      <c r="Z64" s="57" t="str">
        <f>IF(Y64="","",IF(I$8="A",(RANK(Y64,Y$11:Y$363,1)+COUNTIF(Y$11:Y64,Y64)-1),(RANK(Y64,Y$11:Y$363)+COUNTIF(Y$11:Y64,Y64)-1)))</f>
        <v/>
      </c>
      <c r="AA64" s="245" t="str">
        <f>IF(L64="","",VLOOKUP($L64,classifications!C:I,7,FALSE))</f>
        <v>Predominantly Urban</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0"/>
        <v>0.23072572909035421</v>
      </c>
      <c r="AK64" s="57">
        <f>IF(AJ64="","",IF(I$8="A",(RANK(AJ64,AJ$11:AJ$363,1)+COUNTIF(AJ$11:AJ64,AJ64)-1),(RANK(AJ64,AJ$11:AJ$363)+COUNTIF(AJ$11:AJ64,AJ64)-1)))</f>
        <v>54</v>
      </c>
      <c r="AL64" s="52">
        <f t="shared" si="19"/>
        <v>54</v>
      </c>
      <c r="AM64" s="31" t="str">
        <f t="shared" si="24"/>
        <v>Southampton</v>
      </c>
      <c r="AN64" s="31">
        <f t="shared" si="9"/>
        <v>0.23072572909035421</v>
      </c>
      <c r="AP64" s="61" t="str">
        <f>IF(L64="","",VLOOKUP($L64,classifications!$C:$E,3,FALSE))</f>
        <v>South East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0.4508252787519676</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0.53403052317554423</v>
      </c>
      <c r="G65" s="105"/>
      <c r="H65" s="60" t="str">
        <f t="shared" si="2"/>
        <v/>
      </c>
      <c r="I65" s="112" t="str">
        <f>IF(H65="","",IF($I$8="A",(RANK(H65,H$11:H$363,1)+COUNTIF(H$11:H65,H65)-1),(RANK(H65,H$11:H$363)+COUNTIF(H$11:H65,H65)-1)))</f>
        <v/>
      </c>
      <c r="J65" s="58"/>
      <c r="K65" s="51">
        <f t="shared" si="13"/>
        <v>55</v>
      </c>
      <c r="L65" s="59" t="str">
        <f t="shared" si="14"/>
        <v>Portsmouth</v>
      </c>
      <c r="M65" s="153">
        <f t="shared" si="20"/>
        <v>0.22155958668976466</v>
      </c>
      <c r="N65" s="148">
        <f t="shared" si="21"/>
        <v>22.155958668976467</v>
      </c>
      <c r="O65" s="131" t="str">
        <f t="shared" si="3"/>
        <v/>
      </c>
      <c r="P65" s="131" t="str">
        <f t="shared" si="15"/>
        <v/>
      </c>
      <c r="Q65" s="131" t="str">
        <f t="shared" si="16"/>
        <v/>
      </c>
      <c r="R65" s="127">
        <f t="shared" si="17"/>
        <v>22.155958668976467</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Large Urban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Unitary</v>
      </c>
      <c r="AJ65" s="62">
        <f t="shared" si="0"/>
        <v>0.22155958668976466</v>
      </c>
      <c r="AK65" s="57">
        <f>IF(AJ65="","",IF(I$8="A",(RANK(AJ65,AJ$11:AJ$363,1)+COUNTIF(AJ$11:AJ65,AJ65)-1),(RANK(AJ65,AJ$11:AJ$363)+COUNTIF(AJ$11:AJ65,AJ65)-1)))</f>
        <v>55</v>
      </c>
      <c r="AL65" s="52">
        <f t="shared" si="19"/>
        <v>55</v>
      </c>
      <c r="AM65" s="31" t="str">
        <f t="shared" si="24"/>
        <v>Portsmouth</v>
      </c>
      <c r="AN65" s="31">
        <f t="shared" si="9"/>
        <v>0.22155958668976466</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0.53403052317554423</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0.52732715809009245</v>
      </c>
      <c r="G66" s="105"/>
      <c r="H66" s="60">
        <f t="shared" si="2"/>
        <v>0.52732715809009245</v>
      </c>
      <c r="I66" s="112">
        <f>IF(H66="","",IF($I$8="A",(RANK(H66,H$11:H$363,1)+COUNTIF(H$11:H66,H66)-1),(RANK(H66,H$11:H$363)+COUNTIF(H$11:H66,H66)-1)))</f>
        <v>6</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0.52732715809009245</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0.58242844134142446</v>
      </c>
      <c r="G67" s="105"/>
      <c r="H67" s="60">
        <f t="shared" si="2"/>
        <v>0.58242844134142446</v>
      </c>
      <c r="I67" s="112">
        <f>IF(H67="","",IF($I$8="A",(RANK(H67,H$11:H$363,1)+COUNTIF(H$11:H67,H67)-1),(RANK(H67,H$11:H$363)+COUNTIF(H$11:H67,H67)-1)))</f>
        <v>2</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0.58242844134142446</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0.40326265616733459</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0.40326265616733459</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0.39524306705409606</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0.39524306705409606</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0.50064436461788986</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0.50064436461788986</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0.48405912589524425</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0.48405912589524425</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t="str">
        <f t="shared" si="1"/>
        <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t="str">
        <f>HLOOKUP($AX$9&amp;$AX$10,Data!$A$1:$ZZ$2000,(MATCH($C72,Data!$A$1:$A$2000,0)),FALSE)</f>
        <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0.39071548537009293</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0.39071548537009293</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0.32107323973044838</v>
      </c>
      <c r="G74" s="105"/>
      <c r="H74" s="60">
        <f t="shared" si="2"/>
        <v>0.32107323973044838</v>
      </c>
      <c r="I74" s="112">
        <f>IF(H74="","",IF($I$8="A",(RANK(H74,H$11:H$363,1)+COUNTIF(H$11:H74,H74)-1),(RANK(H74,H$11:H$363)+COUNTIF(H$11:H74,H74)-1)))</f>
        <v>48</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0.32107323973044838</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0.40096282433707831</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0.40096282433707831</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0.33995441281138788</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0.33995441281138788</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0.45790140832206427</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0.45790140832206427</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0.35147819318354823</v>
      </c>
      <c r="G78" s="105"/>
      <c r="H78" s="60">
        <f t="shared" si="28"/>
        <v>0.35147819318354823</v>
      </c>
      <c r="I78" s="112">
        <f>IF(H78="","",IF($I$8="A",(RANK(H78,H$11:H$363,1)+COUNTIF(H$11:H78,H78)-1),(RANK(H78,H$11:H$363)+COUNTIF(H$11:H78,H78)-1)))</f>
        <v>42</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0.35147819318354823</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0.57922055377625037</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0.57922055377625037</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0.43897448266216715</v>
      </c>
      <c r="G80" s="105"/>
      <c r="H80" s="60">
        <f t="shared" si="28"/>
        <v>0.43897448266216715</v>
      </c>
      <c r="I80" s="112">
        <f>IF(H80="","",IF($I$8="A",(RANK(H80,H$11:H$363,1)+COUNTIF(H$11:H80,H80)-1),(RANK(H80,H$11:H$363)+COUNTIF(H$11:H80,H80)-1)))</f>
        <v>21</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0.43897448266216715</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0.35507147520050092</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0.35507147520050092</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0.40959044243984077</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0.40959044243984077</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0.2511515081041622</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0.2511515081041622</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0.43102713040773616</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0.43102713040773616</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0.46252657680928488</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0.46252657680928488</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0.34831571466658606</v>
      </c>
      <c r="G87" s="105"/>
      <c r="H87" s="60">
        <f t="shared" si="28"/>
        <v>0.34831571466658606</v>
      </c>
      <c r="I87" s="112">
        <f>IF(H87="","",IF($I$8="A",(RANK(H87,H$11:H$363,1)+COUNTIF(H$11:H87,H87)-1),(RANK(H87,H$11:H$363)+COUNTIF(H$11:H87,H87)-1)))</f>
        <v>43</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0.34831571466658606</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0.263420547718067</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0.263420547718067</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0.49231653058761893</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0.49231653058761893</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0.44388570464861532</v>
      </c>
      <c r="G90" s="105"/>
      <c r="H90" s="60">
        <f t="shared" si="28"/>
        <v>0.44388570464861532</v>
      </c>
      <c r="I90" s="112">
        <f>IF(H90="","",IF($I$8="A",(RANK(H90,H$11:H$363,1)+COUNTIF(H$11:H90,H90)-1),(RANK(H90,H$11:H$363)+COUNTIF(H$11:H90,H90)-1)))</f>
        <v>19</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0.44388570464861532</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0.55737350137279751</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0.55737350137279751</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0.39922527299568505</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0.39922527299568505</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0.44126208942375339</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0.44126208942375339</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0.36126034053531009</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0.36126034053531009</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0.41712794843544415</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0.41712794843544415</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0.39836315160581182</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0.39836315160581182</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0.44212446550465684</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0.44212446550465684</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t="str">
        <f t="shared" si="27"/>
        <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t="str">
        <f>HLOOKUP($AX$9&amp;$AX$10,Data!$A$1:$ZZ$2000,(MATCH($C101,Data!$A$1:$A$2000,0)),FALSE)</f>
        <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0.33162279072504647</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0.33162279072504647</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0.47191504483103835</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0.47191504483103835</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0.50589790344248331</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0.50589790344248331</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0.46515145918944023</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0.46515145918944023</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0.55642925601097826</v>
      </c>
      <c r="G106" s="105"/>
      <c r="H106" s="60">
        <f t="shared" si="28"/>
        <v>0.55642925601097826</v>
      </c>
      <c r="I106" s="112">
        <f>IF(H106="","",IF($I$8="A",(RANK(H106,H$11:H$363,1)+COUNTIF(H$11:H106,H106)-1),(RANK(H106,H$11:H$363)+COUNTIF(H$11:H106,H106)-1)))</f>
        <v>4</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0.55642925601097826</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0.52131497374889912</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0.52131497374889912</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0.32657661267976229</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0.32657661267976229</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0.39485463379932256</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0.39485463379932256</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0.44611425460025184</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0.44611425460025184</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0.49014864747018555</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0.49014864747018555</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0.39042659059760898</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0.39042659059760898</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0.58188271086931764</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0.58188271086931764</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0.45932832064826451</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0.45932832064826451</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0.39404754674182163</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0.39404754674182163</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0.34332282664805536</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0.34332282664805536</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0.35071076469735546</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0.35071076469735546</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0.50749649204635439</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0.50749649204635439</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0.45523923622037493</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0.45523923622037493</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0.48336881123709607</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0.48336881123709607</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0.47922582644776657</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0.47922582644776657</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0.36930862890811084</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0.36930862890811084</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0.36101528557289481</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0.36101528557289481</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0.36293595070348034</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0.36293595070348034</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0.23823357418658847</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0.23823357418658847</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0.24634431087987116</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0.24634431087987116</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0.26700418121028169</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0.26700418121028169</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0.39035301959980412</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0.39035301959980412</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0.52646359256159647</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0.52646359256159647</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0.25173983211419271</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0.25173983211419271</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0.39235299150687641</v>
      </c>
      <c r="G134" s="105"/>
      <c r="H134" s="60">
        <f t="shared" si="28"/>
        <v>0.39235299150687641</v>
      </c>
      <c r="I134" s="112">
        <f>IF(H134="","",IF($I$8="A",(RANK(H134,H$11:H$363,1)+COUNTIF(H$11:H134,H134)-1),(RANK(H134,H$11:H$363)+COUNTIF(H$11:H134,H134)-1)))</f>
        <v>38</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0.39235299150687641</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0.45422206298507395</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0.45422206298507395</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f t="shared" si="27"/>
        <v>0.19641378588000044</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0.19641378588000044</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0.56007867487774032</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0.56007867487774032</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0.34669496529469618</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0.34669496529469618</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0.46733005335891115</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0.46733005335891115</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0.38881086148537686</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0.38881086148537686</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0.48793125987901548</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0.48793125987901548</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0.36549588253554421</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0.36549588253554421</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0.4002717350172954</v>
      </c>
      <c r="G144" s="105"/>
      <c r="H144" s="60">
        <f t="shared" si="52"/>
        <v>0.4002717350172954</v>
      </c>
      <c r="I144" s="112">
        <f>IF(H144="","",IF($I$8="A",(RANK(H144,H$11:H$363,1)+COUNTIF(H$11:H144,H144)-1),(RANK(H144,H$11:H$363)+COUNTIF(H$11:H144,H144)-1)))</f>
        <v>34</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0.4002717350172954</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0.24662687204590461</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0.24662687204590461</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0.29637851276137045</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0.29637851276137045</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0.31611497215052003</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0.31611497215052003</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0.38595496245153915</v>
      </c>
      <c r="G148" s="105"/>
      <c r="H148" s="60">
        <f t="shared" si="52"/>
        <v>0.38595496245153915</v>
      </c>
      <c r="I148" s="112">
        <f>IF(H148="","",IF($I$8="A",(RANK(H148,H$11:H$363,1)+COUNTIF(H$11:H148,H148)-1),(RANK(H148,H$11:H$363)+COUNTIF(H$11:H148,H148)-1)))</f>
        <v>39</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0.38595496245153915</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0.41748594010657075</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0.41748594010657075</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0.44723383396482053</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0.44723383396482053</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0.42335900681562783</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0.42335900681562783</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0.55344073972742114</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0.55344073972742114</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0.4603535173465883</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0.4603535173465883</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0.34946999095091741</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0.34946999095091741</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f>VLOOKUP(C156,classifications!C:K,9,FALSE)</f>
        <v>0</v>
      </c>
      <c r="F156" s="59">
        <f t="shared" si="51"/>
        <v>0.56861989547870884</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0.56861989547870884</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0.35306444798445619</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0.35306444798445619</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0.40552514073849633</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0.40552514073849633</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0.47290678015151844</v>
      </c>
      <c r="G159" s="105"/>
      <c r="H159" s="60">
        <f t="shared" si="52"/>
        <v>0.47290678015151844</v>
      </c>
      <c r="I159" s="112">
        <f>IF(H159="","",IF($I$8="A",(RANK(H159,H$11:H$363,1)+COUNTIF(H$11:H159,H159)-1),(RANK(H159,H$11:H$363)+COUNTIF(H$11:H159,H159)-1)))</f>
        <v>15</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0.47290678015151844</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f t="shared" si="51"/>
        <v>0.19559940602683581</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f>HLOOKUP($AX$9&amp;$AX$10,Data!$A$1:$ZZ$2000,(MATCH($C160,Data!$A$1:$A$2000,0)),FALSE)</f>
        <v>0.19559940602683581</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0.32287202589820252</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0.32287202589820252</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0.24713496067512131</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0.24713496067512131</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0.45497308346628862</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0.45497308346628862</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0.43497189686410676</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0.43497189686410676</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0.50235683517795371</v>
      </c>
      <c r="G166" s="105"/>
      <c r="H166" s="60">
        <f t="shared" si="52"/>
        <v>0.50235683517795371</v>
      </c>
      <c r="I166" s="112">
        <f>IF(H166="","",IF($I$8="A",(RANK(H166,H$11:H$363,1)+COUNTIF(H$11:H166,H166)-1),(RANK(H166,H$11:H$363)+COUNTIF(H$11:H166,H166)-1)))</f>
        <v>10</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0.50235683517795371</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0.45573607775651276</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0.45573607775651276</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0.3097465175176205</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0.3097465175176205</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0.31231172847534416</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0.31231172847534416</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0.21250761700472309</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0.21250761700472309</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0.42542715093246886</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0.42542715093246886</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0.42893009184879938</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0.42893009184879938</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0.42652607844631535</v>
      </c>
      <c r="G174" s="105"/>
      <c r="H174" s="60">
        <f t="shared" si="52"/>
        <v>0.42652607844631535</v>
      </c>
      <c r="I174" s="112">
        <f>IF(H174="","",IF($I$8="A",(RANK(H174,H$11:H$363,1)+COUNTIF(H$11:H174,H174)-1),(RANK(H174,H$11:H$363)+COUNTIF(H$11:H174,H174)-1)))</f>
        <v>28</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0.42652607844631535</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0.24358975161043439</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0.24358975161043439</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0.18379361037273864</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0.18379361037273864</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f>VLOOKUP(C178,classifications!C:K,9,FALSE)</f>
        <v>0</v>
      </c>
      <c r="F178" s="59">
        <f t="shared" si="51"/>
        <v>0.57772729350873064</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0.57772729350873064</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0.42030376920460927</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0.42030376920460927</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0.25821148508950026</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0.25821148508950026</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0.33896626481392306</v>
      </c>
      <c r="G182" s="105"/>
      <c r="H182" s="60">
        <f t="shared" si="52"/>
        <v>0.33896626481392306</v>
      </c>
      <c r="I182" s="112">
        <f>IF(H182="","",IF($I$8="A",(RANK(H182,H$11:H$363,1)+COUNTIF(H$11:H182,H182)-1),(RANK(H182,H$11:H$363)+COUNTIF(H$11:H182,H182)-1)))</f>
        <v>46</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0.33896626481392306</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0.45760004738457627</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0.45760004738457627</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0.46090672647620634</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0.46090672647620634</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0.32950258275227168</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0.32950258275227168</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0.35745363147127407</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0.35745363147127407</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0.3669701881638362</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0.3669701881638362</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0.46262480676217094</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0.46262480676217094</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0.40712672251059279</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0.40712672251059279</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0.38432077453860619</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0.38432077453860619</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0.47084994362694149</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0.47084994362694149</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0.41168514061562334</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0.41168514061562334</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0.41138760693317789</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0.41138760693317789</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0.23714063304972699</v>
      </c>
      <c r="G194" s="105"/>
      <c r="H194" s="60">
        <f t="shared" si="52"/>
        <v>0.23714063304972699</v>
      </c>
      <c r="I194" s="112">
        <f>IF(H194="","",IF($I$8="A",(RANK(H194,H$11:H$363,1)+COUNTIF(H$11:H194,H194)-1),(RANK(H194,H$11:H$363)+COUNTIF(H$11:H194,H194)-1)))</f>
        <v>53</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0.23714063304972699</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0.52232455565470282</v>
      </c>
      <c r="G195" s="105"/>
      <c r="H195" s="60">
        <f t="shared" si="52"/>
        <v>0.52232455565470282</v>
      </c>
      <c r="I195" s="112">
        <f>IF(H195="","",IF($I$8="A",(RANK(H195,H$11:H$363,1)+COUNTIF(H$11:H195,H195)-1),(RANK(H195,H$11:H$363)+COUNTIF(H$11:H195,H195)-1)))</f>
        <v>7</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0.52232455565470282</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0.5405503949767041</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0.5405503949767041</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0.2932020069609621</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0.2932020069609621</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0.26413758980308116</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0.26413758980308116</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0.41975214175336989</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0.41975214175336989</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0.50654546397059186</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0.50654546397059186</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0.18936844799423769</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0.18936844799423769</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0.44192481753714263</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0.44192481753714263</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t="str">
        <f t="shared" si="74"/>
        <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t="str">
        <f>HLOOKUP($AX$9&amp;$AX$10,Data!$A$1:$ZZ$2000,(MATCH($C204,Data!$A$1:$A$2000,0)),FALSE)</f>
        <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0.44051232814121277</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0.44051232814121277</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0.30711762654689895</v>
      </c>
      <c r="G206" s="105"/>
      <c r="H206" s="60">
        <f t="shared" si="75"/>
        <v>0.30711762654689895</v>
      </c>
      <c r="I206" s="112">
        <f>IF(H206="","",IF($I$8="A",(RANK(H206,H$11:H$363,1)+COUNTIF(H$11:H206,H206)-1),(RANK(H206,H$11:H$363)+COUNTIF(H$11:H206,H206)-1)))</f>
        <v>49</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0.30711762654689895</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0.53882918052775564</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0.53882918052775564</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0.46968855336437237</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0.46968855336437237</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0.43723004569511154</v>
      </c>
      <c r="G209" s="105"/>
      <c r="H209" s="60">
        <f t="shared" si="75"/>
        <v>0.43723004569511154</v>
      </c>
      <c r="I209" s="112">
        <f>IF(H209="","",IF($I$8="A",(RANK(H209,H$11:H$363,1)+COUNTIF(H$11:H209,H209)-1),(RANK(H209,H$11:H$363)+COUNTIF(H$11:H209,H209)-1)))</f>
        <v>23</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0.43723004569511154</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0.40229830163965252</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0.40229830163965252</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0.57460052905136394</v>
      </c>
      <c r="G211" s="105"/>
      <c r="H211" s="60">
        <f t="shared" si="75"/>
        <v>0.57460052905136394</v>
      </c>
      <c r="I211" s="112">
        <f>IF(H211="","",IF($I$8="A",(RANK(H211,H$11:H$363,1)+COUNTIF(H$11:H211,H211)-1),(RANK(H211,H$11:H$363)+COUNTIF(H$11:H211,H211)-1)))</f>
        <v>3</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0.57460052905136394</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0.36977655825137057</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0.36977655825137057</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0.34989963375417776</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0.34989963375417776</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0.45440541688878178</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0.45440541688878178</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0.41421424391378625</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0.41421424391378625</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0.3925337328047882</v>
      </c>
      <c r="G218" s="105"/>
      <c r="H218" s="60">
        <f t="shared" si="75"/>
        <v>0.3925337328047882</v>
      </c>
      <c r="I218" s="112">
        <f>IF(H218="","",IF($I$8="A",(RANK(H218,H$11:H$363,1)+COUNTIF(H$11:H218,H218)-1),(RANK(H218,H$11:H$363)+COUNTIF(H$11:H218,H218)-1)))</f>
        <v>37</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0.3925337328047882</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0.35482148429451738</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0.35482148429451738</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0.44986219135593902</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0.44986219135593902</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0.50016552231432265</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0.50016552231432265</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0.35297321757096001</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0.35297321757096001</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0.44017851692953913</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0.44017851692953913</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0.36965334868365812</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0.36965334868365812</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0.50682524587427735</v>
      </c>
      <c r="G227" s="105"/>
      <c r="H227" s="60">
        <f t="shared" si="75"/>
        <v>0.50682524587427735</v>
      </c>
      <c r="I227" s="112">
        <f>IF(H227="","",IF($I$8="A",(RANK(H227,H$11:H$363,1)+COUNTIF(H$11:H227,H227)-1),(RANK(H227,H$11:H$363)+COUNTIF(H$11:H227,H227)-1)))</f>
        <v>9</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0.50682524587427735</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0.33263194531459245</v>
      </c>
      <c r="G228" s="105"/>
      <c r="H228" s="60">
        <f t="shared" si="75"/>
        <v>0.33263194531459245</v>
      </c>
      <c r="I228" s="112">
        <f>IF(H228="","",IF($I$8="A",(RANK(H228,H$11:H$363,1)+COUNTIF(H$11:H228,H228)-1),(RANK(H228,H$11:H$363)+COUNTIF(H$11:H228,H228)-1)))</f>
        <v>47</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0.33263194531459245</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0.39502690565788479</v>
      </c>
      <c r="G229" s="105"/>
      <c r="H229" s="60">
        <f t="shared" si="75"/>
        <v>0.39502690565788479</v>
      </c>
      <c r="I229" s="112">
        <f>IF(H229="","",IF($I$8="A",(RANK(H229,H$11:H$363,1)+COUNTIF(H$11:H229,H229)-1),(RANK(H229,H$11:H$363)+COUNTIF(H$11:H229,H229)-1)))</f>
        <v>36</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0.39502690565788479</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0.22155958668976466</v>
      </c>
      <c r="G230" s="105"/>
      <c r="H230" s="60">
        <f t="shared" si="75"/>
        <v>0.22155958668976466</v>
      </c>
      <c r="I230" s="112">
        <f>IF(H230="","",IF($I$8="A",(RANK(H230,H$11:H$363,1)+COUNTIF(H$11:H230,H230)-1),(RANK(H230,H$11:H$363)+COUNTIF(H$11:H230,H230)-1)))</f>
        <v>55</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0.22155958668976466</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0.37593625042393197</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0.37593625042393197</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t="str">
        <f t="shared" si="74"/>
        <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t="str">
        <f>HLOOKUP($AX$9&amp;$AX$10,Data!$A$1:$ZZ$2000,(MATCH($C232,Data!$A$1:$A$2000,0)),FALSE)</f>
        <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0.34666756353240269</v>
      </c>
      <c r="G233" s="105"/>
      <c r="H233" s="60">
        <f t="shared" si="75"/>
        <v>0.34666756353240269</v>
      </c>
      <c r="I233" s="112">
        <f>IF(H233="","",IF($I$8="A",(RANK(H233,H$11:H$363,1)+COUNTIF(H$11:H233,H233)-1),(RANK(H233,H$11:H$363)+COUNTIF(H$11:H233,H233)-1)))</f>
        <v>44</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0.34666756353240269</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0.29171278248954463</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0.29171278248954463</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0.4350464243995889</v>
      </c>
      <c r="G235" s="105"/>
      <c r="H235" s="60">
        <f t="shared" si="75"/>
        <v>0.4350464243995889</v>
      </c>
      <c r="I235" s="112">
        <f>IF(H235="","",IF($I$8="A",(RANK(H235,H$11:H$363,1)+COUNTIF(H$11:H235,H235)-1),(RANK(H235,H$11:H$363)+COUNTIF(H$11:H235,H235)-1)))</f>
        <v>25</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0.4350464243995889</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0.2862747294909368</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0.2862747294909368</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0.51211632609720548</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0.51211632609720548</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0.36369247798887361</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0.36369247798887361</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0.43944057493335431</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0.43944057493335431</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0.41924813164071301</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0.41924813164071301</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0.32510243363613461</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0.32510243363613461</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0.65329833231114609</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0.65329833231114609</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0.32717772729779088</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0.32717772729779088</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0.44154275203705068</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0.44154275203705068</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0.40191849764733362</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0.40191849764733362</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0.47378652047576369</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0.47378652047576369</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0.41894524457330817</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0.41894524457330817</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0.49732871030509335</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0.49732871030509335</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0.25692859050968631</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0.25692859050968631</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0.58829808990422794</v>
      </c>
      <c r="G250" s="105"/>
      <c r="H250" s="60">
        <f t="shared" si="75"/>
        <v>0.58829808990422794</v>
      </c>
      <c r="I250" s="112">
        <f>IF(H250="","",IF($I$8="A",(RANK(H250,H$11:H$363,1)+COUNTIF(H$11:H250,H250)-1),(RANK(H250,H$11:H$363)+COUNTIF(H$11:H250,H250)-1)))</f>
        <v>1</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0.58829808990422794</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0.52377130415036999</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0.52377130415036999</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0.36675632827607474</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0.36675632827607474</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0.45078736226192634</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0.45078736226192634</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0.39245419622213185</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0.39245419622213185</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0.42835316445264981</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0.42835316445264981</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0.37577828153476722</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0.37577828153476722</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f>VLOOKUP(C257,classifications!C:K,9,FALSE)</f>
        <v>0</v>
      </c>
      <c r="F257" s="59">
        <f t="shared" si="74"/>
        <v>0.42214940722641003</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0.42214940722641003</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0.33089177654500207</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0.33089177654500207</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0.30454416657357136</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0.30454416657357136</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0.44378181884084683</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0.44378181884084683</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0.54567311231083349</v>
      </c>
      <c r="G261" s="105"/>
      <c r="H261" s="60">
        <f t="shared" si="75"/>
        <v>0.54567311231083349</v>
      </c>
      <c r="I261" s="112">
        <f>IF(H261="","",IF($I$8="A",(RANK(H261,H$11:H$363,1)+COUNTIF(H$11:H261,H261)-1),(RANK(H261,H$11:H$363)+COUNTIF(H$11:H261,H261)-1)))</f>
        <v>5</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0.54567311231083349</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0.29400485694264089</v>
      </c>
      <c r="G262" s="105"/>
      <c r="H262" s="60">
        <f t="shared" si="75"/>
        <v>0.29400485694264089</v>
      </c>
      <c r="I262" s="112">
        <f>IF(H262="","",IF($I$8="A",(RANK(H262,H$11:H$363,1)+COUNTIF(H$11:H262,H262)-1),(RANK(H262,H$11:H$363)+COUNTIF(H$11:H262,H262)-1)))</f>
        <v>50</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0.29400485694264089</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0.3991288726355921</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0.3991288726355921</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0.32244830318881101</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0.32244830318881101</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0.56434049235785344</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0.56434049235785344</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0.46306190257813401</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0.46306190257813401</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0.48621863286363803</v>
      </c>
      <c r="G268" s="105"/>
      <c r="H268" s="60">
        <f t="shared" si="99"/>
        <v>0.48621863286363803</v>
      </c>
      <c r="I268" s="112">
        <f>IF(H268="","",IF($I$8="A",(RANK(H268,H$11:H$363,1)+COUNTIF(H$11:H268,H268)-1),(RANK(H268,H$11:H$363)+COUNTIF(H$11:H268,H268)-1)))</f>
        <v>12</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0.48621863286363803</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0.5332396498295382</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0.5332396498295382</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0.29793915722720987</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0.29793915722720987</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0.46952088462267128</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0.46952088462267128</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0.43866041627051677</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0.43866041627051677</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0.38312867982390364</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0.38312867982390364</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0.53622084788206958</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0.53622084788206958</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0.65118483572056973</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0.65118483572056973</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0.50111737483813135</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0.50111737483813135</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0.4282260999306185</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0.4282260999306185</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0.53272427982063264</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0.53272427982063264</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0.3762752376085528</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0.3762752376085528</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0.23072572909035421</v>
      </c>
      <c r="G280" s="105"/>
      <c r="H280" s="60">
        <f t="shared" si="99"/>
        <v>0.23072572909035421</v>
      </c>
      <c r="I280" s="112">
        <f>IF(H280="","",IF($I$8="A",(RANK(H280,H$11:H$363,1)+COUNTIF(H$11:H280,H280)-1),(RANK(H280,H$11:H$363)+COUNTIF(H$11:H280,H280)-1)))</f>
        <v>54</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0.23072572909035421</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0.51205970565669245</v>
      </c>
      <c r="G281" s="105"/>
      <c r="H281" s="60">
        <f t="shared" si="99"/>
        <v>0.51205970565669245</v>
      </c>
      <c r="I281" s="112">
        <f>IF(H281="","",IF($I$8="A",(RANK(H281,H$11:H$363,1)+COUNTIF(H$11:H281,H281)-1),(RANK(H281,H$11:H$363)+COUNTIF(H$11:H281,H281)-1)))</f>
        <v>8</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0.51205970565669245</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0.32815829332053698</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0.32815829332053698</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0.41778234776948775</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0.41778234776948775</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0.44421310212071824</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0.44421310212071824</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0.51561473153118964</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0.51561473153118964</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0.33075070750969604</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0.33075070750969604</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0.52036390454221781</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0.52036390454221781</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0.50516124879436342</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0.50516124879436342</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0.3626602313237654</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0.3626602313237654</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0.6122045453749746</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0.6122045453749746</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0.28076358553961661</v>
      </c>
      <c r="G292" s="105"/>
      <c r="H292" s="60">
        <f t="shared" si="99"/>
        <v>0.28076358553961661</v>
      </c>
      <c r="I292" s="112">
        <f>IF(H292="","",IF($I$8="A",(RANK(H292,H$11:H$363,1)+COUNTIF(H$11:H292,H292)-1),(RANK(H292,H$11:H$363)+COUNTIF(H$11:H292,H292)-1)))</f>
        <v>51</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0.28076358553961661</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0.3417572312858847</v>
      </c>
      <c r="G293" s="105"/>
      <c r="H293" s="60">
        <f t="shared" si="99"/>
        <v>0.3417572312858847</v>
      </c>
      <c r="I293" s="112">
        <f>IF(H293="","",IF($I$8="A",(RANK(H293,H$11:H$363,1)+COUNTIF(H$11:H293,H293)-1),(RANK(H293,H$11:H$363)+COUNTIF(H$11:H293,H293)-1)))</f>
        <v>45</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0.3417572312858847</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0.59044933547207512</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0.59044933547207512</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0.31236152745215456</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0.31236152745215456</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0.57298829751580405</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0.57298829751580405</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0.32447105517957786</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0.32447105517957786</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0.59647566969556742</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0.59647566969556742</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0.36463934292450895</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0.36463934292450895</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0.3376495173796043</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0.3376495173796043</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0.43091243032436694</v>
      </c>
      <c r="G303" s="105"/>
      <c r="H303" s="60">
        <f t="shared" si="99"/>
        <v>0.43091243032436694</v>
      </c>
      <c r="I303" s="112">
        <f>IF(H303="","",IF($I$8="A",(RANK(H303,H$11:H$363,1)+COUNTIF(H$11:H303,H303)-1),(RANK(H303,H$11:H$363)+COUNTIF(H$11:H303,H303)-1)))</f>
        <v>26</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0.43091243032436694</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0.39314393099630796</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0.39314393099630796</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0.50897817256452216</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0.50897817256452216</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0.51151992832582693</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0.51151992832582693</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0.45021893703653526</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0.45021893703653526</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0.53586589069057322</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0.53586589069057322</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0.43662612434028858</v>
      </c>
      <c r="G309" s="105"/>
      <c r="H309" s="60">
        <f t="shared" si="99"/>
        <v>0.43662612434028858</v>
      </c>
      <c r="I309" s="112">
        <f>IF(H309="","",IF($I$8="A",(RANK(H309,H$11:H$363,1)+COUNTIF(H$11:H309,H309)-1),(RANK(H309,H$11:H$363)+COUNTIF(H$11:H309,H309)-1)))</f>
        <v>24</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0.43662612434028858</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0.27042873169469978</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0.27042873169469978</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0.3178994473442564</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0.3178994473442564</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0.52047292324430328</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0.52047292324430328</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0.26970649051657153</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0.26970649051657153</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0.4060642540507895</v>
      </c>
      <c r="G314" s="105"/>
      <c r="H314" s="60">
        <f t="shared" si="99"/>
        <v>0.4060642540507895</v>
      </c>
      <c r="I314" s="112">
        <f>IF(H314="","",IF($I$8="A",(RANK(H314,H$11:H$363,1)+COUNTIF(H$11:H314,H314)-1),(RANK(H314,H$11:H$363)+COUNTIF(H$11:H314,H314)-1)))</f>
        <v>32</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0.4060642540507895</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0.61984855778833381</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0.61984855778833381</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0.40438589673513053</v>
      </c>
      <c r="G316" s="105"/>
      <c r="H316" s="60">
        <f t="shared" si="99"/>
        <v>0.40438589673513053</v>
      </c>
      <c r="I316" s="112">
        <f>IF(H316="","",IF($I$8="A",(RANK(H316,H$11:H$363,1)+COUNTIF(H$11:H316,H316)-1),(RANK(H316,H$11:H$363)+COUNTIF(H$11:H316,H316)-1)))</f>
        <v>33</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0.40438589673513053</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0.42629811985770105</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0.42629811985770105</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0.42728650875045149</v>
      </c>
      <c r="G318" s="105"/>
      <c r="H318" s="60">
        <f t="shared" si="99"/>
        <v>0.42728650875045149</v>
      </c>
      <c r="I318" s="112">
        <f>IF(H318="","",IF($I$8="A",(RANK(H318,H$11:H$363,1)+COUNTIF(H$11:H318,H318)-1),(RANK(H318,H$11:H$363)+COUNTIF(H$11:H318,H318)-1)))</f>
        <v>27</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0.42728650875045149</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0.43201390958162272</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0.43201390958162272</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0.283737808859373</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0.283737808859373</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0.53918284646054504</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0.53918284646054504</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0.45843635493511053</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0.45843635493511053</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0.54353967007471726</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0.54353967007471726</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8"/>
        <v>0.64556302619622186</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0.64556302619622186</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0.39353957675386797</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0.39353957675386797</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0.41370276846499676</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0.41370276846499676</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0.31687525687142609</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0.31687525687142609</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0.20451348787438953</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0.20451348787438953</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0.48139441584100101</v>
      </c>
      <c r="G329" s="105"/>
      <c r="H329" s="60">
        <f t="shared" si="99"/>
        <v>0.48139441584100101</v>
      </c>
      <c r="I329" s="112">
        <f>IF(H329="","",IF($I$8="A",(RANK(H329,H$11:H$363,1)+COUNTIF(H$11:H329,H329)-1),(RANK(H329,H$11:H$363)+COUNTIF(H$11:H329,H329)-1)))</f>
        <v>14</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0.48139441584100101</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0.53901234066585657</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0.53901234066585657</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0.39640786562559083</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0.39640786562559083</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0.49753536585758185</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0.49753536585758185</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0.46920222069297918</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0.46920222069297918</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0.45162437296125946</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0.45162437296125946</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0.35882873139886329</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0.35882873139886329</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0.44301514231395306</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0.44301514231395306</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0.48531282575289414</v>
      </c>
      <c r="G338" s="105"/>
      <c r="H338" s="60">
        <f t="shared" si="122"/>
        <v>0.48531282575289414</v>
      </c>
      <c r="I338" s="112">
        <f>IF(H338="","",IF($I$8="A",(RANK(H338,H$11:H$363,1)+COUNTIF(H$11:H338,H338)-1),(RANK(H338,H$11:H$363)+COUNTIF(H$11:H338,H338)-1)))</f>
        <v>13</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0.48531282575289414</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0.5812661515536276</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0.5812661515536276</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t="str">
        <f t="shared" si="121"/>
        <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t="str">
        <f>HLOOKUP($AX$9&amp;$AX$10,Data!$A$1:$ZZ$2000,(MATCH($C340,Data!$A$1:$A$2000,0)),FALSE)</f>
        <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0.44268134518358143</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0.44268134518358143</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0.52381359247917092</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0.52381359247917092</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0.57400165181304652</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0.57400165181304652</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0.42914681952256295</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0.42914681952256295</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0.21137403067295926</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0.21137403067295926</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t="str">
        <f t="shared" si="121"/>
        <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t="str">
        <f>HLOOKUP($AX$9&amp;$AX$10,Data!$A$1:$ZZ$2000,(MATCH($C347,Data!$A$1:$A$2000,0)),FALSE)</f>
        <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0.51705639919545821</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0.51705639919545821</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0.43958887993231832</v>
      </c>
      <c r="G349" s="105"/>
      <c r="H349" s="60">
        <f t="shared" si="122"/>
        <v>0.43958887993231832</v>
      </c>
      <c r="I349" s="112">
        <f>IF(H349="","",IF($I$8="A",(RANK(H349,H$11:H$363,1)+COUNTIF(H$11:H349,H349)-1),(RANK(H349,H$11:H$363)+COUNTIF(H$11:H349,H349)-1)))</f>
        <v>20</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0.43958887993231832</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0.34858585025425942</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0.34858585025425942</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0.43739871441453498</v>
      </c>
      <c r="G351" s="105"/>
      <c r="H351" s="60">
        <f t="shared" si="122"/>
        <v>0.43739871441453498</v>
      </c>
      <c r="I351" s="112">
        <f>IF(H351="","",IF($I$8="A",(RANK(H351,H$11:H$363,1)+COUNTIF(H$11:H351,H351)-1),(RANK(H351,H$11:H$363)+COUNTIF(H$11:H351,H351)-1)))</f>
        <v>22</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0.43739871441453498</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0.37677771753016764</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0.37677771753016764</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0.55483760450082797</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0.55483760450082797</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0.39589004511820819</v>
      </c>
      <c r="G354" s="105"/>
      <c r="H354" s="60">
        <f t="shared" si="122"/>
        <v>0.39589004511820819</v>
      </c>
      <c r="I354" s="112">
        <f>IF(H354="","",IF($I$8="A",(RANK(H354,H$11:H$363,1)+COUNTIF(H$11:H354,H354)-1),(RANK(H354,H$11:H$363)+COUNTIF(H$11:H354,H354)-1)))</f>
        <v>35</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0.39589004511820819</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0.46283202691246056</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0.46283202691246056</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0.361140313656101</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0.361140313656101</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0.33951560472969966</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0.33951560472969966</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0.42850283056529531</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0.42850283056529531</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0.44173731661627863</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0.44173731661627863</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0.48973323365639199</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0.48973323365639199</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0.30730800424927796</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0.30730800424927796</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0.4548920190316959</v>
      </c>
      <c r="G363" s="105"/>
      <c r="H363" s="60">
        <f t="shared" si="122"/>
        <v>0.4548920190316959</v>
      </c>
      <c r="I363" s="112">
        <f>IF(H363="","",IF($I$8="A",(RANK(H363,H$11:H$363,1)+COUNTIF(H$11:H363,H363)-1),(RANK(H363,H$11:H$363)+COUNTIF(H$11:H363,H363)-1)))</f>
        <v>18</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0.4548920190316959</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D2" sqref="D2"/>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858</v>
      </c>
      <c r="B2" t="s">
        <v>820</v>
      </c>
      <c r="C2" t="s">
        <v>820</v>
      </c>
      <c r="D2" t="s">
        <v>897</v>
      </c>
      <c r="F2" t="s">
        <v>859</v>
      </c>
      <c r="G2" s="6"/>
      <c r="H2" s="6"/>
    </row>
    <row r="3" spans="1:8" ht="15">
      <c r="A3" s="269"/>
      <c r="F3" t="s">
        <v>860</v>
      </c>
      <c r="G3" s="6"/>
    </row>
    <row r="4" spans="1:8" ht="15">
      <c r="A4" s="269"/>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D5" sqref="D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Recycling RateAnnual up to 30 September 2013</v>
      </c>
      <c r="D1" s="188" t="str">
        <f t="shared" ref="D1:BO1" si="0">D4&amp;D5</f>
        <v>Recycling RateAnnual up to 31 December 2013</v>
      </c>
      <c r="E1" s="188" t="str">
        <f t="shared" si="0"/>
        <v/>
      </c>
      <c r="F1" s="188" t="str">
        <f t="shared" si="0"/>
        <v/>
      </c>
      <c r="G1" s="188" t="str">
        <f t="shared" si="0"/>
        <v/>
      </c>
      <c r="H1" s="188" t="str">
        <f t="shared" si="0"/>
        <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896</v>
      </c>
      <c r="D3" s="192"/>
      <c r="E3" s="192"/>
      <c r="L3" s="179"/>
      <c r="M3" s="162"/>
      <c r="N3" s="179"/>
      <c r="O3" s="195"/>
      <c r="P3" s="195"/>
      <c r="Q3" s="195"/>
      <c r="R3" s="162"/>
      <c r="S3" s="162"/>
      <c r="T3" s="162"/>
      <c r="U3" s="195"/>
      <c r="V3" s="360"/>
      <c r="W3" s="360"/>
      <c r="X3" s="179"/>
      <c r="Y3" s="179"/>
    </row>
    <row r="4" spans="1:77" ht="60" customHeight="1">
      <c r="A4" s="358" t="s">
        <v>830</v>
      </c>
      <c r="B4" s="190" t="s">
        <v>810</v>
      </c>
      <c r="C4" s="269" t="s">
        <v>858</v>
      </c>
      <c r="D4" s="269" t="s">
        <v>858</v>
      </c>
      <c r="E4" s="269"/>
      <c r="F4" s="269"/>
      <c r="G4" s="269"/>
      <c r="H4" s="269"/>
      <c r="I4" s="181"/>
      <c r="J4" s="183"/>
      <c r="K4" s="183"/>
      <c r="L4" s="179"/>
      <c r="M4" s="183"/>
      <c r="N4" s="179"/>
      <c r="O4" s="181"/>
      <c r="P4" s="181"/>
      <c r="Q4" s="181"/>
      <c r="R4" s="183"/>
      <c r="S4" s="183"/>
      <c r="T4" s="183"/>
      <c r="U4" s="181"/>
      <c r="V4" s="361"/>
      <c r="W4" s="361"/>
      <c r="X4" s="179"/>
      <c r="Y4" s="179"/>
    </row>
    <row r="5" spans="1:77" ht="30" customHeight="1">
      <c r="A5" s="359"/>
      <c r="B5" s="191" t="s">
        <v>369</v>
      </c>
      <c r="C5" s="269" t="s">
        <v>859</v>
      </c>
      <c r="D5" s="269" t="s">
        <v>860</v>
      </c>
      <c r="E5" s="269"/>
      <c r="F5" s="269"/>
      <c r="G5" s="269"/>
      <c r="H5" s="269"/>
      <c r="I5" s="182"/>
      <c r="J5" s="165"/>
      <c r="K5" s="165"/>
      <c r="L5" s="179"/>
      <c r="M5" s="165"/>
      <c r="N5" s="179"/>
      <c r="O5" s="182"/>
      <c r="P5" s="182"/>
      <c r="Q5" s="182"/>
      <c r="R5" s="165"/>
      <c r="S5" s="165"/>
      <c r="T5" s="165"/>
      <c r="U5" s="182"/>
      <c r="V5" s="362"/>
      <c r="W5" s="362"/>
      <c r="X5" s="179"/>
      <c r="Y5" s="179"/>
    </row>
    <row r="6" spans="1:77" ht="14.65" customHeight="1">
      <c r="A6" s="359"/>
      <c r="B6" s="191" t="s">
        <v>370</v>
      </c>
      <c r="C6" s="217" t="s">
        <v>895</v>
      </c>
      <c r="D6" s="217" t="s">
        <v>895</v>
      </c>
      <c r="E6" s="217"/>
      <c r="F6" s="217"/>
      <c r="G6" s="217"/>
      <c r="H6" s="217"/>
      <c r="I6" s="182"/>
      <c r="J6" s="165"/>
      <c r="K6" s="165"/>
      <c r="L6" s="179"/>
      <c r="M6" s="165"/>
      <c r="N6" s="179"/>
      <c r="O6" s="182"/>
      <c r="P6" s="182"/>
      <c r="Q6" s="182"/>
      <c r="R6" s="165"/>
      <c r="S6" s="165"/>
      <c r="T6" s="165"/>
      <c r="U6" s="181"/>
      <c r="V6" s="361"/>
      <c r="W6" s="361"/>
      <c r="X6" s="179"/>
      <c r="Y6" s="179"/>
    </row>
    <row r="7" spans="1:77" ht="14.65" customHeight="1">
      <c r="A7" s="186" t="s">
        <v>4</v>
      </c>
      <c r="B7" s="186"/>
      <c r="C7">
        <v>0.32610088242189328</v>
      </c>
      <c r="D7">
        <v>0.32464445363906108</v>
      </c>
      <c r="E7"/>
      <c r="F7"/>
      <c r="G7"/>
      <c r="H7"/>
      <c r="I7" s="202"/>
      <c r="J7" s="165"/>
      <c r="K7" s="165"/>
      <c r="L7" s="179"/>
      <c r="M7" s="165"/>
      <c r="N7" s="179"/>
      <c r="O7" s="202"/>
      <c r="P7" s="202"/>
      <c r="Q7" s="202"/>
      <c r="R7" s="165"/>
      <c r="S7" s="165"/>
      <c r="T7" s="165"/>
      <c r="U7" s="201"/>
      <c r="V7" s="166"/>
      <c r="W7" s="166"/>
      <c r="X7" s="179"/>
      <c r="Y7" s="179"/>
    </row>
    <row r="8" spans="1:77" ht="14.65" customHeight="1">
      <c r="A8" s="186" t="s">
        <v>6</v>
      </c>
      <c r="B8" s="186"/>
      <c r="C8">
        <v>0.40391102142588203</v>
      </c>
      <c r="D8">
        <v>0.39391001938844622</v>
      </c>
      <c r="E8"/>
      <c r="F8"/>
      <c r="G8"/>
      <c r="H8"/>
      <c r="I8" s="202"/>
      <c r="J8" s="165"/>
      <c r="K8" s="165"/>
      <c r="L8" s="179"/>
      <c r="M8" s="165"/>
      <c r="N8" s="179"/>
      <c r="O8" s="202"/>
      <c r="P8" s="202"/>
      <c r="Q8" s="202"/>
      <c r="R8" s="165"/>
      <c r="S8" s="165"/>
      <c r="T8" s="165"/>
      <c r="U8" s="201"/>
      <c r="V8" s="166"/>
      <c r="W8" s="166"/>
      <c r="X8" s="179"/>
      <c r="Y8" s="179"/>
    </row>
    <row r="9" spans="1:77" ht="14.65" customHeight="1">
      <c r="A9" s="186" t="s">
        <v>7</v>
      </c>
      <c r="B9" s="186"/>
      <c r="C9">
        <v>0.3202093327910297</v>
      </c>
      <c r="D9">
        <v>0.33039160133664547</v>
      </c>
      <c r="E9"/>
      <c r="F9"/>
      <c r="G9"/>
      <c r="H9"/>
      <c r="I9" s="202"/>
      <c r="J9" s="165"/>
      <c r="K9" s="165"/>
      <c r="L9" s="179"/>
      <c r="M9" s="165"/>
      <c r="N9" s="179"/>
      <c r="O9" s="202"/>
      <c r="P9" s="202"/>
      <c r="Q9" s="202"/>
      <c r="R9" s="165"/>
      <c r="S9" s="165"/>
      <c r="T9" s="165"/>
      <c r="U9" s="201"/>
      <c r="V9" s="166"/>
      <c r="W9" s="166"/>
      <c r="X9" s="179"/>
      <c r="Y9" s="179"/>
    </row>
    <row r="10" spans="1:77" ht="14.65" customHeight="1">
      <c r="A10" s="186" t="s">
        <v>8</v>
      </c>
      <c r="B10" s="186"/>
      <c r="C10">
        <v>0.36114733601721821</v>
      </c>
      <c r="D10">
        <v>0.36262048497229343</v>
      </c>
      <c r="E10"/>
      <c r="F10"/>
      <c r="G10"/>
      <c r="H10"/>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0.33709476083080997</v>
      </c>
      <c r="D11">
        <v>0.33073007630028972</v>
      </c>
      <c r="E11"/>
      <c r="F11"/>
      <c r="G11"/>
      <c r="H11"/>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0.21605959544449682</v>
      </c>
      <c r="D12">
        <v>0.32034190407958318</v>
      </c>
      <c r="E12"/>
      <c r="F12"/>
      <c r="G12"/>
      <c r="H12"/>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0.50373812937835438</v>
      </c>
      <c r="D13">
        <v>0.5029122977388315</v>
      </c>
      <c r="E13"/>
      <c r="F13"/>
      <c r="G13"/>
      <c r="H13"/>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t="str">
        <f>""</f>
        <v/>
      </c>
      <c r="D14" t="str">
        <f>""</f>
        <v/>
      </c>
      <c r="E14"/>
      <c r="F14"/>
      <c r="G14"/>
      <c r="H14"/>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0.25792766906296866</v>
      </c>
      <c r="D15">
        <v>0.25795005194343751</v>
      </c>
      <c r="E15"/>
      <c r="F15"/>
      <c r="G15"/>
      <c r="H15"/>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0.32843247523070612</v>
      </c>
      <c r="D16">
        <v>0.34503699746083094</v>
      </c>
      <c r="E16"/>
      <c r="F16"/>
      <c r="G16"/>
      <c r="H16"/>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0.52915754023704298</v>
      </c>
      <c r="D17">
        <v>0.52704085594692751</v>
      </c>
      <c r="E17"/>
      <c r="F17"/>
      <c r="G17"/>
      <c r="H17"/>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0.34986426581455199</v>
      </c>
      <c r="D18">
        <v>0.34531330995385356</v>
      </c>
      <c r="E18"/>
      <c r="F18"/>
      <c r="G18"/>
      <c r="H18"/>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0.52035700526590223</v>
      </c>
      <c r="D19">
        <v>0.52276812178701038</v>
      </c>
      <c r="E19"/>
      <c r="F19"/>
      <c r="G19"/>
      <c r="H19"/>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0.25214551771578653</v>
      </c>
      <c r="D20">
        <v>0.25335093538026882</v>
      </c>
      <c r="E20"/>
      <c r="F20"/>
      <c r="G20"/>
      <c r="H20"/>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0.22420145313283998</v>
      </c>
      <c r="D21">
        <v>0.21784061801790128</v>
      </c>
      <c r="E21"/>
      <c r="F21"/>
      <c r="G21"/>
      <c r="H21"/>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0.45739225894622171</v>
      </c>
      <c r="D22">
        <v>0.46600685215803278</v>
      </c>
      <c r="E22"/>
      <c r="F22"/>
      <c r="G22"/>
      <c r="H22"/>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0.38295275569001741</v>
      </c>
      <c r="D23">
        <v>0.38182428932161844</v>
      </c>
      <c r="E23"/>
      <c r="F23"/>
      <c r="G23"/>
      <c r="H23"/>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0.53913240967247666</v>
      </c>
      <c r="D24">
        <v>0.54622495706682583</v>
      </c>
      <c r="E24"/>
      <c r="F24"/>
      <c r="G24"/>
      <c r="H24"/>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0.29114079674627424</v>
      </c>
      <c r="D25">
        <v>0.28440110926869172</v>
      </c>
      <c r="E25"/>
      <c r="F25"/>
      <c r="G25"/>
      <c r="H25"/>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0.51289539048276489</v>
      </c>
      <c r="D26">
        <v>0.5002392463546862</v>
      </c>
      <c r="E26"/>
      <c r="F26"/>
      <c r="G26"/>
      <c r="H26"/>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0.42291670962562256</v>
      </c>
      <c r="D27">
        <v>0.40714963774323126</v>
      </c>
      <c r="E27"/>
      <c r="F27"/>
      <c r="G27"/>
      <c r="H27"/>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0.4056885873585982</v>
      </c>
      <c r="D28">
        <v>0.40710630466772213</v>
      </c>
      <c r="E28"/>
      <c r="F28"/>
      <c r="G28"/>
      <c r="H28"/>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0.40997455821350243</v>
      </c>
      <c r="D29">
        <v>0.40682888126483935</v>
      </c>
      <c r="E29"/>
      <c r="F29"/>
      <c r="G29"/>
      <c r="H29"/>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0.33800168999055513</v>
      </c>
      <c r="D30">
        <v>0.35414701583255315</v>
      </c>
      <c r="E30"/>
      <c r="F30"/>
      <c r="G30"/>
      <c r="H30"/>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0.41265930481251978</v>
      </c>
      <c r="D31">
        <v>0.40951715736173472</v>
      </c>
      <c r="E31"/>
      <c r="F31"/>
      <c r="G31"/>
      <c r="H31"/>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0.47085254727491899</v>
      </c>
      <c r="D32">
        <v>0.4656414118108585</v>
      </c>
      <c r="E32"/>
      <c r="F32"/>
      <c r="G32"/>
      <c r="H32"/>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0.36579681649649676</v>
      </c>
      <c r="D33">
        <v>0.36451020910806387</v>
      </c>
      <c r="E33"/>
      <c r="F33"/>
      <c r="G33"/>
      <c r="H33"/>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0.5216214725291789</v>
      </c>
      <c r="D34">
        <v>0.51457834598399477</v>
      </c>
      <c r="E34"/>
      <c r="F34"/>
      <c r="G34"/>
      <c r="H34"/>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0.56005679708854239</v>
      </c>
      <c r="D35">
        <v>0.55868363690593636</v>
      </c>
      <c r="E35"/>
      <c r="F35"/>
      <c r="G35"/>
      <c r="H35"/>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0.35673261253682709</v>
      </c>
      <c r="D36">
        <v>0.3630350603404835</v>
      </c>
      <c r="E36"/>
      <c r="F36"/>
      <c r="G36"/>
      <c r="H36"/>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0.40958473830179876</v>
      </c>
      <c r="D37">
        <v>0.40635520149002652</v>
      </c>
      <c r="E37"/>
      <c r="F37"/>
      <c r="G37"/>
      <c r="H37"/>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0.48749106571918338</v>
      </c>
      <c r="D38">
        <v>0.49073264391730104</v>
      </c>
      <c r="E38"/>
      <c r="F38"/>
      <c r="G38"/>
      <c r="H38"/>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0.2573386451505198</v>
      </c>
      <c r="D39">
        <v>0.25642376295637437</v>
      </c>
      <c r="E39"/>
      <c r="F39"/>
      <c r="G39"/>
      <c r="H39"/>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0.43359053220296345</v>
      </c>
      <c r="D40">
        <v>0.42011444984246465</v>
      </c>
      <c r="E40"/>
      <c r="F40"/>
      <c r="G40"/>
      <c r="H40"/>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0.43058070187090808</v>
      </c>
      <c r="D41">
        <v>0.43543051811522748</v>
      </c>
      <c r="E41"/>
      <c r="F41"/>
      <c r="G41"/>
      <c r="H41"/>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0.49157604205008715</v>
      </c>
      <c r="D42">
        <v>0.50042248585660343</v>
      </c>
      <c r="E42"/>
      <c r="F42"/>
      <c r="G42"/>
      <c r="H42"/>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0.39900767255934277</v>
      </c>
      <c r="D43">
        <v>0.40011611389676033</v>
      </c>
      <c r="E43"/>
      <c r="F43"/>
      <c r="G43"/>
      <c r="H43"/>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0.33347363933922636</v>
      </c>
      <c r="D44">
        <v>0.34015456555451218</v>
      </c>
      <c r="E44"/>
      <c r="F44"/>
      <c r="G44"/>
      <c r="H44"/>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0.40697779859203892</v>
      </c>
      <c r="D45">
        <v>0.39904156885956815</v>
      </c>
      <c r="E45"/>
      <c r="F45"/>
      <c r="G45"/>
      <c r="H45"/>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0.32694632914659183</v>
      </c>
      <c r="D46">
        <v>0.32519275309186069</v>
      </c>
      <c r="E46"/>
      <c r="F46"/>
      <c r="G46"/>
      <c r="H46"/>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0.42843056133341267</v>
      </c>
      <c r="D47">
        <v>0.43033349731791193</v>
      </c>
      <c r="E47"/>
      <c r="F47"/>
      <c r="G47"/>
      <c r="H47"/>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0.60804920259537865</v>
      </c>
      <c r="D48">
        <v>0.60609470352471861</v>
      </c>
      <c r="E48"/>
      <c r="F48"/>
      <c r="G48"/>
      <c r="H48"/>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0.43215627522708083</v>
      </c>
      <c r="D49">
        <v>0.43355782695233103</v>
      </c>
      <c r="E49"/>
      <c r="F49"/>
      <c r="G49"/>
      <c r="H49"/>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0.28883870856558813</v>
      </c>
      <c r="D50">
        <v>0.29370450740928655</v>
      </c>
      <c r="E50"/>
      <c r="F50"/>
      <c r="G50"/>
      <c r="H50"/>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0.5095395431192784</v>
      </c>
      <c r="D51">
        <v>0.50859693659828753</v>
      </c>
      <c r="E51"/>
      <c r="F51"/>
      <c r="G51"/>
      <c r="H51"/>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0.44371581161825269</v>
      </c>
      <c r="D52">
        <v>0.46966755336824112</v>
      </c>
      <c r="E52"/>
      <c r="F52"/>
      <c r="G52"/>
      <c r="H52"/>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0.43728508089259865</v>
      </c>
      <c r="D53">
        <v>0.43610887070435755</v>
      </c>
      <c r="E53"/>
      <c r="F53"/>
      <c r="G53"/>
      <c r="H53"/>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0.54318130187338198</v>
      </c>
      <c r="D54">
        <v>0.54256280657942113</v>
      </c>
      <c r="E54"/>
      <c r="F54"/>
      <c r="G54"/>
      <c r="H54"/>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0.49782754595751499</v>
      </c>
      <c r="D55">
        <v>0.49563625960536062</v>
      </c>
      <c r="E55"/>
      <c r="F55"/>
      <c r="G55"/>
      <c r="H55"/>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0.48971604987124906</v>
      </c>
      <c r="D56">
        <v>0.48973120050720026</v>
      </c>
      <c r="E56"/>
      <c r="F56"/>
      <c r="G56"/>
      <c r="H56"/>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0.44911376275911569</v>
      </c>
      <c r="D57">
        <v>0.4522244235411213</v>
      </c>
      <c r="E57"/>
      <c r="F57"/>
      <c r="G57"/>
      <c r="H57"/>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0.4501346343348443</v>
      </c>
      <c r="D58">
        <v>0.4508252787519676</v>
      </c>
      <c r="E58"/>
      <c r="F58"/>
      <c r="G58"/>
      <c r="H58"/>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0.52880052728770865</v>
      </c>
      <c r="D59">
        <v>0.53403052317554423</v>
      </c>
      <c r="E59"/>
      <c r="F59"/>
      <c r="G59"/>
      <c r="H59"/>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0.53187015303900231</v>
      </c>
      <c r="D60">
        <v>0.52732715809009245</v>
      </c>
      <c r="E60"/>
      <c r="F60"/>
      <c r="G60"/>
      <c r="H60"/>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0.61400368162352637</v>
      </c>
      <c r="D61">
        <v>0.58242844134142446</v>
      </c>
      <c r="E61"/>
      <c r="F61"/>
      <c r="G61"/>
      <c r="H61"/>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0.39668681361009989</v>
      </c>
      <c r="D62">
        <v>0.40326265616733459</v>
      </c>
      <c r="E62"/>
      <c r="F62"/>
      <c r="G62"/>
      <c r="H62"/>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0.39353056424421656</v>
      </c>
      <c r="D63">
        <v>0.39524306705409606</v>
      </c>
      <c r="E63"/>
      <c r="F63"/>
      <c r="G63"/>
      <c r="H63"/>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0.46093545494654892</v>
      </c>
      <c r="D64">
        <v>0.50064436461788986</v>
      </c>
      <c r="E64"/>
      <c r="F64"/>
      <c r="G64"/>
      <c r="H64"/>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0.48009485705050997</v>
      </c>
      <c r="D65">
        <v>0.48405912589524425</v>
      </c>
      <c r="E65"/>
      <c r="F65"/>
      <c r="G65"/>
      <c r="H65"/>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t="str">
        <f>""</f>
        <v/>
      </c>
      <c r="D66" t="str">
        <f>""</f>
        <v/>
      </c>
      <c r="E66"/>
      <c r="F66"/>
      <c r="G66"/>
      <c r="H66"/>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0.39279261906918023</v>
      </c>
      <c r="D67">
        <v>0.39071548537009293</v>
      </c>
      <c r="E67"/>
      <c r="F67"/>
      <c r="G67"/>
      <c r="H67"/>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0.39539406871732746</v>
      </c>
      <c r="D68">
        <v>0.40096282433707831</v>
      </c>
      <c r="E68"/>
      <c r="F68"/>
      <c r="G68"/>
      <c r="H68"/>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0.36320874352233001</v>
      </c>
      <c r="D69">
        <v>0.33995441281138788</v>
      </c>
      <c r="E69"/>
      <c r="F69"/>
      <c r="G69"/>
      <c r="H69"/>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0.45917743838151165</v>
      </c>
      <c r="D70">
        <v>0.45790140832206427</v>
      </c>
      <c r="E70"/>
      <c r="F70"/>
      <c r="G70"/>
      <c r="H70"/>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0.34495920811689645</v>
      </c>
      <c r="D71">
        <v>0.35147819318354823</v>
      </c>
      <c r="E71"/>
      <c r="F71"/>
      <c r="G71"/>
      <c r="H71"/>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0.57870992431450374</v>
      </c>
      <c r="D72">
        <v>0.57922055377625037</v>
      </c>
      <c r="E72"/>
      <c r="F72"/>
      <c r="G72"/>
      <c r="H72"/>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0.44222777083856851</v>
      </c>
      <c r="D73">
        <v>0.43897448266216715</v>
      </c>
      <c r="E73"/>
      <c r="F73"/>
      <c r="G73"/>
      <c r="H73"/>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0.35673459243490568</v>
      </c>
      <c r="D74">
        <v>0.35507147520050092</v>
      </c>
      <c r="E74"/>
      <c r="F74"/>
      <c r="G74"/>
      <c r="H74"/>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0.42260529294681742</v>
      </c>
      <c r="D75">
        <v>0.40959044243984077</v>
      </c>
      <c r="E75"/>
      <c r="F75"/>
      <c r="G75"/>
      <c r="H75"/>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0.25492697117913937</v>
      </c>
      <c r="D76">
        <v>0.2511515081041622</v>
      </c>
      <c r="E76"/>
      <c r="F76"/>
      <c r="G76"/>
      <c r="H76"/>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0.43456016072849435</v>
      </c>
      <c r="D77">
        <v>0.43102713040773616</v>
      </c>
      <c r="E77"/>
      <c r="F77"/>
      <c r="G77"/>
      <c r="H77"/>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0.45741209518006143</v>
      </c>
      <c r="D78">
        <v>0.46252657680928488</v>
      </c>
      <c r="E78"/>
      <c r="F78"/>
      <c r="G78"/>
      <c r="H78"/>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0.37142064143166875</v>
      </c>
      <c r="D79">
        <v>0.34831571466658606</v>
      </c>
      <c r="E79"/>
      <c r="F79"/>
      <c r="G79"/>
      <c r="H79"/>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0.26513543021183672</v>
      </c>
      <c r="D80">
        <v>0.263420547718067</v>
      </c>
      <c r="E80"/>
      <c r="F80"/>
      <c r="G80"/>
      <c r="H80"/>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0.49024262448303663</v>
      </c>
      <c r="D81">
        <v>0.49231653058761893</v>
      </c>
      <c r="E81"/>
      <c r="F81"/>
      <c r="G81"/>
      <c r="H81"/>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0.45406541628567854</v>
      </c>
      <c r="D82">
        <v>0.44388570464861532</v>
      </c>
      <c r="E82"/>
      <c r="F82"/>
      <c r="G82"/>
      <c r="H82"/>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0.5531105209180921</v>
      </c>
      <c r="D83">
        <v>0.55737350137279751</v>
      </c>
      <c r="E83"/>
      <c r="F83"/>
      <c r="G83"/>
      <c r="H83"/>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0.39846824926686486</v>
      </c>
      <c r="D84">
        <v>0.39922527299568505</v>
      </c>
      <c r="E84"/>
      <c r="F84"/>
      <c r="G84"/>
      <c r="H84"/>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0.44223715329953328</v>
      </c>
      <c r="D85">
        <v>0.44126208942375339</v>
      </c>
      <c r="E85"/>
      <c r="F85"/>
      <c r="G85"/>
      <c r="H85"/>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0.36201186731564944</v>
      </c>
      <c r="D86">
        <v>0.36126034053531009</v>
      </c>
      <c r="E86"/>
      <c r="F86"/>
      <c r="G86"/>
      <c r="H86"/>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0.40968785053537832</v>
      </c>
      <c r="D87">
        <v>0.41712794843544415</v>
      </c>
      <c r="E87"/>
      <c r="F87"/>
      <c r="G87"/>
      <c r="H87"/>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0.3431272572194044</v>
      </c>
      <c r="D88">
        <v>0.39836315160581182</v>
      </c>
      <c r="E88"/>
      <c r="F88"/>
      <c r="G88"/>
      <c r="H88"/>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0.44473073891495735</v>
      </c>
      <c r="D89">
        <v>0.44212446550465684</v>
      </c>
      <c r="E89"/>
      <c r="F89"/>
      <c r="G89"/>
      <c r="H89"/>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t="str">
        <f>""</f>
        <v/>
      </c>
      <c r="D90" t="str">
        <f>""</f>
        <v/>
      </c>
      <c r="E90"/>
      <c r="F90"/>
      <c r="G90"/>
      <c r="H90"/>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0.33325951526522796</v>
      </c>
      <c r="D91">
        <v>0.33162279072504647</v>
      </c>
      <c r="E91"/>
      <c r="F91"/>
      <c r="G91"/>
      <c r="H91"/>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0.45904396796369146</v>
      </c>
      <c r="D92">
        <v>0.47191504483103835</v>
      </c>
      <c r="E92"/>
      <c r="F92"/>
      <c r="G92"/>
      <c r="H92"/>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0.51017954099802276</v>
      </c>
      <c r="D93">
        <v>0.50589790344248331</v>
      </c>
      <c r="E93"/>
      <c r="F93"/>
      <c r="G93"/>
      <c r="H93"/>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0.48029616241826445</v>
      </c>
      <c r="D94">
        <v>0.46515145918944023</v>
      </c>
      <c r="E94"/>
      <c r="F94"/>
      <c r="G94"/>
      <c r="H94"/>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0.54958870347489119</v>
      </c>
      <c r="D95">
        <v>0.55642925601097826</v>
      </c>
      <c r="E95"/>
      <c r="F95"/>
      <c r="G95"/>
      <c r="H95"/>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0.51805117487469343</v>
      </c>
      <c r="D96">
        <v>0.52131497374889912</v>
      </c>
      <c r="E96"/>
      <c r="F96"/>
      <c r="G96"/>
      <c r="H96"/>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0.3172715236000378</v>
      </c>
      <c r="D97">
        <v>0.32657661267976229</v>
      </c>
      <c r="E97"/>
      <c r="F97"/>
      <c r="G97"/>
      <c r="H97"/>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0.3977546833268395</v>
      </c>
      <c r="D98">
        <v>0.39485463379932256</v>
      </c>
      <c r="E98"/>
      <c r="F98"/>
      <c r="G98"/>
      <c r="H98"/>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0.44156317898754105</v>
      </c>
      <c r="D99">
        <v>0.44611425460025184</v>
      </c>
      <c r="E99"/>
      <c r="F99"/>
      <c r="G99"/>
      <c r="H99"/>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0.50102906936049518</v>
      </c>
      <c r="D100">
        <v>0.49014864747018555</v>
      </c>
      <c r="E100"/>
      <c r="F100"/>
      <c r="G100"/>
      <c r="H100"/>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0.38806847075697815</v>
      </c>
      <c r="D101">
        <v>0.39042659059760898</v>
      </c>
      <c r="E101"/>
      <c r="F101"/>
      <c r="G101"/>
      <c r="H101"/>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0.58263051127625964</v>
      </c>
      <c r="D102">
        <v>0.58188271086931764</v>
      </c>
      <c r="E102"/>
      <c r="F102"/>
      <c r="G102"/>
      <c r="H102"/>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0.46145374778060755</v>
      </c>
      <c r="D103">
        <v>0.45932832064826451</v>
      </c>
      <c r="E103"/>
      <c r="F103"/>
      <c r="G103"/>
      <c r="H103"/>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0.39239626271188038</v>
      </c>
      <c r="D104">
        <v>0.39404754674182163</v>
      </c>
      <c r="E104"/>
      <c r="F104"/>
      <c r="G104"/>
      <c r="H104"/>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0.3447676087226379</v>
      </c>
      <c r="D105">
        <v>0.34332282664805536</v>
      </c>
      <c r="E105"/>
      <c r="F105"/>
      <c r="G105"/>
      <c r="H105"/>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0.35538719699767951</v>
      </c>
      <c r="D106">
        <v>0.35071076469735546</v>
      </c>
      <c r="E106"/>
      <c r="F106"/>
      <c r="G106"/>
      <c r="H106"/>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0.50563075035002969</v>
      </c>
      <c r="D107">
        <v>0.50749649204635439</v>
      </c>
      <c r="E107"/>
      <c r="F107"/>
      <c r="G107"/>
      <c r="H107"/>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0.45857682600753147</v>
      </c>
      <c r="D108">
        <v>0.45523923622037493</v>
      </c>
      <c r="E108"/>
      <c r="F108"/>
      <c r="G108"/>
      <c r="H108"/>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0.48684875096335134</v>
      </c>
      <c r="D109">
        <v>0.48336881123709607</v>
      </c>
      <c r="E109"/>
      <c r="F109"/>
      <c r="G109"/>
      <c r="H109"/>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0.47266407782956094</v>
      </c>
      <c r="D110">
        <v>0.47922582644776657</v>
      </c>
      <c r="E110"/>
      <c r="F110"/>
      <c r="G110"/>
      <c r="H110"/>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0.36495521993422475</v>
      </c>
      <c r="D111">
        <v>0.36930862890811084</v>
      </c>
      <c r="E111"/>
      <c r="F111"/>
      <c r="G111"/>
      <c r="H111"/>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0.36219825971990544</v>
      </c>
      <c r="D112">
        <v>0.36101528557289481</v>
      </c>
      <c r="E112"/>
      <c r="F112"/>
      <c r="G112"/>
      <c r="H112"/>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0.36731494913265494</v>
      </c>
      <c r="D113">
        <v>0.36293595070348034</v>
      </c>
      <c r="E113"/>
      <c r="F113"/>
      <c r="G113"/>
      <c r="H113"/>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0.23856613118286399</v>
      </c>
      <c r="D114">
        <v>0.23823357418658847</v>
      </c>
      <c r="E114"/>
      <c r="F114"/>
      <c r="G114"/>
      <c r="H114"/>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0.248280976410441</v>
      </c>
      <c r="D115">
        <v>0.24634431087987116</v>
      </c>
      <c r="E115"/>
      <c r="F115"/>
      <c r="G115"/>
      <c r="H115"/>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0.26676580690588558</v>
      </c>
      <c r="D116">
        <v>0.26700418121028169</v>
      </c>
      <c r="E116"/>
      <c r="F116"/>
      <c r="G116"/>
      <c r="H116"/>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0.38719174893603081</v>
      </c>
      <c r="D117">
        <v>0.39035301959980412</v>
      </c>
      <c r="E117"/>
      <c r="F117"/>
      <c r="G117"/>
      <c r="H117"/>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0.53662079819785591</v>
      </c>
      <c r="D118">
        <v>0.52646359256159647</v>
      </c>
      <c r="E118"/>
      <c r="F118"/>
      <c r="G118"/>
      <c r="H118"/>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0.24777203053071029</v>
      </c>
      <c r="D119">
        <v>0.25173983211419271</v>
      </c>
      <c r="E119"/>
      <c r="F119"/>
      <c r="G119"/>
      <c r="H119"/>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0.37638769184586957</v>
      </c>
      <c r="D120">
        <v>0.39235299150687641</v>
      </c>
      <c r="E120"/>
      <c r="F120"/>
      <c r="G120"/>
      <c r="H120"/>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0.45306471125617725</v>
      </c>
      <c r="D121">
        <v>0.45422206298507395</v>
      </c>
      <c r="E121"/>
      <c r="F121"/>
      <c r="G121"/>
      <c r="H121"/>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0.19353705597034843</v>
      </c>
      <c r="D122">
        <v>0.19641378588000044</v>
      </c>
      <c r="E122"/>
      <c r="F122"/>
      <c r="G122"/>
      <c r="H122"/>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0.5589546731164321</v>
      </c>
      <c r="D123">
        <v>0.56007867487774032</v>
      </c>
      <c r="E123"/>
      <c r="F123"/>
      <c r="G123"/>
      <c r="H123"/>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0.33108041166859559</v>
      </c>
      <c r="D124">
        <v>0.34669496529469618</v>
      </c>
      <c r="E124"/>
      <c r="F124"/>
      <c r="G124"/>
      <c r="H124"/>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0.47558374625787031</v>
      </c>
      <c r="D125">
        <v>0.46733005335891115</v>
      </c>
      <c r="E125"/>
      <c r="F125"/>
      <c r="G125"/>
      <c r="H125"/>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0.36586498020610025</v>
      </c>
      <c r="D126">
        <v>0.38881086148537686</v>
      </c>
      <c r="E126"/>
      <c r="F126"/>
      <c r="G126"/>
      <c r="H126"/>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0.47108885519154586</v>
      </c>
      <c r="D127">
        <v>0.48793125987901548</v>
      </c>
      <c r="E127"/>
      <c r="F127"/>
      <c r="G127"/>
      <c r="H127"/>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0.37253481238040165</v>
      </c>
      <c r="D128">
        <v>0.36549588253554421</v>
      </c>
      <c r="E128"/>
      <c r="F128"/>
      <c r="G128"/>
      <c r="H128"/>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0.39788629685106602</v>
      </c>
      <c r="D129">
        <v>0.4002717350172954</v>
      </c>
      <c r="E129"/>
      <c r="F129"/>
      <c r="G129"/>
      <c r="H129"/>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0.23653528670590473</v>
      </c>
      <c r="D130">
        <v>0.24662687204590461</v>
      </c>
      <c r="E130"/>
      <c r="F130"/>
      <c r="G130"/>
      <c r="H130"/>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0.29848378707732914</v>
      </c>
      <c r="D131">
        <v>0.29637851276137045</v>
      </c>
      <c r="E131"/>
      <c r="F131"/>
      <c r="G131"/>
      <c r="H131"/>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0.33845502269859573</v>
      </c>
      <c r="D132">
        <v>0.31611497215052003</v>
      </c>
      <c r="E132"/>
      <c r="F132"/>
      <c r="G132"/>
      <c r="H132"/>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0.3925124219460881</v>
      </c>
      <c r="D133">
        <v>0.38595496245153915</v>
      </c>
      <c r="E133"/>
      <c r="F133"/>
      <c r="G133"/>
      <c r="H133"/>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0.40887262192124257</v>
      </c>
      <c r="D134">
        <v>0.41748594010657075</v>
      </c>
      <c r="E134"/>
      <c r="F134"/>
      <c r="G134"/>
      <c r="H134"/>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0.43326597347246204</v>
      </c>
      <c r="D135">
        <v>0.44723383396482053</v>
      </c>
      <c r="E135"/>
      <c r="F135"/>
      <c r="G135"/>
      <c r="H135"/>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0.41787285081012304</v>
      </c>
      <c r="D136">
        <v>0.42335900681562783</v>
      </c>
      <c r="E136"/>
      <c r="F136"/>
      <c r="G136"/>
      <c r="H136"/>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0.55989353958289589</v>
      </c>
      <c r="D137">
        <v>0.55344073972742114</v>
      </c>
      <c r="E137"/>
      <c r="F137"/>
      <c r="G137"/>
      <c r="H137"/>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0.48036451984776896</v>
      </c>
      <c r="D138">
        <v>0.4603535173465883</v>
      </c>
      <c r="E138"/>
      <c r="F138"/>
      <c r="G138"/>
      <c r="H138"/>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0.35048501568098289</v>
      </c>
      <c r="D139">
        <v>0.34946999095091741</v>
      </c>
      <c r="E139"/>
      <c r="F139"/>
      <c r="G139"/>
      <c r="H139"/>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0.56482127560853745</v>
      </c>
      <c r="D140">
        <v>0.56861989547870884</v>
      </c>
      <c r="E140"/>
      <c r="F140"/>
      <c r="G140"/>
      <c r="H140"/>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0.35693013246161809</v>
      </c>
      <c r="D141">
        <v>0.35306444798445619</v>
      </c>
      <c r="E141"/>
      <c r="F141"/>
      <c r="G141"/>
      <c r="H141"/>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0.39987722464915665</v>
      </c>
      <c r="D142">
        <v>0.40552514073849633</v>
      </c>
      <c r="E142"/>
      <c r="F142"/>
      <c r="G142"/>
      <c r="H142"/>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0.46515399516339206</v>
      </c>
      <c r="D143">
        <v>0.47290678015151844</v>
      </c>
      <c r="E143"/>
      <c r="F143"/>
      <c r="G143"/>
      <c r="H143"/>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v>0.18897587384535972</v>
      </c>
      <c r="D144">
        <v>0.19559940602683581</v>
      </c>
      <c r="E144"/>
      <c r="F144"/>
      <c r="G144"/>
      <c r="H144"/>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0.315131178894208</v>
      </c>
      <c r="D145">
        <v>0.32287202589820252</v>
      </c>
      <c r="E145"/>
      <c r="F145"/>
      <c r="G145"/>
      <c r="H145"/>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0.24136929918638811</v>
      </c>
      <c r="D146">
        <v>0.24713496067512131</v>
      </c>
      <c r="E146"/>
      <c r="F146"/>
      <c r="G146"/>
      <c r="H146"/>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0.44983100996133829</v>
      </c>
      <c r="D147">
        <v>0.45497308346628862</v>
      </c>
      <c r="E147"/>
      <c r="F147"/>
      <c r="G147"/>
      <c r="H147"/>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0.39668370869098968</v>
      </c>
      <c r="D148">
        <v>0.43497189686410676</v>
      </c>
      <c r="E148"/>
      <c r="F148"/>
      <c r="G148"/>
      <c r="H148"/>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0.4992700391616896</v>
      </c>
      <c r="D149">
        <v>0.50235683517795371</v>
      </c>
      <c r="E149"/>
      <c r="F149"/>
      <c r="G149"/>
      <c r="H149"/>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t="str">
        <f>""</f>
        <v/>
      </c>
      <c r="D150">
        <v>0.45573607775651276</v>
      </c>
      <c r="E150"/>
      <c r="F150"/>
      <c r="G150"/>
      <c r="H150"/>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0.3110871760237981</v>
      </c>
      <c r="D151">
        <v>0.3097465175176205</v>
      </c>
      <c r="E151"/>
      <c r="F151"/>
      <c r="G151"/>
      <c r="H151"/>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0.29166898026198856</v>
      </c>
      <c r="D152">
        <v>0.31231172847534416</v>
      </c>
      <c r="E152"/>
      <c r="F152"/>
      <c r="G152"/>
      <c r="H152"/>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0.21480082658713243</v>
      </c>
      <c r="D153">
        <v>0.21250761700472309</v>
      </c>
      <c r="E153"/>
      <c r="F153"/>
      <c r="G153"/>
      <c r="H153"/>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0.4180580782334774</v>
      </c>
      <c r="D154">
        <v>0.42542715093246886</v>
      </c>
      <c r="E154"/>
      <c r="F154"/>
      <c r="G154"/>
      <c r="H154"/>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0.419844252341114</v>
      </c>
      <c r="D155">
        <v>0.42893009184879938</v>
      </c>
      <c r="E155"/>
      <c r="F155"/>
      <c r="G155"/>
      <c r="H155"/>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0.42044203833931565</v>
      </c>
      <c r="D156">
        <v>0.42652607844631535</v>
      </c>
      <c r="E156"/>
      <c r="F156"/>
      <c r="G156"/>
      <c r="H156"/>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0.23514927723678028</v>
      </c>
      <c r="D157">
        <v>0.24358975161043439</v>
      </c>
      <c r="E157"/>
      <c r="F157"/>
      <c r="G157"/>
      <c r="H157"/>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0.18927321076048753</v>
      </c>
      <c r="D158">
        <v>0.18379361037273864</v>
      </c>
      <c r="E158"/>
      <c r="F158"/>
      <c r="G158"/>
      <c r="H158"/>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0.57576565788589407</v>
      </c>
      <c r="D159">
        <v>0.57772729350873064</v>
      </c>
      <c r="E159"/>
      <c r="F159"/>
      <c r="G159"/>
      <c r="H159"/>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0.4209489715827574</v>
      </c>
      <c r="D160">
        <v>0.42030376920460927</v>
      </c>
      <c r="E160"/>
      <c r="F160"/>
      <c r="G160"/>
      <c r="H160"/>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0.24757290472156862</v>
      </c>
      <c r="D161">
        <v>0.25821148508950026</v>
      </c>
      <c r="E161"/>
      <c r="F161"/>
      <c r="G161"/>
      <c r="H161"/>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tr">
        <f>""</f>
        <v/>
      </c>
      <c r="D162" t="str">
        <f>""</f>
        <v/>
      </c>
      <c r="E162"/>
      <c r="F162"/>
      <c r="G162"/>
      <c r="H162"/>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0.33890792295989169</v>
      </c>
      <c r="D163">
        <v>0.33896626481392306</v>
      </c>
      <c r="E163"/>
      <c r="F163"/>
      <c r="G163"/>
      <c r="H163"/>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0.44830941679654107</v>
      </c>
      <c r="D164">
        <v>0.45760004738457627</v>
      </c>
      <c r="E164"/>
      <c r="F164"/>
      <c r="G164"/>
      <c r="H164"/>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0.4605169180917057</v>
      </c>
      <c r="D165">
        <v>0.46090672647620634</v>
      </c>
      <c r="E165"/>
      <c r="F165"/>
      <c r="G165"/>
      <c r="H165"/>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0.32382372708158946</v>
      </c>
      <c r="D166">
        <v>0.32950258275227168</v>
      </c>
      <c r="E166"/>
      <c r="F166"/>
      <c r="G166"/>
      <c r="H166"/>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0.36715174481780466</v>
      </c>
      <c r="D167">
        <v>0.35745363147127407</v>
      </c>
      <c r="E167"/>
      <c r="F167"/>
      <c r="G167"/>
      <c r="H167"/>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0.37304829096084913</v>
      </c>
      <c r="D168">
        <v>0.3669701881638362</v>
      </c>
      <c r="E168"/>
      <c r="F168"/>
      <c r="G168"/>
      <c r="H168"/>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0.40108429413167579</v>
      </c>
      <c r="D169">
        <v>0.4060642540507895</v>
      </c>
      <c r="E169"/>
      <c r="F169"/>
      <c r="G169"/>
      <c r="H169"/>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0.46352641111267201</v>
      </c>
      <c r="D170">
        <v>0.46262480676217094</v>
      </c>
      <c r="E170"/>
      <c r="F170"/>
      <c r="G170"/>
      <c r="H170"/>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0.40215428386041824</v>
      </c>
      <c r="D171">
        <v>0.40712672251059279</v>
      </c>
      <c r="E171"/>
      <c r="F171"/>
      <c r="G171"/>
      <c r="H171"/>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0.38518525978073392</v>
      </c>
      <c r="D172">
        <v>0.38432077453860619</v>
      </c>
      <c r="E172"/>
      <c r="F172"/>
      <c r="G172"/>
      <c r="H172"/>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0.46794580785304773</v>
      </c>
      <c r="D173">
        <v>0.47084994362694149</v>
      </c>
      <c r="E173"/>
      <c r="F173"/>
      <c r="G173"/>
      <c r="H173"/>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0.40908937289896957</v>
      </c>
      <c r="D174">
        <v>0.41168514061562334</v>
      </c>
      <c r="E174"/>
      <c r="F174"/>
      <c r="G174"/>
      <c r="H174"/>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0.40095793691131804</v>
      </c>
      <c r="D175">
        <v>0.41138760693317789</v>
      </c>
      <c r="E175"/>
      <c r="F175"/>
      <c r="G175"/>
      <c r="H175"/>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0.21826399639923294</v>
      </c>
      <c r="D176">
        <v>0.23714063304972699</v>
      </c>
      <c r="E176"/>
      <c r="F176"/>
      <c r="G176"/>
      <c r="H176"/>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0.52610309262571686</v>
      </c>
      <c r="D177">
        <v>0.52232455565470282</v>
      </c>
      <c r="E177"/>
      <c r="F177"/>
      <c r="G177"/>
      <c r="H177"/>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0.56277655996053255</v>
      </c>
      <c r="D178">
        <v>0.5405503949767041</v>
      </c>
      <c r="E178"/>
      <c r="F178"/>
      <c r="G178"/>
      <c r="H178"/>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0.29294279497836817</v>
      </c>
      <c r="D179">
        <v>0.2932020069609621</v>
      </c>
      <c r="E179"/>
      <c r="F179"/>
      <c r="G179"/>
      <c r="H179"/>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0.25671514553955654</v>
      </c>
      <c r="D180">
        <v>0.26413758980308116</v>
      </c>
      <c r="E180"/>
      <c r="F180"/>
      <c r="G180"/>
      <c r="H180"/>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0.41659900227737878</v>
      </c>
      <c r="D181">
        <v>0.41975214175336989</v>
      </c>
      <c r="E181"/>
      <c r="F181"/>
      <c r="G181"/>
      <c r="H181"/>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0.50820125725309762</v>
      </c>
      <c r="D182">
        <v>0.50654546397059186</v>
      </c>
      <c r="E182"/>
      <c r="F182"/>
      <c r="G182"/>
      <c r="H182"/>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0.19833979770927349</v>
      </c>
      <c r="D183">
        <v>0.18936844799423769</v>
      </c>
      <c r="E183"/>
      <c r="F183"/>
      <c r="G183"/>
      <c r="H183"/>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0.44058680747807916</v>
      </c>
      <c r="D184">
        <v>0.44192481753714263</v>
      </c>
      <c r="E184"/>
      <c r="F184"/>
      <c r="G184"/>
      <c r="H184"/>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t="str">
        <f>""</f>
        <v/>
      </c>
      <c r="D185" t="str">
        <f>""</f>
        <v/>
      </c>
      <c r="E185"/>
      <c r="F185"/>
      <c r="G185"/>
      <c r="H185"/>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0.44534262442276784</v>
      </c>
      <c r="D186">
        <v>0.44051232814121277</v>
      </c>
      <c r="E186"/>
      <c r="F186"/>
      <c r="G186"/>
      <c r="H186"/>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0.30860286178104746</v>
      </c>
      <c r="D187">
        <v>0.30711762654689895</v>
      </c>
      <c r="E187"/>
      <c r="F187"/>
      <c r="G187"/>
      <c r="H187"/>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0.5003067901777567</v>
      </c>
      <c r="D188">
        <v>0.53882918052775564</v>
      </c>
      <c r="E188"/>
      <c r="F188"/>
      <c r="G188"/>
      <c r="H188"/>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0.47483612183270374</v>
      </c>
      <c r="D189">
        <v>0.46968855336437237</v>
      </c>
      <c r="E189"/>
      <c r="F189"/>
      <c r="G189"/>
      <c r="H189"/>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0.43049027812430685</v>
      </c>
      <c r="D190">
        <v>0.43723004569511154</v>
      </c>
      <c r="E190"/>
      <c r="F190"/>
      <c r="G190"/>
      <c r="H190"/>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0.41032141794746979</v>
      </c>
      <c r="D191">
        <v>0.40229830163965252</v>
      </c>
      <c r="E191"/>
      <c r="F191"/>
      <c r="G191"/>
      <c r="H191"/>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0.56704713555620334</v>
      </c>
      <c r="D192">
        <v>0.57460052905136394</v>
      </c>
      <c r="E192"/>
      <c r="F192"/>
      <c r="G192"/>
      <c r="H192"/>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0.36574533959099514</v>
      </c>
      <c r="D193">
        <v>0.36977655825137057</v>
      </c>
      <c r="E193"/>
      <c r="F193"/>
      <c r="G193"/>
      <c r="H193"/>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0.32167346825055287</v>
      </c>
      <c r="D194">
        <v>0.34989963375417776</v>
      </c>
      <c r="E194"/>
      <c r="F194"/>
      <c r="G194"/>
      <c r="H194"/>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0.45784718343391428</v>
      </c>
      <c r="D195">
        <v>0.45440541688878178</v>
      </c>
      <c r="E195"/>
      <c r="F195"/>
      <c r="G195"/>
      <c r="H195"/>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0.417649343954904</v>
      </c>
      <c r="D196">
        <v>0.41421424391378625</v>
      </c>
      <c r="E196"/>
      <c r="F196"/>
      <c r="G196"/>
      <c r="H196"/>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0.39894100695688522</v>
      </c>
      <c r="D197">
        <v>0.3925337328047882</v>
      </c>
      <c r="E197"/>
      <c r="F197"/>
      <c r="G197"/>
      <c r="H197"/>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0.35529410098680814</v>
      </c>
      <c r="D198">
        <v>0.35482148429451738</v>
      </c>
      <c r="E198"/>
      <c r="F198"/>
      <c r="G198"/>
      <c r="H198"/>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0.32286776599228612</v>
      </c>
      <c r="D199">
        <v>0.32107323973044838</v>
      </c>
      <c r="E199"/>
      <c r="F199"/>
      <c r="G199"/>
      <c r="H199"/>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0.45518533170345044</v>
      </c>
      <c r="D200">
        <v>0.44986219135593902</v>
      </c>
      <c r="E200"/>
      <c r="F200"/>
      <c r="G200"/>
      <c r="H200"/>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0.52267450462034482</v>
      </c>
      <c r="D201">
        <v>0.50016552231432265</v>
      </c>
      <c r="E201"/>
      <c r="F201"/>
      <c r="G201"/>
      <c r="H201"/>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0.35080685717654453</v>
      </c>
      <c r="D202">
        <v>0.35297321757096001</v>
      </c>
      <c r="E202"/>
      <c r="F202"/>
      <c r="G202"/>
      <c r="H202"/>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0.4406761336293713</v>
      </c>
      <c r="D203">
        <v>0.44017851692953913</v>
      </c>
      <c r="E203"/>
      <c r="F203"/>
      <c r="G203"/>
      <c r="H203"/>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0.36391243334851753</v>
      </c>
      <c r="D204">
        <v>0.36965334868365812</v>
      </c>
      <c r="E204"/>
      <c r="F204"/>
      <c r="G204"/>
      <c r="H204"/>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0.50300013823697642</v>
      </c>
      <c r="D205">
        <v>0.50682524587427735</v>
      </c>
      <c r="E205"/>
      <c r="F205"/>
      <c r="G205"/>
      <c r="H205"/>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0.33122808864822906</v>
      </c>
      <c r="D206">
        <v>0.33263194531459245</v>
      </c>
      <c r="E206"/>
      <c r="F206"/>
      <c r="G206"/>
      <c r="H206"/>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0.39567718681358743</v>
      </c>
      <c r="D207">
        <v>0.39502690565788479</v>
      </c>
      <c r="E207"/>
      <c r="F207"/>
      <c r="G207"/>
      <c r="H207"/>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0.22254816177084757</v>
      </c>
      <c r="D208">
        <v>0.22155958668976466</v>
      </c>
      <c r="E208"/>
      <c r="F208"/>
      <c r="G208"/>
      <c r="H20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0.36572700696033278</v>
      </c>
      <c r="D209">
        <v>0.37593625042393197</v>
      </c>
      <c r="E209"/>
      <c r="F209"/>
      <c r="G209"/>
      <c r="H209"/>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t="str">
        <f>""</f>
        <v/>
      </c>
      <c r="D210" t="str">
        <f>""</f>
        <v/>
      </c>
      <c r="E210"/>
      <c r="F210"/>
      <c r="G210"/>
      <c r="H210"/>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0.34788323457883547</v>
      </c>
      <c r="D211">
        <v>0.34666756353240269</v>
      </c>
      <c r="E211"/>
      <c r="F211"/>
      <c r="G211"/>
      <c r="H211"/>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0.28728528332984576</v>
      </c>
      <c r="D212">
        <v>0.29171278248954463</v>
      </c>
      <c r="E212"/>
      <c r="F212"/>
      <c r="G212"/>
      <c r="H212"/>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0.4133957810904384</v>
      </c>
      <c r="D213">
        <v>0.4350464243995889</v>
      </c>
      <c r="E213"/>
      <c r="F213"/>
      <c r="G213"/>
      <c r="H213"/>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0.28915421302965394</v>
      </c>
      <c r="D214">
        <v>0.2862747294909368</v>
      </c>
      <c r="E214"/>
      <c r="F214"/>
      <c r="G214"/>
      <c r="H214"/>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0.50751438918019032</v>
      </c>
      <c r="D215">
        <v>0.51211632609720548</v>
      </c>
      <c r="E215"/>
      <c r="F215"/>
      <c r="G215"/>
      <c r="H215"/>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0.35711541754239473</v>
      </c>
      <c r="D216">
        <v>0.36369247798887361</v>
      </c>
      <c r="E216"/>
      <c r="F216"/>
      <c r="G216"/>
      <c r="H216"/>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0.44423356398618508</v>
      </c>
      <c r="D217">
        <v>0.43944057493335431</v>
      </c>
      <c r="E217"/>
      <c r="F217"/>
      <c r="G217"/>
      <c r="H217"/>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0.41446450736734575</v>
      </c>
      <c r="D218">
        <v>0.41924813164071301</v>
      </c>
      <c r="E218"/>
      <c r="F218"/>
      <c r="G218"/>
      <c r="H218"/>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0.32957131571243847</v>
      </c>
      <c r="D219">
        <v>0.32510243363613461</v>
      </c>
      <c r="E219"/>
      <c r="F219"/>
      <c r="G219"/>
      <c r="H219"/>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0.65670082630419702</v>
      </c>
      <c r="D220">
        <v>0.65329833231114609</v>
      </c>
      <c r="E220"/>
      <c r="F220"/>
      <c r="G220"/>
      <c r="H220"/>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0.33376439140223441</v>
      </c>
      <c r="D221">
        <v>0.32717772729779088</v>
      </c>
      <c r="E221"/>
      <c r="F221"/>
      <c r="G221"/>
      <c r="H221"/>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0.44084636823072298</v>
      </c>
      <c r="D222">
        <v>0.44154275203705068</v>
      </c>
      <c r="E222"/>
      <c r="F222"/>
      <c r="G222"/>
      <c r="H222"/>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0.39137913192141172</v>
      </c>
      <c r="D223">
        <v>0.40191849764733362</v>
      </c>
      <c r="E223"/>
      <c r="F223"/>
      <c r="G223"/>
      <c r="H223"/>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0.48430060715423434</v>
      </c>
      <c r="D224">
        <v>0.47378652047576369</v>
      </c>
      <c r="E224"/>
      <c r="F224"/>
      <c r="G224"/>
      <c r="H224"/>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0.41782906706170991</v>
      </c>
      <c r="D225">
        <v>0.41894524457330817</v>
      </c>
      <c r="E225"/>
      <c r="F225"/>
      <c r="G225"/>
      <c r="H225"/>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0.49314658731693711</v>
      </c>
      <c r="D226">
        <v>0.49732871030509335</v>
      </c>
      <c r="E226"/>
      <c r="F226"/>
      <c r="G226"/>
      <c r="H226"/>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0.25598249606552964</v>
      </c>
      <c r="D227">
        <v>0.25692859050968631</v>
      </c>
      <c r="E227"/>
      <c r="F227"/>
      <c r="G227"/>
      <c r="H227"/>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0.58217737226857669</v>
      </c>
      <c r="D228">
        <v>0.58829808990422794</v>
      </c>
      <c r="E228"/>
      <c r="F228"/>
      <c r="G228"/>
      <c r="H228"/>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0.52177793410058948</v>
      </c>
      <c r="D229">
        <v>0.52377130415036999</v>
      </c>
      <c r="E229"/>
      <c r="F229"/>
      <c r="G229"/>
      <c r="H229"/>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0.33882164968707734</v>
      </c>
      <c r="D230">
        <v>0.36675632827607474</v>
      </c>
      <c r="E230"/>
      <c r="F230"/>
      <c r="G230"/>
      <c r="H230"/>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0.45835953677629304</v>
      </c>
      <c r="D231">
        <v>0.45078736226192634</v>
      </c>
      <c r="E231"/>
      <c r="F231"/>
      <c r="G231"/>
      <c r="H231"/>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0.40786969203896145</v>
      </c>
      <c r="D232">
        <v>0.39245419622213185</v>
      </c>
      <c r="E232"/>
      <c r="F232"/>
      <c r="G232"/>
      <c r="H232"/>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0.42798726776550272</v>
      </c>
      <c r="D233">
        <v>0.42835316445264981</v>
      </c>
      <c r="E233"/>
      <c r="F233"/>
      <c r="G233"/>
      <c r="H233"/>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0.37899350699935536</v>
      </c>
      <c r="D234">
        <v>0.37577828153476722</v>
      </c>
      <c r="E234"/>
      <c r="F234"/>
      <c r="G234"/>
      <c r="H234"/>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0.42008845019942032</v>
      </c>
      <c r="D235">
        <v>0.42214940722641003</v>
      </c>
      <c r="E235"/>
      <c r="F235"/>
      <c r="G235"/>
      <c r="H235"/>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0.3220730982480286</v>
      </c>
      <c r="D236">
        <v>0.33089177654500207</v>
      </c>
      <c r="E236"/>
      <c r="F236"/>
      <c r="G236"/>
      <c r="H236"/>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0.30136113870619069</v>
      </c>
      <c r="D237">
        <v>0.30454416657357136</v>
      </c>
      <c r="E237"/>
      <c r="F237"/>
      <c r="G237"/>
      <c r="H237"/>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0.44359222704332663</v>
      </c>
      <c r="D238">
        <v>0.44378181884084683</v>
      </c>
      <c r="E238"/>
      <c r="F238"/>
      <c r="G238"/>
      <c r="H238"/>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0.53261385066765177</v>
      </c>
      <c r="D239">
        <v>0.54567311231083349</v>
      </c>
      <c r="E239"/>
      <c r="F239"/>
      <c r="G239"/>
      <c r="H239"/>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0.29742641654760898</v>
      </c>
      <c r="D240">
        <v>0.29400485694264089</v>
      </c>
      <c r="E240"/>
      <c r="F240"/>
      <c r="G240"/>
      <c r="H240"/>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0.40457849324826556</v>
      </c>
      <c r="D241">
        <v>0.3991288726355921</v>
      </c>
      <c r="E241"/>
      <c r="F241"/>
      <c r="G241"/>
      <c r="H241"/>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0.32149465349967349</v>
      </c>
      <c r="D242">
        <v>0.32244830318881101</v>
      </c>
      <c r="E242"/>
      <c r="F242"/>
      <c r="G242"/>
      <c r="H242"/>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0.55945663471707907</v>
      </c>
      <c r="D243">
        <v>0.56434049235785344</v>
      </c>
      <c r="E243"/>
      <c r="F243"/>
      <c r="G243"/>
      <c r="H243"/>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0.44281562838419408</v>
      </c>
      <c r="D244">
        <v>0.46306190257813401</v>
      </c>
      <c r="E244"/>
      <c r="F244"/>
      <c r="G244"/>
      <c r="H244"/>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0.49366903384659611</v>
      </c>
      <c r="D245">
        <v>0.48621863286363803</v>
      </c>
      <c r="E245"/>
      <c r="F245"/>
      <c r="G245"/>
      <c r="H245"/>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0.53148078168519319</v>
      </c>
      <c r="D246">
        <v>0.5332396498295382</v>
      </c>
      <c r="E246"/>
      <c r="F246"/>
      <c r="G246"/>
      <c r="H246"/>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0.29888351081627373</v>
      </c>
      <c r="D247">
        <v>0.29793915722720987</v>
      </c>
      <c r="E247"/>
      <c r="F247"/>
      <c r="G247"/>
      <c r="H247"/>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0.47178577578936631</v>
      </c>
      <c r="D248">
        <v>0.46952088462267128</v>
      </c>
      <c r="E248"/>
      <c r="F248"/>
      <c r="G248"/>
      <c r="H248"/>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0.43850359377685943</v>
      </c>
      <c r="D249">
        <v>0.43866041627051677</v>
      </c>
      <c r="E249"/>
      <c r="F249"/>
      <c r="G249"/>
      <c r="H249"/>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0.37994458219956118</v>
      </c>
      <c r="D250">
        <v>0.38312867982390364</v>
      </c>
      <c r="E250"/>
      <c r="F250"/>
      <c r="G250"/>
      <c r="H250"/>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0.49936615938170059</v>
      </c>
      <c r="D251">
        <v>0.53622084788206958</v>
      </c>
      <c r="E251"/>
      <c r="F251"/>
      <c r="G251"/>
      <c r="H251"/>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0.6433729972704445</v>
      </c>
      <c r="D252">
        <v>0.65118483572056973</v>
      </c>
      <c r="E252"/>
      <c r="F252"/>
      <c r="G252"/>
      <c r="H252"/>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0.49361569470321681</v>
      </c>
      <c r="D253">
        <v>0.50111737483813135</v>
      </c>
      <c r="E253"/>
      <c r="F253"/>
      <c r="G253"/>
      <c r="H253"/>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0.42548959049686375</v>
      </c>
      <c r="D254">
        <v>0.4282260999306185</v>
      </c>
      <c r="E254"/>
      <c r="F254"/>
      <c r="G254"/>
      <c r="H254"/>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0.52145573389321009</v>
      </c>
      <c r="D255">
        <v>0.53272427982063264</v>
      </c>
      <c r="E255"/>
      <c r="F255"/>
      <c r="G255"/>
      <c r="H255"/>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0.37041016297539636</v>
      </c>
      <c r="D256">
        <v>0.3762752376085528</v>
      </c>
      <c r="E256"/>
      <c r="F256"/>
      <c r="G256"/>
      <c r="H256"/>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0.23068639667758745</v>
      </c>
      <c r="D257">
        <v>0.23072572909035421</v>
      </c>
      <c r="E257"/>
      <c r="F257"/>
      <c r="G257"/>
      <c r="H257"/>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0.50989958987413375</v>
      </c>
      <c r="D258">
        <v>0.51205970565669245</v>
      </c>
      <c r="E258"/>
      <c r="F258"/>
      <c r="G258"/>
      <c r="H258"/>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0.31996489106257636</v>
      </c>
      <c r="D259">
        <v>0.32815829332053698</v>
      </c>
      <c r="E259"/>
      <c r="F259"/>
      <c r="G259"/>
      <c r="H259"/>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0.42196937451254629</v>
      </c>
      <c r="D260">
        <v>0.41778234776948775</v>
      </c>
      <c r="E260"/>
      <c r="F260"/>
      <c r="G260"/>
      <c r="H260"/>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0.42989963988046015</v>
      </c>
      <c r="D261">
        <v>0.44421310212071824</v>
      </c>
      <c r="E261"/>
      <c r="F261"/>
      <c r="G261"/>
      <c r="H261"/>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0.50735760026173493</v>
      </c>
      <c r="D262">
        <v>0.51561473153118964</v>
      </c>
      <c r="E262"/>
      <c r="F262"/>
      <c r="G262"/>
      <c r="H262"/>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0.29903254274073493</v>
      </c>
      <c r="D263">
        <v>0.33075070750969604</v>
      </c>
      <c r="E263"/>
      <c r="F263"/>
      <c r="G263"/>
      <c r="H263"/>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0.51704607718400009</v>
      </c>
      <c r="D264">
        <v>0.52036390454221781</v>
      </c>
      <c r="E264"/>
      <c r="F264"/>
      <c r="G264"/>
      <c r="H264"/>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0.50091173038130887</v>
      </c>
      <c r="D265">
        <v>0.50516124879436342</v>
      </c>
      <c r="E265"/>
      <c r="F265"/>
      <c r="G265"/>
      <c r="H265"/>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0.36063416074403037</v>
      </c>
      <c r="D266">
        <v>0.3626602313237654</v>
      </c>
      <c r="E266"/>
      <c r="F266"/>
      <c r="G266"/>
      <c r="H266"/>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0.61069949823227587</v>
      </c>
      <c r="D267">
        <v>0.6122045453749746</v>
      </c>
      <c r="E267"/>
      <c r="F267"/>
      <c r="G267"/>
      <c r="H267"/>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0.28442298839587976</v>
      </c>
      <c r="D268">
        <v>0.28076358553961661</v>
      </c>
      <c r="E268"/>
      <c r="F268"/>
      <c r="G268"/>
      <c r="H268"/>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0.35408701341660226</v>
      </c>
      <c r="D269">
        <v>0.3417572312858847</v>
      </c>
      <c r="E269"/>
      <c r="F269"/>
      <c r="G269"/>
      <c r="H269"/>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0.59080682512083571</v>
      </c>
      <c r="D270">
        <v>0.59044933547207512</v>
      </c>
      <c r="E270"/>
      <c r="F270"/>
      <c r="G270"/>
      <c r="H270"/>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0.30921407175640447</v>
      </c>
      <c r="D271">
        <v>0.31236152745215456</v>
      </c>
      <c r="E271"/>
      <c r="F271"/>
      <c r="G271"/>
      <c r="H271"/>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0.57326050459339628</v>
      </c>
      <c r="D272">
        <v>0.57298829751580405</v>
      </c>
      <c r="E272"/>
      <c r="F272"/>
      <c r="G272"/>
      <c r="H272"/>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0.32636444884335569</v>
      </c>
      <c r="D273">
        <v>0.32447105517957786</v>
      </c>
      <c r="E273"/>
      <c r="F273"/>
      <c r="G273"/>
      <c r="H273"/>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0.61425282498322209</v>
      </c>
      <c r="D274">
        <v>0.59647566969556742</v>
      </c>
      <c r="E274"/>
      <c r="F274"/>
      <c r="G274"/>
      <c r="H274"/>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0.36420020029444761</v>
      </c>
      <c r="D275">
        <v>0.36463934292450895</v>
      </c>
      <c r="E275"/>
      <c r="F275"/>
      <c r="G275"/>
      <c r="H275"/>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0.3312096875412599</v>
      </c>
      <c r="D276">
        <v>0.3376495173796043</v>
      </c>
      <c r="E276"/>
      <c r="F276"/>
      <c r="G276"/>
      <c r="H276"/>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0.43608664802559227</v>
      </c>
      <c r="D277">
        <v>0.43091243032436694</v>
      </c>
      <c r="E277"/>
      <c r="F277"/>
      <c r="G277"/>
      <c r="H277"/>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0.3922871071173753</v>
      </c>
      <c r="D278">
        <v>0.39314393099630796</v>
      </c>
      <c r="E278"/>
      <c r="F278"/>
      <c r="G278"/>
      <c r="H278"/>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0.50822257596536835</v>
      </c>
      <c r="D279">
        <v>0.50897817256452216</v>
      </c>
      <c r="E279"/>
      <c r="F279"/>
      <c r="G279"/>
      <c r="H279"/>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0.51382995303809043</v>
      </c>
      <c r="D280">
        <v>0.51151992832582693</v>
      </c>
      <c r="E280"/>
      <c r="F280"/>
      <c r="G280"/>
      <c r="H280"/>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0.44198154368594533</v>
      </c>
      <c r="D281">
        <v>0.45021893703653526</v>
      </c>
      <c r="E281"/>
      <c r="F281"/>
      <c r="G281"/>
      <c r="H281"/>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0.53925219982383421</v>
      </c>
      <c r="D282">
        <v>0.53586589069057322</v>
      </c>
      <c r="E282"/>
      <c r="F282"/>
      <c r="G282"/>
      <c r="H282"/>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0.42734765849571277</v>
      </c>
      <c r="D283">
        <v>0.43662612434028858</v>
      </c>
      <c r="E283"/>
      <c r="F283"/>
      <c r="G283"/>
      <c r="H283"/>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0.27587974354600892</v>
      </c>
      <c r="D284">
        <v>0.27042873169469978</v>
      </c>
      <c r="E284"/>
      <c r="F284"/>
      <c r="G284"/>
      <c r="H284"/>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0.32966346343677938</v>
      </c>
      <c r="D285">
        <v>0.3178994473442564</v>
      </c>
      <c r="E285"/>
      <c r="F285"/>
      <c r="G285"/>
      <c r="H285"/>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0.5215019724440193</v>
      </c>
      <c r="D286">
        <v>0.52047292324430328</v>
      </c>
      <c r="E286"/>
      <c r="F286"/>
      <c r="G286"/>
      <c r="H286"/>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0.25918650874757604</v>
      </c>
      <c r="D287">
        <v>0.26970649051657153</v>
      </c>
      <c r="E287"/>
      <c r="F287"/>
      <c r="G287"/>
      <c r="H287"/>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0.61427888276526355</v>
      </c>
      <c r="D288">
        <v>0.61984855778833381</v>
      </c>
      <c r="E288"/>
      <c r="F288"/>
      <c r="G288"/>
      <c r="H288"/>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0.40699624519543376</v>
      </c>
      <c r="D289">
        <v>0.40438589673513053</v>
      </c>
      <c r="E289"/>
      <c r="F289"/>
      <c r="G289"/>
      <c r="H289"/>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0.42667651883549873</v>
      </c>
      <c r="D290">
        <v>0.42629811985770105</v>
      </c>
      <c r="E290"/>
      <c r="F290"/>
      <c r="G290"/>
      <c r="H290"/>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0.43509020162716661</v>
      </c>
      <c r="D291">
        <v>0.42728650875045149</v>
      </c>
      <c r="E291"/>
      <c r="F291"/>
      <c r="G291"/>
      <c r="H291"/>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0.42999743338211066</v>
      </c>
      <c r="D292">
        <v>0.43201390958162272</v>
      </c>
      <c r="E292"/>
      <c r="F292"/>
      <c r="G292"/>
      <c r="H292"/>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0.28544714967906931</v>
      </c>
      <c r="D293">
        <v>0.283737808859373</v>
      </c>
      <c r="E293"/>
      <c r="F293"/>
      <c r="G293"/>
      <c r="H293"/>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0.50691172428211373</v>
      </c>
      <c r="D294">
        <v>0.53918284646054504</v>
      </c>
      <c r="E294"/>
      <c r="F294"/>
      <c r="G294"/>
      <c r="H294"/>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0.4550082394170657</v>
      </c>
      <c r="D295">
        <v>0.45843635493511053</v>
      </c>
      <c r="E295"/>
      <c r="F295"/>
      <c r="G295"/>
      <c r="H295"/>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0.54948977109479635</v>
      </c>
      <c r="D296">
        <v>0.54353967007471726</v>
      </c>
      <c r="E296"/>
      <c r="F296"/>
      <c r="G296"/>
      <c r="H296"/>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0.63467584199625759</v>
      </c>
      <c r="D297">
        <v>0.64556302619622186</v>
      </c>
      <c r="E297"/>
      <c r="F297"/>
      <c r="G297"/>
      <c r="H297"/>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0.39490400411782456</v>
      </c>
      <c r="D298">
        <v>0.39353957675386797</v>
      </c>
      <c r="E298"/>
      <c r="F298"/>
      <c r="G298"/>
      <c r="H298"/>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0.40829519389388458</v>
      </c>
      <c r="D299">
        <v>0.41370276846499676</v>
      </c>
      <c r="E299"/>
      <c r="F299"/>
      <c r="G299"/>
      <c r="H299"/>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0.30927002302570161</v>
      </c>
      <c r="D300">
        <v>0.31687525687142609</v>
      </c>
      <c r="E300"/>
      <c r="F300"/>
      <c r="G300"/>
      <c r="H300"/>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0.20814409768249811</v>
      </c>
      <c r="D301">
        <v>0.20451348787438953</v>
      </c>
      <c r="E301"/>
      <c r="F301"/>
      <c r="G301"/>
      <c r="H301"/>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0.4689490212786151</v>
      </c>
      <c r="D302">
        <v>0.48139441584100101</v>
      </c>
      <c r="E302"/>
      <c r="F302"/>
      <c r="G302"/>
      <c r="H302"/>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0.5478040759880709</v>
      </c>
      <c r="D303">
        <v>0.53901234066585657</v>
      </c>
      <c r="E303"/>
      <c r="F303"/>
      <c r="G303"/>
      <c r="H303"/>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0.38522431455092648</v>
      </c>
      <c r="D304">
        <v>0.39640786562559083</v>
      </c>
      <c r="E304"/>
      <c r="F304"/>
      <c r="G304"/>
      <c r="H304"/>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0.49355226590807011</v>
      </c>
      <c r="D305">
        <v>0.49753536585758185</v>
      </c>
      <c r="E305"/>
      <c r="F305"/>
      <c r="G305"/>
      <c r="H305"/>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0.49162140784878594</v>
      </c>
      <c r="D306">
        <v>0.46920222069297918</v>
      </c>
      <c r="E306"/>
      <c r="F306"/>
      <c r="G306"/>
      <c r="H306"/>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0.43636944492897262</v>
      </c>
      <c r="D307">
        <v>0.45162437296125946</v>
      </c>
      <c r="E307"/>
      <c r="F307"/>
      <c r="G307"/>
      <c r="H307"/>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0.37043812650543645</v>
      </c>
      <c r="D308">
        <v>0.35882873139886329</v>
      </c>
      <c r="E308"/>
      <c r="F308"/>
      <c r="G308"/>
      <c r="H308"/>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0.43249337818202693</v>
      </c>
      <c r="D309">
        <v>0.44301514231395306</v>
      </c>
      <c r="E309"/>
      <c r="F309"/>
      <c r="G309"/>
      <c r="H309"/>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0.48199180346236881</v>
      </c>
      <c r="D310">
        <v>0.48531282575289414</v>
      </c>
      <c r="E310"/>
      <c r="F310"/>
      <c r="G310"/>
      <c r="H310"/>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0.57797581942111553</v>
      </c>
      <c r="D311">
        <v>0.5812661515536276</v>
      </c>
      <c r="E311"/>
      <c r="F311"/>
      <c r="G311"/>
      <c r="H311"/>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t="str">
        <f>""</f>
        <v/>
      </c>
      <c r="D312" t="str">
        <f>""</f>
        <v/>
      </c>
      <c r="E312"/>
      <c r="F312"/>
      <c r="G312"/>
      <c r="H312"/>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0.45481620100887143</v>
      </c>
      <c r="D313">
        <v>0.44268134518358143</v>
      </c>
      <c r="E313"/>
      <c r="F313"/>
      <c r="G313"/>
      <c r="H313"/>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0.52119997733809742</v>
      </c>
      <c r="D314">
        <v>0.52381359247917092</v>
      </c>
      <c r="E314"/>
      <c r="F314"/>
      <c r="G314"/>
      <c r="H314"/>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0.57840449424348805</v>
      </c>
      <c r="D315">
        <v>0.57400165181304652</v>
      </c>
      <c r="E315"/>
      <c r="F315"/>
      <c r="G315"/>
      <c r="H315"/>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0.419118676136846</v>
      </c>
      <c r="D316">
        <v>0.42914681952256295</v>
      </c>
      <c r="E316"/>
      <c r="F316"/>
      <c r="G316"/>
      <c r="H316"/>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0.21696304945199102</v>
      </c>
      <c r="D317">
        <v>0.21137403067295926</v>
      </c>
      <c r="E317"/>
      <c r="F317"/>
      <c r="G317"/>
      <c r="H317"/>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t="str">
        <f>""</f>
        <v/>
      </c>
      <c r="D318" t="str">
        <f>""</f>
        <v/>
      </c>
      <c r="E318"/>
      <c r="F318"/>
      <c r="G318"/>
      <c r="H318"/>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0.51886773981277035</v>
      </c>
      <c r="D319">
        <v>0.51705639919545821</v>
      </c>
      <c r="E319"/>
      <c r="F319"/>
      <c r="G319"/>
      <c r="H319"/>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0.44180683576900065</v>
      </c>
      <c r="D320">
        <v>0.43958887993231832</v>
      </c>
      <c r="E320"/>
      <c r="F320"/>
      <c r="G320"/>
      <c r="H320"/>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0.35083498514173705</v>
      </c>
      <c r="D321">
        <v>0.34858585025425942</v>
      </c>
      <c r="E321"/>
      <c r="F321"/>
      <c r="G321"/>
      <c r="H321"/>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0.43739191266717026</v>
      </c>
      <c r="D322">
        <v>0.43739871441453498</v>
      </c>
      <c r="E322"/>
      <c r="F322"/>
      <c r="G322"/>
      <c r="H322"/>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0.37268617291064204</v>
      </c>
      <c r="D323">
        <v>0.37677771753016764</v>
      </c>
      <c r="E323"/>
      <c r="F323"/>
      <c r="G323"/>
      <c r="H323"/>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0.57112337331850072</v>
      </c>
      <c r="D324">
        <v>0.55483760450082797</v>
      </c>
      <c r="E324"/>
      <c r="F324"/>
      <c r="G324"/>
      <c r="H324"/>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0.397526474638001</v>
      </c>
      <c r="D325">
        <v>0.39589004511820819</v>
      </c>
      <c r="E325"/>
      <c r="F325"/>
      <c r="G325"/>
      <c r="H325"/>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0.47017280472478412</v>
      </c>
      <c r="D326">
        <v>0.46283202691246056</v>
      </c>
      <c r="E326"/>
      <c r="F326"/>
      <c r="G326"/>
      <c r="H326"/>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0.36537441603658199</v>
      </c>
      <c r="D327">
        <v>0.361140313656101</v>
      </c>
      <c r="E327"/>
      <c r="F327"/>
      <c r="G327"/>
      <c r="H327"/>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0.33858432579842523</v>
      </c>
      <c r="D328">
        <v>0.33951560472969966</v>
      </c>
      <c r="E328"/>
      <c r="F328"/>
      <c r="G328"/>
      <c r="H328"/>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0.4289313867825138</v>
      </c>
      <c r="D329">
        <v>0.42850283056529531</v>
      </c>
      <c r="E329"/>
      <c r="F329"/>
      <c r="G329"/>
      <c r="H329"/>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0.41281327243220006</v>
      </c>
      <c r="D330">
        <v>0.44173731661627863</v>
      </c>
      <c r="E330"/>
      <c r="F330"/>
      <c r="G330"/>
      <c r="H330"/>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0.48220476210301394</v>
      </c>
      <c r="D331">
        <v>0.48973323365639199</v>
      </c>
      <c r="E331"/>
      <c r="F331"/>
      <c r="G331"/>
      <c r="H331"/>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0.31026368098542217</v>
      </c>
      <c r="D332">
        <v>0.30730800424927796</v>
      </c>
      <c r="E332"/>
      <c r="F332"/>
      <c r="G332"/>
      <c r="H332"/>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0.45887880665036379</v>
      </c>
      <c r="D333">
        <v>0.4548920190316959</v>
      </c>
      <c r="E333"/>
      <c r="F333"/>
      <c r="G333"/>
      <c r="H333"/>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888</v>
      </c>
      <c r="E8" t="s">
        <v>889</v>
      </c>
      <c r="F8" t="s">
        <v>890</v>
      </c>
      <c r="G8" t="s">
        <v>888</v>
      </c>
      <c r="H8" t="s">
        <v>889</v>
      </c>
      <c r="I8" t="s">
        <v>890</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891</v>
      </c>
      <c r="B18" s="271"/>
      <c r="C18" s="271"/>
      <c r="D18" s="272"/>
      <c r="E18" s="272"/>
    </row>
    <row r="20" spans="1:5">
      <c r="A20" s="271" t="s">
        <v>847</v>
      </c>
      <c r="B20" s="271"/>
      <c r="C20" s="271"/>
      <c r="D20" s="272"/>
      <c r="E20" s="272"/>
    </row>
    <row r="22" spans="1:5">
      <c r="A22" s="271" t="s">
        <v>892</v>
      </c>
      <c r="B22" s="271"/>
      <c r="C22" s="271"/>
      <c r="D22" s="272"/>
      <c r="E22" s="272"/>
    </row>
    <row r="24" spans="1:5">
      <c r="A24" s="271" t="s">
        <v>893</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894</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894</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90A5AB-F165-4A56-9136-9D47928E94A3}">
  <ds:schemaRefs>
    <ds:schemaRef ds:uri="http://purl.org/dc/dcmitype/"/>
    <ds:schemaRef ds:uri="http://www.w3.org/XML/1998/namespace"/>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c0c43d4d-b7da-4a2b-8f97-25182fb94a41"/>
  </ds:schemaRefs>
</ds:datastoreItem>
</file>

<file path=customXml/itemProps2.xml><?xml version="1.0" encoding="utf-8"?>
<ds:datastoreItem xmlns:ds="http://schemas.openxmlformats.org/officeDocument/2006/customXml" ds:itemID="{8AFBCDBF-3569-40E2-B9AC-3AB431C7D6C4}">
  <ds:schemaRefs>
    <ds:schemaRef ds:uri="http://schemas.microsoft.com/sharepoint/v3/contenttype/forms"/>
  </ds:schemaRefs>
</ds:datastoreItem>
</file>

<file path=customXml/itemProps3.xml><?xml version="1.0" encoding="utf-8"?>
<ds:datastoreItem xmlns:ds="http://schemas.openxmlformats.org/officeDocument/2006/customXml" ds:itemID="{2266F6DD-377D-4CB9-8839-99CBAEF7DC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Ricky</cp:lastModifiedBy>
  <dcterms:created xsi:type="dcterms:W3CDTF">2014-10-27T16:35:31Z</dcterms:created>
  <dcterms:modified xsi:type="dcterms:W3CDTF">2014-10-27T16:35:32Z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