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031024/"/>
    </mc:Choice>
  </mc:AlternateContent>
  <xr:revisionPtr revIDLastSave="67" documentId="8_{F9251458-A9BA-4184-B8FD-54094FC1E78B}" xr6:coauthVersionLast="47" xr6:coauthVersionMax="47" xr10:uidLastSave="{1C3648BC-1347-4CE5-980A-87AFCB2D8199}"/>
  <workbookProtection workbookAlgorithmName="SHA-512" workbookHashValue="6A4dqMQmniQDMea6c0YuV2AZmmY0fa+gSjSpGh+D0uQIzRYYc/VHCx3MgA11KO5LBSbHlQ1Uy8fLuM3H65ytWA==" workbookSaltValue="9aSFsFaP2MXOkycoC0MDUQ==" workbookSpinCount="100000" lockStructure="1"/>
  <bookViews>
    <workbookView xWindow="-12" yWindow="0" windowWidth="11772" windowHeight="12240"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 i="34" l="1"/>
  <c r="E1" i="34"/>
  <c r="F1" i="34"/>
  <c r="G1" i="34"/>
  <c r="H1" i="34"/>
  <c r="I1" i="34"/>
  <c r="J1" i="34"/>
  <c r="K1" i="34"/>
  <c r="L1" i="34"/>
  <c r="M1" i="34"/>
  <c r="N1" i="34"/>
  <c r="O1" i="34"/>
  <c r="P1" i="34"/>
  <c r="Q1" i="34"/>
  <c r="R1" i="34"/>
  <c r="S1" i="34"/>
  <c r="T1" i="34"/>
  <c r="U1" i="34"/>
  <c r="V1" i="34"/>
  <c r="W1" i="34"/>
  <c r="X1" i="34"/>
  <c r="Y1" i="34"/>
  <c r="Z1" i="34"/>
  <c r="D58" i="16" l="1"/>
  <c r="E58" i="16"/>
  <c r="AF58" i="16"/>
  <c r="D59" i="16"/>
  <c r="H59" i="16" s="1"/>
  <c r="I59" i="16" s="1"/>
  <c r="E59" i="16"/>
  <c r="AF59" i="16"/>
  <c r="D60" i="16"/>
  <c r="E60" i="16"/>
  <c r="AF60" i="16"/>
  <c r="D61" i="16"/>
  <c r="E61" i="16"/>
  <c r="AF61" i="16"/>
  <c r="D62" i="16"/>
  <c r="E62" i="16"/>
  <c r="AF62" i="16"/>
  <c r="D63" i="16"/>
  <c r="E63" i="16"/>
  <c r="AF63" i="16"/>
  <c r="D64" i="16"/>
  <c r="H64" i="16" s="1"/>
  <c r="I64" i="16" s="1"/>
  <c r="E64" i="16"/>
  <c r="AF64" i="16"/>
  <c r="D65" i="16"/>
  <c r="H65" i="16" s="1"/>
  <c r="I65" i="16" s="1"/>
  <c r="E65" i="16"/>
  <c r="AF65" i="16"/>
  <c r="D66" i="16"/>
  <c r="E66" i="16"/>
  <c r="AF66" i="16"/>
  <c r="D67" i="16"/>
  <c r="E67" i="16"/>
  <c r="AF67" i="16"/>
  <c r="D68" i="16"/>
  <c r="E68" i="16"/>
  <c r="AF68" i="16"/>
  <c r="D69" i="16"/>
  <c r="E69" i="16"/>
  <c r="H69" i="16"/>
  <c r="I69" i="16" s="1"/>
  <c r="AF69" i="16"/>
  <c r="D70" i="16"/>
  <c r="E70" i="16"/>
  <c r="AF70" i="16"/>
  <c r="D71" i="16"/>
  <c r="H71" i="16" s="1"/>
  <c r="I71" i="16" s="1"/>
  <c r="E71" i="16"/>
  <c r="AF71" i="16"/>
  <c r="D72" i="16"/>
  <c r="E72" i="16"/>
  <c r="AF72" i="16"/>
  <c r="D73" i="16"/>
  <c r="H73" i="16" s="1"/>
  <c r="I73" i="16" s="1"/>
  <c r="E73" i="16"/>
  <c r="AF73" i="16"/>
  <c r="D74" i="16"/>
  <c r="E74" i="16"/>
  <c r="AF74" i="16"/>
  <c r="D75" i="16"/>
  <c r="H75" i="16" s="1"/>
  <c r="I75" i="16" s="1"/>
  <c r="E75" i="16"/>
  <c r="AF75" i="16"/>
  <c r="D76" i="16"/>
  <c r="E76" i="16"/>
  <c r="AF76" i="16"/>
  <c r="D77" i="16"/>
  <c r="H77" i="16" s="1"/>
  <c r="I77" i="16" s="1"/>
  <c r="E77" i="16"/>
  <c r="AF77" i="16"/>
  <c r="D78" i="16"/>
  <c r="E78" i="16"/>
  <c r="AF78" i="16"/>
  <c r="D79" i="16"/>
  <c r="H79" i="16" s="1"/>
  <c r="I79" i="16" s="1"/>
  <c r="E79" i="16"/>
  <c r="AF79" i="16"/>
  <c r="D80" i="16"/>
  <c r="H80" i="16" s="1"/>
  <c r="I80" i="16" s="1"/>
  <c r="E80" i="16"/>
  <c r="AF80" i="16"/>
  <c r="D81" i="16"/>
  <c r="E81" i="16"/>
  <c r="AF81" i="16"/>
  <c r="D82" i="16"/>
  <c r="H82" i="16" s="1"/>
  <c r="I82" i="16" s="1"/>
  <c r="E82" i="16"/>
  <c r="AF82" i="16"/>
  <c r="D83" i="16"/>
  <c r="H83" i="16" s="1"/>
  <c r="I83" i="16" s="1"/>
  <c r="E83" i="16"/>
  <c r="AF83" i="16"/>
  <c r="D84" i="16"/>
  <c r="E84" i="16"/>
  <c r="H84" i="16"/>
  <c r="I84" i="16" s="1"/>
  <c r="AF84" i="16"/>
  <c r="D85" i="16"/>
  <c r="E85" i="16"/>
  <c r="AF85" i="16"/>
  <c r="D86" i="16"/>
  <c r="H86" i="16" s="1"/>
  <c r="I86" i="16" s="1"/>
  <c r="E86" i="16"/>
  <c r="AF86" i="16"/>
  <c r="D87" i="16"/>
  <c r="H87" i="16" s="1"/>
  <c r="I87" i="16" s="1"/>
  <c r="E87" i="16"/>
  <c r="AF87" i="16"/>
  <c r="D88" i="16"/>
  <c r="H88" i="16" s="1"/>
  <c r="I88" i="16" s="1"/>
  <c r="E88" i="16"/>
  <c r="AF88" i="16"/>
  <c r="D89" i="16"/>
  <c r="E89" i="16"/>
  <c r="AF89" i="16"/>
  <c r="D90" i="16"/>
  <c r="E90" i="16"/>
  <c r="AF90" i="16"/>
  <c r="D91" i="16"/>
  <c r="E91" i="16"/>
  <c r="AF91" i="16"/>
  <c r="D92" i="16"/>
  <c r="E92" i="16"/>
  <c r="AF92" i="16"/>
  <c r="D93" i="16"/>
  <c r="E93" i="16"/>
  <c r="AF93" i="16"/>
  <c r="D94" i="16"/>
  <c r="H94" i="16" s="1"/>
  <c r="I94" i="16" s="1"/>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E131" i="16"/>
  <c r="AF131" i="16"/>
  <c r="D132" i="16"/>
  <c r="E132" i="16"/>
  <c r="AF132" i="16"/>
  <c r="D133" i="16"/>
  <c r="H133" i="16" s="1"/>
  <c r="I133" i="16" s="1"/>
  <c r="E133" i="16"/>
  <c r="AF133" i="16"/>
  <c r="D134" i="16"/>
  <c r="H134" i="16" s="1"/>
  <c r="I134" i="16" s="1"/>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H145" i="16" s="1"/>
  <c r="I145" i="16" s="1"/>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H151" i="16" s="1"/>
  <c r="I151" i="16" s="1"/>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H159" i="16" s="1"/>
  <c r="I159" i="16" s="1"/>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H167" i="16" s="1"/>
  <c r="I167" i="16" s="1"/>
  <c r="E167" i="16"/>
  <c r="AF167" i="16"/>
  <c r="D168" i="16"/>
  <c r="E168" i="16"/>
  <c r="AF168" i="16"/>
  <c r="D169" i="16"/>
  <c r="E169" i="16"/>
  <c r="AF169" i="16"/>
  <c r="D170" i="16"/>
  <c r="E170" i="16"/>
  <c r="AF170" i="16"/>
  <c r="D171" i="16"/>
  <c r="H171" i="16" s="1"/>
  <c r="I171" i="16" s="1"/>
  <c r="E171" i="16"/>
  <c r="AF171" i="16"/>
  <c r="D172" i="16"/>
  <c r="E172" i="16"/>
  <c r="AF172" i="16"/>
  <c r="D173" i="16"/>
  <c r="H173" i="16" s="1"/>
  <c r="I173" i="16" s="1"/>
  <c r="E173" i="16"/>
  <c r="AF173" i="16"/>
  <c r="D174" i="16"/>
  <c r="E174" i="16"/>
  <c r="AF174" i="16"/>
  <c r="D175" i="16"/>
  <c r="H175" i="16" s="1"/>
  <c r="I175" i="16" s="1"/>
  <c r="E175" i="16"/>
  <c r="AF175" i="16"/>
  <c r="D176" i="16"/>
  <c r="E176" i="16"/>
  <c r="AF176" i="16"/>
  <c r="D177" i="16"/>
  <c r="E177" i="16"/>
  <c r="AF177" i="16"/>
  <c r="D178" i="16"/>
  <c r="E178" i="16"/>
  <c r="AF178" i="16"/>
  <c r="D179" i="16"/>
  <c r="H179" i="16" s="1"/>
  <c r="I179" i="16" s="1"/>
  <c r="E179" i="16"/>
  <c r="AF179" i="16"/>
  <c r="D180" i="16"/>
  <c r="H180" i="16" s="1"/>
  <c r="I180" i="16" s="1"/>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H190" i="16" s="1"/>
  <c r="I190" i="16" s="1"/>
  <c r="E190" i="16"/>
  <c r="AF190" i="16"/>
  <c r="D191" i="16"/>
  <c r="E191" i="16"/>
  <c r="AF191" i="16"/>
  <c r="D192" i="16"/>
  <c r="E192" i="16"/>
  <c r="AF192" i="16"/>
  <c r="D193" i="16"/>
  <c r="H193" i="16" s="1"/>
  <c r="I193" i="16" s="1"/>
  <c r="E193" i="16"/>
  <c r="AF193" i="16"/>
  <c r="D194" i="16"/>
  <c r="E194" i="16"/>
  <c r="AF194" i="16"/>
  <c r="D195" i="16"/>
  <c r="E195" i="16"/>
  <c r="H195" i="16"/>
  <c r="I195" i="16" s="1"/>
  <c r="AF195" i="16"/>
  <c r="D196" i="16"/>
  <c r="H196" i="16" s="1"/>
  <c r="I196" i="16" s="1"/>
  <c r="E196" i="16"/>
  <c r="AF196" i="16"/>
  <c r="D197" i="16"/>
  <c r="H197" i="16" s="1"/>
  <c r="I197" i="16" s="1"/>
  <c r="E197" i="16"/>
  <c r="AF197" i="16"/>
  <c r="D198" i="16"/>
  <c r="E198" i="16"/>
  <c r="AF198" i="16"/>
  <c r="D199" i="16"/>
  <c r="E199" i="16"/>
  <c r="AF199" i="16"/>
  <c r="D200" i="16"/>
  <c r="H200" i="16" s="1"/>
  <c r="I200" i="16" s="1"/>
  <c r="E200" i="16"/>
  <c r="AF200" i="16"/>
  <c r="D201" i="16"/>
  <c r="H201" i="16" s="1"/>
  <c r="I201" i="16" s="1"/>
  <c r="E201" i="16"/>
  <c r="AF201" i="16"/>
  <c r="D202" i="16"/>
  <c r="E202" i="16"/>
  <c r="AF202" i="16"/>
  <c r="D203" i="16"/>
  <c r="H203" i="16" s="1"/>
  <c r="I203" i="16" s="1"/>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H211" i="16" s="1"/>
  <c r="I211" i="16" s="1"/>
  <c r="E211" i="16"/>
  <c r="AF211" i="16"/>
  <c r="D212" i="16"/>
  <c r="H212" i="16" s="1"/>
  <c r="I212" i="16" s="1"/>
  <c r="E212" i="16"/>
  <c r="AF212" i="16"/>
  <c r="D213" i="16"/>
  <c r="H213" i="16" s="1"/>
  <c r="I213" i="16" s="1"/>
  <c r="E213" i="16"/>
  <c r="AF213" i="16"/>
  <c r="D214" i="16"/>
  <c r="E214" i="16"/>
  <c r="AF214" i="16"/>
  <c r="D215" i="16"/>
  <c r="H215" i="16" s="1"/>
  <c r="I215" i="16" s="1"/>
  <c r="E215" i="16"/>
  <c r="AF215" i="16"/>
  <c r="D216" i="16"/>
  <c r="E216" i="16"/>
  <c r="H216" i="16"/>
  <c r="I216" i="16" s="1"/>
  <c r="AF216" i="16"/>
  <c r="D217" i="16"/>
  <c r="H217" i="16" s="1"/>
  <c r="I217" i="16" s="1"/>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H240" i="16" s="1"/>
  <c r="I240" i="16" s="1"/>
  <c r="E240" i="16"/>
  <c r="AF240" i="16"/>
  <c r="D241" i="16"/>
  <c r="E241" i="16"/>
  <c r="AF241" i="16"/>
  <c r="D242" i="16"/>
  <c r="E242" i="16"/>
  <c r="AF242" i="16"/>
  <c r="D243" i="16"/>
  <c r="H243" i="16" s="1"/>
  <c r="I243" i="16" s="1"/>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H263" i="16" s="1"/>
  <c r="I263" i="16" s="1"/>
  <c r="E263" i="16"/>
  <c r="AF263" i="16"/>
  <c r="D264" i="16"/>
  <c r="H264" i="16" s="1"/>
  <c r="I264" i="16" s="1"/>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H273" i="16" s="1"/>
  <c r="I273" i="16" s="1"/>
  <c r="E273" i="16"/>
  <c r="AF273" i="16"/>
  <c r="D274" i="16"/>
  <c r="H274" i="16" s="1"/>
  <c r="I274" i="16" s="1"/>
  <c r="E274" i="16"/>
  <c r="AF274" i="16"/>
  <c r="D275" i="16"/>
  <c r="E275" i="16"/>
  <c r="AF275" i="16"/>
  <c r="D276" i="16"/>
  <c r="E276" i="16"/>
  <c r="AF276" i="16"/>
  <c r="D277" i="16"/>
  <c r="E277" i="16"/>
  <c r="AF277" i="16"/>
  <c r="D278" i="16"/>
  <c r="H278" i="16" s="1"/>
  <c r="I278" i="16" s="1"/>
  <c r="E278" i="16"/>
  <c r="AF278" i="16"/>
  <c r="D279" i="16"/>
  <c r="E279" i="16"/>
  <c r="AF279" i="16"/>
  <c r="D280" i="16"/>
  <c r="E280" i="16"/>
  <c r="AF280" i="16"/>
  <c r="D281" i="16"/>
  <c r="E281" i="16"/>
  <c r="AF281" i="16"/>
  <c r="D282" i="16"/>
  <c r="E282" i="16"/>
  <c r="AF282" i="16"/>
  <c r="D283" i="16"/>
  <c r="E283" i="16"/>
  <c r="AF283" i="16"/>
  <c r="D284" i="16"/>
  <c r="H284" i="16" s="1"/>
  <c r="I284" i="16" s="1"/>
  <c r="E284" i="16"/>
  <c r="AF284" i="16"/>
  <c r="D285" i="16"/>
  <c r="E285" i="16"/>
  <c r="AF285" i="16"/>
  <c r="D286" i="16"/>
  <c r="H286" i="16" s="1"/>
  <c r="I286" i="16" s="1"/>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H297" i="16" s="1"/>
  <c r="I297" i="16" s="1"/>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H304" i="16" s="1"/>
  <c r="I304" i="16" s="1"/>
  <c r="E304" i="16"/>
  <c r="AF304" i="16"/>
  <c r="D305" i="16"/>
  <c r="E305" i="16"/>
  <c r="AF305" i="16"/>
  <c r="D306" i="16"/>
  <c r="E306" i="16"/>
  <c r="AF306" i="16"/>
  <c r="D307" i="16"/>
  <c r="E307" i="16"/>
  <c r="AF307" i="16"/>
  <c r="D308" i="16"/>
  <c r="H308" i="16" s="1"/>
  <c r="I308" i="16" s="1"/>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H314" i="16" s="1"/>
  <c r="I314" i="16" s="1"/>
  <c r="E314" i="16"/>
  <c r="AF314" i="16"/>
  <c r="D315" i="16"/>
  <c r="E315" i="16"/>
  <c r="AF315" i="16"/>
  <c r="D316" i="16"/>
  <c r="E316" i="16"/>
  <c r="H316" i="16"/>
  <c r="I316" i="16" s="1"/>
  <c r="AF316" i="16"/>
  <c r="D317" i="16"/>
  <c r="H317" i="16" s="1"/>
  <c r="I317" i="16" s="1"/>
  <c r="E317" i="16"/>
  <c r="AF317" i="16"/>
  <c r="D318" i="16"/>
  <c r="E318" i="16"/>
  <c r="AF318" i="16"/>
  <c r="D319" i="16"/>
  <c r="H319" i="16" s="1"/>
  <c r="I319" i="16" s="1"/>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H327" i="16" s="1"/>
  <c r="I327" i="16" s="1"/>
  <c r="E327" i="16"/>
  <c r="AF327" i="16"/>
  <c r="A265" i="16" l="1"/>
  <c r="D12" i="16"/>
  <c r="H12" i="16" s="1"/>
  <c r="I12" i="16" s="1"/>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AA1" i="34" l="1"/>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AX182" i="16"/>
  <c r="F182" i="16" s="1"/>
  <c r="AX78" i="16"/>
  <c r="F78" i="16" s="1"/>
  <c r="AX187" i="16"/>
  <c r="F187" i="16" s="1"/>
  <c r="AX62" i="16"/>
  <c r="F62" i="16" s="1"/>
  <c r="AX157" i="16"/>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F240" i="16" s="1"/>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F190" i="16" s="1"/>
  <c r="AX260" i="16"/>
  <c r="H260" i="16" s="1"/>
  <c r="AX92" i="16"/>
  <c r="F92" i="16" s="1"/>
  <c r="AX278" i="16"/>
  <c r="F278" i="16" s="1"/>
  <c r="AX149" i="16"/>
  <c r="F149" i="16" s="1"/>
  <c r="AX64" i="16"/>
  <c r="F64" i="16" s="1"/>
  <c r="AX232" i="16"/>
  <c r="F232" i="16" s="1"/>
  <c r="AX298" i="16"/>
  <c r="F298" i="16" s="1"/>
  <c r="AX237" i="16"/>
  <c r="F237" i="16" s="1"/>
  <c r="AX118" i="16"/>
  <c r="H118" i="16" s="1"/>
  <c r="AX304" i="16"/>
  <c r="F304" i="16" s="1"/>
  <c r="AX137" i="16"/>
  <c r="H137" i="16" s="1"/>
  <c r="AX287" i="16"/>
  <c r="F287" i="16" s="1"/>
  <c r="AX151" i="16"/>
  <c r="F151" i="16" s="1"/>
  <c r="AX264" i="16"/>
  <c r="F264" i="16" s="1"/>
  <c r="AX148" i="16"/>
  <c r="F148" i="16" s="1"/>
  <c r="AX292" i="16"/>
  <c r="F292" i="16" s="1"/>
  <c r="AX124" i="16"/>
  <c r="F124" i="16" s="1"/>
  <c r="AX326" i="16"/>
  <c r="F326" i="16" s="1"/>
  <c r="AX160" i="16"/>
  <c r="F160" i="16" s="1"/>
  <c r="AX319" i="16"/>
  <c r="F319" i="16" s="1"/>
  <c r="AX126" i="16"/>
  <c r="F126" i="16" s="1"/>
  <c r="AX321" i="16"/>
  <c r="F321" i="16" s="1"/>
  <c r="AX235" i="16"/>
  <c r="F235" i="16" s="1"/>
  <c r="AX87" i="16"/>
  <c r="F87" i="16" s="1"/>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F145" i="16" s="1"/>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H161" i="16"/>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F297" i="16" s="1"/>
  <c r="AX180" i="16"/>
  <c r="F180" i="16" s="1"/>
  <c r="AX138" i="16"/>
  <c r="F138" i="16" s="1"/>
  <c r="AX234" i="16"/>
  <c r="F234" i="16" s="1"/>
  <c r="AX66" i="16"/>
  <c r="F66" i="16" s="1"/>
  <c r="AX188" i="16"/>
  <c r="F188" i="16" s="1"/>
  <c r="AX71" i="16"/>
  <c r="F71" i="16" s="1"/>
  <c r="AX216" i="16"/>
  <c r="F216" i="16" s="1"/>
  <c r="AX96" i="16"/>
  <c r="F96" i="16" s="1"/>
  <c r="F157" i="16"/>
  <c r="AX276" i="16"/>
  <c r="F276" i="16" s="1"/>
  <c r="AX223" i="16"/>
  <c r="H223" i="16" s="1"/>
  <c r="AX117" i="16"/>
  <c r="F117" i="16" s="1"/>
  <c r="AX256" i="16"/>
  <c r="F256" i="16" s="1"/>
  <c r="AX90" i="16"/>
  <c r="H90" i="16" s="1"/>
  <c r="AX195" i="16"/>
  <c r="F195" i="16" s="1"/>
  <c r="AX59" i="16"/>
  <c r="F59" i="16" s="1"/>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AX243" i="16"/>
  <c r="F243" i="16" s="1"/>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F200" i="16"/>
  <c r="AX238" i="16"/>
  <c r="F238" i="16" s="1"/>
  <c r="AX201" i="16"/>
  <c r="F201" i="16" s="1"/>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F31" i="16" s="1"/>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F49" i="16" s="1"/>
  <c r="AX36" i="16"/>
  <c r="F36" i="16" s="1"/>
  <c r="AX13" i="16"/>
  <c r="F13" i="16" s="1"/>
  <c r="AX42" i="16"/>
  <c r="F42" i="16" s="1"/>
  <c r="H11" i="16"/>
  <c r="H8" i="16"/>
  <c r="D22" i="8"/>
  <c r="D21" i="8"/>
  <c r="X9" i="16"/>
  <c r="AI9" i="16"/>
  <c r="AP9" i="16"/>
  <c r="J10" i="8"/>
  <c r="H318" i="16" l="1"/>
  <c r="H182" i="16"/>
  <c r="F137" i="16"/>
  <c r="H62" i="16"/>
  <c r="F132" i="16"/>
  <c r="H272" i="16"/>
  <c r="F143" i="16"/>
  <c r="F129" i="16"/>
  <c r="H250" i="16"/>
  <c r="H78"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AG287" i="16" s="1"/>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150" i="16"/>
  <c r="AG266" i="16"/>
  <c r="AG238" i="16"/>
  <c r="H22" i="16"/>
  <c r="F29" i="16"/>
  <c r="L35" i="8"/>
  <c r="H44" i="16"/>
  <c r="H56" i="16"/>
  <c r="F48" i="16"/>
  <c r="F46" i="16"/>
  <c r="F14" i="16"/>
  <c r="H16" i="16"/>
  <c r="H23" i="16"/>
  <c r="AG11" i="16"/>
  <c r="H13" i="16"/>
  <c r="F34" i="16"/>
  <c r="H21" i="16"/>
  <c r="F32" i="16"/>
  <c r="H32" i="16"/>
  <c r="F41" i="16"/>
  <c r="H57" i="16"/>
  <c r="H50" i="16"/>
  <c r="H17" i="16"/>
  <c r="H38" i="16"/>
  <c r="H47" i="16"/>
  <c r="H24" i="16"/>
  <c r="H15" i="16"/>
  <c r="F53" i="16"/>
  <c r="H39" i="16"/>
  <c r="K89" i="8"/>
  <c r="B39" i="8"/>
  <c r="AG177" i="16" l="1"/>
  <c r="AG275" i="16"/>
  <c r="AG91" i="16"/>
  <c r="AG288" i="16"/>
  <c r="AG66" i="16"/>
  <c r="AG133" i="16"/>
  <c r="AG188" i="16"/>
  <c r="AG166" i="16"/>
  <c r="AG262" i="16"/>
  <c r="AG190" i="16"/>
  <c r="AG129" i="16"/>
  <c r="AG82" i="16"/>
  <c r="AG233" i="16"/>
  <c r="AG231" i="16"/>
  <c r="AG261" i="16"/>
  <c r="AG70" i="16"/>
  <c r="AG286" i="16"/>
  <c r="AG252" i="16"/>
  <c r="AG312" i="16"/>
  <c r="AG144" i="16"/>
  <c r="AG300" i="16"/>
  <c r="AG189" i="16"/>
  <c r="AG290" i="16"/>
  <c r="AG260" i="16"/>
  <c r="AG124" i="16"/>
  <c r="AG244" i="16"/>
  <c r="AG58" i="16"/>
  <c r="AG211" i="16"/>
  <c r="AG201" i="16"/>
  <c r="AG315" i="16"/>
  <c r="AG324" i="16"/>
  <c r="AG159" i="16"/>
  <c r="AG305" i="16"/>
  <c r="AG175" i="16"/>
  <c r="AG131" i="16"/>
  <c r="AG76" i="16"/>
  <c r="AG74" i="16"/>
  <c r="AG270" i="16"/>
  <c r="AG311" i="16"/>
  <c r="AG269" i="16"/>
  <c r="AG193" i="16"/>
  <c r="AG299" i="16"/>
  <c r="AG111" i="16"/>
  <c r="AG147" i="16"/>
  <c r="AG241" i="16"/>
  <c r="AG172" i="16"/>
  <c r="AG87" i="16"/>
  <c r="AG132" i="16"/>
  <c r="AG284" i="16"/>
  <c r="AG304" i="16"/>
  <c r="AG185" i="16"/>
  <c r="AG295" i="16"/>
  <c r="AG146" i="16"/>
  <c r="AG321" i="16"/>
  <c r="AG302" i="16"/>
  <c r="AG134" i="16"/>
  <c r="AG139" i="16"/>
  <c r="AG273" i="16"/>
  <c r="AG158" i="16"/>
  <c r="AG110" i="16"/>
  <c r="AG250" i="16"/>
  <c r="AG219" i="16"/>
  <c r="AG155" i="16"/>
  <c r="AG157" i="16"/>
  <c r="AG283" i="16"/>
  <c r="AG317" i="16"/>
  <c r="AG228" i="16"/>
  <c r="AG173" i="16"/>
  <c r="AG203" i="16"/>
  <c r="AG294" i="16"/>
  <c r="AG180" i="16"/>
  <c r="AG301" i="16"/>
  <c r="AG179" i="16"/>
  <c r="AG222" i="16"/>
  <c r="AG217" i="16"/>
  <c r="AG319" i="16"/>
  <c r="AG257" i="16"/>
  <c r="AG202" i="16"/>
  <c r="AG272" i="16"/>
  <c r="AG125" i="16"/>
  <c r="AG255" i="16"/>
  <c r="AG112" i="16"/>
  <c r="AG113" i="16"/>
  <c r="AG89" i="16"/>
  <c r="AG123" i="16"/>
  <c r="AG310" i="16"/>
  <c r="AG240" i="16"/>
  <c r="AG71" i="16"/>
  <c r="AG243" i="16"/>
  <c r="AG130" i="16"/>
  <c r="AG234" i="16"/>
  <c r="AG279" i="16"/>
  <c r="AG109" i="16"/>
  <c r="AG72" i="16"/>
  <c r="AG322" i="16"/>
  <c r="AG59" i="16"/>
  <c r="AG223" i="16"/>
  <c r="AG195" i="16"/>
  <c r="AG215" i="16"/>
  <c r="AG194" i="16"/>
  <c r="AG208" i="16"/>
  <c r="AG309" i="16"/>
  <c r="AG149" i="16"/>
  <c r="AG258" i="16"/>
  <c r="AG143" i="16"/>
  <c r="AG86" i="16"/>
  <c r="AG98" i="16"/>
  <c r="AG84" i="16"/>
  <c r="AG226" i="16"/>
  <c r="AG236" i="16"/>
  <c r="AG61" i="16"/>
  <c r="AG225" i="16"/>
  <c r="AG163" i="16"/>
  <c r="AG245" i="16"/>
  <c r="AG327" i="16"/>
  <c r="AG152" i="16"/>
  <c r="AG263" i="16"/>
  <c r="AG320" i="16"/>
  <c r="AG181" i="16"/>
  <c r="AG105" i="16"/>
  <c r="AG242" i="16"/>
  <c r="AG221" i="16"/>
  <c r="AG297" i="16"/>
  <c r="AG191" i="16"/>
  <c r="AG140" i="16"/>
  <c r="AG165" i="16"/>
  <c r="AG229" i="16"/>
  <c r="AG291" i="16"/>
  <c r="AG289" i="16"/>
  <c r="AG63" i="16"/>
  <c r="AG237" i="16"/>
  <c r="AG303" i="16"/>
  <c r="AG127" i="16"/>
  <c r="AG267" i="16"/>
  <c r="AG81" i="16"/>
  <c r="AG246" i="16"/>
  <c r="AG318" i="16"/>
  <c r="AG168" i="16"/>
  <c r="AG218" i="16"/>
  <c r="AG171" i="16"/>
  <c r="AG307" i="16"/>
  <c r="AG92" i="16"/>
  <c r="AG103" i="16"/>
  <c r="AG216" i="16"/>
  <c r="AG176" i="16"/>
  <c r="AG106" i="16"/>
  <c r="AG93" i="16"/>
  <c r="AG85" i="16"/>
  <c r="AG227" i="16"/>
  <c r="AG60" i="16"/>
  <c r="AG224" i="16"/>
  <c r="AG230" i="16"/>
  <c r="AG184" i="16"/>
  <c r="AG296" i="16"/>
  <c r="AG169" i="16"/>
  <c r="AG271" i="16"/>
  <c r="AG153" i="16"/>
  <c r="AG316" i="16"/>
  <c r="AG68" i="16"/>
  <c r="AG120" i="16"/>
  <c r="AG117" i="16"/>
  <c r="AG104" i="16"/>
  <c r="AG80" i="16"/>
  <c r="AG192" i="16"/>
  <c r="AG94" i="16"/>
  <c r="AG206" i="16"/>
  <c r="AG298" i="16"/>
  <c r="AG107" i="16"/>
  <c r="AG274" i="16"/>
  <c r="AG114" i="16"/>
  <c r="AG268" i="16"/>
  <c r="AG281" i="16"/>
  <c r="AG170" i="16"/>
  <c r="AG220" i="16"/>
  <c r="AG264" i="16"/>
  <c r="AG101" i="16"/>
  <c r="AG64" i="16"/>
  <c r="AG326" i="16"/>
  <c r="AG136" i="16"/>
  <c r="AG141" i="16"/>
  <c r="AG278" i="16"/>
  <c r="AG249" i="16"/>
  <c r="AG308" i="16"/>
  <c r="AG128" i="16"/>
  <c r="AG187" i="16"/>
  <c r="AG122" i="16"/>
  <c r="AG164" i="16"/>
  <c r="AG75" i="16"/>
  <c r="AG256" i="16"/>
  <c r="AG115" i="16"/>
  <c r="AG145" i="16"/>
  <c r="AG285" i="16"/>
  <c r="AG183" i="16"/>
  <c r="AG277" i="16"/>
  <c r="AG314" i="16"/>
  <c r="AG119" i="16"/>
  <c r="AG67" i="16"/>
  <c r="AG102" i="16"/>
  <c r="AG198" i="16"/>
  <c r="AG73" i="16"/>
  <c r="AG207" i="16"/>
  <c r="AG162" i="16"/>
  <c r="AG214" i="16"/>
  <c r="AG97" i="16"/>
  <c r="AG167" i="16"/>
  <c r="AG306" i="16"/>
  <c r="AG182" i="16"/>
  <c r="AG323" i="16"/>
  <c r="AG88" i="16"/>
  <c r="AG78" i="16"/>
  <c r="AG135" i="16"/>
  <c r="AG83" i="16"/>
  <c r="AG118" i="16"/>
  <c r="AG100" i="16"/>
  <c r="AG247" i="16"/>
  <c r="AG205" i="16"/>
  <c r="AG282" i="16"/>
  <c r="AG200" i="16"/>
  <c r="AG154" i="16"/>
  <c r="AG77" i="16"/>
  <c r="AG204" i="16"/>
  <c r="AG212" i="16"/>
  <c r="AG90" i="16"/>
  <c r="AG232" i="16"/>
  <c r="AG178" i="16"/>
  <c r="AG96" i="16"/>
  <c r="AG156" i="16"/>
  <c r="AG325" i="16"/>
  <c r="AG95" i="16"/>
  <c r="AG62" i="16"/>
  <c r="AG199" i="16"/>
  <c r="AG196" i="16"/>
  <c r="AG174" i="16"/>
  <c r="AG161" i="16"/>
  <c r="AG265" i="16"/>
  <c r="AG293" i="16"/>
  <c r="AG210" i="16"/>
  <c r="AG259" i="16"/>
  <c r="AG280" i="16"/>
  <c r="AG69" i="16"/>
  <c r="AG253" i="16"/>
  <c r="AG313" i="16"/>
  <c r="AG148" i="16"/>
  <c r="AG186" i="16"/>
  <c r="AG99" i="16"/>
  <c r="AG137" i="16"/>
  <c r="AG254" i="16"/>
  <c r="AG126" i="16"/>
  <c r="AG151" i="16"/>
  <c r="AG121" i="16"/>
  <c r="AG160" i="16"/>
  <c r="AG292" i="16"/>
  <c r="AG213" i="16"/>
  <c r="AG235" i="16"/>
  <c r="AG197" i="16"/>
  <c r="AG65" i="16"/>
  <c r="AG209" i="16"/>
  <c r="AG276" i="16"/>
  <c r="AG108" i="16"/>
  <c r="AG248" i="16"/>
  <c r="AG142" i="16"/>
  <c r="AG251" i="16"/>
  <c r="AG116" i="16"/>
  <c r="AG79" i="16"/>
  <c r="AG138" i="16"/>
  <c r="AG239" i="16"/>
  <c r="I74" i="16"/>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c r="E48" i="8"/>
  <c r="AE311" i="16" l="1"/>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T12" i="16"/>
  <c r="K15" i="16"/>
  <c r="L14" i="16"/>
  <c r="S13" i="16"/>
  <c r="T13" i="16"/>
  <c r="AI13" i="16"/>
  <c r="X13" i="16"/>
  <c r="M13" i="16"/>
  <c r="N13" i="16" s="1"/>
  <c r="AA13" i="16"/>
  <c r="AP13" i="16"/>
  <c r="X11" i="16"/>
  <c r="E66" i="8"/>
  <c r="Y66" i="8" s="1"/>
  <c r="T11" i="16"/>
  <c r="AI11" i="16"/>
  <c r="S11" i="16"/>
  <c r="AP11" i="16"/>
  <c r="M11" i="16"/>
  <c r="U66" i="8" s="1"/>
  <c r="AJ12" i="16" l="1"/>
  <c r="U12" i="16"/>
  <c r="Y12" i="16"/>
  <c r="AB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J22" i="16" l="1"/>
  <c r="AB22" i="16"/>
  <c r="Y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AJ57" i="16" s="1"/>
  <c r="AK57" i="16" s="1"/>
  <c r="M57" i="16"/>
  <c r="N57" i="16" s="1"/>
  <c r="AA57" i="16"/>
  <c r="X57" i="16"/>
  <c r="Y56" i="16"/>
  <c r="AB56" i="16"/>
  <c r="AQ58" i="16" l="1"/>
  <c r="AJ58" i="16"/>
  <c r="U58" i="16"/>
  <c r="AB58" i="16"/>
  <c r="Y58" i="16"/>
  <c r="L60" i="16"/>
  <c r="K61" i="16"/>
  <c r="S59" i="16"/>
  <c r="T59" i="16"/>
  <c r="AI59" i="16"/>
  <c r="X59" i="16"/>
  <c r="M59" i="16"/>
  <c r="N59" i="16" s="1"/>
  <c r="AP59" i="16"/>
  <c r="AA59" i="16"/>
  <c r="Y57" i="16"/>
  <c r="AB57" i="16"/>
  <c r="AQ57" i="16"/>
  <c r="U57" i="16"/>
  <c r="AJ59" i="16" l="1"/>
  <c r="AQ59" i="16"/>
  <c r="Y59" i="16"/>
  <c r="AB59" i="16"/>
  <c r="U59" i="16"/>
  <c r="L61" i="16"/>
  <c r="K62" i="16"/>
  <c r="M60" i="16"/>
  <c r="N60" i="16" s="1"/>
  <c r="AA60" i="16"/>
  <c r="AP60" i="16"/>
  <c r="S60" i="16"/>
  <c r="T60" i="16"/>
  <c r="AI60" i="16"/>
  <c r="X60" i="16"/>
  <c r="AJ60" i="16" l="1"/>
  <c r="U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J63" i="16" s="1"/>
  <c r="AK63" i="16" s="1"/>
  <c r="AA63" i="16"/>
  <c r="AQ63" i="16" l="1"/>
  <c r="Y63" i="16"/>
  <c r="U63" i="16"/>
  <c r="L65" i="16"/>
  <c r="K66" i="16"/>
  <c r="T64" i="16"/>
  <c r="AI64" i="16"/>
  <c r="X64" i="16"/>
  <c r="M64" i="16"/>
  <c r="N64" i="16" s="1"/>
  <c r="AP64" i="16"/>
  <c r="S64" i="16"/>
  <c r="AA64" i="16"/>
  <c r="AB63" i="16"/>
  <c r="AJ64" i="16" l="1"/>
  <c r="AQ64" i="16"/>
  <c r="Y64" i="16"/>
  <c r="U64" i="16"/>
  <c r="L66" i="16"/>
  <c r="K67" i="16"/>
  <c r="S65" i="16"/>
  <c r="T65" i="16"/>
  <c r="AI65" i="16"/>
  <c r="X65" i="16"/>
  <c r="AP65" i="16"/>
  <c r="M65" i="16"/>
  <c r="N65" i="16" s="1"/>
  <c r="AA65" i="16"/>
  <c r="AB64" i="16"/>
  <c r="AQ65" i="16" l="1"/>
  <c r="AJ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AJ68" i="16" s="1"/>
  <c r="X68" i="16"/>
  <c r="M68" i="16"/>
  <c r="N68" i="16" s="1"/>
  <c r="AP68" i="16"/>
  <c r="AA68" i="16"/>
  <c r="AB67" i="16"/>
  <c r="AQ68" i="16" l="1"/>
  <c r="Y68" i="16"/>
  <c r="U68" i="16"/>
  <c r="AB68" i="16"/>
  <c r="K71" i="16"/>
  <c r="L70" i="16"/>
  <c r="M69" i="16"/>
  <c r="N69" i="16" s="1"/>
  <c r="AP69" i="16"/>
  <c r="S69" i="16"/>
  <c r="T69" i="16"/>
  <c r="AA69" i="16"/>
  <c r="AI69" i="16"/>
  <c r="X69" i="16"/>
  <c r="AJ69" i="16" l="1"/>
  <c r="AQ69" i="16"/>
  <c r="Y69" i="16"/>
  <c r="U69" i="16"/>
  <c r="AB69" i="16"/>
  <c r="T70" i="16"/>
  <c r="AI70" i="16"/>
  <c r="X70" i="16"/>
  <c r="M70" i="16"/>
  <c r="N70" i="16" s="1"/>
  <c r="AP70" i="16"/>
  <c r="AA70" i="16"/>
  <c r="S70" i="16"/>
  <c r="L71" i="16"/>
  <c r="K72" i="16"/>
  <c r="AJ70" i="16" l="1"/>
  <c r="AB70" i="16"/>
  <c r="U70" i="16"/>
  <c r="Y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AI73" i="16"/>
  <c r="M73" i="16"/>
  <c r="N73" i="16" s="1"/>
  <c r="S73" i="16"/>
  <c r="X73" i="16"/>
  <c r="AA73" i="16"/>
  <c r="AP73" i="16"/>
  <c r="L74" i="16"/>
  <c r="K75" i="16"/>
  <c r="AJ73" i="16" l="1"/>
  <c r="AQ73" i="16"/>
  <c r="U73" i="16"/>
  <c r="AB73" i="16"/>
  <c r="Y73" i="16"/>
  <c r="L75" i="16"/>
  <c r="K76" i="16"/>
  <c r="AI74" i="16"/>
  <c r="AJ74" i="16" s="1"/>
  <c r="AK74" i="16" s="1"/>
  <c r="S74" i="16"/>
  <c r="T74" i="16"/>
  <c r="X74" i="16"/>
  <c r="AP74" i="16"/>
  <c r="M74" i="16"/>
  <c r="N74" i="16" s="1"/>
  <c r="AA74" i="16"/>
  <c r="AQ74" i="16" l="1"/>
  <c r="AB74" i="16"/>
  <c r="Y74" i="16"/>
  <c r="U74" i="16"/>
  <c r="K77" i="16"/>
  <c r="L76" i="16"/>
  <c r="M75" i="16"/>
  <c r="N75" i="16" s="1"/>
  <c r="T75" i="16"/>
  <c r="AI75" i="16"/>
  <c r="AJ75" i="16" s="1"/>
  <c r="AK75" i="16" s="1"/>
  <c r="S75" i="16"/>
  <c r="X75" i="16"/>
  <c r="AA75" i="16"/>
  <c r="AP75" i="16"/>
  <c r="AQ75" i="16" l="1"/>
  <c r="AB75" i="16"/>
  <c r="Y75" i="16"/>
  <c r="U75" i="16"/>
  <c r="T76" i="16"/>
  <c r="AI76" i="16"/>
  <c r="M76" i="16"/>
  <c r="N76" i="16" s="1"/>
  <c r="AA76" i="16"/>
  <c r="AP76" i="16"/>
  <c r="S76" i="16"/>
  <c r="X76" i="16"/>
  <c r="L77" i="16"/>
  <c r="K78" i="16"/>
  <c r="AJ76" i="16" l="1"/>
  <c r="Y76" i="16"/>
  <c r="AQ76" i="16"/>
  <c r="AB76" i="16"/>
  <c r="U76" i="16"/>
  <c r="L78" i="16"/>
  <c r="K79" i="16"/>
  <c r="AI77" i="16"/>
  <c r="AJ77" i="16" s="1"/>
  <c r="AK77" i="16" s="1"/>
  <c r="S77" i="16"/>
  <c r="T77" i="16"/>
  <c r="M77" i="16"/>
  <c r="N77" i="16" s="1"/>
  <c r="AP77" i="16"/>
  <c r="X77" i="16"/>
  <c r="AA77" i="16"/>
  <c r="AQ77" i="16" l="1"/>
  <c r="L79" i="16"/>
  <c r="K80" i="16"/>
  <c r="T78" i="16"/>
  <c r="AP78" i="16"/>
  <c r="AA78" i="16"/>
  <c r="M78" i="16"/>
  <c r="N78" i="16" s="1"/>
  <c r="S78" i="16"/>
  <c r="X78" i="16"/>
  <c r="AI78" i="16"/>
  <c r="AJ78" i="16" s="1"/>
  <c r="AK78" i="16" s="1"/>
  <c r="Y77" i="16"/>
  <c r="AB77" i="16"/>
  <c r="U77" i="16"/>
  <c r="AK38" i="16"/>
  <c r="AK15" i="16"/>
  <c r="AK30" i="16"/>
  <c r="AQ78" i="16" l="1"/>
  <c r="U78" i="16"/>
  <c r="Y78" i="16"/>
  <c r="AB78" i="16"/>
  <c r="L80" i="16"/>
  <c r="K81" i="16"/>
  <c r="T79" i="16"/>
  <c r="M79" i="16"/>
  <c r="N79" i="16" s="1"/>
  <c r="AI79" i="16"/>
  <c r="S79" i="16"/>
  <c r="X79" i="16"/>
  <c r="AA79" i="16"/>
  <c r="AP79" i="16"/>
  <c r="AK18" i="16"/>
  <c r="AK23" i="16"/>
  <c r="AJ79" i="16" l="1"/>
  <c r="Y79" i="16"/>
  <c r="U79" i="16"/>
  <c r="AB79" i="16"/>
  <c r="AQ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M82" i="16"/>
  <c r="N82" i="16" s="1"/>
  <c r="AA82" i="16"/>
  <c r="AI82" i="16"/>
  <c r="L83" i="16"/>
  <c r="K84" i="16"/>
  <c r="AJ82" i="16" l="1"/>
  <c r="AQ82" i="16"/>
  <c r="Y82" i="16"/>
  <c r="U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S84" i="16"/>
  <c r="T84" i="16"/>
  <c r="AI84" i="16"/>
  <c r="AQ84" i="16" l="1"/>
  <c r="AJ84" i="16"/>
  <c r="Y84" i="16"/>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T86" i="16"/>
  <c r="L87" i="16"/>
  <c r="K88" i="16"/>
  <c r="AJ86" i="16" l="1"/>
  <c r="AQ86" i="16"/>
  <c r="L88" i="16"/>
  <c r="K89" i="16"/>
  <c r="X87" i="16"/>
  <c r="M87" i="16"/>
  <c r="AA87" i="16"/>
  <c r="AP87" i="16"/>
  <c r="AI87" i="16"/>
  <c r="S87" i="16"/>
  <c r="T87" i="16"/>
  <c r="U86" i="16"/>
  <c r="AB86" i="16"/>
  <c r="Y86" i="16"/>
  <c r="AJ87" i="16" l="1"/>
  <c r="AQ87" i="16"/>
  <c r="AB87" i="16"/>
  <c r="Y87" i="16"/>
  <c r="U87" i="16"/>
  <c r="N87" i="16"/>
  <c r="K90" i="16"/>
  <c r="L89" i="16"/>
  <c r="S88" i="16"/>
  <c r="T88" i="16"/>
  <c r="AI88" i="16"/>
  <c r="X88" i="16"/>
  <c r="AA88" i="16"/>
  <c r="AP88" i="16"/>
  <c r="M88" i="16"/>
  <c r="N88" i="16" s="1"/>
  <c r="AJ88" i="16" l="1"/>
  <c r="AQ88" i="16"/>
  <c r="Y88" i="16"/>
  <c r="AB88" i="16"/>
  <c r="U88" i="16"/>
  <c r="AP89" i="16"/>
  <c r="S89" i="16"/>
  <c r="T89" i="16"/>
  <c r="AI89" i="16"/>
  <c r="X89" i="16"/>
  <c r="M89" i="16"/>
  <c r="N89" i="16" s="1"/>
  <c r="AA89" i="16"/>
  <c r="K91" i="16"/>
  <c r="L90" i="16"/>
  <c r="AJ89" i="16" l="1"/>
  <c r="AQ89" i="16"/>
  <c r="U89" i="16"/>
  <c r="X90" i="16"/>
  <c r="S90" i="16"/>
  <c r="T90" i="16"/>
  <c r="AI90" i="16"/>
  <c r="M90" i="16"/>
  <c r="N90" i="16" s="1"/>
  <c r="AA90" i="16"/>
  <c r="AP90" i="16"/>
  <c r="K92" i="16"/>
  <c r="L91" i="16"/>
  <c r="AB89" i="16"/>
  <c r="Y89" i="16"/>
  <c r="AJ90" i="16" l="1"/>
  <c r="AQ90" i="16"/>
  <c r="AB90" i="16"/>
  <c r="U90" i="16"/>
  <c r="Y90" i="16"/>
  <c r="K93" i="16"/>
  <c r="L92" i="16"/>
  <c r="S91" i="16"/>
  <c r="T91" i="16"/>
  <c r="AI91" i="16"/>
  <c r="AA91" i="16"/>
  <c r="AP91" i="16"/>
  <c r="X91" i="16"/>
  <c r="M91" i="16"/>
  <c r="N91" i="16" s="1"/>
  <c r="AJ91" i="16" l="1"/>
  <c r="AQ91" i="16"/>
  <c r="AB91" i="16"/>
  <c r="U91" i="16"/>
  <c r="AP92" i="16"/>
  <c r="T92" i="16"/>
  <c r="AI92" i="16"/>
  <c r="M92" i="16"/>
  <c r="N92" i="16" s="1"/>
  <c r="X92" i="16"/>
  <c r="AA92" i="16"/>
  <c r="S92" i="16"/>
  <c r="L93" i="16"/>
  <c r="K94" i="16"/>
  <c r="Y91" i="16"/>
  <c r="AJ92" i="16" l="1"/>
  <c r="U92" i="16"/>
  <c r="AQ92" i="16"/>
  <c r="AB92" i="16"/>
  <c r="Y92" i="16"/>
  <c r="L94" i="16"/>
  <c r="K95" i="16"/>
  <c r="X93" i="16"/>
  <c r="S93" i="16"/>
  <c r="AP93" i="16"/>
  <c r="AA93" i="16"/>
  <c r="M93" i="16"/>
  <c r="N93" i="16" s="1"/>
  <c r="AI93" i="16"/>
  <c r="T93" i="16"/>
  <c r="AJ93" i="16" l="1"/>
  <c r="AQ93" i="16"/>
  <c r="AB93" i="16"/>
  <c r="Y93" i="16"/>
  <c r="K96" i="16"/>
  <c r="L95" i="16"/>
  <c r="S94" i="16"/>
  <c r="M94" i="16"/>
  <c r="N94" i="16" s="1"/>
  <c r="AA94" i="16"/>
  <c r="AP94" i="16"/>
  <c r="AI94" i="16"/>
  <c r="T94" i="16"/>
  <c r="X94" i="16"/>
  <c r="U93" i="16"/>
  <c r="U94" i="16" l="1"/>
  <c r="AJ94" i="16"/>
  <c r="AQ94" i="16"/>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P98" i="16"/>
  <c r="S98" i="16"/>
  <c r="AJ98" i="16" l="1"/>
  <c r="AQ98" i="16"/>
  <c r="Y98" i="16"/>
  <c r="AB98" i="16"/>
  <c r="U98" i="16"/>
  <c r="T99" i="16"/>
  <c r="M99" i="16"/>
  <c r="N99" i="16" s="1"/>
  <c r="X99" i="16"/>
  <c r="AA99" i="16"/>
  <c r="AI99" i="16"/>
  <c r="AP99" i="16"/>
  <c r="S99" i="16"/>
  <c r="K101" i="16"/>
  <c r="L100" i="16"/>
  <c r="AJ99" i="16" l="1"/>
  <c r="AQ99" i="16"/>
  <c r="Y99" i="16"/>
  <c r="U99" i="16"/>
  <c r="AB99" i="16"/>
  <c r="AA100" i="16"/>
  <c r="S100" i="16"/>
  <c r="AI100" i="16"/>
  <c r="AP100" i="16"/>
  <c r="M100" i="16"/>
  <c r="N100" i="16" s="1"/>
  <c r="T100" i="16"/>
  <c r="X100" i="16"/>
  <c r="L101" i="16"/>
  <c r="K102" i="16"/>
  <c r="AJ100" i="16" l="1"/>
  <c r="AB100" i="16"/>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P102" i="16"/>
  <c r="S102" i="16"/>
  <c r="L103" i="16"/>
  <c r="K104" i="16"/>
  <c r="AJ102" i="16" l="1"/>
  <c r="AQ102" i="16"/>
  <c r="AB102" i="16"/>
  <c r="Y102" i="16"/>
  <c r="U102" i="16"/>
  <c r="L104" i="16"/>
  <c r="K105" i="16"/>
  <c r="T103" i="16"/>
  <c r="AI103" i="16"/>
  <c r="X103" i="16"/>
  <c r="M103" i="16"/>
  <c r="N103" i="16" s="1"/>
  <c r="AA103" i="16"/>
  <c r="AP103" i="16"/>
  <c r="S103" i="16"/>
  <c r="AJ103" i="16" l="1"/>
  <c r="AQ103" i="16"/>
  <c r="AB103" i="16"/>
  <c r="Y103" i="16"/>
  <c r="U103" i="16"/>
  <c r="L105" i="16"/>
  <c r="K106" i="16"/>
  <c r="S104" i="16"/>
  <c r="M104" i="16"/>
  <c r="N104" i="16" s="1"/>
  <c r="AA104" i="16"/>
  <c r="AP104" i="16"/>
  <c r="T104" i="16"/>
  <c r="X104" i="16"/>
  <c r="AI104" i="16"/>
  <c r="AJ104" i="16" l="1"/>
  <c r="AB104" i="16"/>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L107" i="16"/>
  <c r="K108" i="16"/>
  <c r="AJ106" i="16" l="1"/>
  <c r="AQ106" i="16"/>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A111" i="16"/>
  <c r="AP111" i="16"/>
  <c r="M111" i="16"/>
  <c r="N111" i="16" s="1"/>
  <c r="S111" i="16"/>
  <c r="X111" i="16"/>
  <c r="AJ111" i="16" l="1"/>
  <c r="AQ111" i="16"/>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S113" i="16"/>
  <c r="AB112" i="16"/>
  <c r="Y112" i="16"/>
  <c r="AJ113" i="16" l="1"/>
  <c r="AQ113" i="16"/>
  <c r="U113" i="16"/>
  <c r="Y113" i="16"/>
  <c r="AB113" i="16"/>
  <c r="L115" i="16"/>
  <c r="K116" i="16"/>
  <c r="T114" i="16"/>
  <c r="X114" i="16"/>
  <c r="AA114" i="16"/>
  <c r="AP114" i="16"/>
  <c r="AI114" i="16"/>
  <c r="M114" i="16"/>
  <c r="N114" i="16" s="1"/>
  <c r="S114" i="16"/>
  <c r="AJ114" i="16" l="1"/>
  <c r="AQ114" i="16"/>
  <c r="U114" i="16"/>
  <c r="Y114" i="16"/>
  <c r="AB114" i="16"/>
  <c r="K117" i="16"/>
  <c r="L116" i="16"/>
  <c r="T115" i="16"/>
  <c r="X115" i="16"/>
  <c r="S115" i="16"/>
  <c r="AA115" i="16"/>
  <c r="AI115" i="16"/>
  <c r="M115" i="16"/>
  <c r="N115" i="16" s="1"/>
  <c r="AP115" i="16"/>
  <c r="AJ115" i="16" l="1"/>
  <c r="U115" i="16"/>
  <c r="AQ115" i="16"/>
  <c r="AB115" i="16"/>
  <c r="Y115" i="16"/>
  <c r="M116" i="16"/>
  <c r="N116" i="16" s="1"/>
  <c r="AA116" i="16"/>
  <c r="AP116" i="16"/>
  <c r="T116" i="16"/>
  <c r="AI116" i="16"/>
  <c r="X116" i="16"/>
  <c r="S116" i="16"/>
  <c r="L117" i="16"/>
  <c r="K118" i="16"/>
  <c r="AJ116" i="16" l="1"/>
  <c r="AQ116" i="16"/>
  <c r="AB116" i="16"/>
  <c r="Y116" i="16"/>
  <c r="U116" i="16"/>
  <c r="K119" i="16"/>
  <c r="L118" i="16"/>
  <c r="M117" i="16"/>
  <c r="N117" i="16" s="1"/>
  <c r="AP117" i="16"/>
  <c r="S117" i="16"/>
  <c r="AI117" i="16"/>
  <c r="X117" i="16"/>
  <c r="T117" i="16"/>
  <c r="AA117" i="16"/>
  <c r="AB117" i="16" l="1"/>
  <c r="Y117"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X121" i="16"/>
  <c r="S121" i="16"/>
  <c r="AP121" i="16"/>
  <c r="AA121" i="16"/>
  <c r="M121" i="16"/>
  <c r="N121" i="16" s="1"/>
  <c r="T121" i="16"/>
  <c r="AQ121" i="16" l="1"/>
  <c r="AB121" i="16"/>
  <c r="Y121" i="16"/>
  <c r="U121" i="16"/>
  <c r="S122" i="16"/>
  <c r="M122" i="16"/>
  <c r="N122" i="16" s="1"/>
  <c r="AP122" i="16"/>
  <c r="AI122" i="16"/>
  <c r="AJ122" i="16" s="1"/>
  <c r="AK122" i="16" s="1"/>
  <c r="T122" i="16"/>
  <c r="X122" i="16"/>
  <c r="AA122" i="16"/>
  <c r="K124" i="16"/>
  <c r="L123" i="16"/>
  <c r="AQ122" i="16" l="1"/>
  <c r="AB122" i="16"/>
  <c r="U122" i="16"/>
  <c r="Y122" i="16"/>
  <c r="M123" i="16"/>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K127" i="16"/>
  <c r="L126" i="16"/>
  <c r="U124" i="16"/>
  <c r="AJ125" i="16" l="1"/>
  <c r="U125" i="16"/>
  <c r="AQ125" i="16"/>
  <c r="AB125" i="16"/>
  <c r="Y125" i="16"/>
  <c r="AI126" i="16"/>
  <c r="X126" i="16"/>
  <c r="AP126" i="16"/>
  <c r="AA126" i="16"/>
  <c r="T126" i="16"/>
  <c r="M126" i="16"/>
  <c r="N126" i="16" s="1"/>
  <c r="S126" i="16"/>
  <c r="K128" i="16"/>
  <c r="L127" i="16"/>
  <c r="AJ126" i="16" l="1"/>
  <c r="AQ126" i="16"/>
  <c r="Y126" i="16"/>
  <c r="U126" i="16"/>
  <c r="AB126" i="16"/>
  <c r="S127" i="16"/>
  <c r="AP127" i="16"/>
  <c r="M127" i="16"/>
  <c r="N127" i="16" s="1"/>
  <c r="AI127" i="16"/>
  <c r="X127" i="16"/>
  <c r="T127" i="16"/>
  <c r="AA127" i="16"/>
  <c r="K129" i="16"/>
  <c r="L128" i="16"/>
  <c r="AJ127" i="16" l="1"/>
  <c r="AQ127" i="16"/>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T130" i="16"/>
  <c r="AA130" i="16"/>
  <c r="K132" i="16"/>
  <c r="L131" i="16"/>
  <c r="AJ130" i="16" l="1"/>
  <c r="AB130" i="16"/>
  <c r="AQ130" i="16"/>
  <c r="Y130" i="16"/>
  <c r="U130" i="16"/>
  <c r="M131" i="16"/>
  <c r="N131" i="16" s="1"/>
  <c r="AP131" i="16"/>
  <c r="S131" i="16"/>
  <c r="AI131" i="16"/>
  <c r="AJ131" i="16" s="1"/>
  <c r="X131" i="16"/>
  <c r="T131" i="16"/>
  <c r="AA131" i="16"/>
  <c r="K133" i="16"/>
  <c r="L132" i="16"/>
  <c r="AQ131" i="16" l="1"/>
  <c r="Y131" i="16"/>
  <c r="U131" i="16"/>
  <c r="AB131" i="16"/>
  <c r="AI132" i="16"/>
  <c r="X132" i="16"/>
  <c r="AP132" i="16"/>
  <c r="S132" i="16"/>
  <c r="M132" i="16"/>
  <c r="N132" i="16" s="1"/>
  <c r="T132" i="16"/>
  <c r="AA132" i="16"/>
  <c r="K134" i="16"/>
  <c r="L133" i="16"/>
  <c r="AJ132" i="16" l="1"/>
  <c r="AQ132" i="16"/>
  <c r="U132" i="16"/>
  <c r="AB132" i="16"/>
  <c r="Y132" i="16"/>
  <c r="S133" i="16"/>
  <c r="X133" i="16"/>
  <c r="M133" i="16"/>
  <c r="N133" i="16" s="1"/>
  <c r="AP133" i="16"/>
  <c r="AI133" i="16"/>
  <c r="T133" i="16"/>
  <c r="AA133" i="16"/>
  <c r="K135" i="16"/>
  <c r="L134" i="16"/>
  <c r="AJ133" i="16" l="1"/>
  <c r="AQ133" i="16"/>
  <c r="Y133" i="16"/>
  <c r="M134" i="16"/>
  <c r="N134" i="16" s="1"/>
  <c r="AP134" i="16"/>
  <c r="S134" i="16"/>
  <c r="AI134" i="16"/>
  <c r="X134" i="16"/>
  <c r="AA134" i="16"/>
  <c r="T134" i="16"/>
  <c r="K136" i="16"/>
  <c r="L135" i="16"/>
  <c r="AB133" i="16"/>
  <c r="U133" i="16"/>
  <c r="AJ134" i="16" l="1"/>
  <c r="U134" i="16"/>
  <c r="AQ134" i="16"/>
  <c r="Y134" i="16"/>
  <c r="AB134" i="16"/>
  <c r="AI135" i="16"/>
  <c r="X135" i="16"/>
  <c r="AP135" i="16"/>
  <c r="S135" i="16"/>
  <c r="AA135" i="16"/>
  <c r="M135" i="16"/>
  <c r="N135" i="16" s="1"/>
  <c r="T135" i="16"/>
  <c r="K137" i="16"/>
  <c r="L136" i="16"/>
  <c r="AJ135" i="16" l="1"/>
  <c r="AQ135" i="16"/>
  <c r="AB135" i="16"/>
  <c r="U135" i="16"/>
  <c r="Y135" i="16"/>
  <c r="S136" i="16"/>
  <c r="X136" i="16"/>
  <c r="M136" i="16"/>
  <c r="N136" i="16" s="1"/>
  <c r="AP136" i="16"/>
  <c r="AI136" i="16"/>
  <c r="T136" i="16"/>
  <c r="AA136" i="16"/>
  <c r="K138" i="16"/>
  <c r="L137" i="16"/>
  <c r="AJ136" i="16" l="1"/>
  <c r="U136" i="16"/>
  <c r="AQ136" i="16"/>
  <c r="Y136" i="16"/>
  <c r="AB136" i="16"/>
  <c r="M137" i="16"/>
  <c r="N137" i="16" s="1"/>
  <c r="AP137" i="16"/>
  <c r="S137" i="16"/>
  <c r="AI137" i="16"/>
  <c r="X137" i="16"/>
  <c r="T137" i="16"/>
  <c r="AA137" i="16"/>
  <c r="K139" i="16"/>
  <c r="L138" i="16"/>
  <c r="AJ137" i="16" l="1"/>
  <c r="AQ137" i="16"/>
  <c r="Y137" i="16"/>
  <c r="U137" i="16"/>
  <c r="AB137" i="16"/>
  <c r="AI138" i="16"/>
  <c r="AJ138" i="16" s="1"/>
  <c r="AK138" i="16" s="1"/>
  <c r="X138" i="16"/>
  <c r="AP138" i="16"/>
  <c r="S138" i="16"/>
  <c r="AA138" i="16"/>
  <c r="M138" i="16"/>
  <c r="N138" i="16" s="1"/>
  <c r="T138" i="16"/>
  <c r="K140" i="16"/>
  <c r="L139" i="16"/>
  <c r="U138" i="16" l="1"/>
  <c r="AQ138" i="16"/>
  <c r="Y138" i="16"/>
  <c r="AB138" i="16"/>
  <c r="S139" i="16"/>
  <c r="X139" i="16"/>
  <c r="M139" i="16"/>
  <c r="N139" i="16" s="1"/>
  <c r="AP139" i="16"/>
  <c r="AA139" i="16"/>
  <c r="AI139" i="16"/>
  <c r="T139" i="16"/>
  <c r="K141" i="16"/>
  <c r="L140" i="16"/>
  <c r="AJ139" i="16" l="1"/>
  <c r="AQ139" i="16"/>
  <c r="Y139" i="16"/>
  <c r="U139" i="16"/>
  <c r="AB139" i="16"/>
  <c r="AP140" i="16"/>
  <c r="S140" i="16"/>
  <c r="AI140" i="16"/>
  <c r="X140" i="16"/>
  <c r="M140" i="16"/>
  <c r="N140" i="16" s="1"/>
  <c r="T140" i="16"/>
  <c r="AA140" i="16"/>
  <c r="K142" i="16"/>
  <c r="L141" i="16"/>
  <c r="AJ140" i="16" l="1"/>
  <c r="AQ140" i="16"/>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K144" i="16"/>
  <c r="L143" i="16"/>
  <c r="U142" i="16" l="1"/>
  <c r="AB142" i="16"/>
  <c r="AQ142" i="16"/>
  <c r="AJ142" i="16"/>
  <c r="Y142" i="16"/>
  <c r="AP143" i="16"/>
  <c r="S143" i="16"/>
  <c r="AI143" i="16"/>
  <c r="X143" i="16"/>
  <c r="M143" i="16"/>
  <c r="N143" i="16" s="1"/>
  <c r="T143" i="16"/>
  <c r="AA143" i="16"/>
  <c r="K145" i="16"/>
  <c r="L144" i="16"/>
  <c r="AJ143" i="16" l="1"/>
  <c r="U143" i="16"/>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A145" i="16"/>
  <c r="T145" i="16"/>
  <c r="S145" i="16"/>
  <c r="L146" i="16"/>
  <c r="K147" i="16"/>
  <c r="AJ145" i="16" l="1"/>
  <c r="AQ145" i="16"/>
  <c r="U145" i="16"/>
  <c r="AB145" i="16"/>
  <c r="Y145" i="16"/>
  <c r="K148" i="16"/>
  <c r="L147" i="16"/>
  <c r="S146" i="16"/>
  <c r="X146" i="16"/>
  <c r="AI146" i="16"/>
  <c r="AA146" i="16"/>
  <c r="M146" i="16"/>
  <c r="N146" i="16" s="1"/>
  <c r="AP146" i="16"/>
  <c r="T146" i="16"/>
  <c r="AJ146" i="16" l="1"/>
  <c r="AQ146" i="16"/>
  <c r="Y146" i="16"/>
  <c r="AB146" i="16"/>
  <c r="U146" i="16"/>
  <c r="AP147" i="16"/>
  <c r="S147" i="16"/>
  <c r="X147" i="16"/>
  <c r="M147" i="16"/>
  <c r="N147" i="16" s="1"/>
  <c r="AI147" i="16"/>
  <c r="T147" i="16"/>
  <c r="AA147" i="16"/>
  <c r="K149" i="16"/>
  <c r="L148" i="16"/>
  <c r="AJ147" i="16" l="1"/>
  <c r="AQ147" i="16"/>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M149" i="16"/>
  <c r="N149" i="16" s="1"/>
  <c r="T149" i="16"/>
  <c r="AP149" i="16"/>
  <c r="AJ149" i="16" l="1"/>
  <c r="AQ149" i="16"/>
  <c r="U149" i="16"/>
  <c r="Y149" i="16"/>
  <c r="AB149" i="16"/>
  <c r="AP150" i="16"/>
  <c r="M150" i="16"/>
  <c r="N150" i="16" s="1"/>
  <c r="AA150" i="16"/>
  <c r="X150" i="16"/>
  <c r="AI150" i="16"/>
  <c r="S150" i="16"/>
  <c r="T150" i="16"/>
  <c r="K152" i="16"/>
  <c r="L151" i="16"/>
  <c r="AJ150" i="16" l="1"/>
  <c r="AQ150" i="16"/>
  <c r="Y150" i="16"/>
  <c r="AB150" i="16"/>
  <c r="U150" i="16"/>
  <c r="X151" i="16"/>
  <c r="M151" i="16"/>
  <c r="N151" i="16" s="1"/>
  <c r="AA151" i="16"/>
  <c r="AP151" i="16"/>
  <c r="S151" i="16"/>
  <c r="T151" i="16"/>
  <c r="AI151" i="16"/>
  <c r="AJ151" i="16" s="1"/>
  <c r="AK151" i="16" s="1"/>
  <c r="L152" i="16"/>
  <c r="K153" i="16"/>
  <c r="AQ151" i="16" l="1"/>
  <c r="Y151" i="16"/>
  <c r="AB151" i="16"/>
  <c r="U151" i="16"/>
  <c r="K154" i="16"/>
  <c r="L153" i="16"/>
  <c r="X152" i="16"/>
  <c r="M152" i="16"/>
  <c r="N152" i="16" s="1"/>
  <c r="S152" i="16"/>
  <c r="T152" i="16"/>
  <c r="AI152" i="16"/>
  <c r="AP152" i="16"/>
  <c r="AA152" i="16"/>
  <c r="AJ152" i="16" l="1"/>
  <c r="AQ152" i="16"/>
  <c r="AB152" i="16"/>
  <c r="Y152" i="16"/>
  <c r="U152" i="16"/>
  <c r="L154" i="16"/>
  <c r="K155" i="16"/>
  <c r="AI153" i="16"/>
  <c r="AP153" i="16"/>
  <c r="M153" i="16"/>
  <c r="N153" i="16" s="1"/>
  <c r="S153" i="16"/>
  <c r="T153" i="16"/>
  <c r="X153" i="16"/>
  <c r="AA153" i="16"/>
  <c r="AJ153" i="16" l="1"/>
  <c r="Y153" i="16"/>
  <c r="U153" i="16"/>
  <c r="AB153" i="16"/>
  <c r="AQ153" i="16"/>
  <c r="L155" i="16"/>
  <c r="K156" i="16"/>
  <c r="X154" i="16"/>
  <c r="M154" i="16"/>
  <c r="N154" i="16" s="1"/>
  <c r="S154" i="16"/>
  <c r="AA154" i="16"/>
  <c r="T154" i="16"/>
  <c r="AI154" i="16"/>
  <c r="AP154" i="16"/>
  <c r="AJ154" i="16" l="1"/>
  <c r="Y154" i="16"/>
  <c r="AQ154" i="16"/>
  <c r="U154" i="16"/>
  <c r="AB154" i="16"/>
  <c r="K157" i="16"/>
  <c r="L156" i="16"/>
  <c r="M155" i="16"/>
  <c r="N155" i="16" s="1"/>
  <c r="S155" i="16"/>
  <c r="T155" i="16"/>
  <c r="AI155" i="16"/>
  <c r="AP155" i="16"/>
  <c r="X155" i="16"/>
  <c r="AA155" i="16"/>
  <c r="AJ155" i="16" l="1"/>
  <c r="U155" i="16"/>
  <c r="AQ155" i="16"/>
  <c r="Y155" i="16"/>
  <c r="AB155" i="16"/>
  <c r="AI156" i="16"/>
  <c r="AP156" i="16"/>
  <c r="T156" i="16"/>
  <c r="M156" i="16"/>
  <c r="N156" i="16" s="1"/>
  <c r="S156" i="16"/>
  <c r="X156" i="16"/>
  <c r="AA156" i="16"/>
  <c r="L157" i="16"/>
  <c r="K158" i="16"/>
  <c r="AJ156" i="16" l="1"/>
  <c r="AB156" i="16"/>
  <c r="Y156" i="16"/>
  <c r="AQ156" i="16"/>
  <c r="U156" i="16"/>
  <c r="K159" i="16"/>
  <c r="L158" i="16"/>
  <c r="X157" i="16"/>
  <c r="M157" i="16"/>
  <c r="N157" i="16" s="1"/>
  <c r="AI157" i="16"/>
  <c r="S157" i="16"/>
  <c r="T157" i="16"/>
  <c r="AP157" i="16"/>
  <c r="AA157" i="16"/>
  <c r="U157" i="16" l="1"/>
  <c r="AJ157" i="16"/>
  <c r="AQ157" i="16"/>
  <c r="AB157" i="16"/>
  <c r="Y157" i="16"/>
  <c r="M158" i="16"/>
  <c r="N158" i="16" s="1"/>
  <c r="S158" i="16"/>
  <c r="T158" i="16"/>
  <c r="AI158" i="16"/>
  <c r="X158" i="16"/>
  <c r="AP158" i="16"/>
  <c r="AA158" i="16"/>
  <c r="K160" i="16"/>
  <c r="L159" i="16"/>
  <c r="AJ158" i="16" l="1"/>
  <c r="AQ158" i="16"/>
  <c r="U158" i="16"/>
  <c r="AB158" i="16"/>
  <c r="Y158" i="16"/>
  <c r="AI159" i="16"/>
  <c r="AP159" i="16"/>
  <c r="S159" i="16"/>
  <c r="X159" i="16"/>
  <c r="AA159" i="16"/>
  <c r="M159" i="16"/>
  <c r="N159" i="16" s="1"/>
  <c r="T159" i="16"/>
  <c r="L160" i="16"/>
  <c r="K161" i="16"/>
  <c r="AJ159" i="16" l="1"/>
  <c r="AQ159" i="16"/>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X161" i="16"/>
  <c r="AP161" i="16"/>
  <c r="Y160" i="16"/>
  <c r="AB160" i="16"/>
  <c r="AQ161" i="16" l="1"/>
  <c r="U161" i="16"/>
  <c r="Y161" i="16"/>
  <c r="AB161" i="16"/>
  <c r="AP162" i="16"/>
  <c r="AA162" i="16"/>
  <c r="M162" i="16"/>
  <c r="N162" i="16" s="1"/>
  <c r="T162" i="16"/>
  <c r="X162" i="16"/>
  <c r="S162" i="16"/>
  <c r="AI162" i="16"/>
  <c r="L163" i="16"/>
  <c r="K164" i="16"/>
  <c r="AJ162" i="16" l="1"/>
  <c r="AQ162" i="16"/>
  <c r="Y162" i="16"/>
  <c r="AB162" i="16"/>
  <c r="U162" i="16"/>
  <c r="L164" i="16"/>
  <c r="K165" i="16"/>
  <c r="X163" i="16"/>
  <c r="M163" i="16"/>
  <c r="N163" i="16" s="1"/>
  <c r="AA163" i="16"/>
  <c r="AP163" i="16"/>
  <c r="S163" i="16"/>
  <c r="T163" i="16"/>
  <c r="AI163" i="16"/>
  <c r="AJ163" i="16" l="1"/>
  <c r="AQ163" i="16"/>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S169" i="16"/>
  <c r="T169" i="16"/>
  <c r="X169" i="16"/>
  <c r="AP169" i="16"/>
  <c r="AA169" i="16"/>
  <c r="M169" i="16"/>
  <c r="N169" i="16" s="1"/>
  <c r="AJ169" i="16" l="1"/>
  <c r="AQ169" i="16"/>
  <c r="U169" i="16"/>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S172" i="16"/>
  <c r="T172" i="16"/>
  <c r="X172" i="16"/>
  <c r="AP172" i="16"/>
  <c r="AA172" i="16"/>
  <c r="M172" i="16"/>
  <c r="N172" i="16" s="1"/>
  <c r="AB171" i="16"/>
  <c r="AJ172" i="16" l="1"/>
  <c r="AQ172" i="16"/>
  <c r="AB172" i="16"/>
  <c r="U172" i="16"/>
  <c r="Y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T177" i="16"/>
  <c r="U177" i="16" s="1"/>
  <c r="V177" i="16" s="1"/>
  <c r="AA177" i="16"/>
  <c r="AB177" i="16" s="1"/>
  <c r="AC177" i="16" s="1"/>
  <c r="M177" i="16"/>
  <c r="N177" i="16" s="1"/>
  <c r="AP177" i="16"/>
  <c r="AQ177" i="16" s="1"/>
  <c r="U176" i="16"/>
  <c r="AK177" i="16" l="1"/>
  <c r="AR177" i="16"/>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AK137" i="16" s="1"/>
  <c r="T327" i="16"/>
  <c r="U327" i="16" s="1"/>
  <c r="M327" i="16"/>
  <c r="S327" i="16"/>
  <c r="X327" i="16"/>
  <c r="Y327" i="16" s="1"/>
  <c r="N327" i="16"/>
  <c r="AP327" i="16"/>
  <c r="AQ327" i="16" s="1"/>
  <c r="AA327" i="16"/>
  <c r="AB327" i="16" s="1"/>
  <c r="AK143" i="16" l="1"/>
  <c r="AK153" i="16"/>
  <c r="V21" i="16"/>
  <c r="V19" i="16"/>
  <c r="AK12" i="16"/>
  <c r="AK47" i="16"/>
  <c r="AK90" i="16"/>
  <c r="AK169" i="16"/>
  <c r="AK155" i="16"/>
  <c r="AK134" i="16"/>
  <c r="AK145" i="16"/>
  <c r="Z17" i="16"/>
  <c r="Z21" i="16"/>
  <c r="AC21" i="16"/>
  <c r="AC17" i="16"/>
  <c r="V18" i="16"/>
  <c r="V12" i="16"/>
  <c r="AK27" i="16"/>
  <c r="AK68" i="16"/>
  <c r="AK73" i="16"/>
  <c r="AK136" i="16"/>
  <c r="AK115" i="16"/>
  <c r="AK127" i="16"/>
  <c r="AK82" i="16"/>
  <c r="AK103" i="16"/>
  <c r="AK126" i="16"/>
  <c r="AK26" i="16"/>
  <c r="AK139" i="16"/>
  <c r="AK88" i="16"/>
  <c r="AK72" i="16"/>
  <c r="AK76" i="16"/>
  <c r="AK131" i="16"/>
  <c r="AK140" i="16"/>
  <c r="AK20" i="16"/>
  <c r="AK94" i="16"/>
  <c r="AK148" i="16"/>
  <c r="AK32" i="16"/>
  <c r="AK91" i="16"/>
  <c r="AK93" i="16"/>
  <c r="AR74" i="16"/>
  <c r="AR151" i="16"/>
  <c r="AK111" i="16"/>
  <c r="AK49" i="16"/>
  <c r="AK19" i="16"/>
  <c r="AK92" i="16"/>
  <c r="AK66" i="16"/>
  <c r="AK98" i="16"/>
  <c r="AK39" i="16"/>
  <c r="AK69" i="16"/>
  <c r="AK158" i="16"/>
  <c r="AR50" i="16"/>
  <c r="AR68" i="16"/>
  <c r="AK21" i="16"/>
  <c r="AK17" i="16"/>
  <c r="AK104" i="16"/>
  <c r="AK121" i="16"/>
  <c r="AK125" i="16"/>
  <c r="AK150" i="16"/>
  <c r="AK152" i="16"/>
  <c r="AK50" i="16"/>
  <c r="AK60" i="16"/>
  <c r="AK64" i="16"/>
  <c r="AK14" i="16"/>
  <c r="AK116" i="16"/>
  <c r="AK146" i="16"/>
  <c r="AK67" i="16"/>
  <c r="AK41" i="16"/>
  <c r="AK51" i="16"/>
  <c r="AK106" i="16"/>
  <c r="AK133" i="16"/>
  <c r="AK147" i="16"/>
  <c r="AC12" i="16"/>
  <c r="AC18" i="16"/>
  <c r="Z12" i="16"/>
  <c r="Z18" i="16"/>
  <c r="AR23" i="16"/>
  <c r="AR64" i="16"/>
  <c r="AR73" i="16"/>
  <c r="AK37" i="16"/>
  <c r="AK132" i="16"/>
  <c r="Z11" i="16"/>
  <c r="Z23" i="16"/>
  <c r="Z19" i="16"/>
  <c r="Z153" i="16"/>
  <c r="V23" i="16"/>
  <c r="V138" i="16"/>
  <c r="V153" i="16"/>
  <c r="AC11" i="16"/>
  <c r="AC19" i="16"/>
  <c r="AC23" i="16"/>
  <c r="AC153" i="16"/>
  <c r="V30" i="16"/>
  <c r="V38" i="16"/>
  <c r="AK25" i="16"/>
  <c r="AK40" i="16"/>
  <c r="AK113" i="16"/>
  <c r="AK156" i="16"/>
  <c r="AR91" i="16"/>
  <c r="AR40" i="16"/>
  <c r="AR169" i="16"/>
  <c r="V60" i="16"/>
  <c r="V11" i="16"/>
  <c r="V157" i="16"/>
  <c r="AK11" i="16"/>
  <c r="AK53" i="16"/>
  <c r="AK102" i="16"/>
  <c r="AK130" i="16"/>
  <c r="AC15" i="16"/>
  <c r="AC16" i="16"/>
  <c r="AC134" i="16"/>
  <c r="Z14" i="16"/>
  <c r="Z15" i="16"/>
  <c r="Z16" i="16"/>
  <c r="Z134" i="16"/>
  <c r="AR41" i="16"/>
  <c r="AR59" i="16"/>
  <c r="AR65" i="16"/>
  <c r="AR11" i="16"/>
  <c r="AR122" i="16"/>
  <c r="V73" i="16"/>
  <c r="V14" i="16"/>
  <c r="V15" i="16"/>
  <c r="V43" i="16"/>
  <c r="V37" i="16"/>
  <c r="V16" i="16"/>
  <c r="AK59" i="16"/>
  <c r="AK65" i="16"/>
  <c r="AK159" i="16"/>
  <c r="AK163" i="16"/>
  <c r="AK70" i="16"/>
  <c r="AK100" i="16"/>
  <c r="AK154" i="16"/>
  <c r="AK157" i="16"/>
  <c r="AK172" i="16"/>
  <c r="AR75" i="16"/>
  <c r="AR47" i="16"/>
  <c r="AR45" i="16"/>
  <c r="AK22" i="16"/>
  <c r="AK48" i="16"/>
  <c r="AK45" i="16"/>
  <c r="AK161" i="16"/>
  <c r="AK54" i="16"/>
  <c r="AK84" i="16"/>
  <c r="AK99" i="16"/>
  <c r="AK162" i="16"/>
  <c r="AK173" i="16"/>
  <c r="AR82" i="16"/>
  <c r="AR84" i="16"/>
  <c r="AR20" i="16"/>
  <c r="AR49" i="16"/>
  <c r="AR43" i="16"/>
  <c r="AR90" i="16"/>
  <c r="V51" i="16"/>
  <c r="V116" i="16"/>
  <c r="AK31" i="16"/>
  <c r="AK43" i="16"/>
  <c r="AK149" i="16"/>
  <c r="AR69" i="16"/>
  <c r="AR103" i="16"/>
  <c r="AR138" i="16"/>
  <c r="AR152" i="16"/>
  <c r="AR156" i="16"/>
  <c r="Z59" i="16"/>
  <c r="Z79" i="16"/>
  <c r="Z20" i="16"/>
  <c r="AK29" i="16"/>
  <c r="AK28" i="16"/>
  <c r="AK79" i="16"/>
  <c r="AK86" i="16"/>
  <c r="AK135" i="16"/>
  <c r="V79" i="16"/>
  <c r="V22" i="16"/>
  <c r="V20" i="16"/>
  <c r="V92" i="16"/>
  <c r="V115" i="16"/>
  <c r="V142" i="16"/>
  <c r="AC59" i="16"/>
  <c r="AC79" i="16"/>
  <c r="AC20" i="16"/>
  <c r="AR58" i="16"/>
  <c r="AR87" i="16"/>
  <c r="AR92" i="16"/>
  <c r="AR102" i="16"/>
  <c r="AR137" i="16"/>
  <c r="AR158" i="16"/>
  <c r="AR162" i="16"/>
  <c r="AK58" i="16"/>
  <c r="AK52" i="16"/>
  <c r="AK80" i="16"/>
  <c r="AK87" i="16"/>
  <c r="AC70" i="16"/>
  <c r="AC37" i="16"/>
  <c r="AC22" i="16"/>
  <c r="AC34" i="16"/>
  <c r="AC30" i="16"/>
  <c r="AC122" i="16"/>
  <c r="Z70" i="16"/>
  <c r="Z30" i="16"/>
  <c r="Z22" i="16"/>
  <c r="Z37" i="16"/>
  <c r="Z122" i="16"/>
  <c r="V70" i="16"/>
  <c r="V44" i="16"/>
  <c r="V12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L39" i="8" s="1"/>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E49" i="8" l="1"/>
  <c r="U108" i="8"/>
  <c r="E50"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O50" i="8" l="1"/>
  <c r="O49" i="8"/>
  <c r="O51" i="8"/>
  <c r="O48" i="8"/>
  <c r="K49" i="8"/>
  <c r="K50" i="8"/>
  <c r="K51" i="8"/>
  <c r="K48" i="8"/>
  <c r="M48" i="8"/>
  <c r="M49" i="8"/>
  <c r="M50" i="8"/>
  <c r="M51" i="8"/>
  <c r="Q8" i="16"/>
  <c r="R8" i="16" s="1"/>
  <c r="B36" i="8" s="1"/>
  <c r="G120" i="8"/>
  <c r="G121" i="8"/>
  <c r="AS12" i="16"/>
  <c r="AR76" i="16"/>
  <c r="AT11" i="16" s="1"/>
  <c r="AU11" i="16" s="1"/>
  <c r="Z63" i="16"/>
  <c r="Z65" i="16"/>
  <c r="Z64" i="16"/>
  <c r="Z67" i="16"/>
  <c r="Z71" i="16"/>
  <c r="Q38" i="8"/>
  <c r="K38" i="8" s="1"/>
  <c r="V39" i="16"/>
  <c r="V64" i="16"/>
  <c r="V63" i="16"/>
  <c r="V65" i="16"/>
  <c r="V76" i="16"/>
  <c r="AL12" i="16"/>
  <c r="AK33" i="16"/>
  <c r="Q39" i="8" s="1"/>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<sst xmlns="http://schemas.openxmlformats.org/spreadsheetml/2006/main" count="9764" uniqueCount="916">
  <si>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</si>
  <si>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</si>
  <si>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</si>
  <si>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</si>
  <si>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</si>
  <si>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</si>
  <si>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</si>
  <si>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</si>
  <si>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</si>
  <si>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</si>
  <si>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</si>
  <si>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</si>
  <si>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</si>
  <si>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</si>
  <si>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</si>
  <si>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</si>
  <si>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</si>
  <si>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</si>
  <si>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</si>
  <si>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</si>
  <si>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</si>
  <si>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</si>
  <si>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</si>
  <si>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</si>
  <si>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</si>
  <si>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</si>
  <si>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</si>
  <si>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</si>
  <si>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</si>
  <si>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</si>
  <si>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</si>
  <si>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</si>
  <si>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</si>
  <si>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</si>
  <si>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</si>
  <si>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</si>
  <si>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</si>
  <si>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</si>
  <si>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</si>
  <si>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</si>
  <si>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</si>
  <si>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</si>
  <si>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</si>
  <si>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</si>
  <si>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</si>
  <si>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</si>
  <si>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</si>
  <si>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</si>
  <si>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</si>
  <si>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</si>
  <si>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</si>
  <si>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</si>
  <si>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</si>
  <si>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</si>
  <si>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</si>
  <si>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</si>
  <si>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</si>
  <si>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</si>
  <si>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</si>
  <si>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</si>
  <si>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</si>
  <si>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</si>
  <si>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</si>
  <si>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</si>
  <si>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</si>
  <si>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</si>
  <si>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</si>
  <si>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</si>
  <si>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</si>
  <si>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</si>
  <si>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</si>
  <si>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</si>
  <si>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</si>
  <si>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</si>
  <si>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</si>
  <si>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</si>
  <si>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</si>
  <si>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</si>
  <si>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</si>
  <si>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</si>
  <si>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</si>
  <si>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</si>
  <si>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</si>
  <si>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</si>
  <si>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</si>
  <si>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</si>
  <si>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</si>
  <si>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</si>
  <si>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</si>
  <si>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</si>
  <si>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</si>
  <si>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</si>
  <si>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</si>
  <si>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</si>
  <si>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</si>
  <si>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</si>
  <si>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</si>
  <si>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</si>
  <si>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</si>
  <si>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</si>
  <si>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</si>
  <si>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</si>
  <si>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</si>
  <si>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</si>
  <si>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</si>
  <si>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</si>
  <si>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</si>
  <si>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</si>
  <si>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</si>
  <si>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</si>
  <si>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</si>
  <si>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</si>
  <si>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</si>
  <si>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</si>
  <si>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</si>
  <si>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</si>
  <si>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</si>
  <si>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</si>
  <si>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</si>
  <si>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</si>
  <si>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</si>
  <si>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</si>
  <si>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</si>
  <si>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</si>
  <si>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</si>
  <si>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</si>
  <si>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</si>
  <si>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</si>
  <si>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</si>
  <si>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</si>
  <si>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</si>
  <si>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</si>
  <si>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</si>
  <si>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</si>
  <si>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</si>
  <si>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</si>
  <si>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</si>
  <si>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</si>
  <si>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</si>
  <si>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</si>
  <si>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</si>
  <si>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</si>
  <si>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</si>
  <si>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</si>
  <si>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</si>
  <si>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</si>
  <si>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</si>
  <si>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</si>
  <si>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</si>
  <si>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</si>
  <si>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</si>
  <si>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</si>
  <si>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</si>
  <si>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</si>
  <si>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</si>
  <si>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</si>
  <si>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</si>
  <si>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</si>
  <si>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</si>
  <si>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</si>
  <si>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</si>
  <si>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</si>
  <si>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</si>
  <si>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</si>
  <si>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</si>
  <si>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</si>
  <si>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</si>
  <si>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</si>
  <si>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</si>
  <si>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</si>
  <si>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</si>
  <si>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</si>
  <si>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</si>
  <si>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</si>
  <si>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</si>
  <si>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</si>
  <si>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</si>
  <si>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</si>
  <si>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</si>
  <si>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</si>
  <si>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</si>
  <si>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</si>
  <si>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</si>
  <si>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</si>
  <si>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</si>
  <si>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</si>
  <si>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</si>
  <si>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</si>
  <si>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</si>
  <si>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</si>
  <si>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</si>
  <si>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</si>
  <si>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</si>
  <si>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</si>
  <si>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</si>
  <si>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</si>
  <si>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</si>
  <si>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</si>
  <si>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</si>
  <si>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</si>
  <si>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</si>
  <si>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</si>
  <si>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</si>
  <si>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</si>
  <si>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</si>
  <si>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</si>
  <si>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</si>
  <si>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</si>
  <si>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</si>
  <si>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</si>
  <si>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</si>
  <si>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</si>
  <si>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</si>
  <si>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</si>
  <si>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</si>
  <si>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</si>
  <si>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</si>
  <si>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</si>
  <si>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</si>
  <si>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</si>
  <si>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</si>
  <si>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</si>
  <si>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</si>
  <si>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</si>
  <si>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</si>
  <si>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</si>
  <si>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</si>
  <si>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</si>
  <si>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</si>
  <si>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</si>
  <si>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</si>
  <si>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</si>
  <si>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</si>
  <si>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</si>
  <si>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</si>
  <si>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</si>
  <si>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</si>
  <si>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</si>
  <si>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</si>
  <si>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</si>
  <si>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</si>
  <si>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</si>
  <si>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</si>
  <si>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</si>
  <si>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</si>
  <si>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</si>
  <si>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</si>
  <si>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</si>
  <si>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</si>
  <si>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</si>
  <si>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</si>
  <si>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</si>
  <si>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</si>
  <si>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</si>
  <si>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</si>
  <si>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</si>
  <si>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</si>
  <si>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</si>
  <si>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</si>
  <si>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</si>
  <si>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</si>
  <si>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</si>
  <si>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</si>
  <si>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</si>
  <si>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</si>
  <si>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</si>
  <si>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</si>
  <si>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</si>
  <si>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</si>
  <si>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</si>
  <si>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</si>
  <si>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</si>
  <si>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</si>
  <si>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</si>
  <si>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</si>
  <si>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</si>
  <si>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</si>
  <si>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</si>
  <si>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</si>
  <si>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</si>
  <si>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</si>
  <si>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</si>
  <si>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</si>
  <si>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</si>
  <si>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</si>
  <si>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</si>
  <si>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</si>
  <si>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</si>
  <si>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</si>
  <si>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</si>
  <si>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</si>
  <si>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</si>
  <si>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</si>
  <si>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</si>
  <si>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</si>
  <si>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</si>
  <si>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</si>
  <si>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</si>
  <si>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</si>
  <si>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</si>
  <si>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</si>
  <si>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</si>
  <si>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</si>
  <si>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</si>
  <si>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</si>
  <si>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</si>
  <si>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</si>
  <si>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</si>
  <si>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</si>
  <si>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</si>
  <si>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</si>
  <si>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</si>
  <si>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</si>
  <si>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</si>
  <si>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</si>
  <si>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</si>
  <si>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</si>
  <si>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</si>
  <si>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</si>
  <si>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</si>
  <si>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</si>
  <si>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</si>
  <si>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</si>
  <si>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</si>
  <si>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</si>
  <si>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</si>
  <si>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</si>
  <si>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</si>
  <si>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</si>
  <si>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</si>
  <si>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</si>
  <si>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</si>
  <si>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</si>
  <si>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</si>
  <si>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</si>
  <si>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</si>
  <si>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</si>
  <si>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</si>
  <si>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</si>
  <si>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</si>
  <si>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</si>
  <si>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</si>
  <si>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</si>
  <si>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</si>
  <si>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</si>
  <si>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</si>
  <si>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</si>
  <si>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</si>
  <si>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</si>
  <si>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</si>
  <si>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</si>
  <si>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</si>
  <si>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</si>
  <si>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</si>
  <si>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</si>
  <si>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</si>
  <si>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</si>
  <si>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</si>
  <si>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</si>
  <si>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</si>
  <si>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</si>
  <si>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</si>
  <si>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</si>
  <si>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</si>
  <si>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</si>
  <si>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</si>
  <si>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</si>
  <si>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</si>
  <si>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</si>
  <si>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</si>
  <si>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</si>
  <si>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</si>
  <si>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</si>
  <si>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</si>
  <si>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</si>
  <si>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</si>
  <si>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</si>
  <si>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</si>
  <si>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</si>
  <si>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</si>
  <si>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</si>
  <si>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</si>
  <si>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</si>
  <si>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</si>
  <si>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</si>
  <si>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</si>
  <si>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</si>
  <si>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</si>
  <si>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</si>
  <si>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</si>
  <si>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</si>
  <si>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</si>
  <si>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</si>
  <si>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</si>
  <si>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</si>
  <si>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</si>
  <si>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</si>
  <si>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</si>
  <si>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</si>
  <si>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</si>
  <si>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</si>
  <si>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</si>
  <si>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</si>
  <si>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</si>
  <si>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</si>
  <si>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</si>
  <si>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</si>
  <si>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</si>
  <si>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</si>
  <si>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</si>
  <si>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</si>
  <si>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</si>
  <si>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</si>
  <si>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</si>
  <si>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</si>
  <si>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</si>
  <si>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</si>
  <si>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</si>
  <si>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</si>
  <si>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</si>
  <si>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</si>
  <si>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</si>
  <si>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</si>
  <si>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</si>
  <si>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</si>
  <si>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</si>
  <si>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</si>
  <si>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</si>
  <si>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</si>
  <si>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</si>
  <si>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</si>
  <si>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</si>
  <si>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</si>
  <si>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</si>
  <si>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</si>
  <si>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</si>
  <si>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</si>
  <si>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</si>
  <si>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</si>
  <si>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</si>
  <si>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</si>
  <si>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</si>
  <si>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</si>
  <si>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</si>
  <si>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</si>
  <si>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</si>
  <si>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</si>
  <si>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</si>
  <si>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</si>
  <si>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</si>
  <si>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</si>
  <si>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</si>
  <si>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</si>
  <si>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</si>
  <si>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</si>
  <si>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</si>
  <si>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</si>
  <si>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</si>
  <si>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</si>
  <si>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</si>
  <si>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</si>
  <si>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</si>
  <si>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</si>
  <si>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</si>
  <si>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</si>
  <si>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</si>
  <si>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</si>
  <si>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</si>
  <si>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</si>
  <si>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</si>
  <si>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</si>
  <si>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</si>
  <si>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</si>
  <si>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</si>
  <si>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</si>
  <si>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</si>
  <si>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</si>
  <si>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</si>
  <si>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</si>
  <si>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</si>
  <si>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</si>
  <si>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</si>
  <si>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</si>
  <si>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</si>
  <si>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</si>
  <si>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</si>
  <si>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</si>
  <si>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</si>
  <si>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</si>
  <si>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</si>
  <si>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</si>
  <si>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</si>
  <si>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</si>
  <si>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</si>
  <si>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</si>
  <si>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</si>
  <si>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</si>
  <si>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</si>
  <si>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</si>
  <si>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</si>
  <si>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</si>
  <si>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</si>
  <si>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</si>
  <si>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</si>
  <si>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</si>
  <si>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</si>
  <si>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</si>
  <si>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</si>
  <si>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</si>
  <si>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</si>
  <si>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</si>
  <si>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</si>
  <si>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</si>
  <si>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</si>
  <si>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</si>
  <si>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</si>
  <si>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</si>
  <si>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</si>
  <si>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</si>
  <si>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</si>
  <si>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</si>
  <si>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</si>
  <si>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</si>
  <si>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</si>
  <si>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</si>
  <si>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</si>
  <si>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</si>
  <si>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</si>
  <si>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</si>
  <si>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</si>
  <si>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</si>
  <si>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</si>
  <si>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</si>
  <si>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</si>
  <si>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</si>
  <si>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</si>
  <si>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</si>
  <si>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</si>
  <si>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</si>
  <si>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</si>
  <si>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</si>
  <si>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</si>
  <si>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</si>
  <si>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</si>
  <si>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</si>
  <si>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</si>
  <si>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</si>
  <si>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</si>
  <si>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</si>
  <si>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</si>
  <si>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</si>
  <si>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</si>
  <si>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</si>
  <si>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</si>
  <si>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</si>
  <si>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</si>
  <si>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</si>
  <si>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</si>
  <si>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</si>
  <si>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</si>
  <si>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</si>
  <si>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</si>
  <si>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</si>
  <si>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</si>
  <si>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</si>
  <si>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</si>
  <si>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</si>
  <si>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</si>
  <si>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</si>
  <si>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</si>
  <si>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</si>
  <si>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</si>
  <si>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</si>
  <si>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</si>
  <si>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</si>
  <si>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</si>
  <si>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</si>
  <si>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</si>
  <si>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</si>
  <si>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</si>
  <si>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</si>
  <si>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</si>
  <si>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</si>
  <si>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</si>
  <si>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</si>
  <si>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</si>
  <si>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</si>
  <si>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</si>
  <si>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</si>
  <si>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</si>
  <si>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</si>
  <si>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</si>
  <si>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</si>
  <si>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</si>
  <si>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</si>
  <si>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</si>
  <si>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</si>
  <si>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</si>
  <si>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</si>
  <si>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</si>
  <si>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</si>
  <si>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</si>
  <si>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</si>
  <si>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</si>
  <si>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</si>
  <si>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</si>
  <si>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</si>
  <si>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</si>
  <si>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</si>
  <si>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</si>
  <si>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</si>
  <si>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</si>
  <si>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</si>
  <si>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</si>
  <si>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</si>
  <si>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</si>
  <si>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</si>
  <si>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</si>
  <si>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</si>
  <si>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</si>
  <si>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</si>
  <si>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</si>
  <si>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</si>
  <si>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</si>
  <si>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</si>
  <si>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</si>
  <si>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</si>
  <si>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</si>
  <si>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</si>
  <si>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</si>
  <si>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</si>
  <si>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</si>
  <si>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</si>
  <si>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</si>
  <si>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</si>
  <si>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</si>
  <si>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</si>
  <si>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</si>
  <si>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</si>
  <si>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</si>
  <si>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</si>
  <si>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</si>
  <si>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</si>
  <si>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</si>
  <si>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</si>
  <si>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</si>
  <si>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</si>
  <si>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</si>
  <si>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</si>
  <si>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</si>
  <si>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</si>
  <si>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</si>
  <si>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</si>
  <si>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</si>
  <si>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</si>
  <si>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</si>
  <si>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</si>
  <si>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</si>
  <si>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</si>
  <si>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</si>
  <si>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</si>
  <si>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</si>
  <si>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</si>
  <si>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</si>
  <si>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</si>
  <si>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</si>
  <si>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</si>
  <si>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</si>
  <si>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</si>
  <si>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</si>
  <si>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</si>
  <si>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</si>
  <si>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</si>
  <si>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</si>
  <si>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</si>
  <si>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</si>
  <si>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</si>
  <si>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</si>
  <si>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</si>
  <si>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</si>
  <si>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</si>
  <si>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</si>
  <si>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</si>
  <si>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</si>
  <si>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</si>
  <si>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</si>
  <si>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</si>
  <si>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</si>
  <si>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</si>
  <si>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</si>
  <si>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</si>
  <si>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</si>
  <si>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</si>
  <si>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</si>
  <si>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</si>
  <si>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</si>
  <si>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</si>
  <si>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</si>
  <si>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</si>
  <si>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</si>
  <si>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</si>
  <si>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</si>
  <si>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</si>
  <si>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</si>
  <si>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</si>
  <si>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</si>
  <si>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</si>
  <si>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</si>
  <si>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</si>
  <si>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</si>
  <si>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</si>
  <si>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</si>
  <si>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</si>
  <si>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</si>
  <si>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</si>
  <si>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</si>
  <si>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</si>
  <si>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</si>
  <si>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</si>
  <si>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</si>
  <si>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</si>
  <si>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</si>
  <si>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</si>
  <si>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</si>
  <si>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</si>
  <si>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</si>
  <si>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</si>
  <si>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</si>
  <si>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</si>
  <si>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</si>
  <si>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</si>
  <si>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</si>
  <si>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</si>
  <si>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</si>
  <si>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</si>
  <si>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</si>
  <si>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</si>
  <si>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</si>
  <si>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</si>
  <si>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</si>
  <si>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</si>
  <si>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</si>
  <si>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</si>
  <si>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</si>
  <si>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</si>
  <si>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</si>
  <si>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</si>
  <si>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</si>
  <si>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</si>
  <si>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</si>
  <si>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</si>
  <si>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</si>
  <si>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</si>
  <si>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</si>
  <si>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</si>
  <si>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</si>
  <si>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</si>
  <si>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</si>
  <si>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</si>
  <si>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</si>
  <si>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</si>
  <si>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</si>
  <si>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</si>
  <si>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</si>
  <si>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</si>
  <si>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</si>
  <si>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</si>
  <si>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</si>
  <si>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</si>
  <si>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</si>
  <si>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</si>
  <si>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</si>
  <si>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</si>
  <si>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</si>
  <si>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</si>
  <si>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</si>
  <si>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</si>
  <si>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</si>
  <si>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</si>
  <si>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</si>
  <si>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</si>
  <si>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</si>
  <si>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</si>
  <si>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</si>
  <si>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</si>
  <si>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</si>
  <si>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</si>
  <si>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</si>
  <si>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</si>
  <si>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</si>
  <si>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</si>
  <si>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</si>
  <si>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</si>
  <si>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</si>
  <si>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</si>
  <si>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</si>
  <si>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</si>
  <si>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</si>
  <si>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</si>
  <si>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</si>
  <si>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</si>
  <si>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</si>
  <si>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</si>
  <si>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</si>
  <si>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</si>
  <si>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</si>
  <si>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</si>
  <si>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</si>
  <si>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</si>
  <si>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</si>
  <si>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</si>
  <si>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</si>
  <si>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</si>
  <si>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</si>
  <si>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</si>
  <si>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</si>
  <si>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</si>
  <si>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</si>
  <si>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</si>
  <si>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</si>
  <si>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</si>
  <si>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</si>
  <si>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</si>
  <si>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</si>
  <si>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</si>
  <si>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</si>
  <si>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</si>
  <si>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</si>
  <si>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</si>
  <si>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</si>
  <si>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</si>
  <si>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</si>
  <si>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</si>
  <si>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</si>
  <si>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</si>
  <si>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</si>
  <si>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</si>
  <si>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</si>
  <si>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</si>
  <si>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</si>
  <si>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</si>
  <si>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</si>
  <si>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</si>
  <si>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</si>
  <si>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</si>
  <si>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</si>
  <si>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</si>
  <si>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</si>
  <si>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</si>
  <si>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</si>
  <si>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</si>
  <si>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</si>
  <si>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</si>
  <si>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</si>
  <si>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</si>
  <si>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</si>
  <si>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</si>
  <si>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</si>
  <si>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</si>
  <si>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</si>
  <si>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</si>
  <si>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</si>
  <si>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</si>
  <si>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</si>
  <si>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</si>
  <si>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</si>
  <si>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</si>
  <si>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</si>
  <si>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</si>
  <si>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</si>
  <si>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</si>
  <si>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</si>
  <si>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</si>
  <si>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</si>
  <si>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</si>
  <si>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</si>
  <si>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</si>
  <si>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</si>
  <si>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</si>
  <si>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</si>
  <si>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</si>
  <si>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</si>
  <si>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</si>
  <si>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</si>
  <si>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</si>
  <si>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</si>
  <si>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</si>
  <si>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</si>
  <si>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</si>
  <si>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</si>
  <si>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</si>
  <si>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</si>
  <si>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</si>
  <si>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</si>
  <si>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</si>
  <si>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</si>
  <si>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</si>
  <si>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</si>
  <si>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</si>
  <si>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</si>
  <si>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Council tax and NNDR collection rates</t>
  </si>
  <si>
    <t>Council tax collected by 31 March as a % of amount collectable</t>
  </si>
  <si>
    <t>Non Domestic Rates collected by 31 March as a % of amount collectable</t>
  </si>
  <si>
    <t>2012-13</t>
  </si>
  <si>
    <t>2013-14</t>
  </si>
  <si>
    <t>2014-15</t>
  </si>
  <si>
    <t>2015-16</t>
  </si>
  <si>
    <t>2016-17</t>
  </si>
  <si>
    <t>2017-18</t>
  </si>
  <si>
    <t>2018-19</t>
  </si>
  <si>
    <t>2019-20</t>
  </si>
  <si>
    <t>2020-21</t>
  </si>
  <si>
    <t>2021-22</t>
  </si>
  <si>
    <t>2022-23</t>
  </si>
  <si>
    <t>2023-24</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</si>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</sst>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8" fillId="0" borderId="0" applyFont="0" applyFill="0" applyBorder="0" applyAlignment="0" applyProtection="0"/>
    <xf numFmtId="0" fontId="41" fillId="0" borderId="0"/>
    <xf numFmtId="0" fontId="41" fillId="0" borderId="0"/>
    <xf numFmtId="9" fontId="31" fillId="0" borderId="0" applyFont="0" applyFill="0" applyBorder="0" applyAlignment="0" applyProtection="0"/>
    <xf numFmtId="0" fontId="46" fillId="0" borderId="0"/>
    <xf numFmtId="0" fontId="24" fillId="0" borderId="0"/>
    <xf numFmtId="0" fontId="23" fillId="8" borderId="0" applyNumberFormat="0" applyBorder="0" applyAlignment="0" applyProtection="0"/>
    <xf numFmtId="0" fontId="23" fillId="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49" fillId="0" borderId="0" applyFont="0" applyFill="0" applyBorder="0" applyAlignment="0" applyProtection="0"/>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3" fillId="7" borderId="10" applyNumberFormat="0" applyFont="0" applyAlignment="0" applyProtection="0"/>
    <xf numFmtId="0" fontId="23" fillId="7" borderId="10" applyNumberFormat="0" applyFont="0" applyAlignment="0" applyProtection="0"/>
    <xf numFmtId="9" fontId="23" fillId="0" borderId="0" applyFont="0" applyFill="0" applyBorder="0" applyAlignment="0" applyProtection="0"/>
    <xf numFmtId="37" fontId="24" fillId="0" borderId="0"/>
    <xf numFmtId="9" fontId="24" fillId="0" borderId="0" applyFont="0" applyFill="0" applyBorder="0" applyAlignment="0" applyProtection="0"/>
    <xf numFmtId="43" fontId="22" fillId="0" borderId="0" applyFont="0" applyFill="0" applyBorder="0" applyAlignment="0" applyProtection="0"/>
    <xf numFmtId="43" fontId="24" fillId="0" borderId="0" applyFont="0" applyFill="0" applyBorder="0" applyAlignment="0" applyProtection="0"/>
    <xf numFmtId="0" fontId="58" fillId="0" borderId="0"/>
    <xf numFmtId="44" fontId="58" fillId="0" borderId="0" applyFont="0" applyFill="0" applyBorder="0" applyAlignment="0" applyProtection="0"/>
    <xf numFmtId="169" fontId="24" fillId="0" borderId="0" applyFont="0" applyFill="0" applyBorder="0" applyAlignment="0" applyProtection="0"/>
    <xf numFmtId="0" fontId="67" fillId="24" borderId="0"/>
    <xf numFmtId="0" fontId="21" fillId="0" borderId="0"/>
    <xf numFmtId="0" fontId="20" fillId="0" borderId="0"/>
    <xf numFmtId="43" fontId="20" fillId="0" borderId="0" applyFont="0" applyFill="0" applyBorder="0" applyAlignment="0" applyProtection="0"/>
    <xf numFmtId="9" fontId="20" fillId="0" borderId="0" applyFont="0" applyFill="0" applyBorder="0" applyAlignment="0" applyProtection="0"/>
  </cellStyleXfs>
  <cellXfs count="328">
    <xf numFmtId="0" fontId="0" fillId="0" borderId="0" xfId="0"/>
    <xf numFmtId="0" fontId="25" fillId="0" borderId="0" xfId="0" applyFont="1"/>
    <xf numFmtId="0" fontId="0" fillId="0" borderId="0" xfId="0" applyAlignment="1">
      <alignment horizontal="center"/>
    </xf>
    <xf numFmtId="0" fontId="0" fillId="0" borderId="0" xfId="0" applyAlignment="1">
      <alignment horizontal="left"/>
    </xf>
    <xf numFmtId="0" fontId="2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9" fillId="0" borderId="0" xfId="0" applyFont="1"/>
    <xf numFmtId="0" fontId="33" fillId="0" borderId="6" xfId="0" applyFont="1" applyBorder="1" applyAlignment="1">
      <alignment horizontal="center"/>
    </xf>
    <xf numFmtId="2" fontId="0" fillId="0" borderId="0" xfId="0" applyNumberFormat="1" applyAlignment="1">
      <alignment horizontal="center"/>
    </xf>
    <xf numFmtId="0" fontId="24" fillId="0" borderId="0" xfId="0" applyFont="1" applyAlignment="1">
      <alignment horizontal="center" vertical="center" textRotation="90"/>
    </xf>
    <xf numFmtId="0" fontId="33" fillId="0" borderId="0" xfId="0" applyFont="1" applyAlignment="1">
      <alignment horizontal="center"/>
    </xf>
    <xf numFmtId="2" fontId="0" fillId="0" borderId="0" xfId="0" applyNumberFormat="1"/>
    <xf numFmtId="0" fontId="24" fillId="0" borderId="0" xfId="0" applyFont="1" applyAlignment="1">
      <alignment horizontal="center"/>
    </xf>
    <xf numFmtId="0" fontId="34" fillId="0" borderId="6" xfId="0" applyFont="1" applyBorder="1" applyAlignment="1">
      <alignment horizontal="center"/>
    </xf>
    <xf numFmtId="0" fontId="35" fillId="0" borderId="0" xfId="0" applyFont="1"/>
    <xf numFmtId="0" fontId="28" fillId="0" borderId="0" xfId="0" applyFont="1" applyAlignment="1">
      <alignment horizontal="left"/>
    </xf>
    <xf numFmtId="0" fontId="0" fillId="0" borderId="7" xfId="0" applyBorder="1"/>
    <xf numFmtId="2" fontId="42" fillId="0" borderId="0" xfId="0" applyNumberFormat="1" applyFont="1"/>
    <xf numFmtId="0" fontId="0" fillId="20" borderId="0" xfId="0" applyFill="1"/>
    <xf numFmtId="0" fontId="45" fillId="0" borderId="0" xfId="0" applyFont="1" applyAlignment="1">
      <alignment wrapText="1"/>
    </xf>
    <xf numFmtId="0" fontId="45" fillId="0" borderId="0" xfId="0" applyFont="1" applyAlignment="1">
      <alignment horizontal="left" wrapText="1"/>
    </xf>
    <xf numFmtId="0" fontId="24" fillId="0" borderId="0" xfId="0" applyFont="1" applyAlignment="1">
      <alignment horizontal="left"/>
    </xf>
    <xf numFmtId="0" fontId="24" fillId="0" borderId="0" xfId="5" applyFont="1" applyAlignment="1">
      <alignment horizontal="center"/>
    </xf>
    <xf numFmtId="0" fontId="47" fillId="0" borderId="0" xfId="0" applyFont="1"/>
    <xf numFmtId="0" fontId="0" fillId="0" borderId="0" xfId="5" applyFont="1" applyAlignment="1">
      <alignment horizontal="center"/>
    </xf>
    <xf numFmtId="0" fontId="43" fillId="0" borderId="0" xfId="0" applyFont="1" applyAlignment="1">
      <alignment horizontal="left"/>
    </xf>
    <xf numFmtId="0" fontId="48" fillId="0" borderId="0" xfId="0" applyFont="1"/>
    <xf numFmtId="0" fontId="43" fillId="0" borderId="0" xfId="0" applyFont="1"/>
    <xf numFmtId="0" fontId="44" fillId="0" borderId="0" xfId="0" applyFont="1"/>
    <xf numFmtId="0" fontId="25" fillId="0" borderId="4" xfId="0" applyFont="1" applyBorder="1"/>
    <xf numFmtId="0" fontId="0" fillId="22" borderId="0" xfId="0" applyFill="1"/>
    <xf numFmtId="0" fontId="0" fillId="0" borderId="1" xfId="0" applyBorder="1" applyAlignment="1">
      <alignment horizontal="left"/>
    </xf>
    <xf numFmtId="0" fontId="25" fillId="0" borderId="0" xfId="0" applyFont="1" applyAlignment="1">
      <alignment horizontal="right"/>
    </xf>
    <xf numFmtId="0" fontId="43" fillId="0" borderId="1" xfId="0" applyFont="1" applyBorder="1" applyAlignment="1">
      <alignment horizontal="left"/>
    </xf>
    <xf numFmtId="0" fontId="25"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2" fillId="0" borderId="0" xfId="0" applyFont="1"/>
    <xf numFmtId="0" fontId="43" fillId="0" borderId="0" xfId="0" applyFont="1" applyAlignment="1">
      <alignment horizontal="left" wrapText="1"/>
    </xf>
    <xf numFmtId="1" fontId="0" fillId="0" borderId="1" xfId="0" applyNumberFormat="1" applyBorder="1" applyAlignment="1">
      <alignment horizontal="left"/>
    </xf>
    <xf numFmtId="1" fontId="32" fillId="0" borderId="0" xfId="0" applyNumberFormat="1" applyFont="1" applyAlignment="1">
      <alignment horizontal="left"/>
    </xf>
    <xf numFmtId="0" fontId="25" fillId="0" borderId="3" xfId="0" applyFont="1" applyBorder="1" applyAlignment="1">
      <alignment horizontal="left"/>
    </xf>
    <xf numFmtId="0" fontId="25" fillId="0" borderId="4" xfId="0" applyFont="1" applyBorder="1" applyAlignment="1">
      <alignment horizontal="right"/>
    </xf>
    <xf numFmtId="0" fontId="25" fillId="0" borderId="3" xfId="0" applyFont="1" applyBorder="1"/>
    <xf numFmtId="0" fontId="25" fillId="0" borderId="4" xfId="0" applyFont="1" applyBorder="1" applyAlignment="1">
      <alignment horizontal="left"/>
    </xf>
    <xf numFmtId="0" fontId="0" fillId="21" borderId="0" xfId="0" applyFill="1"/>
    <xf numFmtId="0" fontId="53" fillId="22" borderId="0" xfId="0" applyFont="1" applyFill="1"/>
    <xf numFmtId="0" fontId="52" fillId="0" borderId="0" xfId="0" applyFont="1"/>
    <xf numFmtId="0" fontId="52" fillId="0" borderId="4" xfId="0" applyFont="1" applyBorder="1"/>
    <xf numFmtId="0" fontId="53" fillId="0" borderId="0" xfId="0" applyFont="1"/>
    <xf numFmtId="0" fontId="53" fillId="0" borderId="0" xfId="0" quotePrefix="1" applyFont="1"/>
    <xf numFmtId="0" fontId="0" fillId="22" borderId="1" xfId="0" applyFill="1" applyBorder="1"/>
    <xf numFmtId="0" fontId="25" fillId="22" borderId="0" xfId="0" applyFont="1" applyFill="1" applyAlignment="1">
      <alignment horizontal="right"/>
    </xf>
    <xf numFmtId="0" fontId="0" fillId="22" borderId="8" xfId="0" applyFill="1" applyBorder="1"/>
    <xf numFmtId="0" fontId="25" fillId="22" borderId="0" xfId="0" applyFont="1" applyFill="1" applyAlignment="1">
      <alignment horizontal="left"/>
    </xf>
    <xf numFmtId="0" fontId="43" fillId="22" borderId="1" xfId="0" applyFont="1" applyFill="1" applyBorder="1"/>
    <xf numFmtId="0" fontId="25" fillId="22" borderId="0" xfId="0" applyFont="1" applyFill="1"/>
    <xf numFmtId="0" fontId="0" fillId="21" borderId="11" xfId="0" applyFill="1" applyBorder="1"/>
    <xf numFmtId="10" fontId="0" fillId="0" borderId="0" xfId="0" applyNumberFormat="1"/>
    <xf numFmtId="37" fontId="25" fillId="0" borderId="0" xfId="51" applyFont="1"/>
    <xf numFmtId="37" fontId="24" fillId="0" borderId="0" xfId="51"/>
    <xf numFmtId="37" fontId="0" fillId="0" borderId="0" xfId="51" applyFont="1"/>
    <xf numFmtId="2" fontId="0" fillId="22" borderId="0" xfId="0" applyNumberFormat="1" applyFill="1"/>
    <xf numFmtId="2" fontId="25"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2" fillId="22" borderId="0" xfId="0" applyFont="1" applyFill="1"/>
    <xf numFmtId="0" fontId="32" fillId="22" borderId="0" xfId="0" applyFont="1" applyFill="1" applyAlignment="1">
      <alignment vertical="top"/>
    </xf>
    <xf numFmtId="0" fontId="43" fillId="0" borderId="1" xfId="0" applyFont="1" applyBorder="1" applyAlignment="1">
      <alignment wrapText="1"/>
    </xf>
    <xf numFmtId="0" fontId="43" fillId="0" borderId="0" xfId="0" applyFont="1" applyAlignment="1">
      <alignment wrapText="1"/>
    </xf>
    <xf numFmtId="165" fontId="57" fillId="0" borderId="0" xfId="54" applyNumberFormat="1" applyFont="1" applyFill="1" applyBorder="1" applyAlignment="1">
      <alignment horizontal="right"/>
    </xf>
    <xf numFmtId="0" fontId="0" fillId="22" borderId="0" xfId="4" applyNumberFormat="1" applyFont="1" applyFill="1"/>
    <xf numFmtId="0" fontId="25" fillId="22" borderId="0" xfId="4" applyNumberFormat="1" applyFont="1" applyFill="1" applyBorder="1" applyAlignment="1">
      <alignment horizontal="right"/>
    </xf>
    <xf numFmtId="0" fontId="25" fillId="0" borderId="0" xfId="4" applyNumberFormat="1" applyFont="1" applyFill="1"/>
    <xf numFmtId="0" fontId="0" fillId="0" borderId="0" xfId="4" applyNumberFormat="1" applyFont="1" applyFill="1" applyBorder="1" applyAlignment="1">
      <alignment horizontal="right"/>
    </xf>
    <xf numFmtId="0" fontId="25" fillId="0" borderId="0" xfId="4" applyNumberFormat="1" applyFont="1" applyFill="1" applyBorder="1" applyAlignment="1">
      <alignment horizontal="right"/>
    </xf>
    <xf numFmtId="0" fontId="25"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6" fillId="23" borderId="6" xfId="54" applyFont="1" applyFill="1" applyBorder="1"/>
    <xf numFmtId="43" fontId="54" fillId="23" borderId="6" xfId="54" applyFont="1" applyFill="1" applyBorder="1" applyAlignment="1">
      <alignment horizontal="center"/>
    </xf>
    <xf numFmtId="43" fontId="36" fillId="23" borderId="6" xfId="54" applyFont="1" applyFill="1" applyBorder="1" applyAlignment="1"/>
    <xf numFmtId="43" fontId="0" fillId="0" borderId="6" xfId="54" applyFont="1" applyBorder="1"/>
    <xf numFmtId="43" fontId="33" fillId="0" borderId="6" xfId="54" applyFont="1" applyBorder="1" applyAlignment="1">
      <alignment horizontal="center"/>
    </xf>
    <xf numFmtId="43" fontId="0" fillId="0" borderId="6" xfId="54" applyFont="1" applyBorder="1" applyAlignment="1"/>
    <xf numFmtId="43" fontId="0" fillId="0" borderId="0" xfId="54" applyFont="1"/>
    <xf numFmtId="43" fontId="24" fillId="0" borderId="6" xfId="54" applyFont="1" applyBorder="1" applyAlignment="1">
      <alignment horizontal="center"/>
    </xf>
    <xf numFmtId="43" fontId="0" fillId="0" borderId="6" xfId="54" applyFont="1" applyBorder="1" applyAlignment="1">
      <alignment horizontal="center"/>
    </xf>
    <xf numFmtId="2" fontId="32" fillId="0" borderId="0" xfId="0" applyNumberFormat="1" applyFont="1"/>
    <xf numFmtId="0" fontId="25" fillId="22" borderId="0" xfId="4" applyNumberFormat="1" applyFont="1" applyFill="1"/>
    <xf numFmtId="0" fontId="25" fillId="22" borderId="0" xfId="4" applyNumberFormat="1" applyFont="1" applyFill="1" applyBorder="1"/>
    <xf numFmtId="0" fontId="24"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4" fillId="0" borderId="0" xfId="54" applyFont="1" applyBorder="1" applyAlignment="1">
      <alignment vertical="center" textRotation="90"/>
    </xf>
    <xf numFmtId="43" fontId="0" fillId="0" borderId="14" xfId="54" applyFont="1" applyBorder="1"/>
    <xf numFmtId="43" fontId="33"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4" fillId="0" borderId="0" xfId="0" applyFont="1" applyAlignment="1">
      <alignment vertical="top" wrapText="1"/>
    </xf>
    <xf numFmtId="0" fontId="24" fillId="0" borderId="4" xfId="0" applyFont="1" applyBorder="1" applyAlignment="1">
      <alignment vertical="top" wrapText="1"/>
    </xf>
    <xf numFmtId="168" fontId="66" fillId="0" borderId="0" xfId="37" applyNumberFormat="1" applyFont="1" applyAlignment="1">
      <alignment horizontal="left"/>
    </xf>
    <xf numFmtId="0" fontId="59" fillId="0" borderId="0" xfId="37" applyFont="1" applyAlignment="1" applyProtection="1">
      <alignment horizontal="left" vertical="top" wrapText="1" readingOrder="1"/>
      <protection locked="0"/>
    </xf>
    <xf numFmtId="0" fontId="60" fillId="0" borderId="0" xfId="0" applyFont="1" applyAlignment="1" applyProtection="1">
      <alignment vertical="top" wrapText="1" readingOrder="1"/>
      <protection locked="0"/>
    </xf>
    <xf numFmtId="167" fontId="61" fillId="0" borderId="0" xfId="37" applyNumberFormat="1" applyFont="1" applyAlignment="1" applyProtection="1">
      <alignment horizontal="right" vertical="top" wrapText="1" readingOrder="1"/>
      <protection locked="0"/>
    </xf>
    <xf numFmtId="0" fontId="62" fillId="0" borderId="0" xfId="0" applyFont="1" applyAlignment="1" applyProtection="1">
      <alignment vertical="top" wrapText="1" readingOrder="1"/>
      <protection locked="0"/>
    </xf>
    <xf numFmtId="167" fontId="63" fillId="0" borderId="0" xfId="37" applyNumberFormat="1" applyFont="1" applyAlignment="1" applyProtection="1">
      <alignment horizontal="right" vertical="top" wrapText="1" readingOrder="1"/>
      <protection locked="0"/>
    </xf>
    <xf numFmtId="0" fontId="62" fillId="0" borderId="0" xfId="37" applyFont="1" applyAlignment="1" applyProtection="1">
      <alignment vertical="top" wrapText="1" readingOrder="1"/>
      <protection locked="0"/>
    </xf>
    <xf numFmtId="0" fontId="24" fillId="0" borderId="0" xfId="37" applyAlignment="1">
      <alignment readingOrder="1"/>
    </xf>
    <xf numFmtId="49" fontId="26" fillId="0" borderId="0" xfId="57" applyNumberFormat="1" applyFont="1" applyFill="1" applyBorder="1" applyAlignment="1">
      <alignment horizontal="right"/>
    </xf>
    <xf numFmtId="49" fontId="68" fillId="0" borderId="0" xfId="58" applyNumberFormat="1" applyFont="1" applyFill="1" applyAlignment="1">
      <alignment horizontal="right"/>
    </xf>
    <xf numFmtId="0" fontId="64" fillId="0" borderId="0" xfId="0" applyFont="1"/>
    <xf numFmtId="0" fontId="43" fillId="22" borderId="0" xfId="0" applyFont="1" applyFill="1"/>
    <xf numFmtId="0" fontId="0" fillId="22" borderId="0" xfId="0" quotePrefix="1" applyFill="1"/>
    <xf numFmtId="0" fontId="25" fillId="22" borderId="13" xfId="0" applyFont="1" applyFill="1" applyBorder="1"/>
    <xf numFmtId="0" fontId="25" fillId="22" borderId="4" xfId="0" applyFont="1" applyFill="1" applyBorder="1"/>
    <xf numFmtId="0" fontId="0" fillId="22" borderId="4" xfId="0" applyFill="1" applyBorder="1"/>
    <xf numFmtId="0" fontId="59"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4" fillId="0" borderId="0" xfId="37"/>
    <xf numFmtId="0" fontId="27" fillId="22" borderId="0" xfId="0" applyFont="1" applyFill="1"/>
    <xf numFmtId="0" fontId="37" fillId="0" borderId="0" xfId="0" applyFont="1"/>
    <xf numFmtId="0" fontId="69" fillId="0" borderId="0" xfId="0" applyFont="1"/>
    <xf numFmtId="0" fontId="25" fillId="25" borderId="15" xfId="60" applyFont="1" applyFill="1" applyBorder="1"/>
    <xf numFmtId="170" fontId="25" fillId="25" borderId="15" xfId="60" applyNumberFormat="1" applyFont="1" applyFill="1" applyBorder="1" applyAlignment="1">
      <alignment horizontal="left"/>
    </xf>
    <xf numFmtId="0" fontId="24" fillId="25" borderId="0" xfId="0" applyFont="1" applyFill="1"/>
    <xf numFmtId="0" fontId="25" fillId="25" borderId="21" xfId="60" applyFont="1" applyFill="1" applyBorder="1" applyProtection="1">
      <protection locked="0"/>
    </xf>
    <xf numFmtId="0" fontId="25" fillId="25" borderId="16" xfId="60" applyFont="1" applyFill="1" applyBorder="1" applyAlignment="1">
      <alignment wrapText="1"/>
    </xf>
    <xf numFmtId="0" fontId="25" fillId="25" borderId="16" xfId="60" applyFont="1" applyFill="1" applyBorder="1"/>
    <xf numFmtId="0" fontId="20" fillId="0" borderId="17" xfId="60" applyBorder="1" applyProtection="1">
      <protection locked="0"/>
    </xf>
    <xf numFmtId="0" fontId="25" fillId="25" borderId="15" xfId="60" applyFont="1" applyFill="1" applyBorder="1" applyAlignment="1">
      <alignment horizontal="left"/>
    </xf>
    <xf numFmtId="0" fontId="57" fillId="25" borderId="20" xfId="60" applyFont="1" applyFill="1" applyBorder="1" applyProtection="1">
      <protection locked="0"/>
    </xf>
    <xf numFmtId="167" fontId="60" fillId="0" borderId="0" xfId="37" applyNumberFormat="1" applyFont="1" applyAlignment="1" applyProtection="1">
      <alignment horizontal="right" vertical="top" wrapText="1" readingOrder="1"/>
      <protection locked="0"/>
    </xf>
    <xf numFmtId="0" fontId="26" fillId="22" borderId="0" xfId="0" applyFont="1" applyFill="1"/>
    <xf numFmtId="0" fontId="0" fillId="25" borderId="0" xfId="0" applyFill="1"/>
    <xf numFmtId="0" fontId="63" fillId="0" borderId="0" xfId="37" applyFont="1" applyAlignment="1" applyProtection="1">
      <alignment horizontal="right" vertical="top" wrapText="1" readingOrder="1"/>
      <protection locked="0"/>
    </xf>
    <xf numFmtId="0" fontId="59" fillId="0" borderId="0" xfId="37" applyFont="1" applyAlignment="1" applyProtection="1">
      <alignment vertical="top" wrapText="1" readingOrder="1"/>
      <protection locked="0"/>
    </xf>
    <xf numFmtId="0" fontId="62" fillId="0" borderId="0" xfId="37" applyFont="1" applyAlignment="1" applyProtection="1">
      <alignment horizontal="right" vertical="top" wrapText="1" readingOrder="1"/>
      <protection locked="0"/>
    </xf>
    <xf numFmtId="167" fontId="62" fillId="0" borderId="0" xfId="37" applyNumberFormat="1" applyFont="1" applyAlignment="1" applyProtection="1">
      <alignment horizontal="right" vertical="top" wrapText="1" readingOrder="1"/>
      <protection locked="0"/>
    </xf>
    <xf numFmtId="167" fontId="62" fillId="0" borderId="0" xfId="37" applyNumberFormat="1" applyFont="1" applyAlignment="1" applyProtection="1">
      <alignment vertical="top" wrapText="1" readingOrder="1"/>
      <protection locked="0"/>
    </xf>
    <xf numFmtId="167" fontId="60" fillId="0" borderId="0" xfId="37" applyNumberFormat="1" applyFont="1" applyAlignment="1" applyProtection="1">
      <alignment vertical="top" wrapText="1" readingOrder="1"/>
      <protection locked="0"/>
    </xf>
    <xf numFmtId="0" fontId="65" fillId="0" borderId="0" xfId="37" applyFont="1" applyAlignment="1" applyProtection="1">
      <alignment vertical="top" wrapText="1" readingOrder="1"/>
      <protection locked="0"/>
    </xf>
    <xf numFmtId="0" fontId="59" fillId="0" borderId="0" xfId="37" applyFont="1" applyAlignment="1" applyProtection="1">
      <alignment wrapText="1" readingOrder="1"/>
      <protection locked="0"/>
    </xf>
    <xf numFmtId="0" fontId="63"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2" fillId="0" borderId="4" xfId="37" applyFont="1" applyBorder="1" applyAlignment="1" applyProtection="1">
      <alignment horizontal="right" vertical="top" wrapText="1" readingOrder="1"/>
      <protection locked="0"/>
    </xf>
    <xf numFmtId="0" fontId="70" fillId="22" borderId="0" xfId="0" applyFont="1" applyFill="1"/>
    <xf numFmtId="0" fontId="71" fillId="22" borderId="0" xfId="0" applyFont="1" applyFill="1"/>
    <xf numFmtId="0" fontId="71" fillId="22" borderId="0" xfId="0" applyFont="1" applyFill="1" applyAlignment="1">
      <alignment horizontal="right"/>
    </xf>
    <xf numFmtId="10" fontId="24" fillId="22" borderId="0" xfId="4" applyNumberFormat="1" applyFont="1" applyFill="1" applyAlignment="1">
      <alignment horizontal="right"/>
    </xf>
    <xf numFmtId="0" fontId="24" fillId="25" borderId="0" xfId="0" applyFont="1" applyFill="1" applyAlignment="1">
      <alignment wrapText="1"/>
    </xf>
    <xf numFmtId="0" fontId="26" fillId="22" borderId="4" xfId="0" applyFont="1" applyFill="1" applyBorder="1"/>
    <xf numFmtId="0" fontId="25" fillId="25" borderId="22" xfId="60" applyFont="1" applyFill="1" applyBorder="1"/>
    <xf numFmtId="0" fontId="24" fillId="0" borderId="0" xfId="0" applyFont="1" applyAlignment="1" applyProtection="1">
      <alignment wrapText="1"/>
      <protection locked="0"/>
    </xf>
    <xf numFmtId="0" fontId="24" fillId="0" borderId="0" xfId="0" applyFont="1" applyProtection="1">
      <protection locked="0"/>
    </xf>
    <xf numFmtId="0" fontId="72" fillId="22" borderId="1" xfId="0" applyFont="1" applyFill="1" applyBorder="1"/>
    <xf numFmtId="0" fontId="72" fillId="22" borderId="0" xfId="0" applyFont="1" applyFill="1"/>
    <xf numFmtId="0" fontId="72" fillId="22" borderId="1" xfId="0" applyFont="1" applyFill="1" applyBorder="1" applyAlignment="1">
      <alignment horizontal="left"/>
    </xf>
    <xf numFmtId="165" fontId="73" fillId="22" borderId="0" xfId="54" applyNumberFormat="1" applyFont="1" applyFill="1" applyBorder="1" applyAlignment="1">
      <alignment horizontal="right"/>
    </xf>
    <xf numFmtId="0" fontId="73" fillId="22" borderId="0" xfId="0" applyFont="1" applyFill="1"/>
    <xf numFmtId="0" fontId="73" fillId="22" borderId="3" xfId="0" applyFont="1" applyFill="1" applyBorder="1"/>
    <xf numFmtId="0" fontId="73" fillId="22" borderId="4" xfId="0" applyFont="1" applyFill="1" applyBorder="1"/>
    <xf numFmtId="1" fontId="72" fillId="22" borderId="0" xfId="0" applyNumberFormat="1" applyFont="1" applyFill="1" applyAlignment="1">
      <alignment horizontal="left"/>
    </xf>
    <xf numFmtId="0" fontId="72" fillId="22" borderId="0" xfId="0" applyFont="1" applyFill="1" applyAlignment="1">
      <alignment horizontal="left"/>
    </xf>
    <xf numFmtId="0" fontId="72" fillId="22" borderId="1" xfId="0" applyFont="1" applyFill="1" applyBorder="1" applyAlignment="1">
      <alignment wrapText="1"/>
    </xf>
    <xf numFmtId="0" fontId="72" fillId="22" borderId="0" xfId="0" applyFont="1" applyFill="1" applyAlignment="1">
      <alignment wrapText="1"/>
    </xf>
    <xf numFmtId="1" fontId="72"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5" fillId="22" borderId="8" xfId="0" applyFont="1" applyFill="1" applyBorder="1"/>
    <xf numFmtId="0" fontId="25" fillId="22" borderId="7" xfId="0" applyFont="1" applyFill="1" applyBorder="1"/>
    <xf numFmtId="0" fontId="75" fillId="0" borderId="25" xfId="60" applyFont="1" applyBorder="1" applyAlignment="1" applyProtection="1">
      <alignment wrapText="1"/>
      <protection locked="0"/>
    </xf>
    <xf numFmtId="0" fontId="75" fillId="0" borderId="26" xfId="60" applyFont="1" applyBorder="1" applyAlignment="1" applyProtection="1">
      <alignment wrapText="1"/>
      <protection locked="0"/>
    </xf>
    <xf numFmtId="0" fontId="75" fillId="0" borderId="27" xfId="60" applyFont="1" applyBorder="1" applyAlignment="1" applyProtection="1">
      <alignment wrapText="1"/>
      <protection locked="0"/>
    </xf>
    <xf numFmtId="0" fontId="75" fillId="0" borderId="23" xfId="60" applyFont="1" applyBorder="1" applyAlignment="1" applyProtection="1">
      <alignment wrapText="1"/>
      <protection locked="0"/>
    </xf>
    <xf numFmtId="0" fontId="75" fillId="0" borderId="28" xfId="60" applyFont="1" applyBorder="1" applyAlignment="1" applyProtection="1">
      <alignment wrapText="1"/>
      <protection locked="0"/>
    </xf>
    <xf numFmtId="0" fontId="75" fillId="0" borderId="24" xfId="60" applyFont="1" applyBorder="1" applyAlignment="1" applyProtection="1">
      <alignment wrapText="1"/>
      <protection locked="0"/>
    </xf>
    <xf numFmtId="0" fontId="75" fillId="0" borderId="29" xfId="60" applyFont="1" applyBorder="1" applyAlignment="1" applyProtection="1">
      <alignment wrapText="1"/>
      <protection locked="0"/>
    </xf>
    <xf numFmtId="0" fontId="75" fillId="0" borderId="30" xfId="60" applyFont="1" applyBorder="1" applyAlignment="1" applyProtection="1">
      <alignment vertical="top" wrapText="1"/>
      <protection locked="0"/>
    </xf>
    <xf numFmtId="0" fontId="25" fillId="22" borderId="31" xfId="0" applyFont="1" applyFill="1" applyBorder="1"/>
    <xf numFmtId="0" fontId="75" fillId="0" borderId="32" xfId="60" applyFont="1" applyBorder="1" applyAlignment="1" applyProtection="1">
      <alignment wrapText="1"/>
      <protection locked="0"/>
    </xf>
    <xf numFmtId="0" fontId="75" fillId="0" borderId="33" xfId="60" applyFont="1" applyBorder="1" applyAlignment="1" applyProtection="1">
      <alignment vertical="top" wrapText="1"/>
      <protection locked="0"/>
    </xf>
    <xf numFmtId="0" fontId="75" fillId="0" borderId="31" xfId="60" applyFont="1" applyBorder="1" applyAlignment="1" applyProtection="1">
      <alignment wrapText="1"/>
      <protection locked="0"/>
    </xf>
    <xf numFmtId="0" fontId="75" fillId="0" borderId="35" xfId="60" applyFont="1" applyBorder="1" applyAlignment="1" applyProtection="1">
      <alignment wrapText="1"/>
      <protection locked="0"/>
    </xf>
    <xf numFmtId="0" fontId="0" fillId="0" borderId="34" xfId="0" applyBorder="1" applyAlignment="1">
      <alignment horizontal="center"/>
    </xf>
    <xf numFmtId="0" fontId="74" fillId="25" borderId="0" xfId="0" applyFont="1" applyFill="1"/>
    <xf numFmtId="0" fontId="0" fillId="0" borderId="0" xfId="0" quotePrefix="1" applyAlignment="1">
      <alignment horizontal="left" indent="2"/>
    </xf>
    <xf numFmtId="0" fontId="19" fillId="0" borderId="15" xfId="60" applyFont="1" applyBorder="1" applyAlignment="1" applyProtection="1">
      <alignment wrapText="1"/>
      <protection locked="0"/>
    </xf>
    <xf numFmtId="0" fontId="19"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8" fillId="0" borderId="15" xfId="60" applyFont="1" applyBorder="1" applyAlignment="1" applyProtection="1">
      <alignment wrapText="1"/>
      <protection locked="0"/>
    </xf>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76" fillId="0" borderId="0" xfId="0" applyFont="1"/>
    <xf numFmtId="0" fontId="0" fillId="0" borderId="39" xfId="0" applyBorder="1"/>
    <xf numFmtId="0" fontId="0" fillId="0" borderId="40" xfId="0" applyBorder="1"/>
    <xf numFmtId="0" fontId="77" fillId="0" borderId="38" xfId="0" applyFont="1" applyBorder="1"/>
    <xf numFmtId="0" fontId="10" fillId="0" borderId="15" xfId="60" applyFont="1" applyBorder="1" applyAlignment="1" applyProtection="1">
      <alignment wrapText="1"/>
      <protection locked="0"/>
    </xf>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43" fontId="0" fillId="0" borderId="0" xfId="54" applyFont="1" applyBorder="1"/>
    <xf numFmtId="43" fontId="33" fillId="0" borderId="0" xfId="54" applyFont="1" applyBorder="1" applyAlignment="1">
      <alignment horizontal="center"/>
    </xf>
    <xf numFmtId="43" fontId="0" fillId="0" borderId="0" xfId="54" applyFont="1" applyBorder="1" applyAlignment="1"/>
    <xf numFmtId="43" fontId="0" fillId="0" borderId="0" xfId="0" applyNumberFormat="1"/>
    <xf numFmtId="0" fontId="62" fillId="0" borderId="15" xfId="0" applyFont="1" applyBorder="1" applyAlignment="1" applyProtection="1">
      <alignment vertical="top" wrapText="1" readingOrder="1"/>
      <protection locked="0"/>
    </xf>
    <xf numFmtId="167" fontId="62" fillId="0" borderId="15" xfId="37" applyNumberFormat="1" applyFont="1" applyBorder="1" applyAlignment="1" applyProtection="1">
      <alignment horizontal="right" vertical="top" wrapText="1" readingOrder="1"/>
      <protection locked="0"/>
    </xf>
    <xf numFmtId="0" fontId="25" fillId="0" borderId="0" xfId="0" applyFont="1" applyAlignment="1">
      <alignment horizontal="left"/>
    </xf>
    <xf numFmtId="0" fontId="2" fillId="0" borderId="15" xfId="60" applyFont="1" applyBorder="1" applyAlignment="1" applyProtection="1">
      <alignment wrapText="1"/>
      <protection locked="0"/>
    </xf>
    <xf numFmtId="0" fontId="1"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5"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5" fillId="0" borderId="8" xfId="0" applyFont="1" applyBorder="1" applyAlignment="1">
      <alignment horizontal="left" vertical="top"/>
    </xf>
    <xf numFmtId="0" fontId="25" fillId="0" borderId="9" xfId="0" applyFont="1" applyBorder="1" applyAlignment="1">
      <alignment horizontal="left" vertical="top"/>
    </xf>
    <xf numFmtId="0" fontId="25" fillId="0" borderId="1" xfId="0" applyFont="1" applyBorder="1" applyAlignment="1">
      <alignment horizontal="left" vertical="top"/>
    </xf>
    <xf numFmtId="0" fontId="25"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7" fillId="0" borderId="0" xfId="0" applyFont="1" applyAlignment="1">
      <alignment horizontal="center"/>
    </xf>
    <xf numFmtId="0" fontId="25" fillId="21" borderId="0" xfId="0" applyFont="1" applyFill="1" applyAlignment="1">
      <alignment horizontal="center"/>
    </xf>
    <xf numFmtId="0" fontId="25" fillId="0" borderId="0" xfId="0" applyFont="1" applyAlignment="1">
      <alignment horizontal="center"/>
    </xf>
    <xf numFmtId="0" fontId="24" fillId="0" borderId="0" xfId="0" applyFont="1" applyAlignment="1">
      <alignment horizontal="left"/>
    </xf>
    <xf numFmtId="0" fontId="24" fillId="0" borderId="1"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2" xfId="0" applyFont="1" applyBorder="1" applyAlignment="1" applyProtection="1">
      <alignment horizontal="left" vertical="center" wrapText="1"/>
      <protection locked="0"/>
    </xf>
    <xf numFmtId="0" fontId="40" fillId="23" borderId="0" xfId="0" applyFont="1" applyFill="1" applyAlignment="1">
      <alignment horizontal="center" vertical="center"/>
    </xf>
    <xf numFmtId="2" fontId="25" fillId="21" borderId="0" xfId="4" applyNumberFormat="1" applyFont="1" applyFill="1" applyAlignment="1">
      <alignment horizontal="center"/>
    </xf>
    <xf numFmtId="0" fontId="0" fillId="0" borderId="0" xfId="0" quotePrefix="1" applyAlignment="1">
      <alignment horizontal="center"/>
    </xf>
    <xf numFmtId="0" fontId="24" fillId="0" borderId="8" xfId="0" applyFont="1" applyBorder="1" applyAlignment="1">
      <alignment horizontal="left"/>
    </xf>
    <xf numFmtId="0" fontId="24" fillId="0" borderId="9" xfId="0" applyFont="1" applyBorder="1" applyAlignment="1">
      <alignment horizontal="left"/>
    </xf>
    <xf numFmtId="0" fontId="24" fillId="0" borderId="7" xfId="0" applyFont="1" applyBorder="1" applyAlignment="1">
      <alignment horizontal="left"/>
    </xf>
    <xf numFmtId="0" fontId="30" fillId="3" borderId="1"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0" fontId="25" fillId="3" borderId="3" xfId="0" applyFont="1" applyFill="1" applyBorder="1" applyAlignment="1" applyProtection="1">
      <alignment horizontal="center" vertical="center" wrapText="1"/>
      <protection locked="0"/>
    </xf>
    <xf numFmtId="0" fontId="25" fillId="3" borderId="4" xfId="0" applyFont="1" applyFill="1" applyBorder="1" applyAlignment="1" applyProtection="1">
      <alignment horizontal="center" vertical="center" wrapText="1"/>
      <protection locked="0"/>
    </xf>
    <xf numFmtId="0" fontId="25" fillId="3" borderId="5" xfId="0" applyFont="1" applyFill="1" applyBorder="1" applyAlignment="1" applyProtection="1">
      <alignment horizontal="center" vertical="center" wrapText="1"/>
      <protection locked="0"/>
    </xf>
    <xf numFmtId="0" fontId="24" fillId="4" borderId="1" xfId="0" applyFont="1" applyFill="1" applyBorder="1" applyAlignment="1" applyProtection="1">
      <alignment horizontal="left" vertical="center" wrapText="1"/>
      <protection locked="0"/>
    </xf>
    <xf numFmtId="0" fontId="24" fillId="4" borderId="0" xfId="0" applyFont="1" applyFill="1" applyAlignment="1" applyProtection="1">
      <alignment horizontal="left" vertical="center" wrapText="1"/>
      <protection locked="0"/>
    </xf>
    <xf numFmtId="0" fontId="24" fillId="4" borderId="2" xfId="0" applyFont="1" applyFill="1" applyBorder="1" applyAlignment="1" applyProtection="1">
      <alignment horizontal="left" vertical="center" wrapText="1"/>
      <protection locked="0"/>
    </xf>
    <xf numFmtId="43" fontId="36" fillId="21" borderId="6" xfId="54" applyFont="1" applyFill="1" applyBorder="1" applyAlignment="1">
      <alignment horizontal="center"/>
    </xf>
    <xf numFmtId="43" fontId="36" fillId="23" borderId="6" xfId="54" applyFont="1" applyFill="1" applyBorder="1" applyAlignment="1">
      <alignment horizontal="center"/>
    </xf>
    <xf numFmtId="0" fontId="25" fillId="0" borderId="7" xfId="0" applyFont="1" applyBorder="1" applyAlignment="1">
      <alignment horizontal="left" vertical="top"/>
    </xf>
    <xf numFmtId="0" fontId="25" fillId="0" borderId="2" xfId="0" applyFont="1" applyBorder="1" applyAlignment="1">
      <alignment horizontal="left" vertical="top"/>
    </xf>
    <xf numFmtId="0" fontId="38" fillId="6" borderId="4" xfId="0" applyFont="1" applyFill="1" applyBorder="1" applyAlignment="1">
      <alignment horizontal="center"/>
    </xf>
    <xf numFmtId="0" fontId="28" fillId="0" borderId="0" xfId="0" applyFont="1" applyAlignment="1">
      <alignment horizontal="left"/>
    </xf>
    <xf numFmtId="1" fontId="26" fillId="0" borderId="4" xfId="4" applyNumberFormat="1" applyFont="1" applyBorder="1" applyAlignment="1">
      <alignment horizontal="center"/>
    </xf>
    <xf numFmtId="0" fontId="38" fillId="23" borderId="4" xfId="0" applyFont="1" applyFill="1" applyBorder="1" applyAlignment="1">
      <alignment horizontal="center"/>
    </xf>
    <xf numFmtId="0" fontId="0" fillId="23" borderId="4" xfId="0" applyFill="1" applyBorder="1" applyAlignment="1">
      <alignment horizontal="center"/>
    </xf>
    <xf numFmtId="0" fontId="30" fillId="3" borderId="0" xfId="0" applyFont="1" applyFill="1" applyAlignment="1" applyProtection="1">
      <alignment horizontal="left" vertical="top" wrapText="1"/>
      <protection locked="0"/>
    </xf>
    <xf numFmtId="2" fontId="0" fillId="0" borderId="0" xfId="0" applyNumberFormat="1" applyAlignment="1">
      <alignment horizontal="center"/>
    </xf>
    <xf numFmtId="0" fontId="55" fillId="23" borderId="0" xfId="0" applyFont="1" applyFill="1" applyAlignment="1">
      <alignment horizontal="center" vertical="center"/>
    </xf>
    <xf numFmtId="43" fontId="0" fillId="0" borderId="14" xfId="54" applyFont="1" applyBorder="1" applyAlignment="1">
      <alignment horizontal="center"/>
    </xf>
    <xf numFmtId="43" fontId="24"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7" fillId="2" borderId="4" xfId="0" applyFont="1" applyFill="1" applyBorder="1" applyAlignment="1">
      <alignment horizontal="center"/>
    </xf>
    <xf numFmtId="43" fontId="24" fillId="0" borderId="0" xfId="54" applyFont="1" applyBorder="1" applyAlignment="1">
      <alignment horizontal="center"/>
    </xf>
    <xf numFmtId="164" fontId="24" fillId="0" borderId="6" xfId="54" applyNumberFormat="1" applyFont="1" applyBorder="1" applyAlignment="1">
      <alignment horizontal="center"/>
    </xf>
    <xf numFmtId="0" fontId="24" fillId="0" borderId="0" xfId="0" applyFont="1" applyAlignment="1">
      <alignment horizontal="left" vertical="top" wrapText="1"/>
    </xf>
    <xf numFmtId="0" fontId="38" fillId="5" borderId="4" xfId="0" applyFont="1" applyFill="1" applyBorder="1" applyAlignment="1">
      <alignment horizontal="center"/>
    </xf>
    <xf numFmtId="43" fontId="24"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6" fillId="23" borderId="0" xfId="0" applyFont="1" applyFill="1" applyAlignment="1">
      <alignment horizontal="center" vertical="center"/>
    </xf>
    <xf numFmtId="0" fontId="25" fillId="0" borderId="9" xfId="0" applyFont="1" applyBorder="1" applyAlignment="1">
      <alignment horizontal="left" vertical="center" wrapText="1"/>
    </xf>
    <xf numFmtId="0" fontId="25" fillId="0" borderId="7" xfId="0" applyFont="1" applyBorder="1" applyAlignment="1">
      <alignment horizontal="left" vertical="center" wrapText="1"/>
    </xf>
    <xf numFmtId="0" fontId="25" fillId="0" borderId="0" xfId="0" applyFont="1" applyAlignment="1">
      <alignment horizontal="left" vertical="center" wrapText="1"/>
    </xf>
    <xf numFmtId="0" fontId="25" fillId="0" borderId="2" xfId="0" applyFont="1" applyBorder="1" applyAlignment="1">
      <alignment horizontal="left" vertical="center" wrapText="1"/>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5" fillId="3" borderId="1" xfId="0" applyFont="1" applyFill="1" applyBorder="1" applyAlignment="1" applyProtection="1">
      <alignment horizontal="center" vertical="center" wrapText="1"/>
      <protection locked="0"/>
    </xf>
    <xf numFmtId="0" fontId="25" fillId="3" borderId="0" xfId="0" applyFont="1" applyFill="1" applyAlignment="1" applyProtection="1">
      <alignment horizontal="center" vertical="center" wrapText="1"/>
      <protection locked="0"/>
    </xf>
    <xf numFmtId="0" fontId="25" fillId="3" borderId="2" xfId="0" applyFont="1" applyFill="1" applyBorder="1" applyAlignment="1" applyProtection="1">
      <alignment horizontal="center" vertical="center" wrapText="1"/>
      <protection locked="0"/>
    </xf>
    <xf numFmtId="2" fontId="25" fillId="0" borderId="0" xfId="4" applyNumberFormat="1" applyFont="1" applyAlignment="1">
      <alignment horizontal="center"/>
    </xf>
    <xf numFmtId="2" fontId="25" fillId="0" borderId="0" xfId="4" applyNumberFormat="1" applyFont="1" applyAlignment="1">
      <alignment horizontal="right"/>
    </xf>
    <xf numFmtId="43" fontId="26" fillId="0" borderId="14" xfId="54" applyFont="1" applyBorder="1" applyAlignment="1">
      <alignment horizontal="center" vertical="center" textRotation="90"/>
    </xf>
    <xf numFmtId="43" fontId="26" fillId="0" borderId="0" xfId="54" applyFont="1" applyBorder="1" applyAlignment="1">
      <alignment horizontal="center" vertical="center" textRotation="90"/>
    </xf>
    <xf numFmtId="0" fontId="42" fillId="23" borderId="0" xfId="0" quotePrefix="1" applyFont="1" applyFill="1" applyAlignment="1">
      <alignment horizontal="center"/>
    </xf>
    <xf numFmtId="0" fontId="43" fillId="22" borderId="1" xfId="0" applyFont="1" applyFill="1" applyBorder="1" applyAlignment="1">
      <alignment horizontal="left" wrapText="1"/>
    </xf>
    <xf numFmtId="0" fontId="43" fillId="22" borderId="0" xfId="0" applyFont="1" applyFill="1" applyAlignment="1">
      <alignment horizontal="left" wrapText="1"/>
    </xf>
    <xf numFmtId="0" fontId="72" fillId="22" borderId="1" xfId="0" applyFont="1" applyFill="1" applyBorder="1" applyAlignment="1">
      <alignment horizontal="left" vertical="top" wrapText="1"/>
    </xf>
    <xf numFmtId="0" fontId="72" fillId="22" borderId="0" xfId="0" applyFont="1" applyFill="1" applyAlignment="1">
      <alignment horizontal="left" vertical="top" wrapText="1"/>
    </xf>
    <xf numFmtId="0" fontId="72" fillId="22" borderId="2" xfId="0" applyFont="1" applyFill="1" applyBorder="1" applyAlignment="1">
      <alignment horizontal="left" vertical="top" wrapText="1"/>
    </xf>
    <xf numFmtId="0" fontId="25" fillId="25" borderId="18" xfId="60" applyFont="1" applyFill="1" applyBorder="1" applyAlignment="1">
      <alignment horizontal="left" vertical="center" wrapText="1"/>
    </xf>
    <xf numFmtId="0" fontId="25" fillId="25" borderId="19" xfId="60" applyFont="1" applyFill="1" applyBorder="1" applyAlignment="1">
      <alignment horizontal="left" vertical="center" wrapText="1"/>
    </xf>
    <xf numFmtId="167" fontId="60"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34"/>
                <c:pt idx="33">
                  <c:v>u</c:v>
                </c:pt>
              </c:strCache>
            </c:strRef>
          </c:cat>
          <c:val>
            <c:numRef>
              <c:f>[0]!TopQuart</c:f>
              <c:numCache>
                <c:formatCode>General</c:formatCode>
                <c:ptCount val="164"/>
                <c:pt idx="0">
                  <c:v>99.35</c:v>
                </c:pt>
                <c:pt idx="1">
                  <c:v>99.3</c:v>
                </c:pt>
                <c:pt idx="2">
                  <c:v>99.27</c:v>
                </c:pt>
                <c:pt idx="3">
                  <c:v>99.12</c:v>
                </c:pt>
                <c:pt idx="4">
                  <c:v>99.02</c:v>
                </c:pt>
                <c:pt idx="5">
                  <c:v>98.96</c:v>
                </c:pt>
                <c:pt idx="6">
                  <c:v>98.8</c:v>
                </c:pt>
                <c:pt idx="7">
                  <c:v>98.67</c:v>
                </c:pt>
                <c:pt idx="8">
                  <c:v>98.65</c:v>
                </c:pt>
                <c:pt idx="9">
                  <c:v>98.64</c:v>
                </c:pt>
                <c:pt idx="10">
                  <c:v>98.57</c:v>
                </c:pt>
                <c:pt idx="11">
                  <c:v>98.57</c:v>
                </c:pt>
                <c:pt idx="12">
                  <c:v>98.57</c:v>
                </c:pt>
                <c:pt idx="13">
                  <c:v>98.56</c:v>
                </c:pt>
                <c:pt idx="14">
                  <c:v>98.54</c:v>
                </c:pt>
                <c:pt idx="15">
                  <c:v>98.48</c:v>
                </c:pt>
                <c:pt idx="16">
                  <c:v>98.48</c:v>
                </c:pt>
                <c:pt idx="17">
                  <c:v>98.47</c:v>
                </c:pt>
                <c:pt idx="18">
                  <c:v>98.41</c:v>
                </c:pt>
                <c:pt idx="19">
                  <c:v>98.4</c:v>
                </c:pt>
                <c:pt idx="20">
                  <c:v>98.37</c:v>
                </c:pt>
                <c:pt idx="21">
                  <c:v>98.37</c:v>
                </c:pt>
                <c:pt idx="22">
                  <c:v>98.36</c:v>
                </c:pt>
                <c:pt idx="23">
                  <c:v>98.35</c:v>
                </c:pt>
                <c:pt idx="24">
                  <c:v>98.35</c:v>
                </c:pt>
                <c:pt idx="25">
                  <c:v>98.34</c:v>
                </c:pt>
                <c:pt idx="26">
                  <c:v>98.32</c:v>
                </c:pt>
                <c:pt idx="27">
                  <c:v>98.32</c:v>
                </c:pt>
                <c:pt idx="28">
                  <c:v>98.3</c:v>
                </c:pt>
                <c:pt idx="29">
                  <c:v>98.29</c:v>
                </c:pt>
                <c:pt idx="30">
                  <c:v>98.28</c:v>
                </c:pt>
                <c:pt idx="31">
                  <c:v>98.14</c:v>
                </c:pt>
                <c:pt idx="32">
                  <c:v>98.14</c:v>
                </c:pt>
                <c:pt idx="33">
                  <c:v>98.11</c:v>
                </c:pt>
                <c:pt idx="34">
                  <c:v>98.09</c:v>
                </c:pt>
                <c:pt idx="35">
                  <c:v>98.08</c:v>
                </c:pt>
                <c:pt idx="36">
                  <c:v>98.07</c:v>
                </c:pt>
                <c:pt idx="37">
                  <c:v>98.03</c:v>
                </c:pt>
                <c:pt idx="38">
                  <c:v>98.03</c:v>
                </c:pt>
                <c:pt idx="39">
                  <c:v>98.03</c:v>
                </c:pt>
                <c:pt idx="40">
                  <c:v>98.02</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34"/>
                <c:pt idx="33">
                  <c:v>u</c:v>
                </c:pt>
              </c:strCache>
            </c:strRef>
          </c:cat>
          <c:val>
            <c:numRef>
              <c:f>[0]!SecQuart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98.01</c:v>
                </c:pt>
                <c:pt idx="42">
                  <c:v>98.01</c:v>
                </c:pt>
                <c:pt idx="43">
                  <c:v>97.95</c:v>
                </c:pt>
                <c:pt idx="44">
                  <c:v>97.94</c:v>
                </c:pt>
                <c:pt idx="45">
                  <c:v>97.94</c:v>
                </c:pt>
                <c:pt idx="46">
                  <c:v>97.94</c:v>
                </c:pt>
                <c:pt idx="47">
                  <c:v>97.92</c:v>
                </c:pt>
                <c:pt idx="48">
                  <c:v>97.92</c:v>
                </c:pt>
                <c:pt idx="49">
                  <c:v>97.91</c:v>
                </c:pt>
                <c:pt idx="50">
                  <c:v>97.91</c:v>
                </c:pt>
                <c:pt idx="51">
                  <c:v>97.9</c:v>
                </c:pt>
                <c:pt idx="52">
                  <c:v>97.89</c:v>
                </c:pt>
                <c:pt idx="53">
                  <c:v>97.87</c:v>
                </c:pt>
                <c:pt idx="54">
                  <c:v>97.83</c:v>
                </c:pt>
                <c:pt idx="55">
                  <c:v>97.82</c:v>
                </c:pt>
                <c:pt idx="56">
                  <c:v>97.82</c:v>
                </c:pt>
                <c:pt idx="57">
                  <c:v>97.81</c:v>
                </c:pt>
                <c:pt idx="58">
                  <c:v>97.81</c:v>
                </c:pt>
                <c:pt idx="59">
                  <c:v>97.81</c:v>
                </c:pt>
                <c:pt idx="60">
                  <c:v>97.8</c:v>
                </c:pt>
                <c:pt idx="61">
                  <c:v>97.8</c:v>
                </c:pt>
                <c:pt idx="62">
                  <c:v>97.73</c:v>
                </c:pt>
                <c:pt idx="63">
                  <c:v>97.71</c:v>
                </c:pt>
                <c:pt idx="64">
                  <c:v>97.69</c:v>
                </c:pt>
                <c:pt idx="65">
                  <c:v>97.66</c:v>
                </c:pt>
                <c:pt idx="66">
                  <c:v>97.63</c:v>
                </c:pt>
                <c:pt idx="67">
                  <c:v>97.63</c:v>
                </c:pt>
                <c:pt idx="68">
                  <c:v>97.63</c:v>
                </c:pt>
                <c:pt idx="69">
                  <c:v>97.63</c:v>
                </c:pt>
                <c:pt idx="70">
                  <c:v>97.62</c:v>
                </c:pt>
                <c:pt idx="71">
                  <c:v>97.59</c:v>
                </c:pt>
                <c:pt idx="72">
                  <c:v>97.58</c:v>
                </c:pt>
                <c:pt idx="73">
                  <c:v>97.55</c:v>
                </c:pt>
                <c:pt idx="74">
                  <c:v>97.55</c:v>
                </c:pt>
                <c:pt idx="75">
                  <c:v>97.55</c:v>
                </c:pt>
                <c:pt idx="76">
                  <c:v>97.54</c:v>
                </c:pt>
                <c:pt idx="77">
                  <c:v>97.53</c:v>
                </c:pt>
                <c:pt idx="78">
                  <c:v>97.52</c:v>
                </c:pt>
                <c:pt idx="79">
                  <c:v>97.51</c:v>
                </c:pt>
                <c:pt idx="80">
                  <c:v>97.51</c:v>
                </c:pt>
                <c:pt idx="81">
                  <c:v>97.5</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34"/>
                <c:pt idx="33">
                  <c:v>u</c:v>
                </c:pt>
              </c:strCache>
            </c:strRef>
          </c:cat>
          <c:val>
            <c:numRef>
              <c:f>[0]!ThirdQuart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97.41</c:v>
                </c:pt>
                <c:pt idx="83">
                  <c:v>97.35</c:v>
                </c:pt>
                <c:pt idx="84">
                  <c:v>97.32</c:v>
                </c:pt>
                <c:pt idx="85">
                  <c:v>97.25</c:v>
                </c:pt>
                <c:pt idx="86">
                  <c:v>97.24</c:v>
                </c:pt>
                <c:pt idx="87">
                  <c:v>97.23</c:v>
                </c:pt>
                <c:pt idx="88">
                  <c:v>97.23</c:v>
                </c:pt>
                <c:pt idx="89">
                  <c:v>97.21</c:v>
                </c:pt>
                <c:pt idx="90">
                  <c:v>97.21</c:v>
                </c:pt>
                <c:pt idx="91">
                  <c:v>97.18</c:v>
                </c:pt>
                <c:pt idx="92">
                  <c:v>97.17</c:v>
                </c:pt>
                <c:pt idx="93">
                  <c:v>97.16</c:v>
                </c:pt>
                <c:pt idx="94">
                  <c:v>97.14</c:v>
                </c:pt>
                <c:pt idx="95">
                  <c:v>97.13</c:v>
                </c:pt>
                <c:pt idx="96">
                  <c:v>97.06</c:v>
                </c:pt>
                <c:pt idx="97">
                  <c:v>97.06</c:v>
                </c:pt>
                <c:pt idx="98">
                  <c:v>97.05</c:v>
                </c:pt>
                <c:pt idx="99">
                  <c:v>97.01</c:v>
                </c:pt>
                <c:pt idx="100">
                  <c:v>96.98</c:v>
                </c:pt>
                <c:pt idx="101">
                  <c:v>96.94</c:v>
                </c:pt>
                <c:pt idx="102">
                  <c:v>96.92</c:v>
                </c:pt>
                <c:pt idx="103">
                  <c:v>96.9</c:v>
                </c:pt>
                <c:pt idx="104">
                  <c:v>96.89</c:v>
                </c:pt>
                <c:pt idx="105">
                  <c:v>96.87</c:v>
                </c:pt>
                <c:pt idx="106">
                  <c:v>96.8</c:v>
                </c:pt>
                <c:pt idx="107">
                  <c:v>96.76</c:v>
                </c:pt>
                <c:pt idx="108">
                  <c:v>96.76</c:v>
                </c:pt>
                <c:pt idx="109">
                  <c:v>96.76</c:v>
                </c:pt>
                <c:pt idx="110">
                  <c:v>96.71</c:v>
                </c:pt>
                <c:pt idx="111">
                  <c:v>96.67</c:v>
                </c:pt>
                <c:pt idx="112">
                  <c:v>96.66</c:v>
                </c:pt>
                <c:pt idx="113">
                  <c:v>96.65</c:v>
                </c:pt>
                <c:pt idx="114">
                  <c:v>96.64</c:v>
                </c:pt>
                <c:pt idx="115">
                  <c:v>96.61</c:v>
                </c:pt>
                <c:pt idx="116">
                  <c:v>96.61</c:v>
                </c:pt>
                <c:pt idx="117">
                  <c:v>96.59</c:v>
                </c:pt>
                <c:pt idx="118">
                  <c:v>96.59</c:v>
                </c:pt>
                <c:pt idx="119">
                  <c:v>96.51</c:v>
                </c:pt>
                <c:pt idx="120">
                  <c:v>96.5</c:v>
                </c:pt>
                <c:pt idx="121">
                  <c:v>96.48</c:v>
                </c:pt>
                <c:pt idx="122">
                  <c:v>96.47</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34"/>
                <c:pt idx="33">
                  <c:v>u</c:v>
                </c:pt>
              </c:strCache>
            </c:strRef>
          </c:cat>
          <c:val>
            <c:numRef>
              <c:f>[0]!BotQuart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96.39</c:v>
                </c:pt>
                <c:pt idx="124">
                  <c:v>96.39</c:v>
                </c:pt>
                <c:pt idx="125">
                  <c:v>96.37</c:v>
                </c:pt>
                <c:pt idx="126">
                  <c:v>96.33</c:v>
                </c:pt>
                <c:pt idx="127">
                  <c:v>96.31</c:v>
                </c:pt>
                <c:pt idx="128">
                  <c:v>96.31</c:v>
                </c:pt>
                <c:pt idx="129">
                  <c:v>96.3</c:v>
                </c:pt>
                <c:pt idx="130">
                  <c:v>96.28</c:v>
                </c:pt>
                <c:pt idx="131">
                  <c:v>96.28</c:v>
                </c:pt>
                <c:pt idx="132">
                  <c:v>96.26</c:v>
                </c:pt>
                <c:pt idx="133">
                  <c:v>96.23</c:v>
                </c:pt>
                <c:pt idx="134">
                  <c:v>96.19</c:v>
                </c:pt>
                <c:pt idx="135">
                  <c:v>96.09</c:v>
                </c:pt>
                <c:pt idx="136">
                  <c:v>96.05</c:v>
                </c:pt>
                <c:pt idx="137">
                  <c:v>95.93</c:v>
                </c:pt>
                <c:pt idx="138">
                  <c:v>95.84</c:v>
                </c:pt>
                <c:pt idx="139">
                  <c:v>95.75</c:v>
                </c:pt>
                <c:pt idx="140">
                  <c:v>95.66</c:v>
                </c:pt>
                <c:pt idx="141">
                  <c:v>95.64</c:v>
                </c:pt>
                <c:pt idx="142">
                  <c:v>95.57</c:v>
                </c:pt>
                <c:pt idx="143">
                  <c:v>95.5</c:v>
                </c:pt>
                <c:pt idx="144">
                  <c:v>95.44</c:v>
                </c:pt>
                <c:pt idx="145">
                  <c:v>95.41</c:v>
                </c:pt>
                <c:pt idx="146">
                  <c:v>95.37</c:v>
                </c:pt>
                <c:pt idx="147">
                  <c:v>95.19</c:v>
                </c:pt>
                <c:pt idx="148">
                  <c:v>95.15</c:v>
                </c:pt>
                <c:pt idx="149">
                  <c:v>94.73</c:v>
                </c:pt>
                <c:pt idx="150">
                  <c:v>94.73</c:v>
                </c:pt>
                <c:pt idx="151">
                  <c:v>94.55</c:v>
                </c:pt>
                <c:pt idx="152">
                  <c:v>94.41</c:v>
                </c:pt>
                <c:pt idx="153">
                  <c:v>94.41</c:v>
                </c:pt>
                <c:pt idx="154">
                  <c:v>94.37</c:v>
                </c:pt>
                <c:pt idx="155">
                  <c:v>94.37</c:v>
                </c:pt>
                <c:pt idx="156">
                  <c:v>94.04</c:v>
                </c:pt>
                <c:pt idx="157">
                  <c:v>93.97</c:v>
                </c:pt>
                <c:pt idx="158">
                  <c:v>93.87</c:v>
                </c:pt>
                <c:pt idx="159">
                  <c:v>93.74</c:v>
                </c:pt>
                <c:pt idx="160">
                  <c:v>93.63</c:v>
                </c:pt>
                <c:pt idx="161">
                  <c:v>93.44</c:v>
                </c:pt>
                <c:pt idx="162">
                  <c:v>93.37</c:v>
                </c:pt>
                <c:pt idx="163">
                  <c:v>90.17</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34"/>
                <c:pt idx="33">
                  <c:v>u</c:v>
                </c:pt>
              </c:strCache>
            </c:strRef>
          </c:cat>
          <c:val>
            <c:numRef>
              <c:f>[0]!MarkData</c:f>
              <c:numCache>
                <c:formatCode>0.00</c:formatCode>
                <c:ptCount val="164"/>
                <c:pt idx="0">
                  <c:v>99.35</c:v>
                </c:pt>
                <c:pt idx="1">
                  <c:v>99.3</c:v>
                </c:pt>
                <c:pt idx="2">
                  <c:v>99.27</c:v>
                </c:pt>
                <c:pt idx="3">
                  <c:v>99.12</c:v>
                </c:pt>
                <c:pt idx="4">
                  <c:v>99.02</c:v>
                </c:pt>
                <c:pt idx="5">
                  <c:v>98.96</c:v>
                </c:pt>
                <c:pt idx="6">
                  <c:v>98.8</c:v>
                </c:pt>
                <c:pt idx="7">
                  <c:v>98.67</c:v>
                </c:pt>
                <c:pt idx="8">
                  <c:v>98.65</c:v>
                </c:pt>
                <c:pt idx="9">
                  <c:v>98.64</c:v>
                </c:pt>
                <c:pt idx="10">
                  <c:v>98.57</c:v>
                </c:pt>
                <c:pt idx="11">
                  <c:v>98.57</c:v>
                </c:pt>
                <c:pt idx="12">
                  <c:v>98.57</c:v>
                </c:pt>
                <c:pt idx="13">
                  <c:v>98.56</c:v>
                </c:pt>
                <c:pt idx="14">
                  <c:v>98.54</c:v>
                </c:pt>
                <c:pt idx="15">
                  <c:v>98.48</c:v>
                </c:pt>
                <c:pt idx="16">
                  <c:v>98.48</c:v>
                </c:pt>
                <c:pt idx="17">
                  <c:v>98.47</c:v>
                </c:pt>
                <c:pt idx="18">
                  <c:v>98.41</c:v>
                </c:pt>
                <c:pt idx="19">
                  <c:v>98.4</c:v>
                </c:pt>
                <c:pt idx="20">
                  <c:v>98.37</c:v>
                </c:pt>
                <c:pt idx="21">
                  <c:v>98.37</c:v>
                </c:pt>
                <c:pt idx="22">
                  <c:v>98.36</c:v>
                </c:pt>
                <c:pt idx="23">
                  <c:v>98.35</c:v>
                </c:pt>
                <c:pt idx="24">
                  <c:v>98.35</c:v>
                </c:pt>
                <c:pt idx="25">
                  <c:v>98.34</c:v>
                </c:pt>
                <c:pt idx="26">
                  <c:v>98.32</c:v>
                </c:pt>
                <c:pt idx="27">
                  <c:v>98.32</c:v>
                </c:pt>
                <c:pt idx="28">
                  <c:v>98.3</c:v>
                </c:pt>
                <c:pt idx="29">
                  <c:v>98.29</c:v>
                </c:pt>
                <c:pt idx="30">
                  <c:v>98.28</c:v>
                </c:pt>
                <c:pt idx="31">
                  <c:v>98.14</c:v>
                </c:pt>
                <c:pt idx="32">
                  <c:v>98.14</c:v>
                </c:pt>
                <c:pt idx="33">
                  <c:v>98.11</c:v>
                </c:pt>
                <c:pt idx="34">
                  <c:v>98.09</c:v>
                </c:pt>
                <c:pt idx="35">
                  <c:v>98.08</c:v>
                </c:pt>
                <c:pt idx="36">
                  <c:v>98.07</c:v>
                </c:pt>
                <c:pt idx="37">
                  <c:v>98.03</c:v>
                </c:pt>
                <c:pt idx="38">
                  <c:v>98.03</c:v>
                </c:pt>
                <c:pt idx="39">
                  <c:v>98.03</c:v>
                </c:pt>
                <c:pt idx="40">
                  <c:v>98.02</c:v>
                </c:pt>
                <c:pt idx="41">
                  <c:v>98.01</c:v>
                </c:pt>
                <c:pt idx="42">
                  <c:v>98.01</c:v>
                </c:pt>
                <c:pt idx="43">
                  <c:v>97.95</c:v>
                </c:pt>
                <c:pt idx="44">
                  <c:v>97.94</c:v>
                </c:pt>
                <c:pt idx="45">
                  <c:v>97.94</c:v>
                </c:pt>
                <c:pt idx="46">
                  <c:v>97.94</c:v>
                </c:pt>
                <c:pt idx="47">
                  <c:v>97.92</c:v>
                </c:pt>
                <c:pt idx="48">
                  <c:v>97.92</c:v>
                </c:pt>
                <c:pt idx="49">
                  <c:v>97.91</c:v>
                </c:pt>
                <c:pt idx="50">
                  <c:v>97.91</c:v>
                </c:pt>
                <c:pt idx="51">
                  <c:v>97.9</c:v>
                </c:pt>
                <c:pt idx="52">
                  <c:v>97.89</c:v>
                </c:pt>
                <c:pt idx="53">
                  <c:v>97.87</c:v>
                </c:pt>
                <c:pt idx="54">
                  <c:v>97.83</c:v>
                </c:pt>
                <c:pt idx="55">
                  <c:v>97.82</c:v>
                </c:pt>
                <c:pt idx="56">
                  <c:v>97.82</c:v>
                </c:pt>
                <c:pt idx="57">
                  <c:v>97.81</c:v>
                </c:pt>
                <c:pt idx="58">
                  <c:v>97.81</c:v>
                </c:pt>
                <c:pt idx="59">
                  <c:v>97.81</c:v>
                </c:pt>
                <c:pt idx="60">
                  <c:v>97.8</c:v>
                </c:pt>
                <c:pt idx="61">
                  <c:v>97.8</c:v>
                </c:pt>
                <c:pt idx="62">
                  <c:v>97.73</c:v>
                </c:pt>
                <c:pt idx="63">
                  <c:v>97.71</c:v>
                </c:pt>
                <c:pt idx="64">
                  <c:v>97.69</c:v>
                </c:pt>
                <c:pt idx="65">
                  <c:v>97.66</c:v>
                </c:pt>
                <c:pt idx="66">
                  <c:v>97.63</c:v>
                </c:pt>
                <c:pt idx="67">
                  <c:v>97.63</c:v>
                </c:pt>
                <c:pt idx="68">
                  <c:v>97.63</c:v>
                </c:pt>
                <c:pt idx="69">
                  <c:v>97.63</c:v>
                </c:pt>
                <c:pt idx="70">
                  <c:v>97.62</c:v>
                </c:pt>
                <c:pt idx="71">
                  <c:v>97.59</c:v>
                </c:pt>
                <c:pt idx="72">
                  <c:v>97.58</c:v>
                </c:pt>
                <c:pt idx="73">
                  <c:v>97.55</c:v>
                </c:pt>
                <c:pt idx="74">
                  <c:v>97.55</c:v>
                </c:pt>
                <c:pt idx="75">
                  <c:v>97.55</c:v>
                </c:pt>
                <c:pt idx="76">
                  <c:v>97.54</c:v>
                </c:pt>
                <c:pt idx="77">
                  <c:v>97.53</c:v>
                </c:pt>
                <c:pt idx="78">
                  <c:v>97.52</c:v>
                </c:pt>
                <c:pt idx="79">
                  <c:v>97.51</c:v>
                </c:pt>
                <c:pt idx="80">
                  <c:v>97.51</c:v>
                </c:pt>
                <c:pt idx="81">
                  <c:v>97.5</c:v>
                </c:pt>
                <c:pt idx="82">
                  <c:v>97.41</c:v>
                </c:pt>
                <c:pt idx="83">
                  <c:v>97.35</c:v>
                </c:pt>
                <c:pt idx="84">
                  <c:v>97.32</c:v>
                </c:pt>
                <c:pt idx="85">
                  <c:v>97.25</c:v>
                </c:pt>
                <c:pt idx="86">
                  <c:v>97.24</c:v>
                </c:pt>
                <c:pt idx="87">
                  <c:v>97.23</c:v>
                </c:pt>
                <c:pt idx="88">
                  <c:v>97.23</c:v>
                </c:pt>
                <c:pt idx="89">
                  <c:v>97.21</c:v>
                </c:pt>
                <c:pt idx="90">
                  <c:v>97.21</c:v>
                </c:pt>
                <c:pt idx="91">
                  <c:v>97.18</c:v>
                </c:pt>
                <c:pt idx="92">
                  <c:v>97.17</c:v>
                </c:pt>
                <c:pt idx="93">
                  <c:v>97.16</c:v>
                </c:pt>
                <c:pt idx="94">
                  <c:v>97.14</c:v>
                </c:pt>
                <c:pt idx="95">
                  <c:v>97.13</c:v>
                </c:pt>
                <c:pt idx="96">
                  <c:v>97.06</c:v>
                </c:pt>
                <c:pt idx="97">
                  <c:v>97.06</c:v>
                </c:pt>
                <c:pt idx="98">
                  <c:v>97.05</c:v>
                </c:pt>
                <c:pt idx="99">
                  <c:v>97.01</c:v>
                </c:pt>
                <c:pt idx="100">
                  <c:v>96.98</c:v>
                </c:pt>
                <c:pt idx="101">
                  <c:v>96.94</c:v>
                </c:pt>
                <c:pt idx="102">
                  <c:v>96.92</c:v>
                </c:pt>
                <c:pt idx="103">
                  <c:v>96.9</c:v>
                </c:pt>
                <c:pt idx="104">
                  <c:v>96.89</c:v>
                </c:pt>
                <c:pt idx="105">
                  <c:v>96.87</c:v>
                </c:pt>
                <c:pt idx="106">
                  <c:v>96.8</c:v>
                </c:pt>
                <c:pt idx="107">
                  <c:v>96.76</c:v>
                </c:pt>
                <c:pt idx="108">
                  <c:v>96.76</c:v>
                </c:pt>
                <c:pt idx="109">
                  <c:v>96.76</c:v>
                </c:pt>
                <c:pt idx="110">
                  <c:v>96.71</c:v>
                </c:pt>
                <c:pt idx="111">
                  <c:v>96.67</c:v>
                </c:pt>
                <c:pt idx="112">
                  <c:v>96.66</c:v>
                </c:pt>
                <c:pt idx="113">
                  <c:v>96.65</c:v>
                </c:pt>
                <c:pt idx="114">
                  <c:v>96.64</c:v>
                </c:pt>
                <c:pt idx="115">
                  <c:v>96.61</c:v>
                </c:pt>
                <c:pt idx="116">
                  <c:v>96.61</c:v>
                </c:pt>
                <c:pt idx="117">
                  <c:v>96.59</c:v>
                </c:pt>
                <c:pt idx="118">
                  <c:v>96.59</c:v>
                </c:pt>
                <c:pt idx="119">
                  <c:v>96.51</c:v>
                </c:pt>
                <c:pt idx="120">
                  <c:v>96.5</c:v>
                </c:pt>
                <c:pt idx="121">
                  <c:v>96.48</c:v>
                </c:pt>
                <c:pt idx="122">
                  <c:v>96.47</c:v>
                </c:pt>
                <c:pt idx="123">
                  <c:v>96.39</c:v>
                </c:pt>
                <c:pt idx="124">
                  <c:v>96.39</c:v>
                </c:pt>
                <c:pt idx="125">
                  <c:v>96.37</c:v>
                </c:pt>
                <c:pt idx="126">
                  <c:v>96.33</c:v>
                </c:pt>
                <c:pt idx="127">
                  <c:v>96.31</c:v>
                </c:pt>
                <c:pt idx="128">
                  <c:v>96.31</c:v>
                </c:pt>
                <c:pt idx="129">
                  <c:v>96.3</c:v>
                </c:pt>
                <c:pt idx="130">
                  <c:v>96.28</c:v>
                </c:pt>
                <c:pt idx="131">
                  <c:v>96.28</c:v>
                </c:pt>
                <c:pt idx="132">
                  <c:v>96.26</c:v>
                </c:pt>
                <c:pt idx="133">
                  <c:v>96.23</c:v>
                </c:pt>
                <c:pt idx="134">
                  <c:v>96.19</c:v>
                </c:pt>
                <c:pt idx="135">
                  <c:v>96.09</c:v>
                </c:pt>
                <c:pt idx="136">
                  <c:v>96.05</c:v>
                </c:pt>
                <c:pt idx="137">
                  <c:v>95.93</c:v>
                </c:pt>
                <c:pt idx="138">
                  <c:v>95.84</c:v>
                </c:pt>
                <c:pt idx="139">
                  <c:v>95.75</c:v>
                </c:pt>
                <c:pt idx="140">
                  <c:v>95.66</c:v>
                </c:pt>
                <c:pt idx="141">
                  <c:v>95.64</c:v>
                </c:pt>
                <c:pt idx="142">
                  <c:v>95.57</c:v>
                </c:pt>
                <c:pt idx="143">
                  <c:v>95.5</c:v>
                </c:pt>
                <c:pt idx="144">
                  <c:v>95.44</c:v>
                </c:pt>
                <c:pt idx="145">
                  <c:v>95.41</c:v>
                </c:pt>
                <c:pt idx="146">
                  <c:v>95.37</c:v>
                </c:pt>
                <c:pt idx="147">
                  <c:v>95.19</c:v>
                </c:pt>
                <c:pt idx="148">
                  <c:v>95.15</c:v>
                </c:pt>
                <c:pt idx="149">
                  <c:v>94.73</c:v>
                </c:pt>
                <c:pt idx="150">
                  <c:v>94.73</c:v>
                </c:pt>
                <c:pt idx="151">
                  <c:v>94.55</c:v>
                </c:pt>
                <c:pt idx="152">
                  <c:v>94.41</c:v>
                </c:pt>
                <c:pt idx="153">
                  <c:v>94.41</c:v>
                </c:pt>
                <c:pt idx="154">
                  <c:v>94.37</c:v>
                </c:pt>
                <c:pt idx="155">
                  <c:v>94.37</c:v>
                </c:pt>
                <c:pt idx="156">
                  <c:v>94.04</c:v>
                </c:pt>
                <c:pt idx="157">
                  <c:v>93.97</c:v>
                </c:pt>
                <c:pt idx="158">
                  <c:v>93.87</c:v>
                </c:pt>
                <c:pt idx="159">
                  <c:v>93.74</c:v>
                </c:pt>
                <c:pt idx="160">
                  <c:v>93.63</c:v>
                </c:pt>
                <c:pt idx="161">
                  <c:v>93.44</c:v>
                </c:pt>
                <c:pt idx="162">
                  <c:v>93.37</c:v>
                </c:pt>
                <c:pt idx="163">
                  <c:v>90.17</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Babergh</c:v>
                </c:pt>
                <c:pt idx="1">
                  <c:v>Districts</c:v>
                </c:pt>
                <c:pt idx="2">
                  <c:v>Suffolk</c:v>
                </c:pt>
                <c:pt idx="3">
                  <c:v> Predominantly Rural  </c:v>
                </c:pt>
              </c:strCache>
            </c:strRef>
          </c:cat>
          <c:val>
            <c:numRef>
              <c:f>Profile!$E$48:$E$51</c:f>
              <c:numCache>
                <c:formatCode>0.00</c:formatCode>
                <c:ptCount val="4"/>
                <c:pt idx="0">
                  <c:v>98.11</c:v>
                </c:pt>
                <c:pt idx="1">
                  <c:v>97.075609756097521</c:v>
                </c:pt>
                <c:pt idx="2">
                  <c:v>97.313999999999993</c:v>
                </c:pt>
                <c:pt idx="3">
                  <c:v>97.608983050847456</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98.012500000000003</c:v>
                </c:pt>
                <c:pt idx="1">
                  <c:v>98.012500000000003</c:v>
                </c:pt>
                <c:pt idx="2">
                  <c:v>98.012500000000003</c:v>
                </c:pt>
                <c:pt idx="3">
                  <c:v>98.012500000000003</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97.454999999999998</c:v>
                </c:pt>
                <c:pt idx="1">
                  <c:v>97.454999999999998</c:v>
                </c:pt>
                <c:pt idx="2">
                  <c:v>97.454999999999998</c:v>
                </c:pt>
                <c:pt idx="3">
                  <c:v>97.454999999999998</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96.45</c:v>
                </c:pt>
                <c:pt idx="1">
                  <c:v>96.45</c:v>
                </c:pt>
                <c:pt idx="2">
                  <c:v>96.45</c:v>
                </c:pt>
                <c:pt idx="3">
                  <c:v>96.45</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Babergh</c:v>
                </c:pt>
                <c:pt idx="1">
                  <c:v>Predominantly Rural</c:v>
                </c:pt>
                <c:pt idx="2">
                  <c:v>Predominantly Urban</c:v>
                </c:pt>
                <c:pt idx="3">
                  <c:v>Urban with Significant Rural</c:v>
                </c:pt>
              </c:strCache>
            </c:strRef>
          </c:cat>
          <c:val>
            <c:numRef>
              <c:f>Profile!$G$118:$G$121</c:f>
              <c:numCache>
                <c:formatCode>0.00</c:formatCode>
                <c:ptCount val="4"/>
                <c:pt idx="0">
                  <c:v>98.11</c:v>
                </c:pt>
                <c:pt idx="1">
                  <c:v>97.61</c:v>
                </c:pt>
                <c:pt idx="2">
                  <c:v>96.591999999999985</c:v>
                </c:pt>
                <c:pt idx="3">
                  <c:v>97.14371428571431</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98.012500000000003</c:v>
                </c:pt>
                <c:pt idx="1">
                  <c:v>98.012500000000003</c:v>
                </c:pt>
                <c:pt idx="2">
                  <c:v>98.012500000000003</c:v>
                </c:pt>
                <c:pt idx="3">
                  <c:v>98.012500000000003</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97.454999999999998</c:v>
                </c:pt>
                <c:pt idx="1">
                  <c:v>97.454999999999998</c:v>
                </c:pt>
                <c:pt idx="2">
                  <c:v>97.454999999999998</c:v>
                </c:pt>
                <c:pt idx="3">
                  <c:v>97.454999999999998</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96.45</c:v>
                </c:pt>
                <c:pt idx="1">
                  <c:v>96.45</c:v>
                </c:pt>
                <c:pt idx="2">
                  <c:v>96.45</c:v>
                </c:pt>
                <c:pt idx="3">
                  <c:v>96.45</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300" t="str">
        <f>VLOOKUP('Filtered Data'!D1,'Filtered Data'!L1:O6,3,FALSE)</f>
        <v>District</v>
      </c>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row>
    <row r="2" spans="2:40"/>
    <row r="3" spans="2:40" ht="19.5" customHeight="1">
      <c r="B3" s="287" t="s">
        <v>900</v>
      </c>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row>
    <row r="4" spans="2:40">
      <c r="D4" s="3"/>
      <c r="E4" s="3"/>
    </row>
    <row r="5" spans="2:40" ht="15.75" customHeight="1">
      <c r="B5" s="281" t="s">
        <v>334</v>
      </c>
      <c r="C5" s="281"/>
      <c r="D5" s="281"/>
      <c r="E5" s="281"/>
      <c r="J5" s="285" t="s">
        <v>12</v>
      </c>
      <c r="K5" s="285"/>
      <c r="L5" s="285"/>
      <c r="M5" s="285"/>
      <c r="N5" s="285"/>
      <c r="O5" s="285"/>
      <c r="P5" s="285"/>
      <c r="Q5" s="285"/>
      <c r="R5" s="285"/>
      <c r="S5" s="285"/>
      <c r="W5" s="264" t="s">
        <v>361</v>
      </c>
      <c r="X5" s="265"/>
      <c r="Y5" s="265"/>
      <c r="Z5" s="265"/>
      <c r="AA5" s="265"/>
      <c r="AB5" s="265"/>
      <c r="AC5" s="265"/>
      <c r="AD5" s="265"/>
      <c r="AE5" s="265"/>
      <c r="AF5" s="265"/>
      <c r="AG5" s="265"/>
      <c r="AH5" s="265"/>
      <c r="AI5" s="265"/>
      <c r="AJ5" s="265"/>
      <c r="AK5" s="265"/>
      <c r="AL5" s="265"/>
      <c r="AM5" s="266"/>
    </row>
    <row r="6" spans="2:40" ht="17.25" customHeight="1">
      <c r="J6" s="285"/>
      <c r="K6" s="285"/>
      <c r="L6" s="285"/>
      <c r="M6" s="285"/>
      <c r="N6" s="285"/>
      <c r="O6" s="285"/>
      <c r="P6" s="285"/>
      <c r="Q6" s="285"/>
      <c r="R6" s="285"/>
      <c r="S6" s="285"/>
      <c r="W6" s="267" t="s">
        <v>901</v>
      </c>
      <c r="X6" s="268"/>
      <c r="Y6" s="268"/>
      <c r="Z6" s="268"/>
      <c r="AA6" s="268"/>
      <c r="AB6" s="268"/>
      <c r="AC6" s="268"/>
      <c r="AD6" s="268"/>
      <c r="AE6" s="268"/>
      <c r="AF6" s="268"/>
      <c r="AG6" s="268"/>
      <c r="AH6" s="268"/>
      <c r="AI6" s="268"/>
      <c r="AJ6" s="268"/>
      <c r="AK6" s="268"/>
      <c r="AL6" s="268"/>
      <c r="AM6" s="269"/>
    </row>
    <row r="7" spans="2:40" ht="12.75" customHeight="1">
      <c r="W7" s="267"/>
      <c r="X7" s="268"/>
      <c r="Y7" s="268"/>
      <c r="Z7" s="268"/>
      <c r="AA7" s="268"/>
      <c r="AB7" s="268"/>
      <c r="AC7" s="268"/>
      <c r="AD7" s="268"/>
      <c r="AE7" s="268"/>
      <c r="AF7" s="268"/>
      <c r="AG7" s="268"/>
      <c r="AH7" s="268"/>
      <c r="AI7" s="268"/>
      <c r="AJ7" s="268"/>
      <c r="AK7" s="268"/>
      <c r="AL7" s="268"/>
      <c r="AM7" s="269"/>
    </row>
    <row r="8" spans="2:40" ht="12.75" customHeight="1">
      <c r="B8" s="246" t="str">
        <f>IF('Filtered Data'!D1="L","County:","Type of Authority:")</f>
        <v>Type of Authority:</v>
      </c>
      <c r="C8" s="257"/>
      <c r="D8" s="257"/>
      <c r="E8" s="257"/>
      <c r="F8" s="257"/>
      <c r="G8" s="257"/>
      <c r="H8" s="257"/>
      <c r="I8" s="257"/>
      <c r="J8" s="3" t="str">
        <f>IF('Filtered Data'!D1="L",'Filtered Data'!I3,VLOOKUP('Filtered Data'!D1,'Filtered Data'!L1:O5,3,FALSE))</f>
        <v>District</v>
      </c>
      <c r="K8" s="3"/>
      <c r="L8" s="3"/>
      <c r="M8" s="3"/>
      <c r="N8" s="3"/>
      <c r="O8" s="3"/>
      <c r="P8" s="3"/>
      <c r="Q8" s="3"/>
      <c r="R8" s="3"/>
      <c r="W8" s="267"/>
      <c r="X8" s="268"/>
      <c r="Y8" s="268"/>
      <c r="Z8" s="268"/>
      <c r="AA8" s="268"/>
      <c r="AB8" s="268"/>
      <c r="AC8" s="268"/>
      <c r="AD8" s="268"/>
      <c r="AE8" s="268"/>
      <c r="AF8" s="268"/>
      <c r="AG8" s="268"/>
      <c r="AH8" s="268"/>
      <c r="AI8" s="268"/>
      <c r="AJ8" s="268"/>
      <c r="AK8" s="268"/>
      <c r="AL8" s="268"/>
      <c r="AM8" s="269"/>
    </row>
    <row r="9" spans="2:40" ht="12.75" customHeight="1">
      <c r="B9" s="246" t="str">
        <f>IF('Filtered Data'!D1="L","Rural Classification:","Region:")</f>
        <v>Region:</v>
      </c>
      <c r="C9" s="257"/>
      <c r="D9" s="257"/>
      <c r="E9" s="257"/>
      <c r="F9" s="257"/>
      <c r="G9" s="257"/>
      <c r="H9" s="257"/>
      <c r="I9" s="257"/>
      <c r="J9" s="3" t="str">
        <f>IF('Filtered Data'!D1="L",'Filtered Data'!H3,'Filtered Data'!G3)</f>
        <v>East of England</v>
      </c>
      <c r="K9" s="3"/>
      <c r="L9" s="3"/>
      <c r="M9" s="3"/>
      <c r="N9" s="3"/>
      <c r="O9" s="3"/>
      <c r="P9" s="3"/>
      <c r="Q9" s="3"/>
      <c r="R9" s="3"/>
      <c r="W9" s="267"/>
      <c r="X9" s="268"/>
      <c r="Y9" s="268"/>
      <c r="Z9" s="268"/>
      <c r="AA9" s="268"/>
      <c r="AB9" s="268"/>
      <c r="AC9" s="268"/>
      <c r="AD9" s="268"/>
      <c r="AE9" s="268"/>
      <c r="AF9" s="268"/>
      <c r="AG9" s="268"/>
      <c r="AH9" s="268"/>
      <c r="AI9" s="268"/>
      <c r="AJ9" s="268"/>
      <c r="AK9" s="268"/>
      <c r="AL9" s="268"/>
      <c r="AM9" s="269"/>
    </row>
    <row r="10" spans="2:40" ht="12.75" customHeight="1">
      <c r="B10" s="257" t="str">
        <f>IF('Filtered Data'!D1="L","",IF('Filtered Data'!D1="SC","Rural Classification:",IF('Filtered Data'!D1="UA","Rural Classification:","County:")))</f>
        <v>County:</v>
      </c>
      <c r="C10" s="257"/>
      <c r="D10" s="257"/>
      <c r="E10" s="257"/>
      <c r="F10" s="257"/>
      <c r="G10" s="257"/>
      <c r="H10" s="257"/>
      <c r="I10" s="257"/>
      <c r="J10" s="246" t="str">
        <f>IF('Filtered Data'!D1="L","",IF('Filtered Data'!D1="MD",'Filtered Data'!I3,IF('Filtered Data'!D1="SD",'Filtered Data'!I3,'Filtered Data'!H3)))</f>
        <v>Suffolk</v>
      </c>
      <c r="K10" s="246"/>
      <c r="L10" s="246"/>
      <c r="M10" s="246"/>
      <c r="N10" s="246"/>
      <c r="O10" s="246"/>
      <c r="P10" s="246"/>
      <c r="Q10" s="246"/>
      <c r="R10" s="246"/>
      <c r="W10" s="267"/>
      <c r="X10" s="268"/>
      <c r="Y10" s="268"/>
      <c r="Z10" s="268"/>
      <c r="AA10" s="268"/>
      <c r="AB10" s="268"/>
      <c r="AC10" s="268"/>
      <c r="AD10" s="268"/>
      <c r="AE10" s="268"/>
      <c r="AF10" s="268"/>
      <c r="AG10" s="268"/>
      <c r="AH10" s="268"/>
      <c r="AI10" s="268"/>
      <c r="AJ10" s="268"/>
      <c r="AK10" s="268"/>
      <c r="AL10" s="268"/>
      <c r="AM10" s="269"/>
    </row>
    <row r="11" spans="2:40" ht="12.75" customHeight="1">
      <c r="B11" s="257" t="str">
        <f>IF('Filtered Data'!D1="L","",IF('Filtered Data'!D1="SC","",IF('Filtered Data'!D1="UA","","Rural Classification:")))</f>
        <v>Rural Classification:</v>
      </c>
      <c r="C11" s="257"/>
      <c r="D11" s="257"/>
      <c r="E11" s="257"/>
      <c r="F11" s="257"/>
      <c r="G11" s="257"/>
      <c r="H11" s="257"/>
      <c r="I11" s="257"/>
      <c r="J11" s="3" t="str">
        <f>IF('Filtered Data'!D1="MD",'Filtered Data'!H3,IF('Filtered Data'!D1="SD",'Filtered Data'!H3,""))</f>
        <v xml:space="preserve">Predominantly Rural </v>
      </c>
      <c r="K11" s="3"/>
      <c r="W11" s="273" t="s">
        <v>364</v>
      </c>
      <c r="X11" s="274"/>
      <c r="Y11" s="274"/>
      <c r="Z11" s="274"/>
      <c r="AA11" s="274"/>
      <c r="AB11" s="274"/>
      <c r="AC11" s="274"/>
      <c r="AD11" s="274"/>
      <c r="AE11" s="274"/>
      <c r="AF11" s="274"/>
      <c r="AG11" s="274"/>
      <c r="AH11" s="274"/>
      <c r="AI11" s="274"/>
      <c r="AJ11" s="274"/>
      <c r="AK11" s="274"/>
      <c r="AL11" s="274"/>
      <c r="AM11" s="275"/>
    </row>
    <row r="12" spans="2:40" ht="12.75" customHeight="1">
      <c r="W12" s="311" t="s">
        <v>914</v>
      </c>
      <c r="X12" s="312"/>
      <c r="Y12" s="312"/>
      <c r="Z12" s="312"/>
      <c r="AA12" s="312"/>
      <c r="AB12" s="312"/>
      <c r="AC12" s="312"/>
      <c r="AD12" s="312"/>
      <c r="AE12" s="312"/>
      <c r="AF12" s="312"/>
      <c r="AG12" s="312"/>
      <c r="AH12" s="312"/>
      <c r="AI12" s="312"/>
      <c r="AJ12" s="312"/>
      <c r="AK12" s="312"/>
      <c r="AL12" s="312"/>
      <c r="AM12" s="313"/>
    </row>
    <row r="13" spans="2:40" ht="12.75" customHeight="1">
      <c r="B13" s="19"/>
      <c r="C13" s="19"/>
      <c r="D13" s="19"/>
      <c r="E13" s="19"/>
      <c r="F13" s="19"/>
      <c r="G13" s="19"/>
      <c r="H13" s="19"/>
      <c r="I13" s="19"/>
      <c r="J13" s="3"/>
      <c r="K13" s="3"/>
      <c r="L13" s="3"/>
      <c r="M13" s="3"/>
      <c r="N13" s="3"/>
      <c r="O13" s="3"/>
      <c r="P13" s="3"/>
      <c r="Q13" s="3"/>
      <c r="R13" s="3"/>
      <c r="W13" s="258" t="s">
        <v>365</v>
      </c>
      <c r="X13" s="259"/>
      <c r="Y13" s="259"/>
      <c r="Z13" s="259"/>
      <c r="AA13" s="259"/>
      <c r="AB13" s="259"/>
      <c r="AC13" s="259"/>
      <c r="AD13" s="259"/>
      <c r="AE13" s="259"/>
      <c r="AF13" s="259"/>
      <c r="AG13" s="259"/>
      <c r="AH13" s="259"/>
      <c r="AI13" s="259"/>
      <c r="AJ13" s="259"/>
      <c r="AK13" s="259"/>
      <c r="AL13" s="259"/>
      <c r="AM13" s="260"/>
    </row>
    <row r="14" spans="2:40" ht="25.5" customHeight="1">
      <c r="B14" s="19"/>
      <c r="C14" s="19"/>
      <c r="D14" s="19"/>
      <c r="E14" s="19"/>
      <c r="F14" s="19"/>
      <c r="G14" s="19"/>
      <c r="H14" s="19"/>
      <c r="I14" s="19"/>
      <c r="J14" s="3"/>
      <c r="K14" s="3"/>
      <c r="L14" s="3"/>
      <c r="M14" s="3"/>
      <c r="N14" s="3"/>
      <c r="O14" s="3"/>
      <c r="P14" s="3"/>
      <c r="Q14" s="3"/>
      <c r="R14" s="3"/>
      <c r="W14" s="270" t="str">
        <f>HLOOKUP(W6,Data!4:6,3,FALSE)</f>
        <v>www.gov.uk</v>
      </c>
      <c r="X14" s="271"/>
      <c r="Y14" s="271"/>
      <c r="Z14" s="271"/>
      <c r="AA14" s="271"/>
      <c r="AB14" s="271"/>
      <c r="AC14" s="271"/>
      <c r="AD14" s="271"/>
      <c r="AE14" s="271"/>
      <c r="AF14" s="271"/>
      <c r="AG14" s="271"/>
      <c r="AH14" s="271"/>
      <c r="AI14" s="271"/>
      <c r="AJ14" s="271"/>
      <c r="AK14" s="271"/>
      <c r="AL14" s="271"/>
      <c r="AM14" s="272"/>
    </row>
    <row r="15" spans="2:40"/>
    <row r="16" spans="2:40">
      <c r="B16" s="247" t="str">
        <f>W6&amp;" - "&amp;W12</f>
        <v>Council tax collected by 31 March as a % of amount collectable - 2023-24</v>
      </c>
      <c r="C16" s="248"/>
      <c r="D16" s="248"/>
      <c r="E16" s="248"/>
      <c r="F16" s="248"/>
      <c r="G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78"/>
    </row>
    <row r="17" spans="2:42">
      <c r="B17" s="249"/>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79"/>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3" t="s">
        <v>340</v>
      </c>
      <c r="F32" s="284"/>
      <c r="G32" s="284"/>
      <c r="H32" s="284"/>
      <c r="I32" s="284"/>
      <c r="J32" s="284"/>
      <c r="K32" s="282">
        <f>IF('Filtered Data'!$H$8="..",'Filtered Data'!O10,'Filtered Data'!O10/100)</f>
        <v>0.98012500000000002</v>
      </c>
      <c r="L32" s="282"/>
      <c r="M32" s="282"/>
      <c r="N32" s="292" t="s">
        <v>351</v>
      </c>
      <c r="O32" s="292"/>
      <c r="P32" s="292"/>
      <c r="Q32" s="292"/>
      <c r="R32" s="292"/>
      <c r="S32" s="292"/>
      <c r="T32" s="282">
        <f>IF('Filtered Data'!$H$8="..",'Filtered Data'!P10,'Filtered Data'!P10/100)</f>
        <v>0.97455000000000003</v>
      </c>
      <c r="U32" s="282"/>
      <c r="V32" s="282"/>
      <c r="W32" s="282"/>
      <c r="X32" s="280" t="s">
        <v>352</v>
      </c>
      <c r="Y32" s="280"/>
      <c r="Z32" s="280"/>
      <c r="AA32" s="280"/>
      <c r="AB32" s="280"/>
      <c r="AC32" s="282">
        <f>IF('Filtered Data'!$H$8="..",'Filtered Data'!Q10,'Filtered Data'!Q10/100)</f>
        <v>0.96450000000000002</v>
      </c>
      <c r="AD32" s="282"/>
      <c r="AE32" s="282"/>
      <c r="AF32" s="296" t="s">
        <v>341</v>
      </c>
      <c r="AG32" s="296"/>
      <c r="AH32" s="296"/>
      <c r="AI32" s="296"/>
      <c r="AJ32" s="296"/>
      <c r="AK32" s="296"/>
      <c r="AL32" s="296"/>
      <c r="AM32" s="9"/>
      <c r="AP32" s="56"/>
    </row>
    <row r="33" spans="2:16384">
      <c r="B33" s="4" t="str">
        <f>"The graph &amp; quartile information show data for all "&amp;V37&amp;" "&amp;VLOOKUP('Filtered Data'!D1,'Filtered Data'!L1:O6,3,FALSE)&amp;" councils in England."</f>
        <v>The graph &amp; quartile information show data for all 164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Babergh</v>
      </c>
      <c r="C35" s="90"/>
      <c r="D35" s="90"/>
      <c r="E35" s="90"/>
      <c r="F35" s="90"/>
      <c r="G35" s="90"/>
      <c r="H35" s="90"/>
      <c r="I35" s="90"/>
      <c r="J35" s="90"/>
      <c r="K35" s="91" t="s">
        <v>355</v>
      </c>
      <c r="L35" s="277">
        <f>IF(ISERROR(IF('Filtered Data'!$H$8="%.",(VLOOKUP(J5,'Filtered Data'!C:H,4,FALSE))/100,(VLOOKUP(J5,'Filtered Data'!C:H,4,FALSE)))),"",(IF('Filtered Data'!$H$8="%.",(VLOOKUP(J5,'Filtered Data'!C:H,4,FALSE))/100,(VLOOKUP(J5,'Filtered Data'!C:H,4,FALSE)))))</f>
        <v>0.98109999999999997</v>
      </c>
      <c r="M35" s="277"/>
      <c r="N35" s="277"/>
      <c r="O35" s="277"/>
      <c r="P35" s="92"/>
      <c r="Q35" s="277" t="s">
        <v>353</v>
      </c>
      <c r="R35" s="277"/>
      <c r="S35" s="277"/>
      <c r="T35" s="277"/>
      <c r="U35" s="277"/>
      <c r="V35" s="277"/>
      <c r="W35" s="277"/>
      <c r="AP35" s="56"/>
    </row>
    <row r="36" spans="2:16384" ht="12.75" customHeight="1">
      <c r="B36" s="276" t="str">
        <f>'Filtered Data'!R8&amp;" Quartile"</f>
        <v>Top Quartile</v>
      </c>
      <c r="C36" s="276"/>
      <c r="D36" s="276"/>
      <c r="E36" s="276"/>
      <c r="F36" s="276"/>
      <c r="G36" s="276"/>
      <c r="H36" s="276"/>
      <c r="I36" s="276"/>
      <c r="J36" s="276"/>
      <c r="K36" s="276"/>
      <c r="L36" s="276"/>
      <c r="M36" s="276"/>
      <c r="N36" s="276"/>
      <c r="O36" s="276"/>
      <c r="P36" s="276"/>
      <c r="Q36" s="276"/>
      <c r="R36" s="276"/>
      <c r="S36" s="276"/>
      <c r="T36" s="276"/>
      <c r="U36" s="276"/>
      <c r="V36" s="276"/>
      <c r="W36" s="276"/>
      <c r="Z36" s="17" t="s">
        <v>357</v>
      </c>
      <c r="AB36" s="295" t="s">
        <v>359</v>
      </c>
      <c r="AC36" s="295"/>
      <c r="AD36" s="295"/>
      <c r="AE36" s="295"/>
      <c r="AF36" s="295"/>
      <c r="AG36" s="295"/>
      <c r="AH36" s="295"/>
      <c r="AI36" s="295"/>
      <c r="AJ36" s="295"/>
      <c r="AK36" s="295"/>
      <c r="AL36" s="295"/>
      <c r="AM36" s="110"/>
      <c r="AP36" s="56"/>
    </row>
    <row r="37" spans="2:16384" ht="12.75" customHeight="1">
      <c r="B37" s="93" t="str">
        <f>VLOOKUP('Filtered Data'!D1,'Filtered Data'!L1:O6,2,FALSE)</f>
        <v>Districts</v>
      </c>
      <c r="C37" s="93"/>
      <c r="D37" s="93"/>
      <c r="E37" s="93"/>
      <c r="F37" s="93"/>
      <c r="G37" s="93"/>
      <c r="H37" s="93"/>
      <c r="I37" s="93"/>
      <c r="J37" s="316" t="s">
        <v>798</v>
      </c>
      <c r="K37" s="94" t="str">
        <f>IF(Q37="","",IF('Filtered Data'!I8="D",IF($L$35&gt;=L37,"J","L"),IF('Filtered Data'!I8="A",IF($L$35&lt;=L37,"J","L"))))</f>
        <v>J</v>
      </c>
      <c r="L37" s="291">
        <f>'Filtered Data'!M9</f>
        <v>0.97075609756097525</v>
      </c>
      <c r="M37" s="291"/>
      <c r="N37" s="291"/>
      <c r="O37" s="291"/>
      <c r="P37" s="95"/>
      <c r="Q37" s="290">
        <f>VLOOKUP(J5,'Filtered Data'!C:I,7,FALSE)</f>
        <v>34</v>
      </c>
      <c r="R37" s="290"/>
      <c r="S37" s="96"/>
      <c r="T37" s="97" t="s">
        <v>354</v>
      </c>
      <c r="U37" s="98"/>
      <c r="V37" s="290">
        <f>COUNT('Filtered Data'!I11:I333)</f>
        <v>164</v>
      </c>
      <c r="W37" s="290"/>
      <c r="AB37" s="295"/>
      <c r="AC37" s="295"/>
      <c r="AD37" s="295"/>
      <c r="AE37" s="295"/>
      <c r="AF37" s="295"/>
      <c r="AG37" s="295"/>
      <c r="AH37" s="295"/>
      <c r="AI37" s="295"/>
      <c r="AJ37" s="295"/>
      <c r="AK37" s="295"/>
      <c r="AL37" s="295"/>
      <c r="AM37" s="110"/>
      <c r="AP37" s="56"/>
    </row>
    <row r="38" spans="2:16384">
      <c r="B38" s="93" t="str">
        <f>IF('Filtered Data'!D1="L","Family",IF('Filtered Data'!D1="SD",VLOOKUP(J5,classifications!C:J,6,FALSE),"Rural"))</f>
        <v xml:space="preserve">Predominantly Rural </v>
      </c>
      <c r="C38" s="93"/>
      <c r="D38" s="93"/>
      <c r="E38" s="93"/>
      <c r="F38" s="93"/>
      <c r="G38" s="93"/>
      <c r="H38" s="93"/>
      <c r="I38" s="93"/>
      <c r="J38" s="317"/>
      <c r="K38" s="94" t="str">
        <f>IF(Q38="","",IF('Filtered Data'!I8="D",IF($L$35&gt;=L38,"J","L"),IF('Filtered Data'!I8="A",IF($L$35&lt;=L38,"J","L"))))</f>
        <v>J</v>
      </c>
      <c r="L38" s="291">
        <f>IF('Filtered Data'!D1="L",'Filtered Data'!AG9,'Filtered Data'!Y9)</f>
        <v>0.97608983050847453</v>
      </c>
      <c r="M38" s="291"/>
      <c r="N38" s="291"/>
      <c r="O38" s="291"/>
      <c r="P38" s="95"/>
      <c r="Q38" s="294">
        <f>IF(ISERROR(IF('Filtered Data'!D1="L",VLOOKUP(J5,'Filtered Data'!AF11:AH25,3,FALSE),VLOOKUP(J5,'Filtered Data'!$L$11:$Z$333,15,FALSE))),"",(IF('Filtered Data'!D1="L",VLOOKUP(J5,'Filtered Data'!AF11:AH25,3,FALSE),VLOOKUP(J5,'Filtered Data'!$L$11:$Z$333,15,FALSE))))</f>
        <v>19</v>
      </c>
      <c r="R38" s="294"/>
      <c r="S38" s="297" t="s">
        <v>354</v>
      </c>
      <c r="T38" s="291"/>
      <c r="U38" s="291"/>
      <c r="V38" s="290">
        <f>IF('Filtered Data'!D1="L",16,COUNT('Filtered Data'!Z:Z))</f>
        <v>59</v>
      </c>
      <c r="W38" s="290"/>
      <c r="AB38" s="110"/>
      <c r="AC38" s="110"/>
      <c r="AD38" s="110"/>
      <c r="AE38" s="110"/>
      <c r="AF38" s="110"/>
      <c r="AG38" s="110"/>
      <c r="AH38" s="110"/>
      <c r="AI38" s="110"/>
      <c r="AJ38" s="110"/>
      <c r="AK38" s="110"/>
      <c r="AL38" s="110"/>
      <c r="AM38" s="110"/>
      <c r="AP38" s="56"/>
    </row>
    <row r="39" spans="2:16384">
      <c r="B39" s="93" t="str">
        <f>IF('Filtered Data'!D1="L","",IF('Filtered Data'!D1="SD",J10,"Regional"))</f>
        <v>Suffolk</v>
      </c>
      <c r="C39" s="93"/>
      <c r="D39" s="93"/>
      <c r="E39" s="93"/>
      <c r="F39" s="93"/>
      <c r="G39" s="93"/>
      <c r="H39" s="93"/>
      <c r="I39" s="93"/>
      <c r="J39" s="317"/>
      <c r="K39" s="94" t="str">
        <f>IF(Q39="","",IF('Filtered Data'!I8="D",IF($L$35&gt;=L39,"J","L"),IF('Filtered Data'!I8="A",IF($L$35&lt;=L39,"J","L"))))</f>
        <v>J</v>
      </c>
      <c r="L39" s="291">
        <f>IF('Filtered Data'!D1="L","",IF('Filtered Data'!D1="SD",'Filtered Data'!AJ9,'Filtered Data'!AQ9))</f>
        <v>0.97313999999999989</v>
      </c>
      <c r="M39" s="291"/>
      <c r="N39" s="291"/>
      <c r="O39" s="291"/>
      <c r="P39" s="95"/>
      <c r="Q39" s="290">
        <f>IF(ISERROR(IF('Filtered Data'!D1="L","",IF('Filtered Data'!D1="SD",VLOOKUP(J5,'Filtered Data'!L:AK,26,FALSE),(VLOOKUP(J5,'Filtered Data'!L:AR,33,FALSE))))),"",(IF('Filtered Data'!D1="L","",IF('Filtered Data'!D1="SD",VLOOKUP(J5,'Filtered Data'!L:AK,26,FALSE),(VLOOKUP(J5,'Filtered Data'!L:AR,33,FALSE))))))</f>
        <v>2</v>
      </c>
      <c r="R39" s="290"/>
      <c r="S39" s="96"/>
      <c r="T39" s="98" t="str">
        <f>IF(B39="","","out of")</f>
        <v>out of</v>
      </c>
      <c r="U39" s="98"/>
      <c r="V39" s="290">
        <f>IF('Filtered Data'!D1="L","",IF('Filtered Data'!D1="SD",COUNT('Filtered Data'!AK11:AK333),(COUNT('Filtered Data'!AQ11:AQ333))))</f>
        <v>5</v>
      </c>
      <c r="W39" s="290"/>
      <c r="Z39" s="11" t="s">
        <v>358</v>
      </c>
      <c r="AB39" s="295" t="s">
        <v>360</v>
      </c>
      <c r="AC39" s="295"/>
      <c r="AD39" s="295"/>
      <c r="AE39" s="295"/>
      <c r="AF39" s="295"/>
      <c r="AG39" s="295"/>
      <c r="AH39" s="295"/>
      <c r="AI39" s="295"/>
      <c r="AJ39" s="295"/>
      <c r="AK39" s="295"/>
      <c r="AL39" s="295"/>
      <c r="AM39" s="295"/>
      <c r="AP39" s="56"/>
    </row>
    <row r="40" spans="2:16384" ht="12.75" customHeight="1">
      <c r="B40" s="106"/>
      <c r="C40" s="106"/>
      <c r="D40" s="106"/>
      <c r="E40" s="106"/>
      <c r="F40" s="106"/>
      <c r="G40" s="106"/>
      <c r="H40" s="106"/>
      <c r="I40" s="106"/>
      <c r="J40" s="105"/>
      <c r="K40" s="107"/>
      <c r="L40" s="288"/>
      <c r="M40" s="288"/>
      <c r="N40" s="288"/>
      <c r="O40" s="288"/>
      <c r="P40" s="108"/>
      <c r="Q40" s="298"/>
      <c r="R40" s="298"/>
      <c r="S40" s="288"/>
      <c r="T40" s="289"/>
      <c r="U40" s="289"/>
      <c r="V40" s="298"/>
      <c r="W40" s="298"/>
      <c r="AB40" s="295"/>
      <c r="AC40" s="295"/>
      <c r="AD40" s="295"/>
      <c r="AE40" s="295"/>
      <c r="AF40" s="295"/>
      <c r="AG40" s="295"/>
      <c r="AH40" s="295"/>
      <c r="AI40" s="295"/>
      <c r="AJ40" s="295"/>
      <c r="AK40" s="295"/>
      <c r="AL40" s="295"/>
      <c r="AM40" s="295"/>
      <c r="AP40" s="56"/>
    </row>
    <row r="41" spans="2:16384">
      <c r="B41" s="225"/>
      <c r="C41" s="225"/>
      <c r="D41" s="225"/>
      <c r="E41" s="225"/>
      <c r="F41" s="225"/>
      <c r="G41" s="225"/>
      <c r="H41" s="225"/>
      <c r="I41" s="225"/>
      <c r="J41" s="105"/>
      <c r="K41" s="226" t="str">
        <f>IF(B41="","",IF('Filtered Data'!D1="UA","",(IF($L$35&gt;=L41,"J","L"))))</f>
        <v/>
      </c>
      <c r="L41" s="309"/>
      <c r="M41" s="309"/>
      <c r="N41" s="309"/>
      <c r="O41" s="309"/>
      <c r="P41" s="227"/>
      <c r="Q41" s="299"/>
      <c r="R41" s="299"/>
      <c r="S41" s="293"/>
      <c r="T41" s="293"/>
      <c r="U41" s="293"/>
      <c r="V41" s="299"/>
      <c r="W41" s="299"/>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5" t="s">
        <v>356</v>
      </c>
      <c r="C43" s="306"/>
      <c r="D43" s="306"/>
      <c r="E43" s="306"/>
      <c r="F43" s="306"/>
      <c r="G43" s="306"/>
      <c r="H43" s="306"/>
      <c r="I43" s="306"/>
      <c r="J43" s="306"/>
      <c r="K43" s="306"/>
      <c r="L43" s="306"/>
      <c r="M43" s="306"/>
      <c r="N43" s="306"/>
      <c r="O43" s="301" t="str">
        <f>W6&amp;" - "&amp;W12</f>
        <v>Council tax collected by 31 March as a % of amount collectable - 2023-24</v>
      </c>
      <c r="P43" s="301"/>
      <c r="Q43" s="301"/>
      <c r="R43" s="301"/>
      <c r="S43" s="301"/>
      <c r="T43" s="301"/>
      <c r="U43" s="301"/>
      <c r="V43" s="301"/>
      <c r="W43" s="301"/>
      <c r="X43" s="301"/>
      <c r="Y43" s="301"/>
      <c r="Z43" s="301"/>
      <c r="AA43" s="301"/>
      <c r="AB43" s="301"/>
      <c r="AC43" s="301"/>
      <c r="AD43" s="301"/>
      <c r="AE43" s="301"/>
      <c r="AF43" s="301"/>
      <c r="AG43" s="301"/>
      <c r="AH43" s="301"/>
      <c r="AI43" s="301"/>
      <c r="AJ43" s="301"/>
      <c r="AK43" s="301"/>
      <c r="AL43" s="301"/>
      <c r="AM43" s="302"/>
      <c r="AP43" s="56"/>
    </row>
    <row r="44" spans="2:16384">
      <c r="B44" s="307"/>
      <c r="C44" s="308"/>
      <c r="D44" s="308"/>
      <c r="E44" s="308"/>
      <c r="F44" s="308"/>
      <c r="G44" s="308"/>
      <c r="H44" s="308"/>
      <c r="I44" s="308"/>
      <c r="J44" s="308"/>
      <c r="K44" s="308"/>
      <c r="L44" s="308"/>
      <c r="M44" s="308"/>
      <c r="N44" s="308"/>
      <c r="O44" s="303"/>
      <c r="P44" s="303"/>
      <c r="Q44" s="303"/>
      <c r="R44" s="303"/>
      <c r="S44" s="303"/>
      <c r="T44" s="303"/>
      <c r="U44" s="303"/>
      <c r="V44" s="303"/>
      <c r="W44" s="303"/>
      <c r="X44" s="303"/>
      <c r="Y44" s="303"/>
      <c r="Z44" s="303"/>
      <c r="AA44" s="303"/>
      <c r="AB44" s="303"/>
      <c r="AC44" s="303"/>
      <c r="AD44" s="303"/>
      <c r="AE44" s="303"/>
      <c r="AF44" s="303"/>
      <c r="AG44" s="303"/>
      <c r="AH44" s="303"/>
      <c r="AI44" s="303"/>
      <c r="AJ44" s="303"/>
      <c r="AK44" s="303"/>
      <c r="AL44" s="303"/>
      <c r="AM44" s="304"/>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Babergh</v>
      </c>
      <c r="E48" s="286">
        <f>IF('Filtered Data'!$H$8="..",L35,L35*100)</f>
        <v>98.11</v>
      </c>
      <c r="F48" s="286"/>
      <c r="G48" s="286"/>
      <c r="H48" s="286"/>
      <c r="K48" s="241">
        <f>IF('Filtered Data'!$H$8="..",K$32,K$32*100)</f>
        <v>98.012500000000003</v>
      </c>
      <c r="L48" s="241"/>
      <c r="M48" s="241">
        <f>IF('Filtered Data'!$H$8="..",T$32,T$32*100)</f>
        <v>97.454999999999998</v>
      </c>
      <c r="N48" s="241"/>
      <c r="O48" s="241">
        <f>IF('Filtered Data'!$H$8="..",AC$32,AC$32*100)</f>
        <v>96.45</v>
      </c>
      <c r="P48" s="241"/>
      <c r="AM48" s="6"/>
      <c r="AP48" s="56"/>
    </row>
    <row r="49" spans="2:42">
      <c r="B49" s="5"/>
      <c r="D49" t="str">
        <f>B37</f>
        <v>Districts</v>
      </c>
      <c r="E49" s="286">
        <f>IF('Filtered Data'!$H$8="..",L37,L37*100)</f>
        <v>97.075609756097521</v>
      </c>
      <c r="F49" s="286"/>
      <c r="G49" s="286"/>
      <c r="H49" s="286"/>
      <c r="K49" s="241">
        <f>IF('Filtered Data'!$H$8="..",K$32,K$32*100)</f>
        <v>98.012500000000003</v>
      </c>
      <c r="L49" s="241"/>
      <c r="M49" s="241">
        <f>IF('Filtered Data'!$H$8="..",T$32,T$32*100)</f>
        <v>97.454999999999998</v>
      </c>
      <c r="N49" s="241"/>
      <c r="O49" s="241">
        <f>IF('Filtered Data'!$H$8="..",AC$32,AC$32*100)</f>
        <v>96.45</v>
      </c>
      <c r="P49" s="241"/>
      <c r="AM49" s="6"/>
      <c r="AP49" s="56"/>
    </row>
    <row r="50" spans="2:42">
      <c r="B50" s="5"/>
      <c r="D50" s="64" t="str">
        <f>B39</f>
        <v>Suffolk</v>
      </c>
      <c r="E50" s="286">
        <f>IF('Filtered Data'!$H$8="..",L39,L39*100)</f>
        <v>97.313999999999993</v>
      </c>
      <c r="F50" s="286"/>
      <c r="G50" s="286"/>
      <c r="H50" s="286"/>
      <c r="K50" s="241">
        <f>IF('Filtered Data'!$H$8="..",K$32,K$32*100)</f>
        <v>98.012500000000003</v>
      </c>
      <c r="L50" s="241"/>
      <c r="M50" s="241">
        <f>IF('Filtered Data'!$H$8="..",T$32,T$32*100)</f>
        <v>97.454999999999998</v>
      </c>
      <c r="N50" s="241"/>
      <c r="O50" s="241">
        <f>IF('Filtered Data'!$H$8="..",AC$32,AC$32*100)</f>
        <v>96.45</v>
      </c>
      <c r="P50" s="241"/>
      <c r="AM50" s="6"/>
      <c r="AP50" s="56"/>
    </row>
    <row r="51" spans="2:42">
      <c r="B51" s="5"/>
      <c r="D51" s="228" t="str">
        <f>B38</f>
        <v xml:space="preserve">Predominantly Rural </v>
      </c>
      <c r="E51" s="286">
        <f>IF('Filtered Data'!$H$8="..",L38,L38*100)</f>
        <v>97.608983050847456</v>
      </c>
      <c r="F51" s="286"/>
      <c r="G51" s="286"/>
      <c r="H51" s="286"/>
      <c r="K51" s="241">
        <f>IF('Filtered Data'!$H$8="..",K$32,K$32*100)</f>
        <v>98.012500000000003</v>
      </c>
      <c r="L51" s="241"/>
      <c r="M51" s="241">
        <f>IF('Filtered Data'!$H$8="..",T$32,T$32*100)</f>
        <v>97.454999999999998</v>
      </c>
      <c r="N51" s="241"/>
      <c r="O51" s="241">
        <f>IF('Filtered Data'!$H$8="..",AC$32,AC$32*100)</f>
        <v>96.45</v>
      </c>
      <c r="P51" s="241"/>
      <c r="AM51" s="6"/>
      <c r="AP51" s="56"/>
    </row>
    <row r="52" spans="2:42">
      <c r="B52" s="5"/>
      <c r="E52" s="286"/>
      <c r="F52" s="286"/>
      <c r="G52" s="286"/>
      <c r="H52" s="286"/>
      <c r="K52" s="241"/>
      <c r="L52" s="241"/>
      <c r="M52" s="241"/>
      <c r="N52" s="241"/>
      <c r="O52" s="241"/>
      <c r="P52" s="241"/>
      <c r="AM52" s="6"/>
      <c r="AP52" s="56"/>
    </row>
    <row r="53" spans="2:42">
      <c r="B53" s="5"/>
      <c r="E53" s="310"/>
      <c r="F53" s="310"/>
      <c r="G53" s="310"/>
      <c r="H53" s="310"/>
      <c r="K53" s="241"/>
      <c r="L53" s="241"/>
      <c r="M53" s="241"/>
      <c r="N53" s="241"/>
      <c r="O53" s="241"/>
      <c r="P53" s="241"/>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1" t="str">
        <f>B3</f>
        <v>Council tax and NNDR collection rates</v>
      </c>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261"/>
      <c r="AL59" s="261"/>
      <c r="AM59" s="261"/>
      <c r="AN59" s="261"/>
      <c r="AP59" s="56"/>
    </row>
    <row r="60" spans="2:42">
      <c r="AP60" s="56"/>
    </row>
    <row r="61" spans="2:42" ht="12" customHeight="1">
      <c r="B61" s="1" t="str">
        <f>W6&amp;" - "&amp;W12</f>
        <v>Council tax collected by 31 March as a % of amount collectable - 2023-24</v>
      </c>
      <c r="AP61" s="56"/>
    </row>
    <row r="62" spans="2:42" ht="12" customHeight="1">
      <c r="AP62" s="56"/>
    </row>
    <row r="63" spans="2:42" ht="12" customHeight="1">
      <c r="B63" s="1" t="s">
        <v>362</v>
      </c>
      <c r="AP63" s="56"/>
    </row>
    <row r="64" spans="2:42" ht="12" customHeight="1">
      <c r="AP64" s="56"/>
    </row>
    <row r="65" spans="2:42" ht="12" customHeight="1">
      <c r="B65" s="256" t="s">
        <v>353</v>
      </c>
      <c r="C65" s="256"/>
      <c r="D65" s="256"/>
      <c r="E65" s="244" t="s">
        <v>333</v>
      </c>
      <c r="F65" s="244"/>
      <c r="G65" s="244"/>
      <c r="H65" s="244"/>
      <c r="I65" s="244"/>
      <c r="J65" s="244"/>
      <c r="K65" s="244"/>
      <c r="L65" s="244"/>
      <c r="M65" s="244"/>
      <c r="N65" s="244"/>
      <c r="O65" s="244"/>
      <c r="P65" s="244"/>
      <c r="Q65" s="244"/>
      <c r="R65" s="244"/>
      <c r="S65" s="244"/>
      <c r="T65" s="244"/>
      <c r="U65" s="256" t="s">
        <v>363</v>
      </c>
      <c r="V65" s="256"/>
      <c r="W65" s="256"/>
      <c r="X65" s="256"/>
      <c r="Y65" s="1"/>
      <c r="Z65" s="1"/>
      <c r="AA65" s="1"/>
      <c r="AB65" s="1"/>
      <c r="AC65" s="4"/>
      <c r="AD65" s="1"/>
      <c r="AE65" s="1"/>
      <c r="AF65" s="1"/>
      <c r="AG65" s="1"/>
      <c r="AI65" s="1"/>
      <c r="AJ65" s="1"/>
      <c r="AK65" s="1"/>
      <c r="AL65" s="1"/>
      <c r="AP65" s="56"/>
    </row>
    <row r="66" spans="2:42" ht="12" customHeight="1">
      <c r="B66" s="263">
        <v>1</v>
      </c>
      <c r="C66" s="241"/>
      <c r="D66" s="241"/>
      <c r="E66" s="246" t="str">
        <f>VLOOKUP(B66,'Filtered Data'!K:L,2,FALSE)</f>
        <v>Surrey Heath</v>
      </c>
      <c r="F66" s="246"/>
      <c r="G66" s="246"/>
      <c r="H66" s="246"/>
      <c r="I66" s="246"/>
      <c r="J66" s="246"/>
      <c r="K66" s="246"/>
      <c r="L66" s="246"/>
      <c r="M66" s="246"/>
      <c r="N66" s="246"/>
      <c r="O66" s="246"/>
      <c r="P66" s="246"/>
      <c r="Q66" s="246"/>
      <c r="R66" s="246"/>
      <c r="S66" s="246"/>
      <c r="T66" s="246"/>
      <c r="U66" s="243">
        <f>IF('Filtered Data'!$H$8="%.",(VLOOKUP(B66,'Filtered Data'!K:M,3,FALSE))/100,VLOOKUP(B66,'Filtered Data'!K:M,3,FALSE))</f>
        <v>0.99349999999999994</v>
      </c>
      <c r="V66" s="243"/>
      <c r="W66" s="243"/>
      <c r="X66" s="243"/>
      <c r="Y66" s="132" t="str">
        <f>IF((VLOOKUP(E66,classifications!C:K,9,FALSE))="Sparse","S","")</f>
        <v/>
      </c>
      <c r="Z66" s="132"/>
      <c r="AA66" s="132"/>
      <c r="AB66" s="132"/>
      <c r="AC66" s="132"/>
      <c r="AD66" s="254"/>
      <c r="AE66" s="254"/>
      <c r="AF66" s="254"/>
      <c r="AG66" s="254"/>
      <c r="AH66" s="254"/>
      <c r="AI66" s="254"/>
      <c r="AJ66" s="254"/>
      <c r="AK66" s="254"/>
      <c r="AL66" s="254"/>
      <c r="AP66" s="56"/>
    </row>
    <row r="67" spans="2:42" ht="12" customHeight="1">
      <c r="B67" s="263">
        <v>2</v>
      </c>
      <c r="C67" s="241"/>
      <c r="D67" s="241"/>
      <c r="E67" s="246" t="str">
        <f>VLOOKUP(B67,'Filtered Data'!K:L,2,FALSE)</f>
        <v>South Cambridgeshire</v>
      </c>
      <c r="F67" s="246"/>
      <c r="G67" s="246"/>
      <c r="H67" s="246"/>
      <c r="I67" s="246"/>
      <c r="J67" s="246"/>
      <c r="K67" s="246"/>
      <c r="L67" s="246"/>
      <c r="M67" s="246"/>
      <c r="N67" s="246"/>
      <c r="O67" s="246"/>
      <c r="P67" s="246"/>
      <c r="Q67" s="246"/>
      <c r="R67" s="246"/>
      <c r="S67" s="246"/>
      <c r="T67" s="246"/>
      <c r="U67" s="243">
        <f>IF('Filtered Data'!$H$8="%.",(VLOOKUP(B67,'Filtered Data'!K:M,3,FALSE))/100,VLOOKUP(B67,'Filtered Data'!K:M,3,FALSE))</f>
        <v>0.99299999999999999</v>
      </c>
      <c r="V67" s="243"/>
      <c r="W67" s="243"/>
      <c r="X67" s="243"/>
      <c r="Y67" s="132" t="str">
        <f>IF((VLOOKUP(E67,classifications!C:K,9,FALSE))="Sparse","S","")</f>
        <v>S</v>
      </c>
      <c r="Z67" s="132"/>
      <c r="AA67" s="132"/>
      <c r="AB67" s="132"/>
      <c r="AC67" s="132"/>
      <c r="AD67" s="254"/>
      <c r="AE67" s="254"/>
      <c r="AF67" s="254"/>
      <c r="AG67" s="254"/>
      <c r="AH67" s="254"/>
      <c r="AI67" s="254"/>
      <c r="AJ67" s="254"/>
      <c r="AK67" s="254"/>
      <c r="AL67" s="254"/>
      <c r="AP67" s="56"/>
    </row>
    <row r="68" spans="2:42" ht="12" customHeight="1">
      <c r="B68" s="263">
        <v>3</v>
      </c>
      <c r="C68" s="241"/>
      <c r="D68" s="241"/>
      <c r="E68" s="246" t="str">
        <f>VLOOKUP(B68,'Filtered Data'!K:L,2,FALSE)</f>
        <v>Cambridge</v>
      </c>
      <c r="F68" s="246"/>
      <c r="G68" s="246"/>
      <c r="H68" s="246"/>
      <c r="I68" s="246"/>
      <c r="J68" s="246"/>
      <c r="K68" s="246"/>
      <c r="L68" s="246"/>
      <c r="M68" s="246"/>
      <c r="N68" s="246"/>
      <c r="O68" s="246"/>
      <c r="P68" s="246"/>
      <c r="Q68" s="246"/>
      <c r="R68" s="246"/>
      <c r="S68" s="246"/>
      <c r="T68" s="246"/>
      <c r="U68" s="243">
        <f>IF('Filtered Data'!$H$8="%.",(VLOOKUP(B68,'Filtered Data'!K:M,3,FALSE))/100,VLOOKUP(B68,'Filtered Data'!K:M,3,FALSE))</f>
        <v>0.99269999999999992</v>
      </c>
      <c r="V68" s="243"/>
      <c r="W68" s="243"/>
      <c r="X68" s="243"/>
      <c r="Y68" s="132" t="str">
        <f>IF((VLOOKUP(E68,classifications!C:K,9,FALSE))="Sparse","S","")</f>
        <v/>
      </c>
      <c r="Z68" s="132"/>
      <c r="AA68" s="132"/>
      <c r="AB68" s="132"/>
      <c r="AC68" s="132"/>
      <c r="AD68" s="254"/>
      <c r="AE68" s="254"/>
      <c r="AF68" s="254"/>
      <c r="AG68" s="254"/>
      <c r="AH68" s="254"/>
      <c r="AI68" s="254"/>
      <c r="AJ68" s="254"/>
      <c r="AK68" s="254"/>
      <c r="AL68" s="254"/>
      <c r="AP68" s="56"/>
    </row>
    <row r="69" spans="2:42" ht="12" customHeight="1">
      <c r="B69" s="263">
        <v>4</v>
      </c>
      <c r="C69" s="241"/>
      <c r="D69" s="241"/>
      <c r="E69" s="246" t="str">
        <f>VLOOKUP(B69,'Filtered Data'!K:L,2,FALSE)</f>
        <v>Ribble Valley</v>
      </c>
      <c r="F69" s="246"/>
      <c r="G69" s="246"/>
      <c r="H69" s="246"/>
      <c r="I69" s="246"/>
      <c r="J69" s="246"/>
      <c r="K69" s="246"/>
      <c r="L69" s="246"/>
      <c r="M69" s="246"/>
      <c r="N69" s="246"/>
      <c r="O69" s="246"/>
      <c r="P69" s="246"/>
      <c r="Q69" s="246"/>
      <c r="R69" s="246"/>
      <c r="S69" s="246"/>
      <c r="T69" s="246"/>
      <c r="U69" s="243">
        <f>IF('Filtered Data'!$H$8="%.",(VLOOKUP(B69,'Filtered Data'!K:M,3,FALSE))/100,VLOOKUP(B69,'Filtered Data'!K:M,3,FALSE))</f>
        <v>0.99120000000000008</v>
      </c>
      <c r="V69" s="243"/>
      <c r="W69" s="243"/>
      <c r="X69" s="243"/>
      <c r="Y69" s="132" t="str">
        <f>IF((VLOOKUP(E69,classifications!C:K,9,FALSE))="Sparse","S","")</f>
        <v>S</v>
      </c>
      <c r="Z69" s="132"/>
      <c r="AA69" s="132"/>
      <c r="AB69" s="132"/>
      <c r="AC69" s="132"/>
      <c r="AD69" s="254"/>
      <c r="AE69" s="254"/>
      <c r="AF69" s="254"/>
      <c r="AG69" s="254"/>
      <c r="AH69" s="254"/>
      <c r="AI69" s="254"/>
      <c r="AJ69" s="254"/>
      <c r="AK69" s="254"/>
      <c r="AL69" s="254"/>
      <c r="AP69" s="56"/>
    </row>
    <row r="70" spans="2:42" ht="12" customHeight="1">
      <c r="B70" s="263">
        <v>5</v>
      </c>
      <c r="C70" s="241"/>
      <c r="D70" s="241"/>
      <c r="E70" s="246" t="str">
        <f>VLOOKUP(B70,'Filtered Data'!K:L,2,FALSE)</f>
        <v>Rushcliffe</v>
      </c>
      <c r="F70" s="246"/>
      <c r="G70" s="246"/>
      <c r="H70" s="246"/>
      <c r="I70" s="246"/>
      <c r="J70" s="246"/>
      <c r="K70" s="246"/>
      <c r="L70" s="246"/>
      <c r="M70" s="246"/>
      <c r="N70" s="246"/>
      <c r="O70" s="246"/>
      <c r="P70" s="246"/>
      <c r="Q70" s="246"/>
      <c r="R70" s="246"/>
      <c r="S70" s="246"/>
      <c r="T70" s="246"/>
      <c r="U70" s="243">
        <f>IF('Filtered Data'!$H$8="%.",(VLOOKUP(B70,'Filtered Data'!K:M,3,FALSE))/100,VLOOKUP(B70,'Filtered Data'!K:M,3,FALSE))</f>
        <v>0.99019999999999997</v>
      </c>
      <c r="V70" s="243"/>
      <c r="W70" s="243"/>
      <c r="X70" s="243"/>
      <c r="Y70" s="132" t="str">
        <f>IF((VLOOKUP(E70,classifications!C:K,9,FALSE))="Sparse","S","")</f>
        <v/>
      </c>
      <c r="Z70" s="132"/>
      <c r="AA70" s="132"/>
      <c r="AB70" s="132"/>
      <c r="AC70" s="132"/>
      <c r="AD70" s="254"/>
      <c r="AE70" s="254"/>
      <c r="AF70" s="254"/>
      <c r="AG70" s="254"/>
      <c r="AH70" s="254"/>
      <c r="AI70" s="254"/>
      <c r="AJ70" s="254"/>
      <c r="AK70" s="254"/>
      <c r="AL70" s="254"/>
      <c r="AP70" s="56"/>
    </row>
    <row r="71" spans="2:42" ht="12" customHeight="1">
      <c r="B71" s="263">
        <v>6</v>
      </c>
      <c r="C71" s="241"/>
      <c r="D71" s="241"/>
      <c r="E71" s="246" t="str">
        <f>VLOOKUP(B71,'Filtered Data'!K:L,2,FALSE)</f>
        <v>Epsom &amp; Ewell</v>
      </c>
      <c r="F71" s="246"/>
      <c r="G71" s="246"/>
      <c r="H71" s="246"/>
      <c r="I71" s="246"/>
      <c r="J71" s="246"/>
      <c r="K71" s="246"/>
      <c r="L71" s="246"/>
      <c r="M71" s="246"/>
      <c r="N71" s="246"/>
      <c r="O71" s="246"/>
      <c r="P71" s="246"/>
      <c r="Q71" s="246"/>
      <c r="R71" s="246"/>
      <c r="S71" s="246"/>
      <c r="T71" s="246"/>
      <c r="U71" s="243">
        <f>IF('Filtered Data'!$H$8="%.",(VLOOKUP(B71,'Filtered Data'!K:M,3,FALSE))/100,VLOOKUP(B71,'Filtered Data'!K:M,3,FALSE))</f>
        <v>0.98959999999999992</v>
      </c>
      <c r="V71" s="243"/>
      <c r="W71" s="243"/>
      <c r="X71" s="243"/>
      <c r="Y71" s="132" t="str">
        <f>IF((VLOOKUP(E71,classifications!C:K,9,FALSE))="Sparse","S","")</f>
        <v/>
      </c>
      <c r="Z71" s="132"/>
      <c r="AA71" s="132"/>
      <c r="AB71" s="132"/>
      <c r="AC71" s="132"/>
      <c r="AD71" s="254"/>
      <c r="AE71" s="254"/>
      <c r="AF71" s="254"/>
      <c r="AG71" s="254"/>
      <c r="AH71" s="254"/>
      <c r="AI71" s="254"/>
      <c r="AJ71" s="254"/>
      <c r="AK71" s="254"/>
      <c r="AL71" s="254"/>
      <c r="AP71" s="56"/>
    </row>
    <row r="72" spans="2:42" ht="12" customHeight="1">
      <c r="B72" s="263">
        <v>7</v>
      </c>
      <c r="C72" s="241"/>
      <c r="D72" s="241"/>
      <c r="E72" s="246" t="str">
        <f>VLOOKUP(B72,'Filtered Data'!K:L,2,FALSE)</f>
        <v>St Albans</v>
      </c>
      <c r="F72" s="246"/>
      <c r="G72" s="246"/>
      <c r="H72" s="246"/>
      <c r="I72" s="246"/>
      <c r="J72" s="246"/>
      <c r="K72" s="246"/>
      <c r="L72" s="246"/>
      <c r="M72" s="246"/>
      <c r="N72" s="246"/>
      <c r="O72" s="246"/>
      <c r="P72" s="246"/>
      <c r="Q72" s="246"/>
      <c r="R72" s="246"/>
      <c r="S72" s="246"/>
      <c r="T72" s="246"/>
      <c r="U72" s="243">
        <f>IF('Filtered Data'!$H$8="%.",(VLOOKUP(B72,'Filtered Data'!K:M,3,FALSE))/100,VLOOKUP(B72,'Filtered Data'!K:M,3,FALSE))</f>
        <v>0.98799999999999999</v>
      </c>
      <c r="V72" s="243"/>
      <c r="W72" s="243"/>
      <c r="X72" s="243"/>
      <c r="Y72" s="132" t="str">
        <f>IF((VLOOKUP(E72,classifications!C:K,9,FALSE))="Sparse","S","")</f>
        <v/>
      </c>
      <c r="Z72" s="132"/>
      <c r="AA72" s="132"/>
      <c r="AB72" s="132"/>
      <c r="AC72" s="132"/>
      <c r="AD72" s="254"/>
      <c r="AE72" s="254"/>
      <c r="AF72" s="254"/>
      <c r="AG72" s="254"/>
      <c r="AH72" s="254"/>
      <c r="AI72" s="254"/>
      <c r="AJ72" s="254"/>
      <c r="AK72" s="254"/>
      <c r="AL72" s="254"/>
      <c r="AP72" s="56"/>
    </row>
    <row r="73" spans="2:42" ht="12" customHeight="1">
      <c r="B73" s="263">
        <v>8</v>
      </c>
      <c r="C73" s="241"/>
      <c r="D73" s="241"/>
      <c r="E73" s="246" t="str">
        <f>VLOOKUP(B73,'Filtered Data'!K:L,2,FALSE)</f>
        <v>Rochford</v>
      </c>
      <c r="F73" s="246"/>
      <c r="G73" s="246"/>
      <c r="H73" s="246"/>
      <c r="I73" s="246"/>
      <c r="J73" s="246"/>
      <c r="K73" s="246"/>
      <c r="L73" s="246"/>
      <c r="M73" s="246"/>
      <c r="N73" s="246"/>
      <c r="O73" s="246"/>
      <c r="P73" s="246"/>
      <c r="Q73" s="246"/>
      <c r="R73" s="246"/>
      <c r="S73" s="246"/>
      <c r="T73" s="246"/>
      <c r="U73" s="243">
        <f>IF('Filtered Data'!$H$8="%.",(VLOOKUP(B73,'Filtered Data'!K:M,3,FALSE))/100,VLOOKUP(B73,'Filtered Data'!K:M,3,FALSE))</f>
        <v>0.98670000000000002</v>
      </c>
      <c r="V73" s="243"/>
      <c r="W73" s="243"/>
      <c r="X73" s="243"/>
      <c r="Y73" s="132" t="str">
        <f>IF((VLOOKUP(E73,classifications!C:K,9,FALSE))="Sparse","S","")</f>
        <v/>
      </c>
      <c r="Z73" s="132"/>
      <c r="AA73" s="132"/>
      <c r="AB73" s="132"/>
      <c r="AC73" s="132"/>
      <c r="AD73" s="254"/>
      <c r="AE73" s="254"/>
      <c r="AF73" s="254"/>
      <c r="AG73" s="254"/>
      <c r="AH73" s="254"/>
      <c r="AI73" s="254"/>
      <c r="AJ73" s="254"/>
      <c r="AK73" s="254"/>
      <c r="AL73" s="254"/>
      <c r="AP73" s="56"/>
    </row>
    <row r="74" spans="2:42" ht="12" customHeight="1">
      <c r="B74" s="263">
        <v>9</v>
      </c>
      <c r="C74" s="241"/>
      <c r="D74" s="241"/>
      <c r="E74" s="246" t="str">
        <f>VLOOKUP(B74,'Filtered Data'!K:L,2,FALSE)</f>
        <v>New Forest</v>
      </c>
      <c r="F74" s="246"/>
      <c r="G74" s="246"/>
      <c r="H74" s="246"/>
      <c r="I74" s="246"/>
      <c r="J74" s="246"/>
      <c r="K74" s="246"/>
      <c r="L74" s="246"/>
      <c r="M74" s="246"/>
      <c r="N74" s="246"/>
      <c r="O74" s="246"/>
      <c r="P74" s="246"/>
      <c r="Q74" s="246"/>
      <c r="R74" s="246"/>
      <c r="S74" s="246"/>
      <c r="T74" s="246"/>
      <c r="U74" s="243">
        <f>IF('Filtered Data'!$H$8="%.",(VLOOKUP(B74,'Filtered Data'!K:M,3,FALSE))/100,VLOOKUP(B74,'Filtered Data'!K:M,3,FALSE))</f>
        <v>0.98650000000000004</v>
      </c>
      <c r="V74" s="243"/>
      <c r="W74" s="243"/>
      <c r="X74" s="243"/>
      <c r="Y74" s="132" t="str">
        <f>IF((VLOOKUP(E74,classifications!C:K,9,FALSE))="Sparse","S","")</f>
        <v/>
      </c>
      <c r="Z74" s="132"/>
      <c r="AA74" s="132"/>
      <c r="AB74" s="132"/>
      <c r="AC74" s="132"/>
      <c r="AD74" s="254"/>
      <c r="AE74" s="254"/>
      <c r="AF74" s="254"/>
      <c r="AG74" s="254"/>
      <c r="AH74" s="254"/>
      <c r="AI74" s="254"/>
      <c r="AJ74" s="254"/>
      <c r="AK74" s="254"/>
      <c r="AL74" s="254"/>
      <c r="AP74" s="56"/>
    </row>
    <row r="75" spans="2:42" ht="12" customHeight="1">
      <c r="B75" s="263">
        <v>10</v>
      </c>
      <c r="C75" s="241"/>
      <c r="D75" s="241"/>
      <c r="E75" s="246" t="str">
        <f>VLOOKUP(B75,'Filtered Data'!K:L,2,FALSE)</f>
        <v>East Devon</v>
      </c>
      <c r="F75" s="246"/>
      <c r="G75" s="246"/>
      <c r="H75" s="246"/>
      <c r="I75" s="246"/>
      <c r="J75" s="246"/>
      <c r="K75" s="246"/>
      <c r="L75" s="246"/>
      <c r="M75" s="246"/>
      <c r="N75" s="246"/>
      <c r="O75" s="246"/>
      <c r="P75" s="246"/>
      <c r="Q75" s="246"/>
      <c r="R75" s="246"/>
      <c r="S75" s="246"/>
      <c r="T75" s="246"/>
      <c r="U75" s="243">
        <f>IF('Filtered Data'!$H$8="%.",(VLOOKUP(B75,'Filtered Data'!K:M,3,FALSE))/100,VLOOKUP(B75,'Filtered Data'!K:M,3,FALSE))</f>
        <v>0.98640000000000005</v>
      </c>
      <c r="V75" s="243"/>
      <c r="W75" s="243"/>
      <c r="X75" s="243"/>
      <c r="Y75" s="132" t="str">
        <f>IF((VLOOKUP(E75,classifications!C:K,9,FALSE))="Sparse","S","")</f>
        <v>S</v>
      </c>
      <c r="Z75" s="132"/>
      <c r="AA75" s="132"/>
      <c r="AB75" s="132"/>
      <c r="AC75" s="132"/>
      <c r="AD75" s="254"/>
      <c r="AE75" s="254"/>
      <c r="AF75" s="254"/>
      <c r="AG75" s="254"/>
      <c r="AH75" s="254"/>
      <c r="AI75" s="254"/>
      <c r="AJ75" s="254"/>
      <c r="AK75" s="254"/>
      <c r="AL75" s="254"/>
      <c r="AP75" s="56"/>
    </row>
    <row r="76" spans="2:42" ht="12" customHeight="1">
      <c r="B76" s="263">
        <v>11</v>
      </c>
      <c r="C76" s="241"/>
      <c r="D76" s="241"/>
      <c r="E76" s="246" t="str">
        <f>VLOOKUP(B76,'Filtered Data'!K:L,2,FALSE)</f>
        <v>Amber Valley</v>
      </c>
      <c r="F76" s="246"/>
      <c r="G76" s="246"/>
      <c r="H76" s="246"/>
      <c r="I76" s="246"/>
      <c r="J76" s="246"/>
      <c r="K76" s="246"/>
      <c r="L76" s="246"/>
      <c r="M76" s="246"/>
      <c r="N76" s="246"/>
      <c r="O76" s="246"/>
      <c r="P76" s="246"/>
      <c r="Q76" s="246"/>
      <c r="R76" s="246"/>
      <c r="S76" s="246"/>
      <c r="T76" s="246"/>
      <c r="U76" s="243">
        <f>IF('Filtered Data'!$H$8="%.",(VLOOKUP(B76,'Filtered Data'!K:M,3,FALSE))/100,VLOOKUP(B76,'Filtered Data'!K:M,3,FALSE))</f>
        <v>0.98569999999999991</v>
      </c>
      <c r="V76" s="243"/>
      <c r="W76" s="243"/>
      <c r="X76" s="243"/>
      <c r="Y76" s="132" t="str">
        <f>IF((VLOOKUP(E76,classifications!C:K,9,FALSE))="Sparse","S","")</f>
        <v/>
      </c>
      <c r="Z76" s="132"/>
      <c r="AA76" s="132"/>
      <c r="AB76" s="132"/>
      <c r="AC76" s="132"/>
      <c r="AD76" s="254"/>
      <c r="AE76" s="254"/>
      <c r="AF76" s="254"/>
      <c r="AG76" s="254"/>
      <c r="AH76" s="254"/>
      <c r="AI76" s="254"/>
      <c r="AJ76" s="254"/>
      <c r="AK76" s="254"/>
      <c r="AL76" s="254"/>
      <c r="AP76" s="56"/>
    </row>
    <row r="77" spans="2:42" ht="12" customHeight="1">
      <c r="B77" s="263">
        <v>12</v>
      </c>
      <c r="C77" s="241"/>
      <c r="D77" s="241"/>
      <c r="E77" s="246" t="str">
        <f>VLOOKUP(B77,'Filtered Data'!K:L,2,FALSE)</f>
        <v>Reigate &amp; Banstead</v>
      </c>
      <c r="F77" s="246"/>
      <c r="G77" s="246"/>
      <c r="H77" s="246"/>
      <c r="I77" s="246"/>
      <c r="J77" s="246"/>
      <c r="K77" s="246"/>
      <c r="L77" s="246"/>
      <c r="M77" s="246"/>
      <c r="N77" s="246"/>
      <c r="O77" s="246"/>
      <c r="P77" s="246"/>
      <c r="Q77" s="246"/>
      <c r="R77" s="246"/>
      <c r="S77" s="246"/>
      <c r="T77" s="246"/>
      <c r="U77" s="243">
        <f>IF('Filtered Data'!$H$8="%.",(VLOOKUP(B77,'Filtered Data'!K:M,3,FALSE))/100,VLOOKUP(B77,'Filtered Data'!K:M,3,FALSE))</f>
        <v>0.98569999999999991</v>
      </c>
      <c r="V77" s="243"/>
      <c r="W77" s="243"/>
      <c r="X77" s="243"/>
      <c r="Y77" s="132" t="str">
        <f>IF((VLOOKUP(E77,classifications!C:K,9,FALSE))="Sparse","S","")</f>
        <v/>
      </c>
      <c r="Z77" s="132"/>
      <c r="AA77" s="132"/>
      <c r="AB77" s="132"/>
      <c r="AC77" s="132"/>
      <c r="AD77" s="254"/>
      <c r="AE77" s="254"/>
      <c r="AF77" s="254"/>
      <c r="AG77" s="254"/>
      <c r="AH77" s="254"/>
      <c r="AI77" s="254"/>
      <c r="AJ77" s="254"/>
      <c r="AK77" s="254"/>
      <c r="AL77" s="254"/>
      <c r="AP77" s="56"/>
    </row>
    <row r="78" spans="2:42" ht="12" customHeight="1">
      <c r="B78" s="263">
        <v>13</v>
      </c>
      <c r="C78" s="241"/>
      <c r="D78" s="241"/>
      <c r="E78" s="246" t="str">
        <f>VLOOKUP(B78,'Filtered Data'!K:L,2,FALSE)</f>
        <v>Three Rivers</v>
      </c>
      <c r="F78" s="246"/>
      <c r="G78" s="246"/>
      <c r="H78" s="246"/>
      <c r="I78" s="246"/>
      <c r="J78" s="246"/>
      <c r="K78" s="246"/>
      <c r="L78" s="246"/>
      <c r="M78" s="246"/>
      <c r="N78" s="246"/>
      <c r="O78" s="246"/>
      <c r="P78" s="246"/>
      <c r="Q78" s="246"/>
      <c r="R78" s="246"/>
      <c r="S78" s="246"/>
      <c r="T78" s="246"/>
      <c r="U78" s="243">
        <f>IF('Filtered Data'!$H$8="%.",(VLOOKUP(B78,'Filtered Data'!K:M,3,FALSE))/100,VLOOKUP(B78,'Filtered Data'!K:M,3,FALSE))</f>
        <v>0.98569999999999991</v>
      </c>
      <c r="V78" s="243"/>
      <c r="W78" s="243"/>
      <c r="X78" s="243"/>
      <c r="Y78" s="132" t="str">
        <f>IF((VLOOKUP(E78,classifications!C:K,9,FALSE))="Sparse","S","")</f>
        <v/>
      </c>
      <c r="Z78" s="132"/>
      <c r="AA78" s="132"/>
      <c r="AB78" s="132"/>
      <c r="AC78" s="132"/>
      <c r="AD78" s="254"/>
      <c r="AE78" s="254"/>
      <c r="AF78" s="254"/>
      <c r="AG78" s="254"/>
      <c r="AH78" s="254"/>
      <c r="AI78" s="254"/>
      <c r="AJ78" s="254"/>
      <c r="AK78" s="254"/>
      <c r="AL78" s="254"/>
      <c r="AP78" s="56"/>
    </row>
    <row r="79" spans="2:42" ht="12" customHeight="1">
      <c r="B79" s="263">
        <v>14</v>
      </c>
      <c r="C79" s="241"/>
      <c r="D79" s="241"/>
      <c r="E79" s="246" t="str">
        <f>VLOOKUP(B79,'Filtered Data'!K:L,2,FALSE)</f>
        <v>Melton</v>
      </c>
      <c r="F79" s="246"/>
      <c r="G79" s="246"/>
      <c r="H79" s="246"/>
      <c r="I79" s="246"/>
      <c r="J79" s="246"/>
      <c r="K79" s="246"/>
      <c r="L79" s="246"/>
      <c r="M79" s="246"/>
      <c r="N79" s="246"/>
      <c r="O79" s="246"/>
      <c r="P79" s="246"/>
      <c r="Q79" s="246"/>
      <c r="R79" s="246"/>
      <c r="S79" s="246"/>
      <c r="T79" s="246"/>
      <c r="U79" s="243">
        <f>IF('Filtered Data'!$H$8="%.",(VLOOKUP(B79,'Filtered Data'!K:M,3,FALSE))/100,VLOOKUP(B79,'Filtered Data'!K:M,3,FALSE))</f>
        <v>0.98560000000000003</v>
      </c>
      <c r="V79" s="243"/>
      <c r="W79" s="243"/>
      <c r="X79" s="243"/>
      <c r="Y79" s="132" t="str">
        <f>IF((VLOOKUP(E79,classifications!C:K,9,FALSE))="Sparse","S","")</f>
        <v>S</v>
      </c>
      <c r="Z79" s="132"/>
      <c r="AA79" s="132"/>
      <c r="AB79" s="132"/>
      <c r="AC79" s="132"/>
      <c r="AD79" s="254"/>
      <c r="AE79" s="254"/>
      <c r="AF79" s="254"/>
      <c r="AG79" s="254"/>
      <c r="AH79" s="254"/>
      <c r="AI79" s="254"/>
      <c r="AJ79" s="254"/>
      <c r="AK79" s="254"/>
      <c r="AL79" s="254"/>
      <c r="AP79" s="56"/>
    </row>
    <row r="80" spans="2:42" ht="12" customHeight="1">
      <c r="B80" s="263">
        <v>15</v>
      </c>
      <c r="C80" s="241"/>
      <c r="D80" s="241"/>
      <c r="E80" s="246" t="str">
        <f>VLOOKUP(B80,'Filtered Data'!K:L,2,FALSE)</f>
        <v>Staffordshire Moorlands</v>
      </c>
      <c r="F80" s="246"/>
      <c r="G80" s="246"/>
      <c r="H80" s="246"/>
      <c r="I80" s="246"/>
      <c r="J80" s="246"/>
      <c r="K80" s="246"/>
      <c r="L80" s="246"/>
      <c r="M80" s="246"/>
      <c r="N80" s="246"/>
      <c r="O80" s="246"/>
      <c r="P80" s="246"/>
      <c r="Q80" s="246"/>
      <c r="R80" s="246"/>
      <c r="S80" s="246"/>
      <c r="T80" s="246"/>
      <c r="U80" s="243">
        <f>IF('Filtered Data'!$H$8="%.",(VLOOKUP(B80,'Filtered Data'!K:M,3,FALSE))/100,VLOOKUP(B80,'Filtered Data'!K:M,3,FALSE))</f>
        <v>0.98540000000000005</v>
      </c>
      <c r="V80" s="243"/>
      <c r="W80" s="243"/>
      <c r="X80" s="243"/>
      <c r="Y80" s="132" t="str">
        <f>IF((VLOOKUP(E80,classifications!C:K,9,FALSE))="Sparse","S","")</f>
        <v/>
      </c>
      <c r="Z80" s="132"/>
      <c r="AA80" s="132"/>
      <c r="AB80" s="132"/>
      <c r="AC80" s="132"/>
      <c r="AD80" s="254"/>
      <c r="AE80" s="254"/>
      <c r="AF80" s="254"/>
      <c r="AG80" s="254"/>
      <c r="AH80" s="254"/>
      <c r="AI80" s="254"/>
      <c r="AJ80" s="254"/>
      <c r="AK80" s="254"/>
      <c r="AL80" s="254"/>
      <c r="AP80" s="56"/>
    </row>
    <row r="81" spans="1:48" ht="12" customHeight="1">
      <c r="B81" s="263">
        <v>16</v>
      </c>
      <c r="C81" s="241"/>
      <c r="D81" s="241"/>
      <c r="E81" s="246" t="str">
        <f>VLOOKUP(B81,'Filtered Data'!K:L,2,FALSE)</f>
        <v>Hart</v>
      </c>
      <c r="F81" s="246"/>
      <c r="G81" s="246"/>
      <c r="H81" s="246"/>
      <c r="I81" s="246"/>
      <c r="J81" s="246"/>
      <c r="K81" s="246"/>
      <c r="L81" s="246"/>
      <c r="M81" s="246"/>
      <c r="N81" s="246"/>
      <c r="O81" s="246"/>
      <c r="P81" s="246"/>
      <c r="Q81" s="246"/>
      <c r="R81" s="246"/>
      <c r="S81" s="246"/>
      <c r="T81" s="246"/>
      <c r="U81" s="243">
        <f>IF('Filtered Data'!$H$8="%.",(VLOOKUP(B81,'Filtered Data'!K:M,3,FALSE))/100,VLOOKUP(B81,'Filtered Data'!K:M,3,FALSE))</f>
        <v>0.98480000000000001</v>
      </c>
      <c r="V81" s="243"/>
      <c r="W81" s="243"/>
      <c r="X81" s="243"/>
      <c r="Y81" s="132" t="str">
        <f>IF((VLOOKUP(E81,classifications!C:K,9,FALSE))="Sparse","S","")</f>
        <v/>
      </c>
      <c r="Z81" s="132"/>
      <c r="AA81" s="132"/>
      <c r="AB81" s="132"/>
      <c r="AC81" s="132"/>
      <c r="AD81" s="254"/>
      <c r="AE81" s="254"/>
      <c r="AF81" s="254"/>
      <c r="AG81" s="254"/>
      <c r="AH81" s="254"/>
      <c r="AI81" s="254"/>
      <c r="AJ81" s="254"/>
      <c r="AK81" s="254"/>
      <c r="AL81" s="254"/>
      <c r="AP81" s="56"/>
    </row>
    <row r="82" spans="1:48" ht="12" customHeight="1">
      <c r="B82" s="263">
        <v>17</v>
      </c>
      <c r="C82" s="241"/>
      <c r="D82" s="241"/>
      <c r="E82" s="246" t="str">
        <f>VLOOKUP(B82,'Filtered Data'!K:L,2,FALSE)</f>
        <v>North Kesteven</v>
      </c>
      <c r="F82" s="246"/>
      <c r="G82" s="246"/>
      <c r="H82" s="246"/>
      <c r="I82" s="246"/>
      <c r="J82" s="246"/>
      <c r="K82" s="246"/>
      <c r="L82" s="246"/>
      <c r="M82" s="246"/>
      <c r="N82" s="246"/>
      <c r="O82" s="246"/>
      <c r="P82" s="246"/>
      <c r="Q82" s="246"/>
      <c r="R82" s="246"/>
      <c r="S82" s="246"/>
      <c r="T82" s="246"/>
      <c r="U82" s="243">
        <f>IF('Filtered Data'!$H$8="%.",(VLOOKUP(B82,'Filtered Data'!K:M,3,FALSE))/100,VLOOKUP(B82,'Filtered Data'!K:M,3,FALSE))</f>
        <v>0.98480000000000001</v>
      </c>
      <c r="V82" s="243"/>
      <c r="W82" s="243"/>
      <c r="X82" s="243"/>
      <c r="Y82" s="132" t="str">
        <f>IF((VLOOKUP(E82,classifications!C:K,9,FALSE))="Sparse","S","")</f>
        <v>S</v>
      </c>
      <c r="Z82" s="132"/>
      <c r="AA82" s="132"/>
      <c r="AB82" s="132"/>
      <c r="AC82" s="132"/>
      <c r="AD82" s="254"/>
      <c r="AE82" s="254"/>
      <c r="AF82" s="254"/>
      <c r="AG82" s="254"/>
      <c r="AH82" s="254"/>
      <c r="AI82" s="254"/>
      <c r="AJ82" s="254"/>
      <c r="AK82" s="254"/>
      <c r="AL82" s="254"/>
      <c r="AP82" s="56"/>
    </row>
    <row r="83" spans="1:48" ht="12" customHeight="1">
      <c r="B83" s="263">
        <v>18</v>
      </c>
      <c r="C83" s="241"/>
      <c r="D83" s="241"/>
      <c r="E83" s="246" t="str">
        <f>VLOOKUP(B83,'Filtered Data'!K:L,2,FALSE)</f>
        <v>Uttlesford</v>
      </c>
      <c r="F83" s="246"/>
      <c r="G83" s="246"/>
      <c r="H83" s="246"/>
      <c r="I83" s="246"/>
      <c r="J83" s="246"/>
      <c r="K83" s="246"/>
      <c r="L83" s="246"/>
      <c r="M83" s="246"/>
      <c r="N83" s="246"/>
      <c r="O83" s="246"/>
      <c r="P83" s="246"/>
      <c r="Q83" s="246"/>
      <c r="R83" s="246"/>
      <c r="S83" s="246"/>
      <c r="T83" s="246"/>
      <c r="U83" s="243">
        <f>IF('Filtered Data'!$H$8="%.",(VLOOKUP(B83,'Filtered Data'!K:M,3,FALSE))/100,VLOOKUP(B83,'Filtered Data'!K:M,3,FALSE))</f>
        <v>0.98470000000000002</v>
      </c>
      <c r="V83" s="243"/>
      <c r="W83" s="243"/>
      <c r="X83" s="243"/>
      <c r="Y83" s="132" t="str">
        <f>IF((VLOOKUP(E83,classifications!C:K,9,FALSE))="Sparse","S","")</f>
        <v>S</v>
      </c>
      <c r="Z83" s="132"/>
      <c r="AA83" s="132"/>
      <c r="AB83" s="132"/>
      <c r="AC83" s="132"/>
      <c r="AD83" s="254"/>
      <c r="AE83" s="254"/>
      <c r="AF83" s="254"/>
      <c r="AG83" s="254"/>
      <c r="AH83" s="254"/>
      <c r="AI83" s="254"/>
      <c r="AJ83" s="254"/>
      <c r="AK83" s="254"/>
      <c r="AL83" s="254"/>
      <c r="AP83" s="56"/>
    </row>
    <row r="84" spans="1:48" ht="12" customHeight="1">
      <c r="B84" s="263">
        <v>19</v>
      </c>
      <c r="C84" s="241"/>
      <c r="D84" s="241"/>
      <c r="E84" s="246" t="str">
        <f>VLOOKUP(B84,'Filtered Data'!K:L,2,FALSE)</f>
        <v>Lichfield</v>
      </c>
      <c r="F84" s="246"/>
      <c r="G84" s="246"/>
      <c r="H84" s="246"/>
      <c r="I84" s="246"/>
      <c r="J84" s="246"/>
      <c r="K84" s="246"/>
      <c r="L84" s="246"/>
      <c r="M84" s="246"/>
      <c r="N84" s="246"/>
      <c r="O84" s="246"/>
      <c r="P84" s="246"/>
      <c r="Q84" s="246"/>
      <c r="R84" s="246"/>
      <c r="S84" s="246"/>
      <c r="T84" s="246"/>
      <c r="U84" s="243">
        <f>IF('Filtered Data'!$H$8="%.",(VLOOKUP(B84,'Filtered Data'!K:M,3,FALSE))/100,VLOOKUP(B84,'Filtered Data'!K:M,3,FALSE))</f>
        <v>0.98409999999999997</v>
      </c>
      <c r="V84" s="243"/>
      <c r="W84" s="243"/>
      <c r="X84" s="243"/>
      <c r="Y84" s="132" t="str">
        <f>IF((VLOOKUP(E84,classifications!C:K,9,FALSE))="Sparse","S","")</f>
        <v>S</v>
      </c>
      <c r="Z84" s="132"/>
      <c r="AA84" s="132"/>
      <c r="AB84" s="132"/>
      <c r="AC84" s="132"/>
      <c r="AD84" s="254"/>
      <c r="AE84" s="254"/>
      <c r="AF84" s="254"/>
      <c r="AG84" s="254"/>
      <c r="AH84" s="254"/>
      <c r="AI84" s="254"/>
      <c r="AJ84" s="254"/>
      <c r="AK84" s="254"/>
      <c r="AL84" s="254"/>
      <c r="AP84" s="56"/>
    </row>
    <row r="85" spans="1:48" ht="12" customHeight="1">
      <c r="B85" s="263">
        <v>20</v>
      </c>
      <c r="C85" s="263"/>
      <c r="D85" s="263"/>
      <c r="E85" s="246" t="str">
        <f>VLOOKUP(B85,'Filtered Data'!K:L,2,FALSE)</f>
        <v>Elmbridge</v>
      </c>
      <c r="F85" s="246"/>
      <c r="G85" s="246"/>
      <c r="H85" s="246"/>
      <c r="I85" s="246"/>
      <c r="J85" s="246"/>
      <c r="K85" s="246"/>
      <c r="L85" s="246"/>
      <c r="M85" s="246"/>
      <c r="N85" s="246"/>
      <c r="O85" s="246"/>
      <c r="P85" s="246"/>
      <c r="Q85" s="246"/>
      <c r="R85" s="246"/>
      <c r="S85" s="246"/>
      <c r="T85" s="246"/>
      <c r="U85" s="243">
        <f>IF('Filtered Data'!$H$8="%.",(VLOOKUP(B85,'Filtered Data'!K:M,3,FALSE))/100,VLOOKUP(B85,'Filtered Data'!K:M,3,FALSE))</f>
        <v>0.9840000000000001</v>
      </c>
      <c r="V85" s="243"/>
      <c r="W85" s="243"/>
      <c r="X85" s="243"/>
      <c r="Y85" s="132" t="str">
        <f>IF((VLOOKUP(E85,classifications!C:K,9,FALSE))="Sparse","S","")</f>
        <v/>
      </c>
      <c r="Z85" s="132"/>
      <c r="AA85" s="132"/>
      <c r="AB85" s="132"/>
      <c r="AC85" s="132"/>
      <c r="AD85" s="254"/>
      <c r="AE85" s="254"/>
      <c r="AF85" s="254"/>
      <c r="AG85" s="254"/>
      <c r="AH85" s="254"/>
      <c r="AI85" s="254"/>
      <c r="AJ85" s="254"/>
      <c r="AK85" s="254"/>
      <c r="AL85" s="254"/>
      <c r="AP85" s="56"/>
    </row>
    <row r="86" spans="1:48" ht="12" customHeight="1">
      <c r="A86" s="51"/>
      <c r="B86" s="318">
        <f>IF(Q37&lt;=MAX(B66:D85),"",Q37)</f>
        <v>34</v>
      </c>
      <c r="C86" s="318"/>
      <c r="D86" s="318"/>
      <c r="E86" s="245" t="str">
        <f>IF(B86="","",VLOOKUP(B86,'Filtered Data'!K:L,2,FALSE))</f>
        <v>Babergh</v>
      </c>
      <c r="F86" s="245"/>
      <c r="G86" s="245"/>
      <c r="H86" s="245"/>
      <c r="I86" s="245"/>
      <c r="J86" s="245"/>
      <c r="K86" s="245"/>
      <c r="L86" s="245"/>
      <c r="M86" s="245"/>
      <c r="N86" s="245"/>
      <c r="O86" s="245"/>
      <c r="P86" s="245"/>
      <c r="Q86" s="245"/>
      <c r="R86" s="245"/>
      <c r="S86" s="245"/>
      <c r="T86" s="245"/>
      <c r="U86" s="262">
        <f>IF(B86="","",L35)</f>
        <v>0.98109999999999997</v>
      </c>
      <c r="V86" s="262"/>
      <c r="W86" s="262"/>
      <c r="X86" s="262"/>
      <c r="Y86" s="132" t="str">
        <f>IF(B86="","",IF((VLOOKUP(E86,classifications!C:K,9,FALSE))="Sparse","S",""))</f>
        <v>S</v>
      </c>
      <c r="Z86" s="132"/>
      <c r="AA86" s="132"/>
      <c r="AB86" s="132"/>
      <c r="AC86" s="132"/>
      <c r="AD86" s="255"/>
      <c r="AE86" s="255"/>
      <c r="AF86" s="255"/>
      <c r="AG86" s="255"/>
      <c r="AH86" s="255"/>
      <c r="AI86" s="255"/>
      <c r="AJ86" s="255"/>
      <c r="AK86" s="255"/>
      <c r="AL86" s="255"/>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Suffolk</v>
      </c>
      <c r="U89" s="1"/>
      <c r="AD89" s="1"/>
      <c r="AP89" s="56"/>
    </row>
    <row r="90" spans="1:48" ht="12" customHeight="1">
      <c r="B90" s="1"/>
      <c r="AP90" s="56"/>
    </row>
    <row r="91" spans="1:48" ht="12" customHeight="1">
      <c r="B91" s="256" t="str">
        <f>IF('Filtered Data'!D1="MD","",IF('Filtered Data'!D1="SC","","Rank"))</f>
        <v>Rank</v>
      </c>
      <c r="C91" s="256"/>
      <c r="D91" s="256"/>
      <c r="E91" s="244" t="str">
        <f>IF('Filtered Data'!D1="MD","",IF('Filtered Data'!D1="SC","","Authority"))</f>
        <v>Authority</v>
      </c>
      <c r="F91" s="244"/>
      <c r="G91" s="244"/>
      <c r="H91" s="244"/>
      <c r="I91" s="244"/>
      <c r="J91" s="244"/>
      <c r="K91" s="244"/>
      <c r="L91" s="244"/>
      <c r="M91" s="244"/>
      <c r="N91" s="244"/>
      <c r="O91" s="231"/>
      <c r="P91" s="231"/>
      <c r="Q91" s="231"/>
      <c r="R91" s="231"/>
      <c r="S91" s="231"/>
      <c r="T91" s="231"/>
      <c r="U91" s="256" t="str">
        <f>IF('Filtered Data'!D1="MD","",IF('Filtered Data'!D1="SC","","Value"))</f>
        <v>Value</v>
      </c>
      <c r="V91" s="256"/>
      <c r="W91" s="256"/>
      <c r="X91" s="256"/>
      <c r="AA91" s="256"/>
      <c r="AB91" s="256"/>
      <c r="AC91" s="256"/>
      <c r="AD91" s="244"/>
      <c r="AE91" s="244"/>
      <c r="AF91" s="244"/>
      <c r="AG91" s="244"/>
      <c r="AH91" s="244"/>
      <c r="AI91" s="244"/>
      <c r="AJ91" s="244"/>
      <c r="AK91" s="244"/>
      <c r="AL91" s="244"/>
      <c r="AM91" s="244"/>
      <c r="AN91" s="256"/>
      <c r="AO91" s="256"/>
      <c r="AP91" s="256"/>
      <c r="AV91" s="56"/>
    </row>
    <row r="92" spans="1:48" ht="12" customHeight="1">
      <c r="B92" s="252">
        <f>IF('Filtered Data'!$D$1="MD","",IF('Filtered Data'!$D$1="SC","",IF('Filtered Data'!$D$1="UA",'Filtered Data'!AS11,'Filtered Data'!AL11)))</f>
        <v>1</v>
      </c>
      <c r="C92" s="253"/>
      <c r="D92" s="253"/>
      <c r="E92" s="245" t="str">
        <f>IF(B92="","",IF('Filtered Data'!$D$1="UA",VLOOKUP(B92,'Filtered Data'!AS:AU,2,FALSE),VLOOKUP(B92,'Filtered Data'!AL:AN,2,FALSE)))</f>
        <v>Mid Suffolk</v>
      </c>
      <c r="F92" s="245"/>
      <c r="G92" s="245"/>
      <c r="H92" s="245"/>
      <c r="I92" s="245"/>
      <c r="J92" s="245"/>
      <c r="K92" s="245"/>
      <c r="L92" s="245"/>
      <c r="M92" s="245"/>
      <c r="N92" s="245"/>
      <c r="O92" s="245"/>
      <c r="P92" s="245"/>
      <c r="Q92" s="245"/>
      <c r="R92" s="245"/>
      <c r="S92" s="245"/>
      <c r="T92" s="245"/>
      <c r="U92" s="243">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0.98340000000000005</v>
      </c>
      <c r="V92" s="243"/>
      <c r="W92" s="243"/>
      <c r="X92" s="243"/>
      <c r="Y92" s="133" t="str">
        <f>IF(E92="","",IF((VLOOKUP(E92,classifications!C:K,9,FALSE))="Sparse","S",""))</f>
        <v>S</v>
      </c>
      <c r="AA92" s="251"/>
      <c r="AB92" s="241"/>
      <c r="AC92" s="241"/>
      <c r="AD92" s="246"/>
      <c r="AE92" s="246"/>
      <c r="AF92" s="246"/>
      <c r="AG92" s="246"/>
      <c r="AH92" s="246"/>
      <c r="AI92" s="246"/>
      <c r="AJ92" s="246"/>
      <c r="AK92" s="246"/>
      <c r="AL92" s="246"/>
      <c r="AM92" s="246"/>
      <c r="AN92" s="242"/>
      <c r="AO92" s="242"/>
      <c r="AP92" s="242"/>
      <c r="AQ92" s="242"/>
      <c r="AR92" s="133"/>
      <c r="AV92" s="56"/>
    </row>
    <row r="93" spans="1:48" ht="12" customHeight="1">
      <c r="B93" s="252">
        <f>IF('Filtered Data'!$D$1="MD","",IF('Filtered Data'!$D$1="SC","",IF('Filtered Data'!$D$1="UA",'Filtered Data'!AS12,'Filtered Data'!AL12)))</f>
        <v>2</v>
      </c>
      <c r="C93" s="253"/>
      <c r="D93" s="253"/>
      <c r="E93" s="245" t="str">
        <f>IF(B93="","",IF('Filtered Data'!$D$1="UA",VLOOKUP(B93,'Filtered Data'!AS:AU,2,FALSE),VLOOKUP(B93,'Filtered Data'!AL:AN,2,FALSE)))</f>
        <v>Babergh</v>
      </c>
      <c r="F93" s="245"/>
      <c r="G93" s="245"/>
      <c r="H93" s="245"/>
      <c r="I93" s="245"/>
      <c r="J93" s="245"/>
      <c r="K93" s="245"/>
      <c r="L93" s="245"/>
      <c r="M93" s="245"/>
      <c r="N93" s="245"/>
      <c r="O93" s="245"/>
      <c r="P93" s="245"/>
      <c r="Q93" s="245"/>
      <c r="R93" s="245"/>
      <c r="S93" s="245"/>
      <c r="T93" s="245"/>
      <c r="U93" s="243">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0.98109999999999997</v>
      </c>
      <c r="V93" s="243"/>
      <c r="W93" s="243"/>
      <c r="X93" s="243"/>
      <c r="Y93" s="133" t="str">
        <f>IF(E93="","",IF((VLOOKUP(E93,classifications!C:K,9,FALSE))="Sparse","S",""))</f>
        <v>S</v>
      </c>
      <c r="AA93" s="251"/>
      <c r="AB93" s="241"/>
      <c r="AC93" s="241"/>
      <c r="AD93" s="246"/>
      <c r="AE93" s="246"/>
      <c r="AF93" s="246"/>
      <c r="AG93" s="246"/>
      <c r="AH93" s="246"/>
      <c r="AI93" s="246"/>
      <c r="AJ93" s="246"/>
      <c r="AK93" s="246"/>
      <c r="AL93" s="246"/>
      <c r="AM93" s="246"/>
      <c r="AN93" s="242"/>
      <c r="AO93" s="242"/>
      <c r="AP93" s="242"/>
      <c r="AQ93" s="242"/>
      <c r="AR93" s="133"/>
      <c r="AV93" s="56"/>
    </row>
    <row r="94" spans="1:48" ht="12" customHeight="1">
      <c r="B94" s="252">
        <f>IF('Filtered Data'!$D$1="MD","",IF('Filtered Data'!$D$1="SC","",IF('Filtered Data'!$D$1="UA",'Filtered Data'!AS13,'Filtered Data'!AL13)))</f>
        <v>3</v>
      </c>
      <c r="C94" s="253"/>
      <c r="D94" s="253"/>
      <c r="E94" s="245" t="str">
        <f>IF(B94="","",IF('Filtered Data'!$D$1="UA",VLOOKUP(B94,'Filtered Data'!AS:AU,2,FALSE),VLOOKUP(B94,'Filtered Data'!AL:AN,2,FALSE)))</f>
        <v>East Suffolk</v>
      </c>
      <c r="F94" s="245"/>
      <c r="G94" s="245"/>
      <c r="H94" s="245"/>
      <c r="I94" s="245"/>
      <c r="J94" s="245"/>
      <c r="K94" s="245"/>
      <c r="L94" s="245"/>
      <c r="M94" s="245"/>
      <c r="N94" s="245"/>
      <c r="O94" s="245"/>
      <c r="P94" s="245"/>
      <c r="Q94" s="245"/>
      <c r="R94" s="245"/>
      <c r="S94" s="245"/>
      <c r="T94" s="245"/>
      <c r="U94" s="243">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0.97549999999999992</v>
      </c>
      <c r="V94" s="243"/>
      <c r="W94" s="243"/>
      <c r="X94" s="243"/>
      <c r="Y94" s="133" t="str">
        <f>IF(E94="","",IF((VLOOKUP(E94,classifications!C:K,9,FALSE))="Sparse","S",""))</f>
        <v>S</v>
      </c>
      <c r="AA94" s="251"/>
      <c r="AB94" s="241"/>
      <c r="AC94" s="241"/>
      <c r="AD94" s="246"/>
      <c r="AE94" s="246"/>
      <c r="AF94" s="246"/>
      <c r="AG94" s="246"/>
      <c r="AH94" s="246"/>
      <c r="AI94" s="246"/>
      <c r="AJ94" s="246"/>
      <c r="AK94" s="246"/>
      <c r="AL94" s="246"/>
      <c r="AM94" s="246"/>
      <c r="AN94" s="242"/>
      <c r="AO94" s="242"/>
      <c r="AP94" s="242"/>
      <c r="AQ94" s="242"/>
      <c r="AR94" s="133"/>
      <c r="AV94" s="56"/>
    </row>
    <row r="95" spans="1:48" ht="12" customHeight="1">
      <c r="B95" s="252">
        <f>IF('Filtered Data'!$D$1="MD","",IF('Filtered Data'!$D$1="SC","",IF('Filtered Data'!$D$1="UA",'Filtered Data'!AS14,'Filtered Data'!AL14)))</f>
        <v>4</v>
      </c>
      <c r="C95" s="253"/>
      <c r="D95" s="253"/>
      <c r="E95" s="245" t="str">
        <f>IF(B95="","",IF('Filtered Data'!$D$1="UA",VLOOKUP(B95,'Filtered Data'!AS:AU,2,FALSE),VLOOKUP(B95,'Filtered Data'!AL:AN,2,FALSE)))</f>
        <v>West Suffolk</v>
      </c>
      <c r="F95" s="245"/>
      <c r="G95" s="245"/>
      <c r="H95" s="245"/>
      <c r="I95" s="245"/>
      <c r="J95" s="245"/>
      <c r="K95" s="245"/>
      <c r="L95" s="245"/>
      <c r="M95" s="245"/>
      <c r="N95" s="245"/>
      <c r="O95" s="245"/>
      <c r="P95" s="245"/>
      <c r="Q95" s="245"/>
      <c r="R95" s="245"/>
      <c r="S95" s="245"/>
      <c r="T95" s="245"/>
      <c r="U95" s="243">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0.97129999999999994</v>
      </c>
      <c r="V95" s="243"/>
      <c r="W95" s="243"/>
      <c r="X95" s="243"/>
      <c r="Y95" s="133" t="str">
        <f>IF(E95="","",IF((VLOOKUP(E95,classifications!C:K,9,FALSE))="Sparse","S",""))</f>
        <v>S</v>
      </c>
      <c r="AA95" s="251"/>
      <c r="AB95" s="241"/>
      <c r="AC95" s="241"/>
      <c r="AD95" s="246"/>
      <c r="AE95" s="246"/>
      <c r="AF95" s="246"/>
      <c r="AG95" s="246"/>
      <c r="AH95" s="246"/>
      <c r="AI95" s="246"/>
      <c r="AJ95" s="246"/>
      <c r="AK95" s="246"/>
      <c r="AL95" s="246"/>
      <c r="AM95" s="246"/>
      <c r="AN95" s="242"/>
      <c r="AO95" s="242"/>
      <c r="AP95" s="242"/>
      <c r="AQ95" s="242"/>
      <c r="AR95" s="133"/>
      <c r="AV95" s="56"/>
    </row>
    <row r="96" spans="1:48" ht="12" customHeight="1">
      <c r="B96" s="252">
        <f>IF('Filtered Data'!$D$1="MD","",IF('Filtered Data'!$D$1="SC","",IF('Filtered Data'!$D$1="UA",'Filtered Data'!AS15,'Filtered Data'!AL15)))</f>
        <v>5</v>
      </c>
      <c r="C96" s="253"/>
      <c r="D96" s="253"/>
      <c r="E96" s="245" t="str">
        <f>IF(B96="","",IF('Filtered Data'!$D$1="UA",VLOOKUP(B96,'Filtered Data'!AS:AU,2,FALSE),VLOOKUP(B96,'Filtered Data'!AL:AN,2,FALSE)))</f>
        <v>Ipswich</v>
      </c>
      <c r="F96" s="245"/>
      <c r="G96" s="245"/>
      <c r="H96" s="245"/>
      <c r="I96" s="245"/>
      <c r="J96" s="245"/>
      <c r="K96" s="245"/>
      <c r="L96" s="245"/>
      <c r="M96" s="245"/>
      <c r="N96" s="245"/>
      <c r="O96" s="245"/>
      <c r="P96" s="245"/>
      <c r="Q96" s="245"/>
      <c r="R96" s="245"/>
      <c r="S96" s="245"/>
      <c r="T96" s="245"/>
      <c r="U96" s="243">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0.95440000000000003</v>
      </c>
      <c r="V96" s="243"/>
      <c r="W96" s="243"/>
      <c r="X96" s="243"/>
      <c r="Y96" s="133" t="str">
        <f>IF(E96="","",IF((VLOOKUP(E96,classifications!C:K,9,FALSE))="Sparse","S",""))</f>
        <v/>
      </c>
      <c r="AA96" s="251"/>
      <c r="AB96" s="241"/>
      <c r="AC96" s="241"/>
      <c r="AD96" s="246"/>
      <c r="AE96" s="246"/>
      <c r="AF96" s="246"/>
      <c r="AG96" s="246"/>
      <c r="AH96" s="246"/>
      <c r="AI96" s="246"/>
      <c r="AJ96" s="246"/>
      <c r="AK96" s="246"/>
      <c r="AL96" s="246"/>
      <c r="AM96" s="246"/>
      <c r="AN96" s="242"/>
      <c r="AO96" s="242"/>
      <c r="AP96" s="242"/>
      <c r="AQ96" s="242"/>
      <c r="AR96" s="133"/>
      <c r="AV96" s="56"/>
    </row>
    <row r="97" spans="2:48" ht="12" customHeight="1">
      <c r="B97" s="252" t="str">
        <f>IF('Filtered Data'!$D$1="MD","",IF('Filtered Data'!$D$1="SC","",IF('Filtered Data'!$D$1="UA",'Filtered Data'!AS16,'Filtered Data'!AL16)))</f>
        <v/>
      </c>
      <c r="C97" s="253"/>
      <c r="D97" s="253"/>
      <c r="E97" s="245" t="str">
        <f>IF(B97="","",IF('Filtered Data'!$D$1="UA",VLOOKUP(B97,'Filtered Data'!AS:AU,2,FALSE),VLOOKUP(B97,'Filtered Data'!AL:AN,2,FALSE)))</f>
        <v/>
      </c>
      <c r="F97" s="245"/>
      <c r="G97" s="245"/>
      <c r="H97" s="245"/>
      <c r="I97" s="245"/>
      <c r="J97" s="245"/>
      <c r="K97" s="245"/>
      <c r="L97" s="245"/>
      <c r="M97" s="245"/>
      <c r="N97" s="245"/>
      <c r="O97" s="245"/>
      <c r="P97" s="245"/>
      <c r="Q97" s="245"/>
      <c r="R97" s="245"/>
      <c r="S97" s="245"/>
      <c r="T97" s="245"/>
      <c r="U97" s="243" t="str">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
      </c>
      <c r="V97" s="243"/>
      <c r="W97" s="243"/>
      <c r="X97" s="243"/>
      <c r="Y97" s="133" t="str">
        <f>IF(E97="","",IF((VLOOKUP(E97,classifications!C:K,9,FALSE))="Sparse","S",""))</f>
        <v/>
      </c>
      <c r="AA97" s="251"/>
      <c r="AB97" s="241"/>
      <c r="AC97" s="241"/>
      <c r="AD97" s="246"/>
      <c r="AE97" s="246"/>
      <c r="AF97" s="246"/>
      <c r="AG97" s="246"/>
      <c r="AH97" s="246"/>
      <c r="AI97" s="246"/>
      <c r="AJ97" s="246"/>
      <c r="AK97" s="246"/>
      <c r="AL97" s="246"/>
      <c r="AM97" s="246"/>
      <c r="AN97" s="242"/>
      <c r="AO97" s="242"/>
      <c r="AP97" s="242"/>
      <c r="AQ97" s="242"/>
      <c r="AR97" s="133"/>
      <c r="AV97" s="56"/>
    </row>
    <row r="98" spans="2:48" ht="12" customHeight="1">
      <c r="B98" s="252" t="str">
        <f>IF('Filtered Data'!$D$1="MD","",IF('Filtered Data'!$D$1="SC","",IF('Filtered Data'!$D$1="UA",'Filtered Data'!AS17,'Filtered Data'!AL17)))</f>
        <v/>
      </c>
      <c r="C98" s="253"/>
      <c r="D98" s="253"/>
      <c r="E98" s="245" t="str">
        <f>IF(B98="","",IF('Filtered Data'!$D$1="UA",VLOOKUP(B98,'Filtered Data'!AS:AU,2,FALSE),VLOOKUP(B98,'Filtered Data'!AL:AN,2,FALSE)))</f>
        <v/>
      </c>
      <c r="F98" s="245"/>
      <c r="G98" s="245"/>
      <c r="H98" s="245"/>
      <c r="I98" s="245"/>
      <c r="J98" s="245"/>
      <c r="K98" s="245"/>
      <c r="L98" s="245"/>
      <c r="M98" s="245"/>
      <c r="N98" s="245"/>
      <c r="O98" s="245"/>
      <c r="P98" s="245"/>
      <c r="Q98" s="245"/>
      <c r="R98" s="245"/>
      <c r="S98" s="245"/>
      <c r="T98" s="245"/>
      <c r="U98" s="243"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43"/>
      <c r="W98" s="243"/>
      <c r="X98" s="243"/>
      <c r="Y98" s="133" t="str">
        <f>IF(E98="","",IF((VLOOKUP(E98,classifications!C:K,9,FALSE))="Sparse","S",""))</f>
        <v/>
      </c>
      <c r="AA98" s="251"/>
      <c r="AB98" s="241"/>
      <c r="AC98" s="241"/>
      <c r="AD98" s="246"/>
      <c r="AE98" s="246"/>
      <c r="AF98" s="246"/>
      <c r="AG98" s="246"/>
      <c r="AH98" s="246"/>
      <c r="AI98" s="246"/>
      <c r="AJ98" s="246"/>
      <c r="AK98" s="246"/>
      <c r="AL98" s="246"/>
      <c r="AM98" s="246"/>
      <c r="AN98" s="242"/>
      <c r="AO98" s="242"/>
      <c r="AP98" s="242"/>
      <c r="AQ98" s="242"/>
      <c r="AR98" s="133"/>
      <c r="AV98" s="56"/>
    </row>
    <row r="99" spans="2:48" ht="12" customHeight="1">
      <c r="B99" s="252" t="str">
        <f>IF('Filtered Data'!$D$1="MD","",IF('Filtered Data'!$D$1="SC","",IF('Filtered Data'!$D$1="UA",'Filtered Data'!AS18,'Filtered Data'!AL18)))</f>
        <v/>
      </c>
      <c r="C99" s="253"/>
      <c r="D99" s="253"/>
      <c r="E99" s="245" t="str">
        <f>IF(B99="","",IF('Filtered Data'!$D$1="UA",VLOOKUP(B99,'Filtered Data'!AS:AU,2,FALSE),VLOOKUP(B99,'Filtered Data'!AL:AN,2,FALSE)))</f>
        <v/>
      </c>
      <c r="F99" s="245"/>
      <c r="G99" s="245"/>
      <c r="H99" s="245"/>
      <c r="I99" s="245"/>
      <c r="J99" s="245"/>
      <c r="K99" s="245"/>
      <c r="L99" s="245"/>
      <c r="M99" s="245"/>
      <c r="N99" s="245"/>
      <c r="O99" s="245"/>
      <c r="P99" s="245"/>
      <c r="Q99" s="245"/>
      <c r="R99" s="245"/>
      <c r="S99" s="245"/>
      <c r="T99" s="245"/>
      <c r="U99" s="243"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43"/>
      <c r="W99" s="243"/>
      <c r="X99" s="243"/>
      <c r="Y99" s="133" t="str">
        <f>IF(E99="","",IF((VLOOKUP(E99,classifications!C:K,9,FALSE))="Sparse","S",""))</f>
        <v/>
      </c>
      <c r="AA99" s="251"/>
      <c r="AB99" s="241"/>
      <c r="AC99" s="241"/>
      <c r="AD99" s="246"/>
      <c r="AE99" s="246"/>
      <c r="AF99" s="246"/>
      <c r="AG99" s="246"/>
      <c r="AH99" s="246"/>
      <c r="AI99" s="246"/>
      <c r="AJ99" s="246"/>
      <c r="AK99" s="246"/>
      <c r="AL99" s="246"/>
      <c r="AM99" s="246"/>
      <c r="AN99" s="242"/>
      <c r="AO99" s="242"/>
      <c r="AP99" s="242"/>
      <c r="AQ99" s="242"/>
      <c r="AR99" s="133"/>
      <c r="AV99" s="56"/>
    </row>
    <row r="100" spans="2:48" ht="12" customHeight="1">
      <c r="B100" s="252" t="str">
        <f>IF('Filtered Data'!$D$1="MD","",IF('Filtered Data'!$D$1="SC","",IF('Filtered Data'!$D$1="UA",'Filtered Data'!AS19,'Filtered Data'!AL19)))</f>
        <v/>
      </c>
      <c r="C100" s="253"/>
      <c r="D100" s="253"/>
      <c r="E100" s="245" t="str">
        <f>IF(B100="","",IF('Filtered Data'!$D$1="UA",VLOOKUP(B100,'Filtered Data'!AS:AU,2,FALSE),VLOOKUP(B100,'Filtered Data'!AL:AN,2,FALSE)))</f>
        <v/>
      </c>
      <c r="F100" s="245"/>
      <c r="G100" s="245"/>
      <c r="H100" s="245"/>
      <c r="I100" s="245"/>
      <c r="J100" s="245"/>
      <c r="K100" s="245"/>
      <c r="L100" s="245"/>
      <c r="M100" s="245"/>
      <c r="N100" s="245"/>
      <c r="O100" s="245"/>
      <c r="P100" s="245"/>
      <c r="Q100" s="245"/>
      <c r="R100" s="245"/>
      <c r="S100" s="245"/>
      <c r="T100" s="245"/>
      <c r="U100" s="243"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3"/>
      <c r="W100" s="243"/>
      <c r="X100" s="243"/>
      <c r="Y100" s="133" t="str">
        <f>IF(E100="","",IF((VLOOKUP(E100,classifications!C:K,9,FALSE))="Sparse","S",""))</f>
        <v/>
      </c>
      <c r="AA100" s="251"/>
      <c r="AB100" s="241"/>
      <c r="AC100" s="241"/>
      <c r="AD100" s="246"/>
      <c r="AE100" s="246"/>
      <c r="AF100" s="246"/>
      <c r="AG100" s="246"/>
      <c r="AH100" s="246"/>
      <c r="AI100" s="246"/>
      <c r="AJ100" s="246"/>
      <c r="AK100" s="246"/>
      <c r="AL100" s="246"/>
      <c r="AM100" s="246"/>
      <c r="AN100" s="242"/>
      <c r="AO100" s="242"/>
      <c r="AP100" s="242"/>
      <c r="AQ100" s="242"/>
      <c r="AR100" s="133"/>
      <c r="AV100" s="56"/>
    </row>
    <row r="101" spans="2:48" ht="12" customHeight="1">
      <c r="B101" s="252" t="str">
        <f>IF('Filtered Data'!$D$1="MD","",IF('Filtered Data'!$D$1="SC","",IF('Filtered Data'!$D$1="UA",'Filtered Data'!AS20,'Filtered Data'!AL20)))</f>
        <v/>
      </c>
      <c r="C101" s="253"/>
      <c r="D101" s="253"/>
      <c r="E101" s="245" t="str">
        <f>IF(B101="","",IF('Filtered Data'!$D$1="UA",VLOOKUP(B101,'Filtered Data'!AS:AU,2,FALSE),VLOOKUP(B101,'Filtered Data'!AL:AN,2,FALSE)))</f>
        <v/>
      </c>
      <c r="F101" s="245"/>
      <c r="G101" s="245"/>
      <c r="H101" s="245"/>
      <c r="I101" s="245"/>
      <c r="J101" s="245"/>
      <c r="K101" s="245"/>
      <c r="L101" s="245"/>
      <c r="M101" s="245"/>
      <c r="N101" s="245"/>
      <c r="O101" s="245"/>
      <c r="P101" s="245"/>
      <c r="Q101" s="245"/>
      <c r="R101" s="245"/>
      <c r="S101" s="245"/>
      <c r="T101" s="245"/>
      <c r="U101" s="243"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3"/>
      <c r="W101" s="243"/>
      <c r="X101" s="243"/>
      <c r="Y101" s="133" t="str">
        <f>IF(E101="","",IF((VLOOKUP(E101,classifications!C:K,9,FALSE))="Sparse","S",""))</f>
        <v/>
      </c>
      <c r="AA101" s="251"/>
      <c r="AB101" s="241"/>
      <c r="AC101" s="241"/>
      <c r="AD101" s="246"/>
      <c r="AE101" s="246"/>
      <c r="AF101" s="246"/>
      <c r="AG101" s="246"/>
      <c r="AH101" s="246"/>
      <c r="AI101" s="246"/>
      <c r="AJ101" s="246"/>
      <c r="AK101" s="246"/>
      <c r="AL101" s="246"/>
      <c r="AM101" s="246"/>
      <c r="AN101" s="242"/>
      <c r="AO101" s="242"/>
      <c r="AP101" s="242"/>
      <c r="AQ101" s="242"/>
      <c r="AR101" s="133"/>
      <c r="AV101" s="56"/>
    </row>
    <row r="102" spans="2:48" ht="12" customHeight="1">
      <c r="B102" s="252" t="str">
        <f>IF('Filtered Data'!$D$1="MD","",IF('Filtered Data'!$D$1="SC","",IF('Filtered Data'!$D$1="UA",'Filtered Data'!AS21,'Filtered Data'!AL21)))</f>
        <v/>
      </c>
      <c r="C102" s="253"/>
      <c r="D102" s="253"/>
      <c r="E102" s="245" t="str">
        <f>IF(B102="","",IF('Filtered Data'!$D$1="UA",VLOOKUP(B102,'Filtered Data'!AS:AU,2,FALSE),VLOOKUP(B102,'Filtered Data'!AL:AN,2,FALSE)))</f>
        <v/>
      </c>
      <c r="F102" s="245"/>
      <c r="G102" s="245"/>
      <c r="H102" s="245"/>
      <c r="I102" s="245"/>
      <c r="J102" s="245"/>
      <c r="K102" s="245"/>
      <c r="L102" s="245"/>
      <c r="M102" s="245"/>
      <c r="N102" s="245"/>
      <c r="O102" s="245"/>
      <c r="P102" s="245"/>
      <c r="Q102" s="245"/>
      <c r="R102" s="245"/>
      <c r="S102" s="245"/>
      <c r="T102" s="245"/>
      <c r="U102" s="243"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3"/>
      <c r="W102" s="243"/>
      <c r="X102" s="243"/>
      <c r="Y102" s="133" t="str">
        <f>IF(E102="","",IF((VLOOKUP(E102,classifications!C:K,9,FALSE))="Sparse","S",""))</f>
        <v/>
      </c>
      <c r="AA102" s="251"/>
      <c r="AB102" s="241"/>
      <c r="AC102" s="241"/>
      <c r="AD102" s="246"/>
      <c r="AE102" s="246"/>
      <c r="AF102" s="246"/>
      <c r="AG102" s="246"/>
      <c r="AH102" s="246"/>
      <c r="AI102" s="246"/>
      <c r="AJ102" s="246"/>
      <c r="AK102" s="246"/>
      <c r="AL102" s="246"/>
      <c r="AM102" s="246"/>
      <c r="AN102" s="242"/>
      <c r="AO102" s="242"/>
      <c r="AP102" s="242"/>
      <c r="AQ102" s="242"/>
      <c r="AR102" s="133"/>
      <c r="AV102" s="56"/>
    </row>
    <row r="103" spans="2:48" ht="12" customHeight="1">
      <c r="B103" s="252" t="str">
        <f>IF('Filtered Data'!$D$1="MD","",IF('Filtered Data'!$D$1="SC","",IF('Filtered Data'!$D$1="UA",'Filtered Data'!AS22,'Filtered Data'!AL22)))</f>
        <v/>
      </c>
      <c r="C103" s="253"/>
      <c r="D103" s="253"/>
      <c r="E103" s="245" t="str">
        <f>IF(B103="","",IF('Filtered Data'!$D$1="UA",VLOOKUP(B103,'Filtered Data'!AS:AU,2,FALSE),VLOOKUP(B103,'Filtered Data'!AL:AN,2,FALSE)))</f>
        <v/>
      </c>
      <c r="F103" s="245"/>
      <c r="G103" s="245"/>
      <c r="H103" s="245"/>
      <c r="I103" s="245"/>
      <c r="J103" s="245"/>
      <c r="K103" s="245"/>
      <c r="L103" s="245"/>
      <c r="M103" s="245"/>
      <c r="N103" s="245"/>
      <c r="O103" s="245"/>
      <c r="P103" s="245"/>
      <c r="Q103" s="245"/>
      <c r="R103" s="245"/>
      <c r="S103" s="245"/>
      <c r="T103" s="245"/>
      <c r="U103" s="243"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3"/>
      <c r="W103" s="243"/>
      <c r="X103" s="243"/>
      <c r="Y103" s="133" t="str">
        <f>IF(E103="","",IF((VLOOKUP(E103,classifications!C:K,9,FALSE))="Sparse","S",""))</f>
        <v/>
      </c>
      <c r="AA103" s="251"/>
      <c r="AB103" s="241"/>
      <c r="AC103" s="241"/>
      <c r="AD103" s="246"/>
      <c r="AE103" s="246"/>
      <c r="AF103" s="246"/>
      <c r="AG103" s="246"/>
      <c r="AH103" s="246"/>
      <c r="AI103" s="246"/>
      <c r="AJ103" s="246"/>
      <c r="AK103" s="246"/>
      <c r="AL103" s="246"/>
      <c r="AM103" s="246"/>
      <c r="AN103" s="242"/>
      <c r="AO103" s="242"/>
      <c r="AP103" s="242"/>
      <c r="AQ103" s="242"/>
      <c r="AR103" s="133"/>
      <c r="AV103" s="56"/>
    </row>
    <row r="104" spans="2:48" ht="12" customHeight="1">
      <c r="B104" s="252" t="str">
        <f>IF('Filtered Data'!$D$1="MD","",IF('Filtered Data'!$D$1="SC","",IF('Filtered Data'!$D$1="UA",'Filtered Data'!AS23,'Filtered Data'!AL23)))</f>
        <v/>
      </c>
      <c r="C104" s="253"/>
      <c r="D104" s="253"/>
      <c r="E104" s="245" t="str">
        <f>IF(B104="","",IF('Filtered Data'!$D$1="UA",VLOOKUP(B104,'Filtered Data'!AS:AU,2,FALSE),VLOOKUP(B104,'Filtered Data'!AL:AN,2,FALSE)))</f>
        <v/>
      </c>
      <c r="F104" s="245"/>
      <c r="G104" s="245"/>
      <c r="H104" s="245"/>
      <c r="I104" s="245"/>
      <c r="J104" s="245"/>
      <c r="K104" s="245"/>
      <c r="L104" s="245"/>
      <c r="M104" s="245"/>
      <c r="N104" s="245"/>
      <c r="O104" s="245"/>
      <c r="P104" s="245"/>
      <c r="Q104" s="245"/>
      <c r="R104" s="245"/>
      <c r="S104" s="245"/>
      <c r="T104" s="245"/>
      <c r="U104" s="243"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3"/>
      <c r="W104" s="243"/>
      <c r="X104" s="243"/>
      <c r="Y104" s="133" t="str">
        <f>IF(E104="","",IF((VLOOKUP(E104,classifications!C:K,9,FALSE))="Sparse","S",""))</f>
        <v/>
      </c>
      <c r="AA104" s="251"/>
      <c r="AB104" s="241"/>
      <c r="AC104" s="241"/>
      <c r="AD104" s="246"/>
      <c r="AE104" s="246"/>
      <c r="AF104" s="246"/>
      <c r="AG104" s="246"/>
      <c r="AH104" s="246"/>
      <c r="AI104" s="246"/>
      <c r="AJ104" s="246"/>
      <c r="AK104" s="246"/>
      <c r="AL104" s="246"/>
      <c r="AM104" s="246"/>
      <c r="AN104" s="242"/>
      <c r="AO104" s="242"/>
      <c r="AP104" s="242"/>
      <c r="AQ104" s="242"/>
      <c r="AR104" s="133"/>
      <c r="AV104" s="56"/>
    </row>
    <row r="105" spans="2:48" ht="12" customHeight="1">
      <c r="B105" s="252" t="str">
        <f>IF('Filtered Data'!$D$1="MD","",IF('Filtered Data'!$D$1="SC","",IF('Filtered Data'!$D$1="UA",'Filtered Data'!AS24,'Filtered Data'!AL24)))</f>
        <v/>
      </c>
      <c r="C105" s="253"/>
      <c r="D105" s="253"/>
      <c r="E105" s="245" t="str">
        <f>IF(B105="","",IF('Filtered Data'!$D$1="UA",VLOOKUP(B105,'Filtered Data'!AS:AU,2,FALSE),VLOOKUP(B105,'Filtered Data'!AL:AN,2,FALSE)))</f>
        <v/>
      </c>
      <c r="F105" s="245"/>
      <c r="G105" s="245"/>
      <c r="H105" s="245"/>
      <c r="I105" s="245"/>
      <c r="J105" s="245"/>
      <c r="K105" s="245"/>
      <c r="L105" s="245"/>
      <c r="M105" s="245"/>
      <c r="N105" s="245"/>
      <c r="O105" s="245"/>
      <c r="P105" s="245"/>
      <c r="Q105" s="245"/>
      <c r="R105" s="245"/>
      <c r="S105" s="245"/>
      <c r="T105" s="245"/>
      <c r="U105" s="243"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3"/>
      <c r="W105" s="243"/>
      <c r="X105" s="243"/>
      <c r="Y105" s="133" t="str">
        <f>IF(E105="","",IF((VLOOKUP(E105,classifications!C:K,9,FALSE))="Sparse","S",""))</f>
        <v/>
      </c>
      <c r="AA105" s="251"/>
      <c r="AB105" s="241"/>
      <c r="AC105" s="241"/>
      <c r="AD105" s="246"/>
      <c r="AE105" s="246"/>
      <c r="AF105" s="246"/>
      <c r="AG105" s="246"/>
      <c r="AH105" s="246"/>
      <c r="AI105" s="246"/>
      <c r="AJ105" s="246"/>
      <c r="AK105" s="246"/>
      <c r="AL105" s="246"/>
      <c r="AM105" s="246"/>
      <c r="AN105" s="242"/>
      <c r="AO105" s="242"/>
      <c r="AP105" s="242"/>
      <c r="AQ105" s="242"/>
      <c r="AR105" s="133"/>
      <c r="AV105" s="56"/>
    </row>
    <row r="106" spans="2:48" ht="12" customHeight="1">
      <c r="B106" s="252" t="str">
        <f>IF('Filtered Data'!$D$1="MD","",IF('Filtered Data'!$D$1="SC","",IF('Filtered Data'!$D$1="UA",'Filtered Data'!AS25,'Filtered Data'!AL25)))</f>
        <v/>
      </c>
      <c r="C106" s="253"/>
      <c r="D106" s="253"/>
      <c r="E106" s="245" t="str">
        <f>IF(B106="","",IF('Filtered Data'!$D$1="UA",VLOOKUP(B106,'Filtered Data'!AS:AU,2,FALSE),VLOOKUP(B106,'Filtered Data'!AL:AN,2,FALSE)))</f>
        <v/>
      </c>
      <c r="F106" s="245"/>
      <c r="G106" s="245"/>
      <c r="H106" s="245"/>
      <c r="I106" s="245"/>
      <c r="J106" s="245"/>
      <c r="K106" s="245"/>
      <c r="L106" s="245"/>
      <c r="M106" s="245"/>
      <c r="N106" s="245"/>
      <c r="O106" s="245"/>
      <c r="P106" s="245"/>
      <c r="Q106" s="245"/>
      <c r="R106" s="245"/>
      <c r="S106" s="245"/>
      <c r="T106" s="245"/>
      <c r="U106" s="243"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3"/>
      <c r="W106" s="243"/>
      <c r="X106" s="243"/>
      <c r="Y106" s="133" t="str">
        <f>IF(E106="","",IF((VLOOKUP(E106,classifications!C:K,9,FALSE))="Sparse","S",""))</f>
        <v/>
      </c>
      <c r="AA106" s="251"/>
      <c r="AB106" s="241"/>
      <c r="AC106" s="241"/>
      <c r="AD106" s="246"/>
      <c r="AE106" s="246"/>
      <c r="AF106" s="246"/>
      <c r="AG106" s="246"/>
      <c r="AH106" s="246"/>
      <c r="AI106" s="246"/>
      <c r="AJ106" s="246"/>
      <c r="AK106" s="246"/>
      <c r="AL106" s="246"/>
      <c r="AM106" s="246"/>
      <c r="AN106" s="242"/>
      <c r="AO106" s="242"/>
      <c r="AP106" s="242"/>
      <c r="AQ106" s="242"/>
      <c r="AR106" s="133"/>
      <c r="AV106" s="56"/>
    </row>
    <row r="107" spans="2:48" ht="12" customHeight="1">
      <c r="B107" s="252" t="str">
        <f>IF('Filtered Data'!$D$1="MD","",IF('Filtered Data'!$D$1="SC","",IF('Filtered Data'!$D$1="UA",'Filtered Data'!AS26,'Filtered Data'!AL26)))</f>
        <v/>
      </c>
      <c r="C107" s="253"/>
      <c r="D107" s="253"/>
      <c r="E107" s="245" t="str">
        <f>IF(B107="","",IF('Filtered Data'!$D$1="UA",VLOOKUP(B107,'Filtered Data'!AS:AU,2,FALSE),VLOOKUP(B107,'Filtered Data'!AL:AN,2,FALSE)))</f>
        <v/>
      </c>
      <c r="F107" s="245"/>
      <c r="G107" s="245"/>
      <c r="H107" s="245"/>
      <c r="I107" s="245"/>
      <c r="J107" s="245"/>
      <c r="K107" s="245"/>
      <c r="L107" s="245"/>
      <c r="M107" s="245"/>
      <c r="N107" s="245"/>
      <c r="O107" s="245"/>
      <c r="P107" s="245"/>
      <c r="Q107" s="245"/>
      <c r="R107" s="245"/>
      <c r="S107" s="245"/>
      <c r="T107" s="245"/>
      <c r="U107" s="243"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3"/>
      <c r="W107" s="243"/>
      <c r="X107" s="243"/>
      <c r="Y107" s="133" t="str">
        <f>IF(E107="","",IF((VLOOKUP(E107,classifications!C:K,9,FALSE))="Sparse","S",""))</f>
        <v/>
      </c>
      <c r="AA107" s="251"/>
      <c r="AB107" s="241"/>
      <c r="AC107" s="241"/>
      <c r="AD107" s="246"/>
      <c r="AE107" s="246"/>
      <c r="AF107" s="246"/>
      <c r="AG107" s="246"/>
      <c r="AH107" s="246"/>
      <c r="AI107" s="246"/>
      <c r="AJ107" s="246"/>
      <c r="AK107" s="246"/>
      <c r="AL107" s="246"/>
      <c r="AM107" s="246"/>
      <c r="AN107" s="242"/>
      <c r="AO107" s="242"/>
      <c r="AP107" s="242"/>
      <c r="AQ107" s="242"/>
      <c r="AR107" s="133"/>
      <c r="AV107" s="56"/>
    </row>
    <row r="108" spans="2:48" ht="12" customHeight="1">
      <c r="B108" s="241"/>
      <c r="C108" s="241"/>
      <c r="D108" s="241"/>
      <c r="E108" s="244" t="str">
        <f>IF('Filtered Data'!D1="MD","",IF('Filtered Data'!D1="SC","","Average"))</f>
        <v>Average</v>
      </c>
      <c r="F108" s="244"/>
      <c r="G108" s="244"/>
      <c r="H108" s="244"/>
      <c r="I108" s="244"/>
      <c r="J108" s="244"/>
      <c r="K108" s="244"/>
      <c r="L108" s="244"/>
      <c r="M108" s="244"/>
      <c r="N108" s="244"/>
      <c r="O108" s="231"/>
      <c r="P108" s="231"/>
      <c r="Q108" s="231"/>
      <c r="R108" s="231"/>
      <c r="S108" s="231"/>
      <c r="T108" s="231"/>
      <c r="U108" s="314">
        <f>L39</f>
        <v>0.97313999999999989</v>
      </c>
      <c r="V108" s="314"/>
      <c r="W108" s="314"/>
      <c r="X108" s="314"/>
      <c r="Y108" s="133"/>
      <c r="AA108" s="241"/>
      <c r="AB108" s="241"/>
      <c r="AC108" s="241"/>
      <c r="AD108" s="1"/>
      <c r="AE108" s="1"/>
      <c r="AF108" s="1"/>
      <c r="AG108" s="1"/>
      <c r="AH108" s="1"/>
      <c r="AI108" s="1"/>
      <c r="AJ108" s="1"/>
      <c r="AK108" s="1"/>
      <c r="AL108" s="1"/>
      <c r="AM108" s="21"/>
      <c r="AN108" s="315"/>
      <c r="AO108" s="315"/>
      <c r="AP108" s="315"/>
      <c r="AQ108" s="315"/>
      <c r="AV108" s="56"/>
    </row>
    <row r="109" spans="2:48" ht="12" customHeight="1">
      <c r="W109" s="18">
        <f>COUNT(AA92:AB107)</f>
        <v>0</v>
      </c>
    </row>
    <row r="110" spans="2:48" ht="19.5" customHeight="1">
      <c r="B110" s="261" t="str">
        <f>B3</f>
        <v>Council tax and NNDR collection rates</v>
      </c>
      <c r="C110" s="261"/>
      <c r="D110" s="261"/>
      <c r="E110" s="261"/>
      <c r="F110" s="261"/>
      <c r="G110" s="261"/>
      <c r="H110" s="261"/>
      <c r="I110" s="261"/>
      <c r="J110" s="261"/>
      <c r="K110" s="261"/>
      <c r="L110" s="261"/>
      <c r="M110" s="261"/>
      <c r="N110" s="261"/>
      <c r="O110" s="261"/>
      <c r="P110" s="261"/>
      <c r="Q110" s="261"/>
      <c r="R110" s="261"/>
      <c r="S110" s="261"/>
      <c r="T110" s="261"/>
      <c r="U110" s="261"/>
      <c r="V110" s="261"/>
      <c r="W110" s="261"/>
      <c r="X110" s="261"/>
      <c r="Y110" s="261"/>
      <c r="Z110" s="261"/>
      <c r="AA110" s="261"/>
      <c r="AB110" s="261"/>
      <c r="AC110" s="261"/>
      <c r="AD110" s="261"/>
      <c r="AE110" s="261"/>
      <c r="AF110" s="261"/>
      <c r="AG110" s="261"/>
      <c r="AH110" s="261"/>
      <c r="AI110" s="261"/>
      <c r="AJ110" s="261"/>
      <c r="AK110" s="261"/>
      <c r="AL110" s="261"/>
      <c r="AM110" s="261"/>
      <c r="AN110" s="261"/>
    </row>
    <row r="111" spans="2:48" ht="12" customHeight="1"/>
    <row r="112" spans="2:48" ht="12" customHeight="1">
      <c r="B112" s="244" t="s">
        <v>370</v>
      </c>
      <c r="C112" s="244"/>
      <c r="D112" s="244"/>
      <c r="E112" s="244"/>
      <c r="F112" s="244"/>
      <c r="G112" s="244"/>
      <c r="H112" s="244"/>
      <c r="I112" s="244"/>
      <c r="J112" s="244"/>
      <c r="K112" s="244"/>
      <c r="L112" s="244"/>
      <c r="M112" s="244"/>
      <c r="N112" s="244"/>
      <c r="O112" s="244"/>
      <c r="P112" s="244"/>
      <c r="Q112" s="244"/>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row>
    <row r="113" spans="2:40" ht="12" customHeight="1"/>
    <row r="114" spans="2:40" ht="12" customHeight="1">
      <c r="B114" s="247" t="str">
        <f>W6&amp;" - "&amp;W12</f>
        <v>Council tax collected by 31 March as a % of amount collectable - 2023-24</v>
      </c>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c r="AA114" s="248"/>
      <c r="AB114" s="248"/>
      <c r="AC114" s="248"/>
      <c r="AD114" s="248"/>
      <c r="AE114" s="248"/>
      <c r="AF114" s="248"/>
      <c r="AG114" s="248"/>
      <c r="AH114" s="248"/>
      <c r="AI114" s="248"/>
      <c r="AJ114" s="248"/>
      <c r="AK114" s="248"/>
      <c r="AL114" s="248"/>
      <c r="AM114" s="248"/>
      <c r="AN114" s="20"/>
    </row>
    <row r="115" spans="2:40" ht="12" customHeight="1">
      <c r="B115" s="249"/>
      <c r="C115" s="250"/>
      <c r="D115" s="250"/>
      <c r="E115" s="250"/>
      <c r="F115" s="250"/>
      <c r="G115" s="250"/>
      <c r="H115" s="250"/>
      <c r="I115" s="250"/>
      <c r="J115" s="250"/>
      <c r="K115" s="250"/>
      <c r="L115" s="250"/>
      <c r="M115" s="250"/>
      <c r="N115" s="250"/>
      <c r="O115" s="250"/>
      <c r="P115" s="250"/>
      <c r="Q115" s="250"/>
      <c r="R115" s="250"/>
      <c r="S115" s="250"/>
      <c r="T115" s="250"/>
      <c r="U115" s="250"/>
      <c r="V115" s="250"/>
      <c r="W115" s="250"/>
      <c r="X115" s="250"/>
      <c r="Y115" s="250"/>
      <c r="Z115" s="250"/>
      <c r="AA115" s="250"/>
      <c r="AB115" s="250"/>
      <c r="AC115" s="250"/>
      <c r="AD115" s="250"/>
      <c r="AE115" s="250"/>
      <c r="AF115" s="250"/>
      <c r="AG115" s="250"/>
      <c r="AH115" s="250"/>
      <c r="AI115" s="250"/>
      <c r="AJ115" s="250"/>
      <c r="AK115" s="250"/>
      <c r="AL115" s="250"/>
      <c r="AM115" s="250"/>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Babergh</v>
      </c>
      <c r="G118" s="240">
        <f>IF('Filtered Data'!H8="..",L35,L35*100)</f>
        <v>98.11</v>
      </c>
      <c r="H118" s="240"/>
      <c r="I118" s="240"/>
      <c r="J118" s="240"/>
      <c r="K118" s="240"/>
      <c r="M118" s="241">
        <f>K$48</f>
        <v>98.012500000000003</v>
      </c>
      <c r="N118" s="241"/>
      <c r="O118" s="241">
        <f>M$48</f>
        <v>97.454999999999998</v>
      </c>
      <c r="P118" s="241"/>
      <c r="Q118" s="241">
        <f>O$48</f>
        <v>96.45</v>
      </c>
      <c r="R118" s="241"/>
      <c r="AN118" s="6"/>
    </row>
    <row r="119" spans="2:40" ht="12" customHeight="1">
      <c r="B119" s="5"/>
      <c r="F119" t="s">
        <v>380</v>
      </c>
      <c r="G119" s="240">
        <f>IF('Filtered Data'!H8="%%",(AVERAGEIF('Filtered Data'!AA$10:AA$333,$F119,'Filtered Data'!M$10:M$333))*100,(AVERAGEIF('Filtered Data'!AA$10:AA$333,$F119,'Filtered Data'!M$10:M$333)))</f>
        <v>97.61</v>
      </c>
      <c r="H119" s="240"/>
      <c r="I119" s="240"/>
      <c r="J119" s="240"/>
      <c r="K119" s="240"/>
      <c r="M119" s="241">
        <f>K$48</f>
        <v>98.012500000000003</v>
      </c>
      <c r="N119" s="241"/>
      <c r="O119" s="241">
        <f>M$48</f>
        <v>97.454999999999998</v>
      </c>
      <c r="P119" s="241"/>
      <c r="Q119" s="241">
        <f>O$48</f>
        <v>96.45</v>
      </c>
      <c r="R119" s="241"/>
      <c r="AN119" s="6"/>
    </row>
    <row r="120" spans="2:40" ht="12" customHeight="1">
      <c r="B120" s="5"/>
      <c r="F120" t="s">
        <v>382</v>
      </c>
      <c r="G120" s="240">
        <f>IF('Filtered Data'!H8="%%",(AVERAGEIF('Filtered Data'!AA$10:AA$333,$F120,'Filtered Data'!M$10:M$333))*100,(AVERAGEIF('Filtered Data'!AA$10:AA$333,$F120,'Filtered Data'!M$10:M$333)))</f>
        <v>96.591999999999985</v>
      </c>
      <c r="H120" s="240"/>
      <c r="I120" s="240"/>
      <c r="J120" s="240"/>
      <c r="K120" s="240"/>
      <c r="M120" s="241">
        <f>K$48</f>
        <v>98.012500000000003</v>
      </c>
      <c r="N120" s="241"/>
      <c r="O120" s="241">
        <f>M$48</f>
        <v>97.454999999999998</v>
      </c>
      <c r="P120" s="241"/>
      <c r="Q120" s="241">
        <f>O$48</f>
        <v>96.45</v>
      </c>
      <c r="R120" s="241"/>
      <c r="AN120" s="6"/>
    </row>
    <row r="121" spans="2:40" ht="12" customHeight="1">
      <c r="B121" s="5"/>
      <c r="F121" t="s">
        <v>891</v>
      </c>
      <c r="G121" s="240">
        <f>IF('Filtered Data'!H8="%%",(AVERAGEIF('Filtered Data'!AA$10:AA$333,$F121,'Filtered Data'!M$10:M$333))*100,(AVERAGEIF('Filtered Data'!AA$10:AA$333,$F121,'Filtered Data'!M$10:M$333)))</f>
        <v>97.14371428571431</v>
      </c>
      <c r="H121" s="240"/>
      <c r="I121" s="240"/>
      <c r="J121" s="240"/>
      <c r="K121" s="240"/>
      <c r="M121" s="241">
        <f>K$48</f>
        <v>98.012500000000003</v>
      </c>
      <c r="N121" s="241"/>
      <c r="O121" s="241">
        <f>M$48</f>
        <v>97.454999999999998</v>
      </c>
      <c r="P121" s="241"/>
      <c r="Q121" s="241">
        <f>O$48</f>
        <v>96.45</v>
      </c>
      <c r="R121" s="241"/>
      <c r="AN121" s="6"/>
    </row>
    <row r="122" spans="2:40" ht="12" customHeight="1">
      <c r="B122" s="5"/>
      <c r="G122" s="240"/>
      <c r="H122" s="240"/>
      <c r="I122" s="240"/>
      <c r="J122" s="240"/>
      <c r="K122" s="240"/>
      <c r="M122" s="241"/>
      <c r="N122" s="241"/>
      <c r="O122" s="241"/>
      <c r="P122" s="241"/>
      <c r="Q122" s="241"/>
      <c r="R122" s="241"/>
      <c r="AN122" s="6"/>
    </row>
    <row r="123" spans="2:40" ht="12" customHeight="1">
      <c r="B123" s="5"/>
      <c r="G123" s="240"/>
      <c r="H123" s="240"/>
      <c r="I123" s="240"/>
      <c r="J123" s="240"/>
      <c r="K123" s="240"/>
      <c r="M123" s="241"/>
      <c r="N123" s="241"/>
      <c r="O123" s="241"/>
      <c r="P123" s="241"/>
      <c r="Q123" s="241"/>
      <c r="R123" s="241"/>
      <c r="AN123" s="6"/>
    </row>
    <row r="124" spans="2:40" ht="12" customHeight="1">
      <c r="B124" s="5"/>
      <c r="G124" s="240"/>
      <c r="H124" s="240"/>
      <c r="I124" s="240"/>
      <c r="J124" s="240"/>
      <c r="K124" s="240"/>
      <c r="M124" s="241"/>
      <c r="N124" s="241"/>
      <c r="O124" s="241"/>
      <c r="P124" s="241"/>
      <c r="Q124" s="241"/>
      <c r="R124" s="241"/>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887</v>
      </c>
    </row>
    <row r="137" spans="2:40" ht="13.8" thickBot="1"/>
    <row r="138" spans="2:40">
      <c r="B138" s="216" t="s">
        <v>888</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234"/>
      <c r="C139" s="235"/>
      <c r="D139" s="235"/>
      <c r="E139" s="235"/>
      <c r="F139" s="235"/>
      <c r="G139" s="235"/>
      <c r="H139" s="235"/>
      <c r="I139" s="235"/>
      <c r="J139" s="235"/>
      <c r="K139" s="235"/>
      <c r="L139" s="235"/>
      <c r="M139" s="235"/>
      <c r="N139" s="235"/>
      <c r="O139" s="235"/>
      <c r="P139" s="235"/>
      <c r="Q139" s="235"/>
      <c r="R139" s="235"/>
      <c r="S139" s="235"/>
      <c r="T139" s="235"/>
      <c r="U139" s="235"/>
      <c r="V139" s="235"/>
      <c r="W139" s="235"/>
      <c r="X139" s="235"/>
      <c r="Y139" s="235"/>
      <c r="Z139" s="235"/>
      <c r="AA139" s="235"/>
      <c r="AB139" s="235"/>
      <c r="AC139" s="235"/>
      <c r="AD139" s="235"/>
      <c r="AE139" s="235"/>
      <c r="AF139" s="235"/>
      <c r="AG139" s="235"/>
      <c r="AH139" s="235"/>
      <c r="AI139" s="235"/>
      <c r="AJ139" s="235"/>
      <c r="AK139" s="235"/>
      <c r="AL139" s="235"/>
      <c r="AM139" s="235"/>
      <c r="AN139" s="236"/>
    </row>
    <row r="140" spans="2:40">
      <c r="B140" s="234"/>
      <c r="C140" s="235"/>
      <c r="D140" s="235"/>
      <c r="E140" s="235"/>
      <c r="F140" s="235"/>
      <c r="G140" s="235"/>
      <c r="H140" s="235"/>
      <c r="I140" s="235"/>
      <c r="J140" s="235"/>
      <c r="K140" s="235"/>
      <c r="L140" s="235"/>
      <c r="M140" s="235"/>
      <c r="N140" s="235"/>
      <c r="O140" s="235"/>
      <c r="P140" s="235"/>
      <c r="Q140" s="235"/>
      <c r="R140" s="235"/>
      <c r="S140" s="235"/>
      <c r="T140" s="235"/>
      <c r="U140" s="235"/>
      <c r="V140" s="235"/>
      <c r="W140" s="235"/>
      <c r="X140" s="235"/>
      <c r="Y140" s="235"/>
      <c r="Z140" s="235"/>
      <c r="AA140" s="235"/>
      <c r="AB140" s="235"/>
      <c r="AC140" s="235"/>
      <c r="AD140" s="235"/>
      <c r="AE140" s="235"/>
      <c r="AF140" s="235"/>
      <c r="AG140" s="235"/>
      <c r="AH140" s="235"/>
      <c r="AI140" s="235"/>
      <c r="AJ140" s="235"/>
      <c r="AK140" s="235"/>
      <c r="AL140" s="235"/>
      <c r="AM140" s="235"/>
      <c r="AN140" s="236"/>
    </row>
    <row r="141" spans="2:40">
      <c r="B141" s="234"/>
      <c r="C141" s="235"/>
      <c r="D141" s="235"/>
      <c r="E141" s="235"/>
      <c r="F141" s="235"/>
      <c r="G141" s="235"/>
      <c r="H141" s="235"/>
      <c r="I141" s="235"/>
      <c r="J141" s="235"/>
      <c r="K141" s="235"/>
      <c r="L141" s="235"/>
      <c r="M141" s="235"/>
      <c r="N141" s="235"/>
      <c r="O141" s="235"/>
      <c r="P141" s="235"/>
      <c r="Q141" s="235"/>
      <c r="R141" s="235"/>
      <c r="S141" s="235"/>
      <c r="T141" s="235"/>
      <c r="U141" s="235"/>
      <c r="V141" s="235"/>
      <c r="W141" s="235"/>
      <c r="X141" s="235"/>
      <c r="Y141" s="235"/>
      <c r="Z141" s="235"/>
      <c r="AA141" s="235"/>
      <c r="AB141" s="235"/>
      <c r="AC141" s="235"/>
      <c r="AD141" s="235"/>
      <c r="AE141" s="235"/>
      <c r="AF141" s="235"/>
      <c r="AG141" s="235"/>
      <c r="AH141" s="235"/>
      <c r="AI141" s="235"/>
      <c r="AJ141" s="235"/>
      <c r="AK141" s="235"/>
      <c r="AL141" s="235"/>
      <c r="AM141" s="235"/>
      <c r="AN141" s="236"/>
    </row>
    <row r="142" spans="2:40">
      <c r="B142" s="234"/>
      <c r="C142" s="235"/>
      <c r="D142" s="235"/>
      <c r="E142" s="235"/>
      <c r="F142" s="235"/>
      <c r="G142" s="235"/>
      <c r="H142" s="235"/>
      <c r="I142" s="235"/>
      <c r="J142" s="235"/>
      <c r="K142" s="235"/>
      <c r="L142" s="235"/>
      <c r="M142" s="235"/>
      <c r="N142" s="235"/>
      <c r="O142" s="235"/>
      <c r="P142" s="235"/>
      <c r="Q142" s="235"/>
      <c r="R142" s="235"/>
      <c r="S142" s="235"/>
      <c r="T142" s="235"/>
      <c r="U142" s="235"/>
      <c r="V142" s="235"/>
      <c r="W142" s="235"/>
      <c r="X142" s="235"/>
      <c r="Y142" s="235"/>
      <c r="Z142" s="235"/>
      <c r="AA142" s="235"/>
      <c r="AB142" s="235"/>
      <c r="AC142" s="235"/>
      <c r="AD142" s="235"/>
      <c r="AE142" s="235"/>
      <c r="AF142" s="235"/>
      <c r="AG142" s="235"/>
      <c r="AH142" s="235"/>
      <c r="AI142" s="235"/>
      <c r="AJ142" s="235"/>
      <c r="AK142" s="235"/>
      <c r="AL142" s="235"/>
      <c r="AM142" s="235"/>
      <c r="AN142" s="236"/>
    </row>
    <row r="143" spans="2:40">
      <c r="B143" s="234"/>
      <c r="C143" s="235"/>
      <c r="D143" s="235"/>
      <c r="E143" s="235"/>
      <c r="F143" s="235"/>
      <c r="G143" s="235"/>
      <c r="H143" s="235"/>
      <c r="I143" s="235"/>
      <c r="J143" s="235"/>
      <c r="K143" s="235"/>
      <c r="L143" s="235"/>
      <c r="M143" s="235"/>
      <c r="N143" s="235"/>
      <c r="O143" s="235"/>
      <c r="P143" s="235"/>
      <c r="Q143" s="235"/>
      <c r="R143" s="235"/>
      <c r="S143" s="235"/>
      <c r="T143" s="235"/>
      <c r="U143" s="235"/>
      <c r="V143" s="235"/>
      <c r="W143" s="235"/>
      <c r="X143" s="235"/>
      <c r="Y143" s="235"/>
      <c r="Z143" s="235"/>
      <c r="AA143" s="235"/>
      <c r="AB143" s="235"/>
      <c r="AC143" s="235"/>
      <c r="AD143" s="235"/>
      <c r="AE143" s="235"/>
      <c r="AF143" s="235"/>
      <c r="AG143" s="235"/>
      <c r="AH143" s="235"/>
      <c r="AI143" s="235"/>
      <c r="AJ143" s="235"/>
      <c r="AK143" s="235"/>
      <c r="AL143" s="235"/>
      <c r="AM143" s="235"/>
      <c r="AN143" s="236"/>
    </row>
    <row r="144" spans="2:40">
      <c r="B144" s="234"/>
      <c r="C144" s="235"/>
      <c r="D144" s="235"/>
      <c r="E144" s="235"/>
      <c r="F144" s="235"/>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6"/>
    </row>
    <row r="145" spans="2:40">
      <c r="B145" s="234"/>
      <c r="C145" s="235"/>
      <c r="D145" s="235"/>
      <c r="E145" s="235"/>
      <c r="F145" s="235"/>
      <c r="G145" s="235"/>
      <c r="H145" s="235"/>
      <c r="I145" s="235"/>
      <c r="J145" s="235"/>
      <c r="K145" s="235"/>
      <c r="L145" s="235"/>
      <c r="M145" s="235"/>
      <c r="N145" s="235"/>
      <c r="O145" s="235"/>
      <c r="P145" s="235"/>
      <c r="Q145" s="235"/>
      <c r="R145" s="235"/>
      <c r="S145" s="235"/>
      <c r="T145" s="235"/>
      <c r="U145" s="235"/>
      <c r="V145" s="235"/>
      <c r="W145" s="235"/>
      <c r="X145" s="235"/>
      <c r="Y145" s="235"/>
      <c r="Z145" s="235"/>
      <c r="AA145" s="235"/>
      <c r="AB145" s="235"/>
      <c r="AC145" s="235"/>
      <c r="AD145" s="235"/>
      <c r="AE145" s="235"/>
      <c r="AF145" s="235"/>
      <c r="AG145" s="235"/>
      <c r="AH145" s="235"/>
      <c r="AI145" s="235"/>
      <c r="AJ145" s="235"/>
      <c r="AK145" s="235"/>
      <c r="AL145" s="235"/>
      <c r="AM145" s="235"/>
      <c r="AN145" s="236"/>
    </row>
    <row r="146" spans="2:40">
      <c r="B146" s="234"/>
      <c r="C146" s="235"/>
      <c r="D146" s="235"/>
      <c r="E146" s="235"/>
      <c r="F146" s="235"/>
      <c r="G146" s="235"/>
      <c r="H146" s="235"/>
      <c r="I146" s="235"/>
      <c r="J146" s="235"/>
      <c r="K146" s="235"/>
      <c r="L146" s="235"/>
      <c r="M146" s="235"/>
      <c r="N146" s="235"/>
      <c r="O146" s="235"/>
      <c r="P146" s="235"/>
      <c r="Q146" s="235"/>
      <c r="R146" s="235"/>
      <c r="S146" s="235"/>
      <c r="T146" s="235"/>
      <c r="U146" s="235"/>
      <c r="V146" s="235"/>
      <c r="W146" s="235"/>
      <c r="X146" s="235"/>
      <c r="Y146" s="235"/>
      <c r="Z146" s="235"/>
      <c r="AA146" s="235"/>
      <c r="AB146" s="235"/>
      <c r="AC146" s="235"/>
      <c r="AD146" s="235"/>
      <c r="AE146" s="235"/>
      <c r="AF146" s="235"/>
      <c r="AG146" s="235"/>
      <c r="AH146" s="235"/>
      <c r="AI146" s="235"/>
      <c r="AJ146" s="235"/>
      <c r="AK146" s="235"/>
      <c r="AL146" s="235"/>
      <c r="AM146" s="235"/>
      <c r="AN146" s="236"/>
    </row>
    <row r="147" spans="2:40">
      <c r="B147" s="234"/>
      <c r="C147" s="235"/>
      <c r="D147" s="235"/>
      <c r="E147" s="235"/>
      <c r="F147" s="235"/>
      <c r="G147" s="235"/>
      <c r="H147" s="235"/>
      <c r="I147" s="235"/>
      <c r="J147" s="235"/>
      <c r="K147" s="235"/>
      <c r="L147" s="235"/>
      <c r="M147" s="235"/>
      <c r="N147" s="235"/>
      <c r="O147" s="235"/>
      <c r="P147" s="235"/>
      <c r="Q147" s="235"/>
      <c r="R147" s="235"/>
      <c r="S147" s="235"/>
      <c r="T147" s="235"/>
      <c r="U147" s="235"/>
      <c r="V147" s="235"/>
      <c r="W147" s="235"/>
      <c r="X147" s="235"/>
      <c r="Y147" s="235"/>
      <c r="Z147" s="235"/>
      <c r="AA147" s="235"/>
      <c r="AB147" s="235"/>
      <c r="AC147" s="235"/>
      <c r="AD147" s="235"/>
      <c r="AE147" s="235"/>
      <c r="AF147" s="235"/>
      <c r="AG147" s="235"/>
      <c r="AH147" s="235"/>
      <c r="AI147" s="235"/>
      <c r="AJ147" s="235"/>
      <c r="AK147" s="235"/>
      <c r="AL147" s="235"/>
      <c r="AM147" s="235"/>
      <c r="AN147" s="236"/>
    </row>
    <row r="148" spans="2:40">
      <c r="B148" s="234"/>
      <c r="C148" s="235"/>
      <c r="D148" s="235"/>
      <c r="E148" s="235"/>
      <c r="F148" s="235"/>
      <c r="G148" s="235"/>
      <c r="H148" s="235"/>
      <c r="I148" s="235"/>
      <c r="J148" s="235"/>
      <c r="K148" s="235"/>
      <c r="L148" s="235"/>
      <c r="M148" s="235"/>
      <c r="N148" s="235"/>
      <c r="O148" s="235"/>
      <c r="P148" s="235"/>
      <c r="Q148" s="235"/>
      <c r="R148" s="235"/>
      <c r="S148" s="235"/>
      <c r="T148" s="235"/>
      <c r="U148" s="235"/>
      <c r="V148" s="235"/>
      <c r="W148" s="235"/>
      <c r="X148" s="235"/>
      <c r="Y148" s="235"/>
      <c r="Z148" s="235"/>
      <c r="AA148" s="235"/>
      <c r="AB148" s="235"/>
      <c r="AC148" s="235"/>
      <c r="AD148" s="235"/>
      <c r="AE148" s="235"/>
      <c r="AF148" s="235"/>
      <c r="AG148" s="235"/>
      <c r="AH148" s="235"/>
      <c r="AI148" s="235"/>
      <c r="AJ148" s="235"/>
      <c r="AK148" s="235"/>
      <c r="AL148" s="235"/>
      <c r="AM148" s="235"/>
      <c r="AN148" s="236"/>
    </row>
    <row r="149" spans="2:40">
      <c r="B149" s="234"/>
      <c r="C149" s="235"/>
      <c r="D149" s="235"/>
      <c r="E149" s="235"/>
      <c r="F149" s="235"/>
      <c r="G149" s="235"/>
      <c r="H149" s="235"/>
      <c r="I149" s="235"/>
      <c r="J149" s="235"/>
      <c r="K149" s="235"/>
      <c r="L149" s="235"/>
      <c r="M149" s="235"/>
      <c r="N149" s="235"/>
      <c r="O149" s="235"/>
      <c r="P149" s="235"/>
      <c r="Q149" s="235"/>
      <c r="R149" s="235"/>
      <c r="S149" s="235"/>
      <c r="T149" s="235"/>
      <c r="U149" s="235"/>
      <c r="V149" s="235"/>
      <c r="W149" s="235"/>
      <c r="X149" s="235"/>
      <c r="Y149" s="235"/>
      <c r="Z149" s="235"/>
      <c r="AA149" s="235"/>
      <c r="AB149" s="235"/>
      <c r="AC149" s="235"/>
      <c r="AD149" s="235"/>
      <c r="AE149" s="235"/>
      <c r="AF149" s="235"/>
      <c r="AG149" s="235"/>
      <c r="AH149" s="235"/>
      <c r="AI149" s="235"/>
      <c r="AJ149" s="235"/>
      <c r="AK149" s="235"/>
      <c r="AL149" s="235"/>
      <c r="AM149" s="235"/>
      <c r="AN149" s="236"/>
    </row>
    <row r="150" spans="2:40">
      <c r="B150" s="234"/>
      <c r="C150" s="235"/>
      <c r="D150" s="235"/>
      <c r="E150" s="235"/>
      <c r="F150" s="235"/>
      <c r="G150" s="235"/>
      <c r="H150" s="235"/>
      <c r="I150" s="235"/>
      <c r="J150" s="235"/>
      <c r="K150" s="235"/>
      <c r="L150" s="235"/>
      <c r="M150" s="235"/>
      <c r="N150" s="235"/>
      <c r="O150" s="235"/>
      <c r="P150" s="235"/>
      <c r="Q150" s="235"/>
      <c r="R150" s="235"/>
      <c r="S150" s="235"/>
      <c r="T150" s="235"/>
      <c r="U150" s="235"/>
      <c r="V150" s="235"/>
      <c r="W150" s="235"/>
      <c r="X150" s="235"/>
      <c r="Y150" s="235"/>
      <c r="Z150" s="235"/>
      <c r="AA150" s="235"/>
      <c r="AB150" s="235"/>
      <c r="AC150" s="235"/>
      <c r="AD150" s="235"/>
      <c r="AE150" s="235"/>
      <c r="AF150" s="235"/>
      <c r="AG150" s="235"/>
      <c r="AH150" s="235"/>
      <c r="AI150" s="235"/>
      <c r="AJ150" s="235"/>
      <c r="AK150" s="235"/>
      <c r="AL150" s="235"/>
      <c r="AM150" s="235"/>
      <c r="AN150" s="236"/>
    </row>
    <row r="151" spans="2:40">
      <c r="B151" s="234"/>
      <c r="C151" s="235"/>
      <c r="D151" s="235"/>
      <c r="E151" s="235"/>
      <c r="F151" s="235"/>
      <c r="G151" s="235"/>
      <c r="H151" s="235"/>
      <c r="I151" s="235"/>
      <c r="J151" s="235"/>
      <c r="K151" s="235"/>
      <c r="L151" s="235"/>
      <c r="M151" s="235"/>
      <c r="N151" s="235"/>
      <c r="O151" s="235"/>
      <c r="P151" s="235"/>
      <c r="Q151" s="235"/>
      <c r="R151" s="235"/>
      <c r="S151" s="235"/>
      <c r="T151" s="235"/>
      <c r="U151" s="235"/>
      <c r="V151" s="235"/>
      <c r="W151" s="235"/>
      <c r="X151" s="235"/>
      <c r="Y151" s="235"/>
      <c r="Z151" s="235"/>
      <c r="AA151" s="235"/>
      <c r="AB151" s="235"/>
      <c r="AC151" s="235"/>
      <c r="AD151" s="235"/>
      <c r="AE151" s="235"/>
      <c r="AF151" s="235"/>
      <c r="AG151" s="235"/>
      <c r="AH151" s="235"/>
      <c r="AI151" s="235"/>
      <c r="AJ151" s="235"/>
      <c r="AK151" s="235"/>
      <c r="AL151" s="235"/>
      <c r="AM151" s="235"/>
      <c r="AN151" s="236"/>
    </row>
    <row r="152" spans="2:40">
      <c r="B152" s="234"/>
      <c r="C152" s="235"/>
      <c r="D152" s="235"/>
      <c r="E152" s="235"/>
      <c r="F152" s="235"/>
      <c r="G152" s="235"/>
      <c r="H152" s="235"/>
      <c r="I152" s="235"/>
      <c r="J152" s="235"/>
      <c r="K152" s="235"/>
      <c r="L152" s="235"/>
      <c r="M152" s="235"/>
      <c r="N152" s="235"/>
      <c r="O152" s="235"/>
      <c r="P152" s="235"/>
      <c r="Q152" s="235"/>
      <c r="R152" s="235"/>
      <c r="S152" s="235"/>
      <c r="T152" s="235"/>
      <c r="U152" s="235"/>
      <c r="V152" s="235"/>
      <c r="W152" s="235"/>
      <c r="X152" s="235"/>
      <c r="Y152" s="235"/>
      <c r="Z152" s="235"/>
      <c r="AA152" s="235"/>
      <c r="AB152" s="235"/>
      <c r="AC152" s="235"/>
      <c r="AD152" s="235"/>
      <c r="AE152" s="235"/>
      <c r="AF152" s="235"/>
      <c r="AG152" s="235"/>
      <c r="AH152" s="235"/>
      <c r="AI152" s="235"/>
      <c r="AJ152" s="235"/>
      <c r="AK152" s="235"/>
      <c r="AL152" s="235"/>
      <c r="AM152" s="235"/>
      <c r="AN152" s="236"/>
    </row>
    <row r="153" spans="2:40">
      <c r="B153" s="234"/>
      <c r="C153" s="235"/>
      <c r="D153" s="235"/>
      <c r="E153" s="235"/>
      <c r="F153" s="235"/>
      <c r="G153" s="235"/>
      <c r="H153" s="235"/>
      <c r="I153" s="235"/>
      <c r="J153" s="235"/>
      <c r="K153" s="235"/>
      <c r="L153" s="235"/>
      <c r="M153" s="235"/>
      <c r="N153" s="235"/>
      <c r="O153" s="235"/>
      <c r="P153" s="235"/>
      <c r="Q153" s="235"/>
      <c r="R153" s="235"/>
      <c r="S153" s="235"/>
      <c r="T153" s="235"/>
      <c r="U153" s="235"/>
      <c r="V153" s="235"/>
      <c r="W153" s="235"/>
      <c r="X153" s="235"/>
      <c r="Y153" s="235"/>
      <c r="Z153" s="235"/>
      <c r="AA153" s="235"/>
      <c r="AB153" s="235"/>
      <c r="AC153" s="235"/>
      <c r="AD153" s="235"/>
      <c r="AE153" s="235"/>
      <c r="AF153" s="235"/>
      <c r="AG153" s="235"/>
      <c r="AH153" s="235"/>
      <c r="AI153" s="235"/>
      <c r="AJ153" s="235"/>
      <c r="AK153" s="235"/>
      <c r="AL153" s="235"/>
      <c r="AM153" s="235"/>
      <c r="AN153" s="236"/>
    </row>
    <row r="154" spans="2:40">
      <c r="B154" s="234"/>
      <c r="C154" s="235"/>
      <c r="D154" s="235"/>
      <c r="E154" s="235"/>
      <c r="F154" s="235"/>
      <c r="G154" s="235"/>
      <c r="H154" s="235"/>
      <c r="I154" s="235"/>
      <c r="J154" s="235"/>
      <c r="K154" s="235"/>
      <c r="L154" s="235"/>
      <c r="M154" s="235"/>
      <c r="N154" s="235"/>
      <c r="O154" s="235"/>
      <c r="P154" s="235"/>
      <c r="Q154" s="235"/>
      <c r="R154" s="235"/>
      <c r="S154" s="235"/>
      <c r="T154" s="235"/>
      <c r="U154" s="235"/>
      <c r="V154" s="235"/>
      <c r="W154" s="235"/>
      <c r="X154" s="235"/>
      <c r="Y154" s="235"/>
      <c r="Z154" s="235"/>
      <c r="AA154" s="235"/>
      <c r="AB154" s="235"/>
      <c r="AC154" s="235"/>
      <c r="AD154" s="235"/>
      <c r="AE154" s="235"/>
      <c r="AF154" s="235"/>
      <c r="AG154" s="235"/>
      <c r="AH154" s="235"/>
      <c r="AI154" s="235"/>
      <c r="AJ154" s="235"/>
      <c r="AK154" s="235"/>
      <c r="AL154" s="235"/>
      <c r="AM154" s="235"/>
      <c r="AN154" s="236"/>
    </row>
    <row r="155" spans="2:40">
      <c r="B155" s="234"/>
      <c r="C155" s="235"/>
      <c r="D155" s="235"/>
      <c r="E155" s="235"/>
      <c r="F155" s="235"/>
      <c r="G155" s="235"/>
      <c r="H155" s="235"/>
      <c r="I155" s="235"/>
      <c r="J155" s="235"/>
      <c r="K155" s="235"/>
      <c r="L155" s="235"/>
      <c r="M155" s="235"/>
      <c r="N155" s="235"/>
      <c r="O155" s="235"/>
      <c r="P155" s="235"/>
      <c r="Q155" s="235"/>
      <c r="R155" s="235"/>
      <c r="S155" s="235"/>
      <c r="T155" s="235"/>
      <c r="U155" s="235"/>
      <c r="V155" s="235"/>
      <c r="W155" s="235"/>
      <c r="X155" s="235"/>
      <c r="Y155" s="235"/>
      <c r="Z155" s="235"/>
      <c r="AA155" s="235"/>
      <c r="AB155" s="235"/>
      <c r="AC155" s="235"/>
      <c r="AD155" s="235"/>
      <c r="AE155" s="235"/>
      <c r="AF155" s="235"/>
      <c r="AG155" s="235"/>
      <c r="AH155" s="235"/>
      <c r="AI155" s="235"/>
      <c r="AJ155" s="235"/>
      <c r="AK155" s="235"/>
      <c r="AL155" s="235"/>
      <c r="AM155" s="235"/>
      <c r="AN155" s="236"/>
    </row>
    <row r="156" spans="2:40">
      <c r="B156" s="234"/>
      <c r="C156" s="235"/>
      <c r="D156" s="235"/>
      <c r="E156" s="235"/>
      <c r="F156" s="235"/>
      <c r="G156" s="235"/>
      <c r="H156" s="235"/>
      <c r="I156" s="235"/>
      <c r="J156" s="235"/>
      <c r="K156" s="235"/>
      <c r="L156" s="235"/>
      <c r="M156" s="235"/>
      <c r="N156" s="235"/>
      <c r="O156" s="235"/>
      <c r="P156" s="235"/>
      <c r="Q156" s="235"/>
      <c r="R156" s="235"/>
      <c r="S156" s="235"/>
      <c r="T156" s="235"/>
      <c r="U156" s="235"/>
      <c r="V156" s="235"/>
      <c r="W156" s="235"/>
      <c r="X156" s="235"/>
      <c r="Y156" s="235"/>
      <c r="Z156" s="235"/>
      <c r="AA156" s="235"/>
      <c r="AB156" s="235"/>
      <c r="AC156" s="235"/>
      <c r="AD156" s="235"/>
      <c r="AE156" s="235"/>
      <c r="AF156" s="235"/>
      <c r="AG156" s="235"/>
      <c r="AH156" s="235"/>
      <c r="AI156" s="235"/>
      <c r="AJ156" s="235"/>
      <c r="AK156" s="235"/>
      <c r="AL156" s="235"/>
      <c r="AM156" s="235"/>
      <c r="AN156" s="236"/>
    </row>
    <row r="157" spans="2:40">
      <c r="B157" s="234"/>
      <c r="C157" s="235"/>
      <c r="D157" s="235"/>
      <c r="E157" s="235"/>
      <c r="F157" s="235"/>
      <c r="G157" s="235"/>
      <c r="H157" s="235"/>
      <c r="I157" s="235"/>
      <c r="J157" s="235"/>
      <c r="K157" s="235"/>
      <c r="L157" s="235"/>
      <c r="M157" s="235"/>
      <c r="N157" s="235"/>
      <c r="O157" s="235"/>
      <c r="P157" s="235"/>
      <c r="Q157" s="235"/>
      <c r="R157" s="235"/>
      <c r="S157" s="235"/>
      <c r="T157" s="235"/>
      <c r="U157" s="235"/>
      <c r="V157" s="235"/>
      <c r="W157" s="235"/>
      <c r="X157" s="235"/>
      <c r="Y157" s="235"/>
      <c r="Z157" s="235"/>
      <c r="AA157" s="235"/>
      <c r="AB157" s="235"/>
      <c r="AC157" s="235"/>
      <c r="AD157" s="235"/>
      <c r="AE157" s="235"/>
      <c r="AF157" s="235"/>
      <c r="AG157" s="235"/>
      <c r="AH157" s="235"/>
      <c r="AI157" s="235"/>
      <c r="AJ157" s="235"/>
      <c r="AK157" s="235"/>
      <c r="AL157" s="235"/>
      <c r="AM157" s="235"/>
      <c r="AN157" s="236"/>
    </row>
    <row r="158" spans="2:40">
      <c r="B158" s="234"/>
      <c r="C158" s="235"/>
      <c r="D158" s="235"/>
      <c r="E158" s="235"/>
      <c r="F158" s="235"/>
      <c r="G158" s="235"/>
      <c r="H158" s="235"/>
      <c r="I158" s="235"/>
      <c r="J158" s="235"/>
      <c r="K158" s="235"/>
      <c r="L158" s="235"/>
      <c r="M158" s="235"/>
      <c r="N158" s="235"/>
      <c r="O158" s="235"/>
      <c r="P158" s="235"/>
      <c r="Q158" s="235"/>
      <c r="R158" s="235"/>
      <c r="S158" s="235"/>
      <c r="T158" s="235"/>
      <c r="U158" s="235"/>
      <c r="V158" s="235"/>
      <c r="W158" s="235"/>
      <c r="X158" s="235"/>
      <c r="Y158" s="235"/>
      <c r="Z158" s="235"/>
      <c r="AA158" s="235"/>
      <c r="AB158" s="235"/>
      <c r="AC158" s="235"/>
      <c r="AD158" s="235"/>
      <c r="AE158" s="235"/>
      <c r="AF158" s="235"/>
      <c r="AG158" s="235"/>
      <c r="AH158" s="235"/>
      <c r="AI158" s="235"/>
      <c r="AJ158" s="235"/>
      <c r="AK158" s="235"/>
      <c r="AL158" s="235"/>
      <c r="AM158" s="235"/>
      <c r="AN158" s="236"/>
    </row>
    <row r="159" spans="2:40">
      <c r="B159" s="234"/>
      <c r="C159" s="235"/>
      <c r="D159" s="235"/>
      <c r="E159" s="235"/>
      <c r="F159" s="235"/>
      <c r="G159" s="235"/>
      <c r="H159" s="235"/>
      <c r="I159" s="235"/>
      <c r="J159" s="235"/>
      <c r="K159" s="235"/>
      <c r="L159" s="235"/>
      <c r="M159" s="235"/>
      <c r="N159" s="235"/>
      <c r="O159" s="235"/>
      <c r="P159" s="235"/>
      <c r="Q159" s="235"/>
      <c r="R159" s="235"/>
      <c r="S159" s="235"/>
      <c r="T159" s="235"/>
      <c r="U159" s="235"/>
      <c r="V159" s="235"/>
      <c r="W159" s="235"/>
      <c r="X159" s="235"/>
      <c r="Y159" s="235"/>
      <c r="Z159" s="235"/>
      <c r="AA159" s="235"/>
      <c r="AB159" s="235"/>
      <c r="AC159" s="235"/>
      <c r="AD159" s="235"/>
      <c r="AE159" s="235"/>
      <c r="AF159" s="235"/>
      <c r="AG159" s="235"/>
      <c r="AH159" s="235"/>
      <c r="AI159" s="235"/>
      <c r="AJ159" s="235"/>
      <c r="AK159" s="235"/>
      <c r="AL159" s="235"/>
      <c r="AM159" s="235"/>
      <c r="AN159" s="236"/>
    </row>
    <row r="160" spans="2:40">
      <c r="B160" s="234"/>
      <c r="C160" s="235"/>
      <c r="D160" s="235"/>
      <c r="E160" s="235"/>
      <c r="F160" s="235"/>
      <c r="G160" s="235"/>
      <c r="H160" s="235"/>
      <c r="I160" s="235"/>
      <c r="J160" s="235"/>
      <c r="K160" s="235"/>
      <c r="L160" s="235"/>
      <c r="M160" s="235"/>
      <c r="N160" s="235"/>
      <c r="O160" s="235"/>
      <c r="P160" s="235"/>
      <c r="Q160" s="235"/>
      <c r="R160" s="235"/>
      <c r="S160" s="235"/>
      <c r="T160" s="235"/>
      <c r="U160" s="235"/>
      <c r="V160" s="235"/>
      <c r="W160" s="235"/>
      <c r="X160" s="235"/>
      <c r="Y160" s="235"/>
      <c r="Z160" s="235"/>
      <c r="AA160" s="235"/>
      <c r="AB160" s="235"/>
      <c r="AC160" s="235"/>
      <c r="AD160" s="235"/>
      <c r="AE160" s="235"/>
      <c r="AF160" s="235"/>
      <c r="AG160" s="235"/>
      <c r="AH160" s="235"/>
      <c r="AI160" s="235"/>
      <c r="AJ160" s="235"/>
      <c r="AK160" s="235"/>
      <c r="AL160" s="235"/>
      <c r="AM160" s="235"/>
      <c r="AN160" s="236"/>
    </row>
    <row r="161" spans="2:40">
      <c r="B161" s="234"/>
      <c r="C161" s="235"/>
      <c r="D161" s="235"/>
      <c r="E161" s="235"/>
      <c r="F161" s="235"/>
      <c r="G161" s="235"/>
      <c r="H161" s="235"/>
      <c r="I161" s="235"/>
      <c r="J161" s="235"/>
      <c r="K161" s="235"/>
      <c r="L161" s="235"/>
      <c r="M161" s="235"/>
      <c r="N161" s="235"/>
      <c r="O161" s="235"/>
      <c r="P161" s="235"/>
      <c r="Q161" s="235"/>
      <c r="R161" s="235"/>
      <c r="S161" s="235"/>
      <c r="T161" s="235"/>
      <c r="U161" s="235"/>
      <c r="V161" s="235"/>
      <c r="W161" s="235"/>
      <c r="X161" s="235"/>
      <c r="Y161" s="235"/>
      <c r="Z161" s="235"/>
      <c r="AA161" s="235"/>
      <c r="AB161" s="235"/>
      <c r="AC161" s="235"/>
      <c r="AD161" s="235"/>
      <c r="AE161" s="235"/>
      <c r="AF161" s="235"/>
      <c r="AG161" s="235"/>
      <c r="AH161" s="235"/>
      <c r="AI161" s="235"/>
      <c r="AJ161" s="235"/>
      <c r="AK161" s="235"/>
      <c r="AL161" s="235"/>
      <c r="AM161" s="235"/>
      <c r="AN161" s="236"/>
    </row>
    <row r="162" spans="2:40">
      <c r="B162" s="234"/>
      <c r="C162" s="235"/>
      <c r="D162" s="235"/>
      <c r="E162" s="235"/>
      <c r="F162" s="235"/>
      <c r="G162" s="235"/>
      <c r="H162" s="235"/>
      <c r="I162" s="235"/>
      <c r="J162" s="235"/>
      <c r="K162" s="235"/>
      <c r="L162" s="235"/>
      <c r="M162" s="235"/>
      <c r="N162" s="235"/>
      <c r="O162" s="235"/>
      <c r="P162" s="235"/>
      <c r="Q162" s="235"/>
      <c r="R162" s="235"/>
      <c r="S162" s="235"/>
      <c r="T162" s="235"/>
      <c r="U162" s="235"/>
      <c r="V162" s="235"/>
      <c r="W162" s="235"/>
      <c r="X162" s="235"/>
      <c r="Y162" s="235"/>
      <c r="Z162" s="235"/>
      <c r="AA162" s="235"/>
      <c r="AB162" s="235"/>
      <c r="AC162" s="235"/>
      <c r="AD162" s="235"/>
      <c r="AE162" s="235"/>
      <c r="AF162" s="235"/>
      <c r="AG162" s="235"/>
      <c r="AH162" s="235"/>
      <c r="AI162" s="235"/>
      <c r="AJ162" s="235"/>
      <c r="AK162" s="235"/>
      <c r="AL162" s="235"/>
      <c r="AM162" s="235"/>
      <c r="AN162" s="236"/>
    </row>
    <row r="163" spans="2:40">
      <c r="B163" s="234"/>
      <c r="C163" s="235"/>
      <c r="D163" s="235"/>
      <c r="E163" s="235"/>
      <c r="F163" s="235"/>
      <c r="G163" s="235"/>
      <c r="H163" s="235"/>
      <c r="I163" s="235"/>
      <c r="J163" s="235"/>
      <c r="K163" s="235"/>
      <c r="L163" s="235"/>
      <c r="M163" s="235"/>
      <c r="N163" s="235"/>
      <c r="O163" s="235"/>
      <c r="P163" s="235"/>
      <c r="Q163" s="235"/>
      <c r="R163" s="235"/>
      <c r="S163" s="235"/>
      <c r="T163" s="235"/>
      <c r="U163" s="235"/>
      <c r="V163" s="235"/>
      <c r="W163" s="235"/>
      <c r="X163" s="235"/>
      <c r="Y163" s="235"/>
      <c r="Z163" s="235"/>
      <c r="AA163" s="235"/>
      <c r="AB163" s="235"/>
      <c r="AC163" s="235"/>
      <c r="AD163" s="235"/>
      <c r="AE163" s="235"/>
      <c r="AF163" s="235"/>
      <c r="AG163" s="235"/>
      <c r="AH163" s="235"/>
      <c r="AI163" s="235"/>
      <c r="AJ163" s="235"/>
      <c r="AK163" s="235"/>
      <c r="AL163" s="235"/>
      <c r="AM163" s="235"/>
      <c r="AN163" s="236"/>
    </row>
    <row r="164" spans="2:40">
      <c r="B164" s="234"/>
      <c r="C164" s="235"/>
      <c r="D164" s="235"/>
      <c r="E164" s="235"/>
      <c r="F164" s="235"/>
      <c r="G164" s="235"/>
      <c r="H164" s="235"/>
      <c r="I164" s="235"/>
      <c r="J164" s="235"/>
      <c r="K164" s="235"/>
      <c r="L164" s="235"/>
      <c r="M164" s="235"/>
      <c r="N164" s="235"/>
      <c r="O164" s="235"/>
      <c r="P164" s="235"/>
      <c r="Q164" s="235"/>
      <c r="R164" s="235"/>
      <c r="S164" s="235"/>
      <c r="T164" s="235"/>
      <c r="U164" s="235"/>
      <c r="V164" s="235"/>
      <c r="W164" s="235"/>
      <c r="X164" s="235"/>
      <c r="Y164" s="235"/>
      <c r="Z164" s="235"/>
      <c r="AA164" s="235"/>
      <c r="AB164" s="235"/>
      <c r="AC164" s="235"/>
      <c r="AD164" s="235"/>
      <c r="AE164" s="235"/>
      <c r="AF164" s="235"/>
      <c r="AG164" s="235"/>
      <c r="AH164" s="235"/>
      <c r="AI164" s="235"/>
      <c r="AJ164" s="235"/>
      <c r="AK164" s="235"/>
      <c r="AL164" s="235"/>
      <c r="AM164" s="235"/>
      <c r="AN164" s="236"/>
    </row>
    <row r="165" spans="2:40">
      <c r="B165" s="234"/>
      <c r="C165" s="235"/>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235"/>
      <c r="Z165" s="235"/>
      <c r="AA165" s="235"/>
      <c r="AB165" s="235"/>
      <c r="AC165" s="235"/>
      <c r="AD165" s="235"/>
      <c r="AE165" s="235"/>
      <c r="AF165" s="235"/>
      <c r="AG165" s="235"/>
      <c r="AH165" s="235"/>
      <c r="AI165" s="235"/>
      <c r="AJ165" s="235"/>
      <c r="AK165" s="235"/>
      <c r="AL165" s="235"/>
      <c r="AM165" s="235"/>
      <c r="AN165" s="236"/>
    </row>
    <row r="166" spans="2:40">
      <c r="B166" s="234"/>
      <c r="C166" s="235"/>
      <c r="D166" s="235"/>
      <c r="E166" s="235"/>
      <c r="F166" s="235"/>
      <c r="G166" s="235"/>
      <c r="H166" s="235"/>
      <c r="I166" s="235"/>
      <c r="J166" s="235"/>
      <c r="K166" s="235"/>
      <c r="L166" s="235"/>
      <c r="M166" s="235"/>
      <c r="N166" s="235"/>
      <c r="O166" s="235"/>
      <c r="P166" s="235"/>
      <c r="Q166" s="235"/>
      <c r="R166" s="235"/>
      <c r="S166" s="235"/>
      <c r="T166" s="235"/>
      <c r="U166" s="235"/>
      <c r="V166" s="235"/>
      <c r="W166" s="235"/>
      <c r="X166" s="235"/>
      <c r="Y166" s="235"/>
      <c r="Z166" s="235"/>
      <c r="AA166" s="235"/>
      <c r="AB166" s="235"/>
      <c r="AC166" s="235"/>
      <c r="AD166" s="235"/>
      <c r="AE166" s="235"/>
      <c r="AF166" s="235"/>
      <c r="AG166" s="235"/>
      <c r="AH166" s="235"/>
      <c r="AI166" s="235"/>
      <c r="AJ166" s="235"/>
      <c r="AK166" s="235"/>
      <c r="AL166" s="235"/>
      <c r="AM166" s="235"/>
      <c r="AN166" s="236"/>
    </row>
    <row r="167" spans="2:40">
      <c r="B167" s="234"/>
      <c r="C167" s="235"/>
      <c r="D167" s="235"/>
      <c r="E167" s="235"/>
      <c r="F167" s="235"/>
      <c r="G167" s="235"/>
      <c r="H167" s="235"/>
      <c r="I167" s="235"/>
      <c r="J167" s="235"/>
      <c r="K167" s="235"/>
      <c r="L167" s="235"/>
      <c r="M167" s="235"/>
      <c r="N167" s="235"/>
      <c r="O167" s="235"/>
      <c r="P167" s="235"/>
      <c r="Q167" s="235"/>
      <c r="R167" s="235"/>
      <c r="S167" s="235"/>
      <c r="T167" s="235"/>
      <c r="U167" s="235"/>
      <c r="V167" s="235"/>
      <c r="W167" s="235"/>
      <c r="X167" s="235"/>
      <c r="Y167" s="235"/>
      <c r="Z167" s="235"/>
      <c r="AA167" s="235"/>
      <c r="AB167" s="235"/>
      <c r="AC167" s="235"/>
      <c r="AD167" s="235"/>
      <c r="AE167" s="235"/>
      <c r="AF167" s="235"/>
      <c r="AG167" s="235"/>
      <c r="AH167" s="235"/>
      <c r="AI167" s="235"/>
      <c r="AJ167" s="235"/>
      <c r="AK167" s="235"/>
      <c r="AL167" s="235"/>
      <c r="AM167" s="235"/>
      <c r="AN167" s="236"/>
    </row>
    <row r="168" spans="2:40" ht="13.8" thickBot="1">
      <c r="B168" s="237"/>
      <c r="C168" s="238"/>
      <c r="D168" s="238"/>
      <c r="E168" s="238"/>
      <c r="F168" s="238"/>
      <c r="G168" s="238"/>
      <c r="H168" s="238"/>
      <c r="I168" s="238"/>
      <c r="J168" s="238"/>
      <c r="K168" s="238"/>
      <c r="L168" s="238"/>
      <c r="M168" s="238"/>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238"/>
      <c r="AL168" s="238"/>
      <c r="AM168" s="238"/>
      <c r="AN168" s="239"/>
    </row>
    <row r="169" spans="2:40"/>
  </sheetData>
  <sheetProtection algorithmName="SHA-512" hashValue="CXZZof7+HqaALjNqrIPdBVlB2csIXg+O8KLcKrT8K30PY8Cp4kJO85k6KGN8MzyYQ1IKtBBmR78ovI9EhpTBHw==" saltValue="H0QjEW8DKq093mSlNDiS3Q=="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9"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28" sqref="A328:XFD34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21" t="s">
        <v>824</v>
      </c>
      <c r="U1" s="322"/>
      <c r="V1" s="322"/>
      <c r="W1" s="323"/>
      <c r="X1" s="57"/>
      <c r="AA1" s="321" t="s">
        <v>823</v>
      </c>
      <c r="AB1" s="322"/>
      <c r="AC1" s="322"/>
      <c r="AD1" s="323"/>
      <c r="AE1" s="59"/>
      <c r="AI1" s="57"/>
      <c r="AP1" s="57"/>
      <c r="AQ1" s="68"/>
      <c r="AW1" s="74"/>
      <c r="AY1" s="123"/>
    </row>
    <row r="2" spans="1:735" s="34" customFormat="1">
      <c r="A2" s="52"/>
      <c r="B2" s="52"/>
      <c r="H2" s="70"/>
      <c r="I2" s="70"/>
      <c r="K2" s="57"/>
      <c r="L2" s="34" t="s">
        <v>384</v>
      </c>
      <c r="M2" s="82" t="s">
        <v>412</v>
      </c>
      <c r="N2" s="82" t="s">
        <v>418</v>
      </c>
      <c r="O2" s="82"/>
      <c r="P2" s="83"/>
      <c r="Q2" s="83"/>
      <c r="R2" s="83"/>
      <c r="S2" s="58"/>
      <c r="T2" s="321"/>
      <c r="U2" s="322"/>
      <c r="V2" s="322"/>
      <c r="W2" s="323"/>
      <c r="X2" s="319"/>
      <c r="Y2" s="320"/>
      <c r="Z2" s="320"/>
      <c r="AA2" s="321"/>
      <c r="AB2" s="322"/>
      <c r="AC2" s="322"/>
      <c r="AD2" s="323"/>
      <c r="AE2" s="57"/>
      <c r="AF2" s="60"/>
      <c r="AG2" s="60"/>
      <c r="AI2" s="57"/>
      <c r="AP2" s="57"/>
      <c r="AQ2" s="68"/>
      <c r="AW2" s="74"/>
      <c r="ABG2" s="61" t="s">
        <v>403</v>
      </c>
    </row>
    <row r="3" spans="1:735" s="34" customFormat="1">
      <c r="A3" s="52"/>
      <c r="B3" s="52"/>
      <c r="C3" s="34" t="s">
        <v>406</v>
      </c>
      <c r="D3" s="34" t="str">
        <f>Profile!J5</f>
        <v>Babergh</v>
      </c>
      <c r="F3" s="70" t="str">
        <f>VLOOKUP(D3,classifications!C:G,4,FALSE)</f>
        <v>SD</v>
      </c>
      <c r="G3" s="34" t="str">
        <f>VLOOKUP(D3,classifications!C:E,3,FALSE)</f>
        <v>East of England</v>
      </c>
      <c r="H3" s="76" t="str">
        <f>VLOOKUP(D3,classifications!C:H,6,FALSE)</f>
        <v xml:space="preserve">Predominantly Rural </v>
      </c>
      <c r="I3" s="34" t="str">
        <f>VLOOKUP(D3,classifications!C:J,8,FALSE)</f>
        <v>Suffolk</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Council tax collected by 31 March as a % of amount collectable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2023-24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99.35</v>
      </c>
      <c r="Q7" s="101">
        <f>IF(I8="A",MAX(N11:N333),MIN(N11:N333))</f>
        <v>90.17</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Babergh</v>
      </c>
      <c r="Q8" s="102">
        <f>VLOOKUP(D3,L11:N333,3,FALSE)</f>
        <v>98.11</v>
      </c>
      <c r="R8" s="103" t="str">
        <f>IF(I8="A",IF(Q8&gt;Q10,"Bottom",IF(Q8&gt;P10,"Third",IF(Q8&gt;O10,"Second","Top"))),IF(Q8&gt;=O10,"Top",IF(Q8&gt;=P10,"Second",IF(Q8&gt;=Q10,"Third","Bottom"))))</f>
        <v>Top</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IF($H$8="%.",(AVERAGE(M11:M333))/100,(AVERAGE(M11:M333)))</f>
        <v>0.97075609756097525</v>
      </c>
      <c r="N9" s="81"/>
      <c r="O9" s="84" t="s">
        <v>340</v>
      </c>
      <c r="P9" s="84" t="s">
        <v>351</v>
      </c>
      <c r="Q9" s="84" t="s">
        <v>352</v>
      </c>
      <c r="R9" s="86" t="s">
        <v>399</v>
      </c>
      <c r="S9" s="36"/>
      <c r="T9" s="168" t="s">
        <v>819</v>
      </c>
      <c r="U9" s="169">
        <f>IF($H$8="%.",(AVERAGE(U11:U333))/100,(AVERAGE(U11:U333)))</f>
        <v>0.97616136363636374</v>
      </c>
      <c r="V9" s="170"/>
      <c r="W9" s="170"/>
      <c r="X9" s="79" t="str">
        <f>"Lower Level Ranking for Authorites in "&amp;H3&amp;" &amp; are a "&amp;F3</f>
        <v>Lower Level Ranking for Authorites in Predominantly Rural  &amp; are a SD</v>
      </c>
      <c r="Y9" s="81">
        <f>IF($H$8="%.",(AVERAGE(Y11:Y333))/100,(AVERAGE(Y11:Y333)))</f>
        <v>0.97608983050847453</v>
      </c>
      <c r="Z9" s="80"/>
      <c r="AA9" s="175" t="s">
        <v>378</v>
      </c>
      <c r="AB9" s="169">
        <f>IF($H$8="%.",(AVERAGE(AB11:AB333))/100,(AVERAGE(AB11:AB333)))</f>
        <v>0.97609999999999997</v>
      </c>
      <c r="AC9" s="176"/>
      <c r="AD9" s="176"/>
      <c r="AE9" s="37" t="s">
        <v>408</v>
      </c>
      <c r="AG9" s="81" t="e">
        <f>IF($H$8="%.",(AVERAGE(AG11:AG333))/100,(AVERAGE(AG11:AG333)))</f>
        <v>#N/A</v>
      </c>
      <c r="AI9" s="79" t="str">
        <f>"County Ranking &amp; Top Authorites in "&amp;I3&amp;" &amp; are a "&amp;F3</f>
        <v>County Ranking &amp; Top Authorites in Suffolk &amp; are a SD</v>
      </c>
      <c r="AJ9" s="81">
        <f>IF($H$8="%.",(AVERAGE(AJ11:AJ333))/100,(AVERAGE(AJ11:AJ333)))</f>
        <v>0.97313999999999989</v>
      </c>
      <c r="AK9" s="80"/>
      <c r="AL9" s="44"/>
      <c r="AM9"/>
      <c r="AN9"/>
      <c r="AP9" s="79" t="str">
        <f>"Regional Ranking in for "&amp;F3</f>
        <v>Regional Ranking in for SD</v>
      </c>
      <c r="AQ9" s="81">
        <f>IF($H$8="%.",(AVERAGE(AQ11:AQ333))/100,(AVERAGE(AQ11:AQ333)))</f>
        <v>0.97129230769230768</v>
      </c>
      <c r="AR9" s="80"/>
      <c r="AS9" s="80"/>
      <c r="AT9" s="80"/>
      <c r="AU9" s="80"/>
      <c r="AV9"/>
      <c r="AW9" s="74"/>
      <c r="AX9" s="129" t="str">
        <f>Profile!$W$6</f>
        <v>Council tax collected by 31 March as a % of amount collectable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98.012500000000003</v>
      </c>
      <c r="P10" s="88">
        <f>QUARTILE(N:N,2)</f>
        <v>97.454999999999998</v>
      </c>
      <c r="Q10" s="88">
        <f>IF(I8="A",QUARTILE(N:N,3),QUARTILE(N:N,1))</f>
        <v>96.45</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2023-24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Babergh</v>
      </c>
      <c r="C11" t="s">
        <v>4</v>
      </c>
      <c r="D11" t="str">
        <f>VLOOKUP($C11,classifications!$C:$J,4,FALSE)</f>
        <v>SD</v>
      </c>
      <c r="E11">
        <f>VLOOKUP(C11,classifications!C:K,9,FALSE)</f>
        <v>0</v>
      </c>
      <c r="F11">
        <f t="shared" ref="F11:F74" si="0">HLOOKUP($D$6,AX$10:ZX$337,ROW()-9,FALSE)</f>
        <v>96.89</v>
      </c>
      <c r="G11" s="15"/>
      <c r="H11" s="41">
        <f t="shared" ref="H11:H74" si="1">IF(D11=$D$1,HLOOKUP($D$6,$AX$10:$ZZ$337,ROW()-9,FALSE),"")</f>
        <v>96.89</v>
      </c>
      <c r="I11" s="73">
        <f>IF(H11="","",IF($I$8="A",(RANK(H11,H$11:H$333,1)+COUNTIF(H$11:H11,H11)-1),(RANK(H11,H$11:H$333)+COUNTIF(H$11:H11,H11)-1)))</f>
        <v>105</v>
      </c>
      <c r="J11" s="40"/>
      <c r="K11" s="35">
        <v>1</v>
      </c>
      <c r="L11" t="str">
        <f t="shared" ref="L11:L74" si="2">IF(K11="","",INDEX(C$11:C$327,MATCH(K11,I$11:I$333,0)))</f>
        <v>Surrey Heath</v>
      </c>
      <c r="M11" s="109">
        <f t="shared" ref="M11:M74" si="3">IF(L11="","",IF(VLOOKUP(L11,C:D,2,FALSE)=$F$3,VLOOKUP(L11,C:H,6,FALSE),""))</f>
        <v>99.35</v>
      </c>
      <c r="N11" s="104">
        <f>IF(L11="","",IF($H$8="%%",M11*100,M11))</f>
        <v>99.35</v>
      </c>
      <c r="O11" s="89">
        <f>IF(I$8="A",IF(N11&gt;=$P$7,IF(N11&lt;=$O$10,N11,""),""),IF(N11&lt;=$P$7,IF(N11&gt;=$O$10,N11,""),""))</f>
        <v>99.35</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Predominantly Urban</v>
      </c>
      <c r="Y11" t="str">
        <f t="shared" ref="Y11:Y12" si="4">IF($D$1="UA",IF(X11="Predominantly Rural ",M11,IF(X11="Predominantly Rural ",M11,IF(X11="Urban with Significant Rural",M11,""))),IF($D$1="SD",IF(X11=$H$3,M11,"")))</f>
        <v/>
      </c>
      <c r="Z11" s="39" t="str">
        <f>IF(Y11="","",IF(I$8="A",(RANK(Y11,Y$11:Y$333,1)+COUNTIF(Y$11:Y11,Y11)-1),(RANK(Y11,Y$11:Y$333)+COUNTIF(Y$11:Y11,Y11)-1)))</f>
        <v/>
      </c>
      <c r="AA11" s="177" t="str">
        <f>IF(L11="","",VLOOKUP($L11,classifications!C:I,7,FALSE))</f>
        <v>Predominantly Urban</v>
      </c>
      <c r="AB11" s="173" t="str">
        <f>IF(AA11=$J$3,M11,"")</f>
        <v/>
      </c>
      <c r="AC11" s="173" t="str">
        <f>IF(AB11="","",IF($I$8="A",(RANK(AB11,AB$11:AB$333)+COUNTIF(AB$11:AB11,AB11)-1),(RANK(AB11,AB$11:AB$333,1)+COUNTIF(AB$11:AB11,AB11)-1)))</f>
        <v/>
      </c>
      <c r="AD11" s="173"/>
      <c r="AE11" s="45" t="e">
        <f>IF(I$8="A",(RANK(AG11,AG$11:AG$333,1)+COUNTIF(AG$11:AG11,AG11)-1),(RANK(AG11,AG$11:AG$333)+COUNTIF(AG$11:AG11,AG11)-1))</f>
        <v>#N/A</v>
      </c>
      <c r="AF11" s="43" t="str">
        <f>'Filtered Data'!D3</f>
        <v>Babergh</v>
      </c>
      <c r="AG11" s="99">
        <f>VLOOKUP(Profile!$J$5,$C$11:$H$333,4,FALSE)</f>
        <v>98.11</v>
      </c>
      <c r="AH11" s="46" t="e">
        <f>AE11</f>
        <v>#N/A</v>
      </c>
      <c r="AI11" s="5" t="str">
        <f>IF(L11="","",VLOOKUP($L11,classifications!$C:$J,8,FALSE))</f>
        <v>Surrey</v>
      </c>
      <c r="AJ11" s="42" t="str">
        <f t="shared" ref="AJ11:AJ12" si="5">IF(AI11=$I$3,M11,"")</f>
        <v/>
      </c>
      <c r="AK11" s="39" t="str">
        <f>IF(AJ11="","",IF(I$8="A",(RANK(AJ11,AJ$11:AJ$333,1)+COUNTIF(AJ$11:AJ11,AJ11)-1),(RANK(AJ11,AJ$11:AJ$333)+COUNTIF(AJ$11:AJ11,AJ11)-1)))</f>
        <v/>
      </c>
      <c r="AL11" s="39">
        <v>1</v>
      </c>
      <c r="AM11" t="str">
        <f t="shared" ref="AM11:AM74" si="6">IF(ISNA(IF(AL11="","",INDEX(L$11:L$333,MATCH(AL11,AK$11:AK$333,0)))),"",(IF(AL11="","",INDEX(L$11:L$333,MATCH(AL11,AK$11:AK$333,0)))))</f>
        <v>Mid Suffolk</v>
      </c>
      <c r="AN11">
        <f t="shared" ref="AN11:AN74" si="7">(VLOOKUP(AM11,L:M,2,FALSE))</f>
        <v>98.34</v>
      </c>
      <c r="AP11" s="5" t="str">
        <f>IF(L11="","",VLOOKUP($L11,classifications!$C:$E,3,FALSE))</f>
        <v>South East</v>
      </c>
      <c r="AQ11" s="42" t="str">
        <f>IF(AP11=$G$3,$M11,"")</f>
        <v/>
      </c>
      <c r="AR11" s="39" t="str">
        <f>IF(AQ11="","",IF(I$8="A",(RANK(AQ11,AQ$11:AQ$333,1)+COUNTIF(AQ$11:AQ11,AQ11)-1),(RANK(AQ11,AQ$11:AQ$333)+COUNTIF(AQ$11:AQ11,AQ11)-1)))</f>
        <v/>
      </c>
      <c r="AS11" s="39">
        <v>1</v>
      </c>
      <c r="AT11" s="39" t="str">
        <f t="shared" ref="AT11:AT74" si="8">IF(AS11="","",INDEX(L$11:L$333,MATCH(AS11,AR$11:AR$333,0)))</f>
        <v>South Cambridgeshire</v>
      </c>
      <c r="AU11" s="42">
        <f t="shared" ref="AU11:AU74" si="9">IF(AT11="","",VLOOKUP(AT11,L:M,2,FALSE))</f>
        <v>99.3</v>
      </c>
      <c r="AX11">
        <f>HLOOKUP($AX$9&amp;$AX$10,Data!$A$1:$ZT$1975,(MATCH($C11,Data!$A$1:$A$1975,0)),FALSE)</f>
        <v>96.89</v>
      </c>
    </row>
    <row r="12" spans="1:735">
      <c r="A12" s="55" t="str">
        <f>$D$1&amp;2</f>
        <v>SD2</v>
      </c>
      <c r="B12" s="56" t="str">
        <f>IF(ISERROR(VLOOKUP(A12,classifications!A:C,3,FALSE)),0,VLOOKUP(A12,classifications!A:C,3,FALSE))</f>
        <v>Boston</v>
      </c>
      <c r="C12" t="s">
        <v>898</v>
      </c>
      <c r="D12" t="str">
        <f>VLOOKUP($C12,classifications!$C:$J,4,FALSE)</f>
        <v>UA</v>
      </c>
      <c r="E12" t="str">
        <f>VLOOKUP(C12,classifications!C:K,9,FALSE)</f>
        <v>Sparse</v>
      </c>
      <c r="F12">
        <f t="shared" si="0"/>
        <v>96.26</v>
      </c>
      <c r="G12" s="15"/>
      <c r="H12" s="41" t="str">
        <f t="shared" si="1"/>
        <v/>
      </c>
      <c r="I12" s="73" t="str">
        <f>IF(H12="","",IF($I$8="A",(RANK(H12,H$11:H$333,1)+COUNTIF(H$11:H12,H12)-1),(RANK(H12,H$11:H$333)+COUNTIF(H$11:H12,H12)-1)))</f>
        <v/>
      </c>
      <c r="J12" s="40"/>
      <c r="K12" s="35">
        <f t="shared" ref="K12:K75" si="10">IF(K11="","",IF(K11+1&gt;(COUNT(H$11:H$333)),"",K11+1))</f>
        <v>2</v>
      </c>
      <c r="L12" t="str">
        <f t="shared" si="2"/>
        <v>South Cambridgeshire</v>
      </c>
      <c r="M12" s="109">
        <f t="shared" si="3"/>
        <v>99.3</v>
      </c>
      <c r="N12" s="104">
        <f>IF(L12="","",IF($H$8="%%",M12*100,M12))</f>
        <v>99.3</v>
      </c>
      <c r="O12" s="89">
        <f t="shared" ref="O12" si="11">IF(I$8="A",IF(N12&gt;=$P$7,IF(N12&lt;=$O$10,N12,""),""),IF(N12&lt;=$P$7,IF(N12&gt;=$O$10,N12,""),""))</f>
        <v>99.3</v>
      </c>
      <c r="P12" s="89" t="str">
        <f>IF(I$8="A",IF(N12&gt;$O$10,IF(N12&lt;=$P$10,N12,""),""),IF(N12&lt;$O$10,IF(N12&gt;=$P$10,N12,""),""))</f>
        <v/>
      </c>
      <c r="Q12" s="89" t="str">
        <f>IF(I$8="A",IF(N12&gt;$P$10,IF(N12&lt;=$Q$10,N12,""),""),IF(N12&lt;$P$10,IF(N12&gt;=$Q$10,N12,""),""))</f>
        <v/>
      </c>
      <c r="R12" s="85" t="str">
        <f>IF(I$8="A",IF(N12&gt;$Q$10,N12,""),IF(N12&lt;$Q$10,N12,""))</f>
        <v/>
      </c>
      <c r="S12" s="41" t="str">
        <f t="shared" ref="S12" si="12">IF(L12=D$3,"u","")</f>
        <v/>
      </c>
      <c r="T12" s="166" t="str">
        <f>IF(L12="","",VLOOKUP(L12,classifications!C:K,9,FALSE))</f>
        <v>Sparse</v>
      </c>
      <c r="U12" s="167">
        <f t="shared" ref="U12" si="13">IF(T12="Sparse",M12,"")</f>
        <v>99.3</v>
      </c>
      <c r="V12" s="173">
        <f>IF(U12="","",IF($I$8="A",(RANK(U12,U$11:U$333)+COUNTIF(U$11:U12,U12)-1),(RANK(U12,U$11:U$333,1)+COUNTIF(U$11:U12,U12)-1)))</f>
        <v>44</v>
      </c>
      <c r="W12" s="174"/>
      <c r="X12" s="5" t="str">
        <f>IF(L12="","",VLOOKUP($L12,classifications!$C:$J,6,FALSE))</f>
        <v xml:space="preserve">Predominantly Rural </v>
      </c>
      <c r="Y12">
        <f t="shared" si="4"/>
        <v>99.3</v>
      </c>
      <c r="Z12" s="39">
        <f>IF(Y12="","",IF(I$8="A",(RANK(Y12,Y$11:Y$333,1)+COUNTIF(Y$11:Y12,Y12)-1),(RANK(Y12,Y$11:Y$333)+COUNTIF(Y$11:Y12,Y12)-1)))</f>
        <v>1</v>
      </c>
      <c r="AA12" s="177" t="str">
        <f>IF(L12="","",VLOOKUP($L12,classifications!C:I,7,FALSE))</f>
        <v>Predominantly Rural</v>
      </c>
      <c r="AB12" s="173">
        <f t="shared" ref="AB12" si="14">IF(AA12=$J$3,M12,"")</f>
        <v>99.3</v>
      </c>
      <c r="AC12" s="173">
        <f>IF(AB12="","",IF($I$8="A",(RANK(AB12,AB$11:AB$333)+COUNTIF(AB$11:AB12,AB12)-1),(RANK(AB12,AB$11:AB$333,1)+COUNTIF(AB$11:AB12,AB12)-1)))</f>
        <v>58</v>
      </c>
      <c r="AD12" s="173"/>
      <c r="AE12" s="45" t="e">
        <f>IF(I$8="A",(RANK(AG12,AG$11:AG$333,1)+COUNTIF(AG$11:AG12,AG12)-1),(RANK(AG12,AG$11:AG$333)+COUNTIF(AG$11:AG12,AG12)-1))</f>
        <v>#N/A</v>
      </c>
      <c r="AF12" t="str">
        <f>VLOOKUP(Profile!$J$5,Families!$C:$R,2,FALSE)</f>
        <v>North Dorset</v>
      </c>
      <c r="AG12" s="15" t="e">
        <f t="shared" ref="AG12:AG75" si="15">VLOOKUP(AF12,$C$11:$H$333,4,FALSE)</f>
        <v>#N/A</v>
      </c>
      <c r="AH12" s="46" t="e">
        <f>AE12</f>
        <v>#N/A</v>
      </c>
      <c r="AI12" s="5" t="str">
        <f>IF(L12="","",VLOOKUP($L12,classifications!$C:$J,8,FALSE))</f>
        <v>Cambridgeshire</v>
      </c>
      <c r="AJ12" s="42" t="str">
        <f t="shared" si="5"/>
        <v/>
      </c>
      <c r="AK12" s="39" t="str">
        <f>IF(AJ12="","",IF(I$8="A",(RANK(AJ12,AJ$11:AJ$333,1)+COUNTIF(AJ$11:AJ12,AJ12)-1),(RANK(AJ12,AJ$11:AJ$333)+COUNTIF(AJ$11:AJ12,AJ12)-1)))</f>
        <v/>
      </c>
      <c r="AL12" s="3">
        <f t="shared" ref="AL12:AL75" si="16">IF(AL11="","",IF(AL11+1&gt;(COUNT(AJ$11:AJ$333)),"",AL11+1))</f>
        <v>2</v>
      </c>
      <c r="AM12" t="str">
        <f t="shared" si="6"/>
        <v>Babergh</v>
      </c>
      <c r="AN12">
        <f t="shared" si="7"/>
        <v>98.11</v>
      </c>
      <c r="AP12" s="5" t="str">
        <f>IF(L12="","",VLOOKUP($L12,classifications!$C:$E,3,FALSE))</f>
        <v>East of England</v>
      </c>
      <c r="AQ12" s="42">
        <f t="shared" ref="AQ12" si="17">IF(AP12=$G$3,$M12,"")</f>
        <v>99.3</v>
      </c>
      <c r="AR12" s="39">
        <f>IF(AQ12="","",IF(I$8="A",(RANK(AQ12,AQ$11:AQ$333,1)+COUNTIF(AQ$11:AQ12,AQ12)-1),(RANK(AQ12,AQ$11:AQ$333)+COUNTIF(AQ$11:AQ12,AQ12)-1)))</f>
        <v>1</v>
      </c>
      <c r="AS12" s="3">
        <f t="shared" ref="AS12:AS75" si="18">IF(AS11="","",IF(AS11+1&gt;(COUNT(AQ$11:AQ$333)),"",AS11+1))</f>
        <v>2</v>
      </c>
      <c r="AT12" s="39" t="str">
        <f t="shared" si="8"/>
        <v>Cambridge</v>
      </c>
      <c r="AU12" s="42">
        <f t="shared" si="9"/>
        <v>99.27</v>
      </c>
      <c r="AX12">
        <f>HLOOKUP($AX$9&amp;$AX$10,Data!$A$1:$ZT$1975,(MATCH($C12,Data!$A$1:$A$1975,0)),FALSE)</f>
        <v>96.26</v>
      </c>
    </row>
    <row r="13" spans="1:735">
      <c r="A13" s="55" t="str">
        <f>$D$1&amp;3</f>
        <v>SD3</v>
      </c>
      <c r="B13" s="56" t="str">
        <f>IF(ISERROR(VLOOKUP(A13,classifications!A:C,3,FALSE)),0,VLOOKUP(A13,classifications!A:C,3,FALSE))</f>
        <v>Braintree</v>
      </c>
      <c r="C13" t="s">
        <v>7</v>
      </c>
      <c r="D13" t="str">
        <f>VLOOKUP($C13,classifications!$C:$J,4,FALSE)</f>
        <v>SD</v>
      </c>
      <c r="E13">
        <f>VLOOKUP(C13,classifications!C:K,9,FALSE)</f>
        <v>0</v>
      </c>
      <c r="F13">
        <f t="shared" si="0"/>
        <v>98.57</v>
      </c>
      <c r="G13" s="15"/>
      <c r="H13" s="41">
        <f t="shared" si="1"/>
        <v>98.57</v>
      </c>
      <c r="I13" s="73">
        <f>IF(H13="","",IF($I$8="A",(RANK(H13,H$11:H$333,1)+COUNTIF(H$11:H13,H13)-1),(RANK(H13,H$11:H$333)+COUNTIF(H$11:H13,H13)-1)))</f>
        <v>11</v>
      </c>
      <c r="J13" s="40"/>
      <c r="K13" s="35">
        <f t="shared" si="10"/>
        <v>3</v>
      </c>
      <c r="L13" t="str">
        <f t="shared" si="2"/>
        <v>Cambridge</v>
      </c>
      <c r="M13" s="109">
        <f t="shared" si="3"/>
        <v>99.27</v>
      </c>
      <c r="N13" s="104">
        <f t="shared" ref="N13:N57" si="19">IF(L13="","",IF($H$8="%%",M13*100,M13))</f>
        <v>99.27</v>
      </c>
      <c r="O13" s="89">
        <f t="shared" ref="O13:O57" si="20">IF(I$8="A",IF(N13&gt;=$P$7,IF(N13&lt;=$O$10,N13,""),""),IF(N13&lt;=$P$7,IF(N13&gt;=$O$10,N13,""),""))</f>
        <v>99.27</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t="e">
        <f>IF(I$8="A",(RANK(AG13,AG$11:AG$333,1)+COUNTIF(AG$11:AG13,AG13)-1),(RANK(AG13,AG$11:AG$333)+COUNTIF(AG$11:AG13,AG13)-1))</f>
        <v>#N/A</v>
      </c>
      <c r="AF13" t="str">
        <f>VLOOKUP(Profile!$J$5,Families!$C:$R,2,FALSE)</f>
        <v>North Dorset</v>
      </c>
      <c r="AG13" s="15" t="e">
        <f t="shared" si="15"/>
        <v>#N/A</v>
      </c>
      <c r="AH13" s="46" t="e">
        <f t="shared" ref="AH13:AH57" si="28">AE13</f>
        <v>#N/A</v>
      </c>
      <c r="AI13" s="5" t="str">
        <f>IF(L13="","",VLOOKUP($L13,classifications!$C:$J,8,FALSE))</f>
        <v>Cambridgeshire</v>
      </c>
      <c r="AJ13" s="42" t="str">
        <f t="shared" ref="AJ13:AJ57" si="29">IF(AI13=$I$3,M13,"")</f>
        <v/>
      </c>
      <c r="AK13" s="39" t="str">
        <f>IF(AJ13="","",IF(I$8="A",(RANK(AJ13,AJ$11:AJ$333,1)+COUNTIF(AJ$11:AJ13,AJ13)-1),(RANK(AJ13,AJ$11:AJ$333)+COUNTIF(AJ$11:AJ13,AJ13)-1)))</f>
        <v/>
      </c>
      <c r="AL13" s="3">
        <f t="shared" si="16"/>
        <v>3</v>
      </c>
      <c r="AM13" t="str">
        <f t="shared" si="6"/>
        <v>East Suffolk</v>
      </c>
      <c r="AN13">
        <f t="shared" si="7"/>
        <v>97.55</v>
      </c>
      <c r="AP13" s="5" t="str">
        <f>IF(L13="","",VLOOKUP($L13,classifications!$C:$E,3,FALSE))</f>
        <v>East of England</v>
      </c>
      <c r="AQ13" s="42">
        <f t="shared" ref="AQ13:AQ57" si="30">IF(AP13=$G$3,$M13,"")</f>
        <v>99.27</v>
      </c>
      <c r="AR13" s="39">
        <f>IF(AQ13="","",IF(I$8="A",(RANK(AQ13,AQ$11:AQ$333,1)+COUNTIF(AQ$11:AQ13,AQ13)-1),(RANK(AQ13,AQ$11:AQ$333)+COUNTIF(AQ$11:AQ13,AQ13)-1)))</f>
        <v>2</v>
      </c>
      <c r="AS13" s="3">
        <f t="shared" si="18"/>
        <v>3</v>
      </c>
      <c r="AT13" s="39" t="str">
        <f t="shared" si="8"/>
        <v>St Albans</v>
      </c>
      <c r="AU13" s="42">
        <f t="shared" si="9"/>
        <v>98.8</v>
      </c>
      <c r="AX13">
        <f>HLOOKUP($AX$9&amp;$AX$10,Data!$A$1:$ZT$1975,(MATCH($C13,Data!$A$1:$A$1975,0)),FALSE)</f>
        <v>98.57</v>
      </c>
    </row>
    <row r="14" spans="1:735">
      <c r="A14" s="55" t="str">
        <f>$D$1&amp;4</f>
        <v>SD4</v>
      </c>
      <c r="B14" s="56" t="str">
        <f>IF(ISERROR(VLOOKUP(A14,classifications!A:C,3,FALSE)),0,VLOOKUP(A14,classifications!A:C,3,FALSE))</f>
        <v>Chichester</v>
      </c>
      <c r="C14" t="s">
        <v>8</v>
      </c>
      <c r="D14" t="str">
        <f>VLOOKUP($C14,classifications!$C:$J,4,FALSE)</f>
        <v>SD</v>
      </c>
      <c r="E14">
        <f>VLOOKUP(C14,classifications!C:K,9,FALSE)</f>
        <v>0</v>
      </c>
      <c r="F14">
        <f t="shared" si="0"/>
        <v>97.32</v>
      </c>
      <c r="G14" s="15"/>
      <c r="H14" s="41">
        <f t="shared" si="1"/>
        <v>97.32</v>
      </c>
      <c r="I14" s="73">
        <f>IF(H14="","",IF($I$8="A",(RANK(H14,H$11:H$333,1)+COUNTIF(H$11:H14,H14)-1),(RANK(H14,H$11:H$333)+COUNTIF(H$11:H14,H14)-1)))</f>
        <v>85</v>
      </c>
      <c r="J14" s="40"/>
      <c r="K14" s="35">
        <f t="shared" si="10"/>
        <v>4</v>
      </c>
      <c r="L14" t="str">
        <f t="shared" si="2"/>
        <v>Ribble Valley</v>
      </c>
      <c r="M14" s="109">
        <f t="shared" si="3"/>
        <v>99.12</v>
      </c>
      <c r="N14" s="104">
        <f t="shared" si="19"/>
        <v>99.12</v>
      </c>
      <c r="O14" s="89">
        <f t="shared" si="20"/>
        <v>99.12</v>
      </c>
      <c r="P14" s="89" t="str">
        <f t="shared" si="21"/>
        <v/>
      </c>
      <c r="Q14" s="89" t="str">
        <f t="shared" si="22"/>
        <v/>
      </c>
      <c r="R14" s="85" t="str">
        <f t="shared" si="23"/>
        <v/>
      </c>
      <c r="S14" s="41" t="str">
        <f t="shared" si="24"/>
        <v/>
      </c>
      <c r="T14" s="166" t="str">
        <f>IF(L14="","",VLOOKUP(L14,classifications!C:K,9,FALSE))</f>
        <v>Sparse</v>
      </c>
      <c r="U14" s="167">
        <f t="shared" si="25"/>
        <v>99.12</v>
      </c>
      <c r="V14" s="173">
        <f>IF(U14="","",IF($I$8="A",(RANK(U14,U$11:U$333)+COUNTIF(U$11:U14,U14)-1),(RANK(U14,U$11:U$333,1)+COUNTIF(U$11:U14,U14)-1)))</f>
        <v>43</v>
      </c>
      <c r="W14" s="174"/>
      <c r="X14" s="5" t="str">
        <f>IF(L14="","",VLOOKUP($L14,classifications!$C:$J,6,FALSE))</f>
        <v xml:space="preserve">Predominantly Rural </v>
      </c>
      <c r="Y14">
        <f t="shared" si="26"/>
        <v>99.12</v>
      </c>
      <c r="Z14" s="39">
        <f>IF(Y14="","",IF(I$8="A",(RANK(Y14,Y$11:Y$333,1)+COUNTIF(Y$11:Y14,Y14)-1),(RANK(Y14,Y$11:Y$333)+COUNTIF(Y$11:Y14,Y14)-1)))</f>
        <v>2</v>
      </c>
      <c r="AA14" s="177" t="str">
        <f>IF(L14="","",VLOOKUP($L14,classifications!C:I,7,FALSE))</f>
        <v>Predominantly Rural</v>
      </c>
      <c r="AB14" s="173">
        <f t="shared" si="27"/>
        <v>99.12</v>
      </c>
      <c r="AC14" s="173">
        <f>IF(AB14="","",IF($I$8="A",(RANK(AB14,AB$11:AB$333)+COUNTIF(AB$11:AB14,AB14)-1),(RANK(AB14,AB$11:AB$333,1)+COUNTIF(AB$11:AB14,AB14)-1)))</f>
        <v>57</v>
      </c>
      <c r="AD14" s="173"/>
      <c r="AE14" s="45" t="e">
        <f>IF(I$8="A",(RANK(AG14,AG$11:AG$333,1)+COUNTIF(AG$11:AG14,AG14)-1),(RANK(AG14,AG$11:AG$333)+COUNTIF(AG$11:AG14,AG14)-1))</f>
        <v>#N/A</v>
      </c>
      <c r="AF14" t="str">
        <f>VLOOKUP(Profile!$J$5,Families!$C:$R,2,FALSE)</f>
        <v>North Dorset</v>
      </c>
      <c r="AG14" s="15" t="e">
        <f t="shared" si="15"/>
        <v>#N/A</v>
      </c>
      <c r="AH14" s="46" t="e">
        <f t="shared" si="28"/>
        <v>#N/A</v>
      </c>
      <c r="AI14" s="5" t="str">
        <f>IF(L14="","",VLOOKUP($L14,classifications!$C:$J,8,FALSE))</f>
        <v>Lancashire</v>
      </c>
      <c r="AJ14" s="42" t="str">
        <f t="shared" si="29"/>
        <v/>
      </c>
      <c r="AK14" s="39" t="str">
        <f>IF(AJ14="","",IF(I$8="A",(RANK(AJ14,AJ$11:AJ$333,1)+COUNTIF(AJ$11:AJ14,AJ14)-1),(RANK(AJ14,AJ$11:AJ$333)+COUNTIF(AJ$11:AJ14,AJ14)-1)))</f>
        <v/>
      </c>
      <c r="AL14" s="3">
        <f t="shared" si="16"/>
        <v>4</v>
      </c>
      <c r="AM14" t="str">
        <f t="shared" si="6"/>
        <v>West Suffolk</v>
      </c>
      <c r="AN14">
        <f t="shared" si="7"/>
        <v>97.13</v>
      </c>
      <c r="AP14" s="5" t="str">
        <f>IF(L14="","",VLOOKUP($L14,classifications!$C:$E,3,FALSE))</f>
        <v>North West</v>
      </c>
      <c r="AQ14" s="42" t="str">
        <f t="shared" si="30"/>
        <v/>
      </c>
      <c r="AR14" s="39" t="str">
        <f>IF(AQ14="","",IF(I$8="A",(RANK(AQ14,AQ$11:AQ$333,1)+COUNTIF(AQ$11:AQ14,AQ14)-1),(RANK(AQ14,AQ$11:AQ$333)+COUNTIF(AQ$11:AQ14,AQ14)-1)))</f>
        <v/>
      </c>
      <c r="AS14" s="3">
        <f t="shared" si="18"/>
        <v>4</v>
      </c>
      <c r="AT14" s="39" t="str">
        <f t="shared" si="8"/>
        <v>Rochford</v>
      </c>
      <c r="AU14" s="42">
        <f t="shared" si="9"/>
        <v>98.67</v>
      </c>
      <c r="AX14">
        <f>HLOOKUP($AX$9&amp;$AX$10,Data!$A$1:$ZT$1975,(MATCH($C14,Data!$A$1:$A$1975,0)),FALSE)</f>
        <v>97.32</v>
      </c>
    </row>
    <row r="15" spans="1:735">
      <c r="A15" s="55" t="str">
        <f>$D$1&amp;5</f>
        <v>SD5</v>
      </c>
      <c r="B15" s="56" t="str">
        <f>IF(ISERROR(VLOOKUP(A15,classifications!A:C,3,FALSE)),0,VLOOKUP(A15,classifications!A:C,3,FALSE))</f>
        <v>Cotswold</v>
      </c>
      <c r="C15" t="s">
        <v>9</v>
      </c>
      <c r="D15" t="str">
        <f>VLOOKUP($C15,classifications!$C:$J,4,FALSE)</f>
        <v>SD</v>
      </c>
      <c r="E15">
        <f>VLOOKUP(C15,classifications!C:K,9,FALSE)</f>
        <v>0</v>
      </c>
      <c r="F15">
        <f t="shared" si="0"/>
        <v>96.3</v>
      </c>
      <c r="G15" s="15"/>
      <c r="H15" s="41">
        <f t="shared" si="1"/>
        <v>96.3</v>
      </c>
      <c r="I15" s="73">
        <f>IF(H15="","",IF($I$8="A",(RANK(H15,H$11:H$333,1)+COUNTIF(H$11:H15,H15)-1),(RANK(H15,H$11:H$333)+COUNTIF(H$11:H15,H15)-1)))</f>
        <v>130</v>
      </c>
      <c r="J15" s="40"/>
      <c r="K15" s="35">
        <f t="shared" si="10"/>
        <v>5</v>
      </c>
      <c r="L15" t="str">
        <f t="shared" si="2"/>
        <v>Rushcliffe</v>
      </c>
      <c r="M15" s="109">
        <f t="shared" si="3"/>
        <v>99.02</v>
      </c>
      <c r="N15" s="104">
        <f t="shared" si="19"/>
        <v>99.02</v>
      </c>
      <c r="O15" s="89">
        <f t="shared" si="20"/>
        <v>99.02</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 xml:space="preserve">Predominantly Rural </v>
      </c>
      <c r="Y15">
        <f t="shared" si="26"/>
        <v>99.02</v>
      </c>
      <c r="Z15" s="39">
        <f>IF(Y15="","",IF(I$8="A",(RANK(Y15,Y$11:Y$333,1)+COUNTIF(Y$11:Y15,Y15)-1),(RANK(Y15,Y$11:Y$333)+COUNTIF(Y$11:Y15,Y15)-1)))</f>
        <v>3</v>
      </c>
      <c r="AA15" s="177" t="str">
        <f>IF(L15="","",VLOOKUP($L15,classifications!C:I,7,FALSE))</f>
        <v>Predominantly Rural</v>
      </c>
      <c r="AB15" s="173">
        <f t="shared" si="27"/>
        <v>99.02</v>
      </c>
      <c r="AC15" s="173">
        <f>IF(AB15="","",IF($I$8="A",(RANK(AB15,AB$11:AB$333)+COUNTIF(AB$11:AB15,AB15)-1),(RANK(AB15,AB$11:AB$333,1)+COUNTIF(AB$11:AB15,AB15)-1)))</f>
        <v>56</v>
      </c>
      <c r="AD15" s="173"/>
      <c r="AE15" s="45" t="e">
        <f>IF(I$8="A",(RANK(AG15,AG$11:AG$333,1)+COUNTIF(AG$11:AG15,AG15)-1),(RANK(AG15,AG$11:AG$333)+COUNTIF(AG$11:AG15,AG15)-1))</f>
        <v>#N/A</v>
      </c>
      <c r="AF15" t="str">
        <f>VLOOKUP(Profile!$J$5,Families!$C:$R,2,FALSE)</f>
        <v>North Dorset</v>
      </c>
      <c r="AG15" s="15" t="e">
        <f t="shared" si="15"/>
        <v>#N/A</v>
      </c>
      <c r="AH15" s="46" t="e">
        <f t="shared" si="28"/>
        <v>#N/A</v>
      </c>
      <c r="AI15" s="5" t="str">
        <f>IF(L15="","",VLOOKUP($L15,classifications!$C:$J,8,FALSE))</f>
        <v>Nottinghamshire</v>
      </c>
      <c r="AJ15" s="42" t="str">
        <f t="shared" si="29"/>
        <v/>
      </c>
      <c r="AK15" s="39" t="str">
        <f>IF(AJ15="","",IF(I$8="A",(RANK(AJ15,AJ$11:AJ$333,1)+COUNTIF(AJ$11:AJ15,AJ15)-1),(RANK(AJ15,AJ$11:AJ$333)+COUNTIF(AJ$11:AJ15,AJ15)-1)))</f>
        <v/>
      </c>
      <c r="AL15" s="3">
        <f t="shared" si="16"/>
        <v>5</v>
      </c>
      <c r="AM15" t="str">
        <f t="shared" si="6"/>
        <v>Ipswich</v>
      </c>
      <c r="AN15">
        <f t="shared" si="7"/>
        <v>95.44</v>
      </c>
      <c r="AP15" s="5" t="str">
        <f>IF(L15="","",VLOOKUP($L15,classifications!$C:$E,3,FALSE))</f>
        <v>East Midlands</v>
      </c>
      <c r="AQ15" s="42" t="str">
        <f t="shared" si="30"/>
        <v/>
      </c>
      <c r="AR15" s="39" t="str">
        <f>IF(AQ15="","",IF(I$8="A",(RANK(AQ15,AQ$11:AQ$333,1)+COUNTIF(AQ$11:AQ15,AQ15)-1),(RANK(AQ15,AQ$11:AQ$333)+COUNTIF(AQ$11:AQ15,AQ15)-1)))</f>
        <v/>
      </c>
      <c r="AS15" s="3">
        <f t="shared" si="18"/>
        <v>5</v>
      </c>
      <c r="AT15" s="39" t="str">
        <f t="shared" si="8"/>
        <v>Three Rivers</v>
      </c>
      <c r="AU15" s="42">
        <f t="shared" si="9"/>
        <v>98.57</v>
      </c>
      <c r="AX15">
        <f>HLOOKUP($AX$9&amp;$AX$10,Data!$A$1:$ZT$1975,(MATCH($C15,Data!$A$1:$A$1975,0)),FALSE)</f>
        <v>96.3</v>
      </c>
    </row>
    <row r="16" spans="1:735">
      <c r="A16" s="55" t="str">
        <f>$D$1&amp;6</f>
        <v>SD6</v>
      </c>
      <c r="B16" s="56" t="str">
        <f>IF(ISERROR(VLOOKUP(A16,classifications!A:C,3,FALSE)),0,VLOOKUP(A16,classifications!A:C,3,FALSE))</f>
        <v>Derbyshire Dales</v>
      </c>
      <c r="C16" t="s">
        <v>10</v>
      </c>
      <c r="D16" t="str">
        <f>VLOOKUP($C16,classifications!$C:$J,4,FALSE)</f>
        <v>SD</v>
      </c>
      <c r="E16">
        <f>VLOOKUP(C16,classifications!C:K,9,FALSE)</f>
        <v>0</v>
      </c>
      <c r="F16">
        <f t="shared" si="0"/>
        <v>97.05</v>
      </c>
      <c r="G16" s="15"/>
      <c r="H16" s="41">
        <f t="shared" si="1"/>
        <v>97.05</v>
      </c>
      <c r="I16" s="73">
        <f>IF(H16="","",IF($I$8="A",(RANK(H16,H$11:H$333,1)+COUNTIF(H$11:H16,H16)-1),(RANK(H16,H$11:H$333)+COUNTIF(H$11:H16,H16)-1)))</f>
        <v>99</v>
      </c>
      <c r="J16" s="40"/>
      <c r="K16" s="35">
        <f t="shared" si="10"/>
        <v>6</v>
      </c>
      <c r="L16" t="str">
        <f t="shared" si="2"/>
        <v>Epsom &amp; Ewell</v>
      </c>
      <c r="M16" s="109">
        <f t="shared" si="3"/>
        <v>98.96</v>
      </c>
      <c r="N16" s="104">
        <f t="shared" si="19"/>
        <v>98.96</v>
      </c>
      <c r="O16" s="89">
        <f t="shared" si="20"/>
        <v>98.96</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Predominantly Urban</v>
      </c>
      <c r="Y16" t="str">
        <f t="shared" si="26"/>
        <v/>
      </c>
      <c r="Z16" s="39" t="str">
        <f>IF(Y16="","",IF(I$8="A",(RANK(Y16,Y$11:Y$333,1)+COUNTIF(Y$11:Y16,Y16)-1),(RANK(Y16,Y$11:Y$333)+COUNTIF(Y$11:Y16,Y16)-1)))</f>
        <v/>
      </c>
      <c r="AA16" s="177" t="str">
        <f>IF(L16="","",VLOOKUP($L16,classifications!C:I,7,FALSE))</f>
        <v>Predominantly Urban</v>
      </c>
      <c r="AB16" s="173" t="str">
        <f t="shared" si="27"/>
        <v/>
      </c>
      <c r="AC16" s="173" t="str">
        <f>IF(AB16="","",IF($I$8="A",(RANK(AB16,AB$11:AB$333)+COUNTIF(AB$11:AB16,AB16)-1),(RANK(AB16,AB$11:AB$333,1)+COUNTIF(AB$11:AB16,AB16)-1)))</f>
        <v/>
      </c>
      <c r="AD16" s="173"/>
      <c r="AE16" s="45" t="e">
        <f>IF(I$8="A",(RANK(AG16,AG$11:AG$333,1)+COUNTIF(AG$11:AG16,AG16)-1),(RANK(AG16,AG$11:AG$333)+COUNTIF(AG$11:AG16,AG16)-1))</f>
        <v>#N/A</v>
      </c>
      <c r="AF16" t="str">
        <f>VLOOKUP(Profile!$J$5,Families!$C:$R,2,FALSE)</f>
        <v>North Dorset</v>
      </c>
      <c r="AG16" s="15" t="e">
        <f t="shared" si="15"/>
        <v>#N/A</v>
      </c>
      <c r="AH16" s="46" t="e">
        <f t="shared" si="28"/>
        <v>#N/A</v>
      </c>
      <c r="AI16" s="5" t="str">
        <f>IF(L16="","",VLOOKUP($L16,classifications!$C:$J,8,FALSE))</f>
        <v>Surrey</v>
      </c>
      <c r="AJ16" s="42" t="str">
        <f t="shared" si="29"/>
        <v/>
      </c>
      <c r="AK16" s="39" t="str">
        <f>IF(AJ16="","",IF(I$8="A",(RANK(AJ16,AJ$11:AJ$333,1)+COUNTIF(AJ$11:AJ16,AJ16)-1),(RANK(AJ16,AJ$11:AJ$333)+COUNTIF(AJ$11:AJ16,AJ16)-1)))</f>
        <v/>
      </c>
      <c r="AL16" s="3" t="str">
        <f t="shared" si="16"/>
        <v/>
      </c>
      <c r="AM16" t="str">
        <f t="shared" si="6"/>
        <v/>
      </c>
      <c r="AN16" t="str">
        <f t="shared" si="7"/>
        <v/>
      </c>
      <c r="AP16" s="5" t="str">
        <f>IF(L16="","",VLOOKUP($L16,classifications!$C:$E,3,FALSE))</f>
        <v>South East</v>
      </c>
      <c r="AQ16" s="42" t="str">
        <f t="shared" si="30"/>
        <v/>
      </c>
      <c r="AR16" s="39" t="str">
        <f>IF(AQ16="","",IF(I$8="A",(RANK(AQ16,AQ$11:AQ$333,1)+COUNTIF(AQ$11:AQ16,AQ16)-1),(RANK(AQ16,AQ$11:AQ$333)+COUNTIF(AQ$11:AQ16,AQ16)-1)))</f>
        <v/>
      </c>
      <c r="AS16" s="3">
        <f t="shared" si="18"/>
        <v>6</v>
      </c>
      <c r="AT16" s="39" t="str">
        <f t="shared" si="8"/>
        <v>Uttlesford</v>
      </c>
      <c r="AU16" s="42">
        <f t="shared" si="9"/>
        <v>98.47</v>
      </c>
      <c r="AX16">
        <f>HLOOKUP($AX$9&amp;$AX$10,Data!$A$1:$ZT$1975,(MATCH($C16,Data!$A$1:$A$1975,0)),FALSE)</f>
        <v>97.05</v>
      </c>
    </row>
    <row r="17" spans="1:50">
      <c r="A17" s="55" t="str">
        <f>$D$1&amp;7</f>
        <v>SD7</v>
      </c>
      <c r="B17" s="56" t="str">
        <f>IF(ISERROR(VLOOKUP(A17,classifications!A:C,3,FALSE)),0,VLOOKUP(A17,classifications!A:C,3,FALSE))</f>
        <v>East Cambridgeshire</v>
      </c>
      <c r="C17" t="s">
        <v>12</v>
      </c>
      <c r="D17" t="str">
        <f>VLOOKUP($C17,classifications!$C:$J,4,FALSE)</f>
        <v>SD</v>
      </c>
      <c r="E17" t="str">
        <f>VLOOKUP(C17,classifications!C:K,9,FALSE)</f>
        <v>Sparse</v>
      </c>
      <c r="F17">
        <f t="shared" si="0"/>
        <v>98.11</v>
      </c>
      <c r="G17" s="15"/>
      <c r="H17" s="41">
        <f t="shared" si="1"/>
        <v>98.11</v>
      </c>
      <c r="I17" s="73">
        <f>IF(H17="","",IF($I$8="A",(RANK(H17,H$11:H$333,1)+COUNTIF(H$11:H17,H17)-1),(RANK(H17,H$11:H$333)+COUNTIF(H$11:H17,H17)-1)))</f>
        <v>34</v>
      </c>
      <c r="J17" s="40"/>
      <c r="K17" s="35">
        <f t="shared" si="10"/>
        <v>7</v>
      </c>
      <c r="L17" t="str">
        <f t="shared" si="2"/>
        <v>St Albans</v>
      </c>
      <c r="M17" s="109">
        <f t="shared" si="3"/>
        <v>98.8</v>
      </c>
      <c r="N17" s="104">
        <f t="shared" si="19"/>
        <v>98.8</v>
      </c>
      <c r="O17" s="89">
        <f t="shared" si="20"/>
        <v>98.8</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t="e">
        <f>IF(I$8="A",(RANK(AG17,AG$11:AG$333,1)+COUNTIF(AG$11:AG17,AG17)-1),(RANK(AG17,AG$11:AG$333)+COUNTIF(AG$11:AG17,AG17)-1))</f>
        <v>#N/A</v>
      </c>
      <c r="AF17" t="str">
        <f>VLOOKUP(Profile!$J$5,Families!$C:$R,2,FALSE)</f>
        <v>North Dorset</v>
      </c>
      <c r="AG17" s="15" t="e">
        <f t="shared" si="15"/>
        <v>#N/A</v>
      </c>
      <c r="AH17" s="46" t="e">
        <f t="shared" si="28"/>
        <v>#N/A</v>
      </c>
      <c r="AI17" s="5" t="str">
        <f>IF(L17="","",VLOOKUP($L17,classifications!$C:$J,8,FALSE))</f>
        <v>Hertfordshire</v>
      </c>
      <c r="AJ17" s="42" t="str">
        <f t="shared" si="29"/>
        <v/>
      </c>
      <c r="AK17" s="39" t="str">
        <f>IF(AJ17="","",IF(I$8="A",(RANK(AJ17,AJ$11:AJ$333,1)+COUNTIF(AJ$11:AJ17,AJ17)-1),(RANK(AJ17,AJ$11:AJ$333)+COUNTIF(AJ$11:AJ17,AJ17)-1)))</f>
        <v/>
      </c>
      <c r="AL17" s="3" t="str">
        <f t="shared" si="16"/>
        <v/>
      </c>
      <c r="AM17" t="str">
        <f t="shared" si="6"/>
        <v/>
      </c>
      <c r="AN17" t="str">
        <f t="shared" si="7"/>
        <v/>
      </c>
      <c r="AP17" s="5" t="str">
        <f>IF(L17="","",VLOOKUP($L17,classifications!$C:$E,3,FALSE))</f>
        <v>East of England</v>
      </c>
      <c r="AQ17" s="42">
        <f t="shared" si="30"/>
        <v>98.8</v>
      </c>
      <c r="AR17" s="39">
        <f>IF(AQ17="","",IF(I$8="A",(RANK(AQ17,AQ$11:AQ$333,1)+COUNTIF(AQ$11:AQ17,AQ17)-1),(RANK(AQ17,AQ$11:AQ$333)+COUNTIF(AQ$11:AQ17,AQ17)-1)))</f>
        <v>3</v>
      </c>
      <c r="AS17" s="3">
        <f t="shared" si="18"/>
        <v>7</v>
      </c>
      <c r="AT17" s="39" t="str">
        <f t="shared" si="8"/>
        <v>North Norfolk</v>
      </c>
      <c r="AU17" s="42">
        <f t="shared" si="9"/>
        <v>98.37</v>
      </c>
      <c r="AX17">
        <f>HLOOKUP($AX$9&amp;$AX$10,Data!$A$1:$ZT$1975,(MATCH($C17,Data!$A$1:$A$1975,0)),FALSE)</f>
        <v>98.11</v>
      </c>
    </row>
    <row r="18" spans="1:50">
      <c r="A18" s="55" t="str">
        <f>$D$1&amp;8</f>
        <v>SD8</v>
      </c>
      <c r="B18" s="56" t="str">
        <f>IF(ISERROR(VLOOKUP(A18,classifications!A:C,3,FALSE)),0,VLOOKUP(A18,classifications!A:C,3,FALSE))</f>
        <v>East Devon</v>
      </c>
      <c r="C18" t="s">
        <v>338</v>
      </c>
      <c r="D18" t="str">
        <f>VLOOKUP($C18,classifications!$C:$J,4,FALSE)</f>
        <v>L</v>
      </c>
      <c r="E18">
        <f>VLOOKUP(C18,classifications!C:K,9,FALSE)</f>
        <v>0</v>
      </c>
      <c r="F18">
        <f t="shared" si="0"/>
        <v>93.54</v>
      </c>
      <c r="G18" s="15"/>
      <c r="H18" s="41" t="str">
        <f t="shared" si="1"/>
        <v/>
      </c>
      <c r="I18" s="73" t="str">
        <f>IF(H18="","",IF($I$8="A",(RANK(H18,H$11:H$333,1)+COUNTIF(H$11:H18,H18)-1),(RANK(H18,H$11:H$333)+COUNTIF(H$11:H18,H18)-1)))</f>
        <v/>
      </c>
      <c r="J18" s="40"/>
      <c r="K18" s="35">
        <f t="shared" si="10"/>
        <v>8</v>
      </c>
      <c r="L18" t="str">
        <f t="shared" si="2"/>
        <v>Rochford</v>
      </c>
      <c r="M18" s="109">
        <f t="shared" si="3"/>
        <v>98.67</v>
      </c>
      <c r="N18" s="104">
        <f t="shared" si="19"/>
        <v>98.67</v>
      </c>
      <c r="O18" s="89">
        <f t="shared" si="20"/>
        <v>98.67</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Predominantly Urban</v>
      </c>
      <c r="Y18" t="str">
        <f t="shared" si="26"/>
        <v/>
      </c>
      <c r="Z18" s="39" t="str">
        <f>IF(Y18="","",IF(I$8="A",(RANK(Y18,Y$11:Y$333,1)+COUNTIF(Y$11:Y18,Y18)-1),(RANK(Y18,Y$11:Y$333)+COUNTIF(Y$11:Y18,Y18)-1)))</f>
        <v/>
      </c>
      <c r="AA18" s="177" t="str">
        <f>IF(L18="","",VLOOKUP($L18,classifications!C:I,7,FALSE))</f>
        <v>Predominantly Urban</v>
      </c>
      <c r="AB18" s="173" t="str">
        <f t="shared" si="27"/>
        <v/>
      </c>
      <c r="AC18" s="173" t="str">
        <f>IF(AB18="","",IF($I$8="A",(RANK(AB18,AB$11:AB$333)+COUNTIF(AB$11:AB18,AB18)-1),(RANK(AB18,AB$11:AB$333,1)+COUNTIF(AB$11:AB18,AB18)-1)))</f>
        <v/>
      </c>
      <c r="AD18" s="173"/>
      <c r="AE18" s="45" t="e">
        <f>IF(I$8="A",(RANK(AG18,AG$11:AG$333,1)+COUNTIF(AG$11:AG18,AG18)-1),(RANK(AG18,AG$11:AG$333)+COUNTIF(AG$11:AG18,AG18)-1))</f>
        <v>#N/A</v>
      </c>
      <c r="AF18" t="str">
        <f>VLOOKUP(Profile!$J$5,Families!$C:$R,2,FALSE)</f>
        <v>North Dorset</v>
      </c>
      <c r="AG18" s="15" t="e">
        <f t="shared" si="15"/>
        <v>#N/A</v>
      </c>
      <c r="AH18" s="46" t="e">
        <f t="shared" si="28"/>
        <v>#N/A</v>
      </c>
      <c r="AI18" s="5" t="str">
        <f>IF(L18="","",VLOOKUP($L18,classifications!$C:$J,8,FALSE))</f>
        <v>Essex</v>
      </c>
      <c r="AJ18" s="42" t="str">
        <f t="shared" si="29"/>
        <v/>
      </c>
      <c r="AK18" s="39" t="str">
        <f>IF(AJ18="","",IF(I$8="A",(RANK(AJ18,AJ$11:AJ$333,1)+COUNTIF(AJ$11:AJ18,AJ18)-1),(RANK(AJ18,AJ$11:AJ$333)+COUNTIF(AJ$11:AJ18,AJ18)-1)))</f>
        <v/>
      </c>
      <c r="AL18" s="3" t="str">
        <f t="shared" si="16"/>
        <v/>
      </c>
      <c r="AM18" t="str">
        <f t="shared" si="6"/>
        <v/>
      </c>
      <c r="AN18" t="str">
        <f t="shared" si="7"/>
        <v/>
      </c>
      <c r="AP18" s="5" t="str">
        <f>IF(L18="","",VLOOKUP($L18,classifications!$C:$E,3,FALSE))</f>
        <v>East of England</v>
      </c>
      <c r="AQ18" s="42">
        <f t="shared" si="30"/>
        <v>98.67</v>
      </c>
      <c r="AR18" s="39">
        <f>IF(AQ18="","",IF(I$8="A",(RANK(AQ18,AQ$11:AQ$333,1)+COUNTIF(AQ$11:AQ18,AQ18)-1),(RANK(AQ18,AQ$11:AQ$333)+COUNTIF(AQ$11:AQ18,AQ18)-1)))</f>
        <v>4</v>
      </c>
      <c r="AS18" s="3">
        <f t="shared" si="18"/>
        <v>8</v>
      </c>
      <c r="AT18" s="39" t="str">
        <f t="shared" si="8"/>
        <v>Mid Suffolk</v>
      </c>
      <c r="AU18" s="42">
        <f t="shared" si="9"/>
        <v>98.34</v>
      </c>
      <c r="AX18">
        <f>HLOOKUP($AX$9&amp;$AX$10,Data!$A$1:$ZT$1975,(MATCH($C18,Data!$A$1:$A$1975,0)),FALSE)</f>
        <v>93.54</v>
      </c>
    </row>
    <row r="19" spans="1:50">
      <c r="A19" s="55" t="str">
        <f>$D$1&amp;9</f>
        <v>SD9</v>
      </c>
      <c r="B19" s="56" t="str">
        <f>IF(ISERROR(VLOOKUP(A19,classifications!A:C,3,FALSE)),0,VLOOKUP(A19,classifications!A:C,3,FALSE))</f>
        <v>East Lindsey</v>
      </c>
      <c r="C19" t="s">
        <v>196</v>
      </c>
      <c r="D19" t="str">
        <f>VLOOKUP($C19,classifications!$C:$J,4,FALSE)</f>
        <v>L</v>
      </c>
      <c r="E19">
        <f>VLOOKUP(C19,classifications!C:K,9,FALSE)</f>
        <v>0</v>
      </c>
      <c r="F19">
        <f t="shared" si="0"/>
        <v>94.51</v>
      </c>
      <c r="G19" s="15"/>
      <c r="H19" s="41" t="str">
        <f t="shared" si="1"/>
        <v/>
      </c>
      <c r="I19" s="73" t="str">
        <f>IF(H19="","",IF($I$8="A",(RANK(H19,H$11:H$333,1)+COUNTIF(H$11:H19,H19)-1),(RANK(H19,H$11:H$333)+COUNTIF(H$11:H19,H19)-1)))</f>
        <v/>
      </c>
      <c r="J19" s="40"/>
      <c r="K19" s="35">
        <f t="shared" si="10"/>
        <v>9</v>
      </c>
      <c r="L19" t="str">
        <f t="shared" si="2"/>
        <v>New Forest</v>
      </c>
      <c r="M19" s="109">
        <f t="shared" si="3"/>
        <v>98.65</v>
      </c>
      <c r="N19" s="104">
        <f t="shared" si="19"/>
        <v>98.65</v>
      </c>
      <c r="O19" s="89">
        <f t="shared" si="20"/>
        <v>98.65</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Urban with Significant Rural</v>
      </c>
      <c r="Y19" t="str">
        <f t="shared" si="26"/>
        <v/>
      </c>
      <c r="Z19" s="39" t="str">
        <f>IF(Y19="","",IF(I$8="A",(RANK(Y19,Y$11:Y$333,1)+COUNTIF(Y$11:Y19,Y19)-1),(RANK(Y19,Y$11:Y$333)+COUNTIF(Y$11:Y19,Y19)-1)))</f>
        <v/>
      </c>
      <c r="AA19" s="177" t="str">
        <f>IF(L19="","",VLOOKUP($L19,classifications!C:I,7,FALSE))</f>
        <v>Urban with Significant Rural</v>
      </c>
      <c r="AB19" s="173" t="str">
        <f t="shared" si="27"/>
        <v/>
      </c>
      <c r="AC19" s="173" t="str">
        <f>IF(AB19="","",IF($I$8="A",(RANK(AB19,AB$11:AB$333)+COUNTIF(AB$11:AB19,AB19)-1),(RANK(AB19,AB$11:AB$333,1)+COUNTIF(AB$11:AB19,AB19)-1)))</f>
        <v/>
      </c>
      <c r="AD19" s="173"/>
      <c r="AE19" s="45" t="e">
        <f>IF(I$8="A",(RANK(AG19,AG$11:AG$333,1)+COUNTIF(AG$11:AG19,AG19)-1),(RANK(AG19,AG$11:AG$333)+COUNTIF(AG$11:AG19,AG19)-1))</f>
        <v>#N/A</v>
      </c>
      <c r="AF19" t="str">
        <f>VLOOKUP(Profile!$J$5,Families!$C:$R,2,FALSE)</f>
        <v>North Dorset</v>
      </c>
      <c r="AG19" s="15" t="e">
        <f t="shared" si="15"/>
        <v>#N/A</v>
      </c>
      <c r="AH19" s="46" t="e">
        <f t="shared" si="28"/>
        <v>#N/A</v>
      </c>
      <c r="AI19" s="5" t="str">
        <f>IF(L19="","",VLOOKUP($L19,classifications!$C:$J,8,FALSE))</f>
        <v>Hampshire</v>
      </c>
      <c r="AJ19" s="42" t="str">
        <f t="shared" si="29"/>
        <v/>
      </c>
      <c r="AK19" s="39" t="str">
        <f>IF(AJ19="","",IF(I$8="A",(RANK(AJ19,AJ$11:AJ$333,1)+COUNTIF(AJ$11:AJ19,AJ19)-1),(RANK(AJ19,AJ$11:AJ$333)+COUNTIF(AJ$11:AJ19,AJ19)-1)))</f>
        <v/>
      </c>
      <c r="AL19" s="3" t="str">
        <f t="shared" si="16"/>
        <v/>
      </c>
      <c r="AM19" t="str">
        <f t="shared" si="6"/>
        <v/>
      </c>
      <c r="AN19" t="str">
        <f t="shared" si="7"/>
        <v/>
      </c>
      <c r="AP19" s="5" t="str">
        <f>IF(L19="","",VLOOKUP($L19,classifications!$C:$E,3,FALSE))</f>
        <v>South East</v>
      </c>
      <c r="AQ19" s="42" t="str">
        <f t="shared" si="30"/>
        <v/>
      </c>
      <c r="AR19" s="39" t="str">
        <f>IF(AQ19="","",IF(I$8="A",(RANK(AQ19,AQ$11:AQ$333,1)+COUNTIF(AQ$11:AQ19,AQ19)-1),(RANK(AQ19,AQ$11:AQ$333)+COUNTIF(AQ$11:AQ19,AQ19)-1)))</f>
        <v/>
      </c>
      <c r="AS19" s="3">
        <f t="shared" si="18"/>
        <v>9</v>
      </c>
      <c r="AT19" s="39" t="str">
        <f t="shared" si="8"/>
        <v>Babergh</v>
      </c>
      <c r="AU19" s="42">
        <f t="shared" si="9"/>
        <v>98.11</v>
      </c>
      <c r="AX19">
        <f>HLOOKUP($AX$9&amp;$AX$10,Data!$A$1:$ZT$1975,(MATCH($C19,Data!$A$1:$A$1975,0)),FALSE)</f>
        <v>94.51</v>
      </c>
    </row>
    <row r="20" spans="1:50">
      <c r="A20" s="55" t="str">
        <f>$D$1&amp;10</f>
        <v>SD10</v>
      </c>
      <c r="B20" s="56" t="str">
        <f>IF(ISERROR(VLOOKUP(A20,classifications!A:C,3,FALSE)),0,VLOOKUP(A20,classifications!A:C,3,FALSE))</f>
        <v>East Suffolk</v>
      </c>
      <c r="C20" t="s">
        <v>222</v>
      </c>
      <c r="D20" t="str">
        <f>VLOOKUP($C20,classifications!$C:$J,4,FALSE)</f>
        <v>MD</v>
      </c>
      <c r="E20">
        <f>VLOOKUP(C20,classifications!C:K,9,FALSE)</f>
        <v>0</v>
      </c>
      <c r="F20">
        <f t="shared" si="0"/>
        <v>96.72</v>
      </c>
      <c r="G20" s="15"/>
      <c r="H20" s="41" t="str">
        <f t="shared" si="1"/>
        <v/>
      </c>
      <c r="I20" s="73" t="str">
        <f>IF(H20="","",IF($I$8="A",(RANK(H20,H$11:H$333,1)+COUNTIF(H$11:H20,H20)-1),(RANK(H20,H$11:H$333)+COUNTIF(H$11:H20,H20)-1)))</f>
        <v/>
      </c>
      <c r="J20" s="40"/>
      <c r="K20" s="35">
        <f t="shared" si="10"/>
        <v>10</v>
      </c>
      <c r="L20" t="str">
        <f t="shared" si="2"/>
        <v>East Devon</v>
      </c>
      <c r="M20" s="109">
        <f t="shared" si="3"/>
        <v>98.64</v>
      </c>
      <c r="N20" s="104">
        <f t="shared" si="19"/>
        <v>98.64</v>
      </c>
      <c r="O20" s="89">
        <f t="shared" si="20"/>
        <v>98.64</v>
      </c>
      <c r="P20" s="89" t="str">
        <f t="shared" si="21"/>
        <v/>
      </c>
      <c r="Q20" s="89" t="str">
        <f t="shared" si="22"/>
        <v/>
      </c>
      <c r="R20" s="85" t="str">
        <f t="shared" si="23"/>
        <v/>
      </c>
      <c r="S20" s="41" t="str">
        <f t="shared" si="24"/>
        <v/>
      </c>
      <c r="T20" s="166" t="str">
        <f>IF(L20="","",VLOOKUP(L20,classifications!C:K,9,FALSE))</f>
        <v>Sparse</v>
      </c>
      <c r="U20" s="167">
        <f t="shared" si="25"/>
        <v>98.64</v>
      </c>
      <c r="V20" s="173">
        <f>IF(U20="","",IF($I$8="A",(RANK(U20,U$11:U$333)+COUNTIF(U$11:U20,U20)-1),(RANK(U20,U$11:U$333,1)+COUNTIF(U$11:U20,U20)-1)))</f>
        <v>42</v>
      </c>
      <c r="W20" s="174"/>
      <c r="X20" s="5" t="str">
        <f>IF(L20="","",VLOOKUP($L20,classifications!$C:$J,6,FALSE))</f>
        <v xml:space="preserve">Predominantly Rural </v>
      </c>
      <c r="Y20">
        <f t="shared" si="26"/>
        <v>98.64</v>
      </c>
      <c r="Z20" s="39">
        <f>IF(Y20="","",IF(I$8="A",(RANK(Y20,Y$11:Y$333,1)+COUNTIF(Y$11:Y20,Y20)-1),(RANK(Y20,Y$11:Y$333)+COUNTIF(Y$11:Y20,Y20)-1)))</f>
        <v>4</v>
      </c>
      <c r="AA20" s="177" t="str">
        <f>IF(L20="","",VLOOKUP($L20,classifications!C:I,7,FALSE))</f>
        <v>Predominantly Rural</v>
      </c>
      <c r="AB20" s="173">
        <f t="shared" si="27"/>
        <v>98.64</v>
      </c>
      <c r="AC20" s="173">
        <f>IF(AB20="","",IF($I$8="A",(RANK(AB20,AB$11:AB$333)+COUNTIF(AB$11:AB20,AB20)-1),(RANK(AB20,AB$11:AB$333,1)+COUNTIF(AB$11:AB20,AB20)-1)))</f>
        <v>55</v>
      </c>
      <c r="AD20" s="173"/>
      <c r="AE20" s="45" t="e">
        <f>IF(I$8="A",(RANK(AG20,AG$11:AG$333,1)+COUNTIF(AG$11:AG20,AG20)-1),(RANK(AG20,AG$11:AG$333)+COUNTIF(AG$11:AG20,AG20)-1))</f>
        <v>#N/A</v>
      </c>
      <c r="AF20" t="str">
        <f>VLOOKUP(Profile!$J$5,Families!$C:$R,2,FALSE)</f>
        <v>North Dorset</v>
      </c>
      <c r="AG20" s="15" t="e">
        <f t="shared" si="15"/>
        <v>#N/A</v>
      </c>
      <c r="AH20" s="46" t="e">
        <f t="shared" si="28"/>
        <v>#N/A</v>
      </c>
      <c r="AI20" s="5" t="str">
        <f>IF(L20="","",VLOOKUP($L20,classifications!$C:$J,8,FALSE))</f>
        <v>Devon</v>
      </c>
      <c r="AJ20" s="42" t="str">
        <f t="shared" si="29"/>
        <v/>
      </c>
      <c r="AK20" s="39" t="str">
        <f>IF(AJ20="","",IF(I$8="A",(RANK(AJ20,AJ$11:AJ$333,1)+COUNTIF(AJ$11:AJ20,AJ20)-1),(RANK(AJ20,AJ$11:AJ$333)+COUNTIF(AJ$11:AJ20,AJ20)-1)))</f>
        <v/>
      </c>
      <c r="AL20" s="3" t="str">
        <f t="shared" si="16"/>
        <v/>
      </c>
      <c r="AM20" t="str">
        <f t="shared" si="6"/>
        <v/>
      </c>
      <c r="AN20" t="str">
        <f t="shared" si="7"/>
        <v/>
      </c>
      <c r="AP20" s="5" t="str">
        <f>IF(L20="","",VLOOKUP($L20,classifications!$C:$E,3,FALSE))</f>
        <v>South West</v>
      </c>
      <c r="AQ20" s="42" t="str">
        <f t="shared" si="30"/>
        <v/>
      </c>
      <c r="AR20" s="39" t="str">
        <f>IF(AQ20="","",IF(I$8="A",(RANK(AQ20,AQ$11:AQ$333,1)+COUNTIF(AQ$11:AQ20,AQ20)-1),(RANK(AQ20,AQ$11:AQ$333)+COUNTIF(AQ$11:AQ20,AQ20)-1)))</f>
        <v/>
      </c>
      <c r="AS20" s="3">
        <f t="shared" si="18"/>
        <v>10</v>
      </c>
      <c r="AT20" s="39" t="str">
        <f t="shared" si="8"/>
        <v>Maldon</v>
      </c>
      <c r="AU20" s="42">
        <f t="shared" si="9"/>
        <v>98.01</v>
      </c>
      <c r="AX20">
        <f>HLOOKUP($AX$9&amp;$AX$10,Data!$A$1:$ZT$1975,(MATCH($C20,Data!$A$1:$A$1975,0)),FALSE)</f>
        <v>96.72</v>
      </c>
    </row>
    <row r="21" spans="1:50">
      <c r="A21" s="55" t="str">
        <f>$D$1&amp;11</f>
        <v>SD11</v>
      </c>
      <c r="B21" s="56" t="str">
        <f>IF(ISERROR(VLOOKUP(A21,classifications!A:C,3,FALSE)),0,VLOOKUP(A21,classifications!A:C,3,FALSE))</f>
        <v>Forest of Dean</v>
      </c>
      <c r="C21" t="s">
        <v>899</v>
      </c>
      <c r="D21" t="str">
        <f>VLOOKUP($C21,classifications!$C:$J,4,FALSE)</f>
        <v>UA</v>
      </c>
      <c r="E21" t="str">
        <f>VLOOKUP(C21,classifications!C:K,9,FALSE)</f>
        <v>Sparse</v>
      </c>
      <c r="F21">
        <f t="shared" si="0"/>
        <v>97.38</v>
      </c>
      <c r="G21" s="15"/>
      <c r="H21" s="41" t="str">
        <f t="shared" si="1"/>
        <v/>
      </c>
      <c r="I21" s="73" t="str">
        <f>IF(H21="","",IF($I$8="A",(RANK(H21,H$11:H$333,1)+COUNTIF(H$11:H21,H21)-1),(RANK(H21,H$11:H$333)+COUNTIF(H$11:H21,H21)-1)))</f>
        <v/>
      </c>
      <c r="J21" s="40"/>
      <c r="K21" s="35">
        <f t="shared" si="10"/>
        <v>11</v>
      </c>
      <c r="L21" t="str">
        <f t="shared" si="2"/>
        <v>Amber Valley</v>
      </c>
      <c r="M21" s="109">
        <f t="shared" si="3"/>
        <v>98.57</v>
      </c>
      <c r="N21" s="104">
        <f t="shared" si="19"/>
        <v>98.57</v>
      </c>
      <c r="O21" s="89">
        <f t="shared" si="20"/>
        <v>98.57</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t="e">
        <f>IF(I$8="A",(RANK(AG21,AG$11:AG$333,1)+COUNTIF(AG$11:AG21,AG21)-1),(RANK(AG21,AG$11:AG$333)+COUNTIF(AG$11:AG21,AG21)-1))</f>
        <v>#N/A</v>
      </c>
      <c r="AF21" t="str">
        <f>VLOOKUP(Profile!$J$5,Families!$C:$R,2,FALSE)</f>
        <v>North Dorset</v>
      </c>
      <c r="AG21" s="15" t="e">
        <f t="shared" si="15"/>
        <v>#N/A</v>
      </c>
      <c r="AH21" s="46" t="e">
        <f t="shared" si="28"/>
        <v>#N/A</v>
      </c>
      <c r="AI21" s="5" t="str">
        <f>IF(L21="","",VLOOKUP($L21,classifications!$C:$J,8,FALSE))</f>
        <v>Derbyshire</v>
      </c>
      <c r="AJ21" s="42" t="str">
        <f t="shared" si="29"/>
        <v/>
      </c>
      <c r="AK21" s="39" t="str">
        <f>IF(AJ21="","",IF(I$8="A",(RANK(AJ21,AJ$11:AJ$333,1)+COUNTIF(AJ$11:AJ21,AJ21)-1),(RANK(AJ21,AJ$11:AJ$333)+COUNTIF(AJ$11:AJ21,AJ21)-1)))</f>
        <v/>
      </c>
      <c r="AL21" s="3" t="str">
        <f t="shared" si="16"/>
        <v/>
      </c>
      <c r="AM21" t="str">
        <f t="shared" si="6"/>
        <v/>
      </c>
      <c r="AN21" t="str">
        <f t="shared" si="7"/>
        <v/>
      </c>
      <c r="AP21" s="5" t="str">
        <f>IF(L21="","",VLOOKUP($L21,classifications!$C:$E,3,FALSE))</f>
        <v>East Midlands</v>
      </c>
      <c r="AQ21" s="42" t="str">
        <f t="shared" si="30"/>
        <v/>
      </c>
      <c r="AR21" s="39" t="str">
        <f>IF(AQ21="","",IF(I$8="A",(RANK(AQ21,AQ$11:AQ$333,1)+COUNTIF(AQ$11:AQ21,AQ21)-1),(RANK(AQ21,AQ$11:AQ$333)+COUNTIF(AQ$11:AQ21,AQ21)-1)))</f>
        <v/>
      </c>
      <c r="AS21" s="3">
        <f t="shared" si="18"/>
        <v>11</v>
      </c>
      <c r="AT21" s="39" t="str">
        <f t="shared" si="8"/>
        <v>Broadland</v>
      </c>
      <c r="AU21" s="42">
        <f t="shared" si="9"/>
        <v>97.91</v>
      </c>
      <c r="AX21">
        <f>HLOOKUP($AX$9&amp;$AX$10,Data!$A$1:$ZT$1975,(MATCH($C21,Data!$A$1:$A$1975,0)),FALSE)</f>
        <v>97.38</v>
      </c>
    </row>
    <row r="22" spans="1:50">
      <c r="A22" s="55" t="str">
        <f>$D$1&amp;12</f>
        <v>SD12</v>
      </c>
      <c r="B22" s="56" t="str">
        <f>IF(ISERROR(VLOOKUP(A22,classifications!A:C,3,FALSE)),0,VLOOKUP(A22,classifications!A:C,3,FALSE))</f>
        <v>Harborough</v>
      </c>
      <c r="C22" t="s">
        <v>14</v>
      </c>
      <c r="D22" t="str">
        <f>VLOOKUP($C22,classifications!$C:$J,4,FALSE)</f>
        <v>SD</v>
      </c>
      <c r="E22">
        <f>VLOOKUP(C22,classifications!C:K,9,FALSE)</f>
        <v>0</v>
      </c>
      <c r="F22">
        <f t="shared" si="0"/>
        <v>96.47</v>
      </c>
      <c r="G22" s="15"/>
      <c r="H22" s="41">
        <f t="shared" si="1"/>
        <v>96.47</v>
      </c>
      <c r="I22" s="73">
        <f>IF(H22="","",IF($I$8="A",(RANK(H22,H$11:H$333,1)+COUNTIF(H$11:H22,H22)-1),(RANK(H22,H$11:H$333)+COUNTIF(H$11:H22,H22)-1)))</f>
        <v>123</v>
      </c>
      <c r="J22" s="40"/>
      <c r="K22" s="35">
        <f t="shared" si="10"/>
        <v>12</v>
      </c>
      <c r="L22" t="str">
        <f t="shared" si="2"/>
        <v>Reigate &amp; Banstead</v>
      </c>
      <c r="M22" s="109">
        <f t="shared" si="3"/>
        <v>98.57</v>
      </c>
      <c r="N22" s="104">
        <f t="shared" si="19"/>
        <v>98.57</v>
      </c>
      <c r="O22" s="89">
        <f t="shared" si="20"/>
        <v>98.57</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t="e">
        <f>IF(I$8="A",(RANK(AG22,AG$11:AG$333,1)+COUNTIF(AG$11:AG22,AG22)-1),(RANK(AG22,AG$11:AG$333)+COUNTIF(AG$11:AG22,AG22)-1))</f>
        <v>#N/A</v>
      </c>
      <c r="AF22" t="str">
        <f>VLOOKUP(Profile!$J$5,Families!$C:$R,2,FALSE)</f>
        <v>North Dorset</v>
      </c>
      <c r="AG22" s="15" t="e">
        <f t="shared" si="15"/>
        <v>#N/A</v>
      </c>
      <c r="AH22" s="46" t="e">
        <f t="shared" si="28"/>
        <v>#N/A</v>
      </c>
      <c r="AI22" s="5" t="str">
        <f>IF(L22="","",VLOOKUP($L22,classifications!$C:$J,8,FALSE))</f>
        <v>Surrey</v>
      </c>
      <c r="AJ22" s="42" t="str">
        <f t="shared" si="29"/>
        <v/>
      </c>
      <c r="AK22" s="39" t="str">
        <f>IF(AJ22="","",IF(I$8="A",(RANK(AJ22,AJ$11:AJ$333,1)+COUNTIF(AJ$11:AJ22,AJ22)-1),(RANK(AJ22,AJ$11:AJ$333)+COUNTIF(AJ$11:AJ22,AJ22)-1)))</f>
        <v/>
      </c>
      <c r="AL22" s="3" t="str">
        <f t="shared" si="16"/>
        <v/>
      </c>
      <c r="AM22" t="str">
        <f t="shared" si="6"/>
        <v/>
      </c>
      <c r="AN22" t="str">
        <f t="shared" si="7"/>
        <v/>
      </c>
      <c r="AP22" s="5" t="str">
        <f>IF(L22="","",VLOOKUP($L22,classifications!$C:$E,3,FALSE))</f>
        <v>South East</v>
      </c>
      <c r="AQ22" s="42" t="str">
        <f t="shared" si="30"/>
        <v/>
      </c>
      <c r="AR22" s="39" t="str">
        <f>IF(AQ22="","",IF(I$8="A",(RANK(AQ22,AQ$11:AQ$333,1)+COUNTIF(AQ$11:AQ22,AQ22)-1),(RANK(AQ22,AQ$11:AQ$333)+COUNTIF(AQ$11:AQ22,AQ22)-1)))</f>
        <v/>
      </c>
      <c r="AS22" s="3">
        <f t="shared" si="18"/>
        <v>12</v>
      </c>
      <c r="AT22" s="39" t="str">
        <f t="shared" si="8"/>
        <v>North Hertfordshire</v>
      </c>
      <c r="AU22" s="42">
        <f t="shared" si="9"/>
        <v>97.9</v>
      </c>
      <c r="AX22">
        <f>HLOOKUP($AX$9&amp;$AX$10,Data!$A$1:$ZT$1975,(MATCH($C22,Data!$A$1:$A$1975,0)),FALSE)</f>
        <v>96.47</v>
      </c>
    </row>
    <row r="23" spans="1:50">
      <c r="A23" s="55" t="str">
        <f>$D$1&amp;13</f>
        <v>SD13</v>
      </c>
      <c r="B23" s="56" t="str">
        <f>IF(ISERROR(VLOOKUP(A23,classifications!A:C,3,FALSE)),0,VLOOKUP(A23,classifications!A:C,3,FALSE))</f>
        <v>King's Lynn &amp; West Norfolk</v>
      </c>
      <c r="C23" t="s">
        <v>342</v>
      </c>
      <c r="D23" t="str">
        <f>VLOOKUP($C23,classifications!$C:$J,4,FALSE)</f>
        <v>SD</v>
      </c>
      <c r="E23">
        <f>VLOOKUP(C23,classifications!C:K,9,FALSE)</f>
        <v>0</v>
      </c>
      <c r="F23">
        <f t="shared" si="0"/>
        <v>97.94</v>
      </c>
      <c r="G23" s="15"/>
      <c r="H23" s="41">
        <f t="shared" si="1"/>
        <v>97.94</v>
      </c>
      <c r="I23" s="73">
        <f>IF(H23="","",IF($I$8="A",(RANK(H23,H$11:H$333,1)+COUNTIF(H$11:H23,H23)-1),(RANK(H23,H$11:H$333)+COUNTIF(H$11:H23,H23)-1)))</f>
        <v>45</v>
      </c>
      <c r="J23" s="40"/>
      <c r="K23" s="35">
        <f t="shared" si="10"/>
        <v>13</v>
      </c>
      <c r="L23" t="str">
        <f t="shared" si="2"/>
        <v>Three Rivers</v>
      </c>
      <c r="M23" s="109">
        <f t="shared" si="3"/>
        <v>98.57</v>
      </c>
      <c r="N23" s="104">
        <f t="shared" si="19"/>
        <v>98.57</v>
      </c>
      <c r="O23" s="89">
        <f t="shared" si="20"/>
        <v>98.57</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t="e">
        <f>IF(I$8="A",(RANK(AG23,AG$11:AG$333,1)+COUNTIF(AG$11:AG23,AG23)-1),(RANK(AG23,AG$11:AG$333)+COUNTIF(AG$11:AG23,AG23)-1))</f>
        <v>#N/A</v>
      </c>
      <c r="AF23" t="str">
        <f>VLOOKUP(Profile!$J$5,Families!$C:$R,2,FALSE)</f>
        <v>North Dorset</v>
      </c>
      <c r="AG23" s="15" t="e">
        <f t="shared" si="15"/>
        <v>#N/A</v>
      </c>
      <c r="AH23" s="46" t="e">
        <f t="shared" si="28"/>
        <v>#N/A</v>
      </c>
      <c r="AI23" s="5" t="str">
        <f>IF(L23="","",VLOOKUP($L23,classifications!$C:$J,8,FALSE))</f>
        <v>Hertfordshire</v>
      </c>
      <c r="AJ23" s="42" t="str">
        <f t="shared" si="29"/>
        <v/>
      </c>
      <c r="AK23" s="39" t="str">
        <f>IF(AJ23="","",IF(I$8="A",(RANK(AJ23,AJ$11:AJ$333,1)+COUNTIF(AJ$11:AJ23,AJ23)-1),(RANK(AJ23,AJ$11:AJ$333)+COUNTIF(AJ$11:AJ23,AJ23)-1)))</f>
        <v/>
      </c>
      <c r="AL23" s="3" t="str">
        <f t="shared" si="16"/>
        <v/>
      </c>
      <c r="AM23" t="str">
        <f t="shared" si="6"/>
        <v/>
      </c>
      <c r="AN23" t="str">
        <f t="shared" si="7"/>
        <v/>
      </c>
      <c r="AP23" s="5" t="str">
        <f>IF(L23="","",VLOOKUP($L23,classifications!$C:$E,3,FALSE))</f>
        <v>East of England</v>
      </c>
      <c r="AQ23" s="42">
        <f t="shared" si="30"/>
        <v>98.57</v>
      </c>
      <c r="AR23" s="39">
        <f>IF(AQ23="","",IF(I$8="A",(RANK(AQ23,AQ$11:AQ$333,1)+COUNTIF(AQ$11:AQ23,AQ23)-1),(RANK(AQ23,AQ$11:AQ$333)+COUNTIF(AQ$11:AQ23,AQ23)-1)))</f>
        <v>5</v>
      </c>
      <c r="AS23" s="3">
        <f t="shared" si="18"/>
        <v>13</v>
      </c>
      <c r="AT23" s="39" t="str">
        <f t="shared" si="8"/>
        <v>East Cambridgeshire</v>
      </c>
      <c r="AU23" s="42">
        <f t="shared" si="9"/>
        <v>97.8</v>
      </c>
      <c r="AX23">
        <f>HLOOKUP($AX$9&amp;$AX$10,Data!$A$1:$ZT$1975,(MATCH($C23,Data!$A$1:$A$1975,0)),FALSE)</f>
        <v>97.94</v>
      </c>
    </row>
    <row r="24" spans="1:50">
      <c r="A24" s="55" t="str">
        <f>$D$1&amp;14</f>
        <v>SD14</v>
      </c>
      <c r="B24" s="56" t="str">
        <f>IF(ISERROR(VLOOKUP(A24,classifications!A:C,3,FALSE)),0,VLOOKUP(A24,classifications!A:C,3,FALSE))</f>
        <v>Lewes</v>
      </c>
      <c r="C24" t="s">
        <v>15</v>
      </c>
      <c r="D24" t="str">
        <f>VLOOKUP($C24,classifications!$C:$J,4,FALSE)</f>
        <v>SD</v>
      </c>
      <c r="E24">
        <f>VLOOKUP(C24,classifications!C:K,9,FALSE)</f>
        <v>0</v>
      </c>
      <c r="F24">
        <f t="shared" si="0"/>
        <v>95.5</v>
      </c>
      <c r="G24" s="15"/>
      <c r="H24" s="41">
        <f t="shared" si="1"/>
        <v>95.5</v>
      </c>
      <c r="I24" s="73">
        <f>IF(H24="","",IF($I$8="A",(RANK(H24,H$11:H$333,1)+COUNTIF(H$11:H24,H24)-1),(RANK(H24,H$11:H$333)+COUNTIF(H$11:H24,H24)-1)))</f>
        <v>144</v>
      </c>
      <c r="J24" s="40"/>
      <c r="K24" s="35">
        <f t="shared" si="10"/>
        <v>14</v>
      </c>
      <c r="L24" t="str">
        <f t="shared" si="2"/>
        <v>Melton</v>
      </c>
      <c r="M24" s="109">
        <f t="shared" si="3"/>
        <v>98.56</v>
      </c>
      <c r="N24" s="104">
        <f t="shared" si="19"/>
        <v>98.56</v>
      </c>
      <c r="O24" s="89">
        <f t="shared" si="20"/>
        <v>98.56</v>
      </c>
      <c r="P24" s="89" t="str">
        <f t="shared" si="21"/>
        <v/>
      </c>
      <c r="Q24" s="89" t="str">
        <f t="shared" si="22"/>
        <v/>
      </c>
      <c r="R24" s="85" t="str">
        <f t="shared" si="23"/>
        <v/>
      </c>
      <c r="S24" s="41" t="str">
        <f t="shared" si="24"/>
        <v/>
      </c>
      <c r="T24" s="166" t="str">
        <f>IF(L24="","",VLOOKUP(L24,classifications!C:K,9,FALSE))</f>
        <v>Sparse</v>
      </c>
      <c r="U24" s="167">
        <f t="shared" si="25"/>
        <v>98.56</v>
      </c>
      <c r="V24" s="173">
        <f>IF(U24="","",IF($I$8="A",(RANK(U24,U$11:U$333)+COUNTIF(U$11:U24,U24)-1),(RANK(U24,U$11:U$333,1)+COUNTIF(U$11:U24,U24)-1)))</f>
        <v>41</v>
      </c>
      <c r="W24" s="174"/>
      <c r="X24" s="5" t="str">
        <f>IF(L24="","",VLOOKUP($L24,classifications!$C:$J,6,FALSE))</f>
        <v xml:space="preserve">Predominantly Rural </v>
      </c>
      <c r="Y24">
        <f t="shared" si="26"/>
        <v>98.56</v>
      </c>
      <c r="Z24" s="39">
        <f>IF(Y24="","",IF(I$8="A",(RANK(Y24,Y$11:Y$333,1)+COUNTIF(Y$11:Y24,Y24)-1),(RANK(Y24,Y$11:Y$333)+COUNTIF(Y$11:Y24,Y24)-1)))</f>
        <v>5</v>
      </c>
      <c r="AA24" s="177" t="str">
        <f>IF(L24="","",VLOOKUP($L24,classifications!C:I,7,FALSE))</f>
        <v>Predominantly Rural</v>
      </c>
      <c r="AB24" s="173">
        <f t="shared" si="27"/>
        <v>98.56</v>
      </c>
      <c r="AC24" s="173">
        <f>IF(AB24="","",IF($I$8="A",(RANK(AB24,AB$11:AB$333)+COUNTIF(AB$11:AB24,AB24)-1),(RANK(AB24,AB$11:AB$333,1)+COUNTIF(AB$11:AB24,AB24)-1)))</f>
        <v>54</v>
      </c>
      <c r="AD24" s="173"/>
      <c r="AE24" s="45" t="e">
        <f>IF(I$8="A",(RANK(AG24,AG$11:AG$333,1)+COUNTIF(AG$11:AG24,AG24)-1),(RANK(AG24,AG$11:AG$333)+COUNTIF(AG$11:AG24,AG24)-1))</f>
        <v>#N/A</v>
      </c>
      <c r="AF24" t="str">
        <f>VLOOKUP(Profile!$J$5,Families!$C:$R,2,FALSE)</f>
        <v>North Dorset</v>
      </c>
      <c r="AG24" s="15" t="e">
        <f t="shared" si="15"/>
        <v>#N/A</v>
      </c>
      <c r="AH24" s="46" t="e">
        <f t="shared" si="28"/>
        <v>#N/A</v>
      </c>
      <c r="AI24" s="5" t="str">
        <f>IF(L24="","",VLOOKUP($L24,classifications!$C:$J,8,FALSE))</f>
        <v>Leicestershire</v>
      </c>
      <c r="AJ24" s="42" t="str">
        <f t="shared" si="29"/>
        <v/>
      </c>
      <c r="AK24" s="39" t="str">
        <f>IF(AJ24="","",IF(I$8="A",(RANK(AJ24,AJ$11:AJ$333,1)+COUNTIF(AJ$11:AJ24,AJ24)-1),(RANK(AJ24,AJ$11:AJ$333)+COUNTIF(AJ$11:AJ24,AJ24)-1)))</f>
        <v/>
      </c>
      <c r="AL24" s="3" t="str">
        <f t="shared" si="16"/>
        <v/>
      </c>
      <c r="AM24" t="str">
        <f t="shared" si="6"/>
        <v/>
      </c>
      <c r="AN24" t="str">
        <f t="shared" si="7"/>
        <v/>
      </c>
      <c r="AP24" s="5" t="str">
        <f>IF(L24="","",VLOOKUP($L24,classifications!$C:$E,3,FALSE))</f>
        <v>East Midlands</v>
      </c>
      <c r="AQ24" s="42" t="str">
        <f t="shared" si="30"/>
        <v/>
      </c>
      <c r="AR24" s="39" t="str">
        <f>IF(AQ24="","",IF(I$8="A",(RANK(AQ24,AQ$11:AQ$333,1)+COUNTIF(AQ$11:AQ24,AQ24)-1),(RANK(AQ24,AQ$11:AQ$333)+COUNTIF(AQ$11:AQ24,AQ24)-1)))</f>
        <v/>
      </c>
      <c r="AS24" s="3">
        <f t="shared" si="18"/>
        <v>14</v>
      </c>
      <c r="AT24" s="39" t="str">
        <f t="shared" si="8"/>
        <v>Huntingdonshire</v>
      </c>
      <c r="AU24" s="42">
        <f t="shared" si="9"/>
        <v>97.8</v>
      </c>
      <c r="AX24">
        <f>HLOOKUP($AX$9&amp;$AX$10,Data!$A$1:$ZT$1975,(MATCH($C24,Data!$A$1:$A$1975,0)),FALSE)</f>
        <v>95.5</v>
      </c>
    </row>
    <row r="25" spans="1:50">
      <c r="A25" s="55" t="str">
        <f>$D$1&amp;15</f>
        <v>SD15</v>
      </c>
      <c r="B25" s="56" t="str">
        <f>IF(ISERROR(VLOOKUP(A25,classifications!A:C,3,FALSE)),0,VLOOKUP(A25,classifications!A:C,3,FALSE))</f>
        <v>Lichfield</v>
      </c>
      <c r="C25" t="s">
        <v>258</v>
      </c>
      <c r="D25" t="str">
        <f>VLOOKUP($C25,classifications!$C:$J,4,FALSE)</f>
        <v>UA</v>
      </c>
      <c r="E25">
        <f>VLOOKUP(C25,classifications!C:K,9,FALSE)</f>
        <v>0</v>
      </c>
      <c r="F25">
        <f t="shared" si="0"/>
        <v>97.13</v>
      </c>
      <c r="G25" s="15"/>
      <c r="H25" s="41" t="str">
        <f t="shared" si="1"/>
        <v/>
      </c>
      <c r="I25" s="73" t="str">
        <f>IF(H25="","",IF($I$8="A",(RANK(H25,H$11:H$333,1)+COUNTIF(H$11:H25,H25)-1),(RANK(H25,H$11:H$333)+COUNTIF(H$11:H25,H25)-1)))</f>
        <v/>
      </c>
      <c r="J25" s="40"/>
      <c r="K25" s="35">
        <f t="shared" si="10"/>
        <v>15</v>
      </c>
      <c r="L25" t="str">
        <f t="shared" si="2"/>
        <v>Staffordshire Moorlands</v>
      </c>
      <c r="M25" s="109">
        <f t="shared" si="3"/>
        <v>98.54</v>
      </c>
      <c r="N25" s="104">
        <f t="shared" si="19"/>
        <v>98.54</v>
      </c>
      <c r="O25" s="89">
        <f t="shared" si="20"/>
        <v>98.54</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 xml:space="preserve">Predominantly Rural </v>
      </c>
      <c r="Y25">
        <f t="shared" si="26"/>
        <v>98.54</v>
      </c>
      <c r="Z25" s="39">
        <f>IF(Y25="","",IF(I$8="A",(RANK(Y25,Y$11:Y$333,1)+COUNTIF(Y$11:Y25,Y25)-1),(RANK(Y25,Y$11:Y$333)+COUNTIF(Y$11:Y25,Y25)-1)))</f>
        <v>6</v>
      </c>
      <c r="AA25" s="177" t="str">
        <f>IF(L25="","",VLOOKUP($L25,classifications!C:I,7,FALSE))</f>
        <v>Predominantly Rural</v>
      </c>
      <c r="AB25" s="173">
        <f t="shared" si="27"/>
        <v>98.54</v>
      </c>
      <c r="AC25" s="173">
        <f>IF(AB25="","",IF($I$8="A",(RANK(AB25,AB$11:AB$333)+COUNTIF(AB$11:AB25,AB25)-1),(RANK(AB25,AB$11:AB$333,1)+COUNTIF(AB$11:AB25,AB25)-1)))</f>
        <v>53</v>
      </c>
      <c r="AD25" s="173"/>
      <c r="AE25" s="45" t="e">
        <f>IF(I$8="A",(RANK(AG25,AG$11:AG$333,1)+COUNTIF(AG$11:AG25,AG25)-1),(RANK(AG25,AG$11:AG$333)+COUNTIF(AG$11:AG25,AG25)-1))</f>
        <v>#N/A</v>
      </c>
      <c r="AF25" t="str">
        <f>VLOOKUP(Profile!$J$5,Families!$C:$R,2,FALSE)</f>
        <v>North Dorset</v>
      </c>
      <c r="AG25" s="15" t="e">
        <f t="shared" si="15"/>
        <v>#N/A</v>
      </c>
      <c r="AH25" s="46" t="e">
        <f t="shared" si="28"/>
        <v>#N/A</v>
      </c>
      <c r="AI25" s="5" t="str">
        <f>IF(L25="","",VLOOKUP($L25,classifications!$C:$J,8,FALSE))</f>
        <v>Staffordshire</v>
      </c>
      <c r="AJ25" s="42" t="str">
        <f t="shared" si="29"/>
        <v/>
      </c>
      <c r="AK25" s="39" t="str">
        <f>IF(AJ25="","",IF(I$8="A",(RANK(AJ25,AJ$11:AJ$333,1)+COUNTIF(AJ$11:AJ25,AJ25)-1),(RANK(AJ25,AJ$11:AJ$333)+COUNTIF(AJ$11:AJ25,AJ25)-1)))</f>
        <v/>
      </c>
      <c r="AL25" s="3" t="str">
        <f t="shared" si="16"/>
        <v/>
      </c>
      <c r="AM25" t="str">
        <f t="shared" si="6"/>
        <v/>
      </c>
      <c r="AN25" t="str">
        <f t="shared" si="7"/>
        <v/>
      </c>
      <c r="AP25" s="5" t="str">
        <f>IF(L25="","",VLOOKUP($L25,classifications!$C:$E,3,FALSE))</f>
        <v>West Midlands</v>
      </c>
      <c r="AQ25" s="42" t="str">
        <f t="shared" si="30"/>
        <v/>
      </c>
      <c r="AR25" s="39" t="str">
        <f>IF(AQ25="","",IF(I$8="A",(RANK(AQ25,AQ$11:AQ$333,1)+COUNTIF(AQ$11:AQ25,AQ25)-1),(RANK(AQ25,AQ$11:AQ$333)+COUNTIF(AQ$11:AQ25,AQ25)-1)))</f>
        <v/>
      </c>
      <c r="AS25" s="3">
        <f t="shared" si="18"/>
        <v>15</v>
      </c>
      <c r="AT25" s="39" t="str">
        <f t="shared" si="8"/>
        <v>Colchester</v>
      </c>
      <c r="AU25" s="42">
        <f t="shared" si="9"/>
        <v>97.63</v>
      </c>
      <c r="AX25">
        <f>HLOOKUP($AX$9&amp;$AX$10,Data!$A$1:$ZT$1975,(MATCH($C25,Data!$A$1:$A$1975,0)),FALSE)</f>
        <v>97.13</v>
      </c>
    </row>
    <row r="26" spans="1:50">
      <c r="A26" s="55" t="str">
        <f>$D$1&amp;16</f>
        <v>SD16</v>
      </c>
      <c r="B26" s="56" t="str">
        <f>IF(ISERROR(VLOOKUP(A26,classifications!A:C,3,FALSE)),0,VLOOKUP(A26,classifications!A:C,3,FALSE))</f>
        <v>Malvern Hills</v>
      </c>
      <c r="C26" t="s">
        <v>259</v>
      </c>
      <c r="D26" t="str">
        <f>VLOOKUP($C26,classifications!$C:$J,4,FALSE)</f>
        <v>UA</v>
      </c>
      <c r="E26">
        <f>VLOOKUP(C26,classifications!C:K,9,FALSE)</f>
        <v>0</v>
      </c>
      <c r="F26">
        <f t="shared" si="0"/>
        <v>96.45</v>
      </c>
      <c r="G26" s="15"/>
      <c r="H26" s="41" t="str">
        <f t="shared" si="1"/>
        <v/>
      </c>
      <c r="I26" s="73" t="str">
        <f>IF(H26="","",IF($I$8="A",(RANK(H26,H$11:H$333,1)+COUNTIF(H$11:H26,H26)-1),(RANK(H26,H$11:H$333)+COUNTIF(H$11:H26,H26)-1)))</f>
        <v/>
      </c>
      <c r="J26" s="40"/>
      <c r="K26" s="35">
        <f t="shared" si="10"/>
        <v>16</v>
      </c>
      <c r="L26" t="str">
        <f t="shared" si="2"/>
        <v>Hart</v>
      </c>
      <c r="M26" s="109">
        <f t="shared" si="3"/>
        <v>98.48</v>
      </c>
      <c r="N26" s="104">
        <f t="shared" si="19"/>
        <v>98.48</v>
      </c>
      <c r="O26" s="89">
        <f t="shared" si="20"/>
        <v>98.48</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Urban with Significant Rural</v>
      </c>
      <c r="Y26" t="str">
        <f t="shared" si="26"/>
        <v/>
      </c>
      <c r="Z26" s="39" t="str">
        <f>IF(Y26="","",IF(I$8="A",(RANK(Y26,Y$11:Y$333,1)+COUNTIF(Y$11:Y26,Y26)-1),(RANK(Y26,Y$11:Y$333)+COUNTIF(Y$11:Y26,Y26)-1)))</f>
        <v/>
      </c>
      <c r="AA26" s="177" t="str">
        <f>IF(L26="","",VLOOKUP($L26,classifications!C:I,7,FALSE))</f>
        <v>Urban with Significant Rural</v>
      </c>
      <c r="AB26" s="173" t="str">
        <f t="shared" si="27"/>
        <v/>
      </c>
      <c r="AC26" s="173" t="str">
        <f>IF(AB26="","",IF($I$8="A",(RANK(AB26,AB$11:AB$333)+COUNTIF(AB$11:AB26,AB26)-1),(RANK(AB26,AB$11:AB$333,1)+COUNTIF(AB$11:AB26,AB26)-1)))</f>
        <v/>
      </c>
      <c r="AD26" s="173"/>
      <c r="AE26" s="45" t="e">
        <f>IF(I$8="A",(RANK(AG26,AG$11:AG$333,1)+COUNTIF(AG$11:AG26,AG26)-1),(RANK(AG26,AG$11:AG$333)+COUNTIF(AG$11:AG26,AG26)-1))</f>
        <v>#N/A</v>
      </c>
      <c r="AF26" t="str">
        <f>VLOOKUP(Profile!$J$5,Families!$C:$R,2,FALSE)</f>
        <v>North Dorset</v>
      </c>
      <c r="AG26" s="15" t="e">
        <f t="shared" si="15"/>
        <v>#N/A</v>
      </c>
      <c r="AH26" s="46" t="e">
        <f t="shared" si="28"/>
        <v>#N/A</v>
      </c>
      <c r="AI26" s="5" t="str">
        <f>IF(L26="","",VLOOKUP($L26,classifications!$C:$J,8,FALSE))</f>
        <v>Hampshire</v>
      </c>
      <c r="AJ26" s="42" t="str">
        <f t="shared" si="29"/>
        <v/>
      </c>
      <c r="AK26" s="39" t="str">
        <f>IF(AJ26="","",IF(I$8="A",(RANK(AJ26,AJ$11:AJ$333,1)+COUNTIF(AJ$11:AJ26,AJ26)-1),(RANK(AJ26,AJ$11:AJ$333)+COUNTIF(AJ$11:AJ26,AJ26)-1)))</f>
        <v/>
      </c>
      <c r="AL26" s="3" t="str">
        <f t="shared" si="16"/>
        <v/>
      </c>
      <c r="AM26" t="str">
        <f t="shared" si="6"/>
        <v/>
      </c>
      <c r="AN26" t="str">
        <f t="shared" si="7"/>
        <v/>
      </c>
      <c r="AP26" s="5" t="str">
        <f>IF(L26="","",VLOOKUP($L26,classifications!$C:$E,3,FALSE))</f>
        <v>South East</v>
      </c>
      <c r="AQ26" s="42" t="str">
        <f t="shared" si="30"/>
        <v/>
      </c>
      <c r="AR26" s="39" t="str">
        <f>IF(AQ26="","",IF(I$8="A",(RANK(AQ26,AQ$11:AQ$333,1)+COUNTIF(AQ$11:AQ26,AQ26)-1),(RANK(AQ26,AQ$11:AQ$333)+COUNTIF(AQ$11:AQ26,AQ26)-1)))</f>
        <v/>
      </c>
      <c r="AS26" s="3">
        <f t="shared" si="18"/>
        <v>16</v>
      </c>
      <c r="AT26" s="39" t="str">
        <f t="shared" si="8"/>
        <v>Braintree</v>
      </c>
      <c r="AU26" s="42">
        <f t="shared" si="9"/>
        <v>97.59</v>
      </c>
      <c r="AX26">
        <f>HLOOKUP($AX$9&amp;$AX$10,Data!$A$1:$ZT$1975,(MATCH($C26,Data!$A$1:$A$1975,0)),FALSE)</f>
        <v>96.45</v>
      </c>
    </row>
    <row r="27" spans="1:50">
      <c r="A27" s="55" t="str">
        <f>$D$1&amp;17</f>
        <v>SD17</v>
      </c>
      <c r="B27" s="56" t="str">
        <f>IF(ISERROR(VLOOKUP(A27,classifications!A:C,3,FALSE)),0,VLOOKUP(A27,classifications!A:C,3,FALSE))</f>
        <v>Melton</v>
      </c>
      <c r="C27" t="s">
        <v>197</v>
      </c>
      <c r="D27" t="str">
        <f>VLOOKUP($C27,classifications!$C:$J,4,FALSE)</f>
        <v>L</v>
      </c>
      <c r="E27">
        <f>VLOOKUP(C27,classifications!C:K,9,FALSE)</f>
        <v>0</v>
      </c>
      <c r="F27">
        <f t="shared" si="0"/>
        <v>95.35</v>
      </c>
      <c r="G27" s="15"/>
      <c r="H27" s="41" t="str">
        <f t="shared" si="1"/>
        <v/>
      </c>
      <c r="I27" s="73" t="str">
        <f>IF(H27="","",IF($I$8="A",(RANK(H27,H$11:H$333,1)+COUNTIF(H$11:H27,H27)-1),(RANK(H27,H$11:H$333)+COUNTIF(H$11:H27,H27)-1)))</f>
        <v/>
      </c>
      <c r="J27" s="40"/>
      <c r="K27" s="35">
        <f t="shared" si="10"/>
        <v>17</v>
      </c>
      <c r="L27" t="str">
        <f t="shared" si="2"/>
        <v>North Kesteven</v>
      </c>
      <c r="M27" s="109">
        <f t="shared" si="3"/>
        <v>98.48</v>
      </c>
      <c r="N27" s="104">
        <f t="shared" si="19"/>
        <v>98.48</v>
      </c>
      <c r="O27" s="89">
        <f t="shared" si="20"/>
        <v>98.48</v>
      </c>
      <c r="P27" s="89" t="str">
        <f t="shared" si="21"/>
        <v/>
      </c>
      <c r="Q27" s="89" t="str">
        <f t="shared" si="22"/>
        <v/>
      </c>
      <c r="R27" s="85" t="str">
        <f t="shared" si="23"/>
        <v/>
      </c>
      <c r="S27" s="41" t="str">
        <f t="shared" si="24"/>
        <v/>
      </c>
      <c r="T27" s="166" t="str">
        <f>IF(L27="","",VLOOKUP(L27,classifications!C:K,9,FALSE))</f>
        <v>Sparse</v>
      </c>
      <c r="U27" s="167">
        <f t="shared" si="25"/>
        <v>98.48</v>
      </c>
      <c r="V27" s="173">
        <f>IF(U27="","",IF($I$8="A",(RANK(U27,U$11:U$333)+COUNTIF(U$11:U27,U27)-1),(RANK(U27,U$11:U$333,1)+COUNTIF(U$11:U27,U27)-1)))</f>
        <v>40</v>
      </c>
      <c r="W27" s="174"/>
      <c r="X27" s="5" t="str">
        <f>IF(L27="","",VLOOKUP($L27,classifications!$C:$J,6,FALSE))</f>
        <v xml:space="preserve">Predominantly Rural </v>
      </c>
      <c r="Y27">
        <f t="shared" si="26"/>
        <v>98.48</v>
      </c>
      <c r="Z27" s="39">
        <f>IF(Y27="","",IF(I$8="A",(RANK(Y27,Y$11:Y$333,1)+COUNTIF(Y$11:Y27,Y27)-1),(RANK(Y27,Y$11:Y$333)+COUNTIF(Y$11:Y27,Y27)-1)))</f>
        <v>7</v>
      </c>
      <c r="AA27" s="177" t="str">
        <f>IF(L27="","",VLOOKUP($L27,classifications!C:I,7,FALSE))</f>
        <v>Predominantly Rural</v>
      </c>
      <c r="AB27" s="173">
        <f t="shared" si="27"/>
        <v>98.48</v>
      </c>
      <c r="AC27" s="173">
        <f>IF(AB27="","",IF($I$8="A",(RANK(AB27,AB$11:AB$333)+COUNTIF(AB$11:AB27,AB27)-1),(RANK(AB27,AB$11:AB$333,1)+COUNTIF(AB$11:AB27,AB27)-1)))</f>
        <v>52</v>
      </c>
      <c r="AD27" s="173"/>
      <c r="AE27" s="45" t="e">
        <f>IF(I$8="A",(RANK(AG27,AG$11:AG$333,1)+COUNTIF(AG$11:AG27,AG27)-1),(RANK(AG27,AG$11:AG$333)+COUNTIF(AG$11:AG27,AG27)-1))</f>
        <v>#N/A</v>
      </c>
      <c r="AF27" t="str">
        <f>VLOOKUP(Profile!$J$5,Families!$C:$R,2,FALSE)</f>
        <v>North Dorset</v>
      </c>
      <c r="AG27" s="15" t="e">
        <f t="shared" si="15"/>
        <v>#N/A</v>
      </c>
      <c r="AH27" s="46" t="e">
        <f t="shared" si="28"/>
        <v>#N/A</v>
      </c>
      <c r="AI27" s="5" t="str">
        <f>IF(L27="","",VLOOKUP($L27,classifications!$C:$J,8,FALSE))</f>
        <v>Lincolnshire</v>
      </c>
      <c r="AJ27" s="42" t="str">
        <f t="shared" si="29"/>
        <v/>
      </c>
      <c r="AK27" s="39" t="str">
        <f>IF(AJ27="","",IF(I$8="A",(RANK(AJ27,AJ$11:AJ$333,1)+COUNTIF(AJ$11:AJ27,AJ27)-1),(RANK(AJ27,AJ$11:AJ$333)+COUNTIF(AJ$11:AJ27,AJ27)-1)))</f>
        <v/>
      </c>
      <c r="AL27" s="3" t="str">
        <f t="shared" si="16"/>
        <v/>
      </c>
      <c r="AM27" t="str">
        <f t="shared" si="6"/>
        <v/>
      </c>
      <c r="AN27" t="str">
        <f t="shared" si="7"/>
        <v/>
      </c>
      <c r="AP27" s="5" t="str">
        <f>IF(L27="","",VLOOKUP($L27,classifications!$C:$E,3,FALSE))</f>
        <v>East Midlands</v>
      </c>
      <c r="AQ27" s="42" t="str">
        <f t="shared" si="30"/>
        <v/>
      </c>
      <c r="AR27" s="39" t="str">
        <f>IF(AQ27="","",IF(I$8="A",(RANK(AQ27,AQ$11:AQ$333,1)+COUNTIF(AQ$11:AQ27,AQ27)-1),(RANK(AQ27,AQ$11:AQ$333)+COUNTIF(AQ$11:AQ27,AQ27)-1)))</f>
        <v/>
      </c>
      <c r="AS27" s="3">
        <f t="shared" si="18"/>
        <v>17</v>
      </c>
      <c r="AT27" s="39" t="str">
        <f t="shared" si="8"/>
        <v>East Suffolk</v>
      </c>
      <c r="AU27" s="42">
        <f t="shared" si="9"/>
        <v>97.55</v>
      </c>
      <c r="AX27">
        <f>HLOOKUP($AX$9&amp;$AX$10,Data!$A$1:$ZT$1975,(MATCH($C27,Data!$A$1:$A$1975,0)),FALSE)</f>
        <v>95.35</v>
      </c>
    </row>
    <row r="28" spans="1:50">
      <c r="A28" s="55" t="str">
        <f>$D$1&amp;18</f>
        <v>SD18</v>
      </c>
      <c r="B28" s="56" t="str">
        <f>IF(ISERROR(VLOOKUP(A28,classifications!A:C,3,FALSE)),0,VLOOKUP(A28,classifications!A:C,3,FALSE))</f>
        <v>Mid Devon</v>
      </c>
      <c r="C28" t="s">
        <v>223</v>
      </c>
      <c r="D28" t="str">
        <f>VLOOKUP($C28,classifications!$C:$J,4,FALSE)</f>
        <v>MD</v>
      </c>
      <c r="E28">
        <f>VLOOKUP(C28,classifications!C:K,9,FALSE)</f>
        <v>0</v>
      </c>
      <c r="F28">
        <f t="shared" si="0"/>
        <v>90.91</v>
      </c>
      <c r="G28" s="15"/>
      <c r="H28" s="41" t="str">
        <f t="shared" si="1"/>
        <v/>
      </c>
      <c r="I28" s="73" t="str">
        <f>IF(H28="","",IF($I$8="A",(RANK(H28,H$11:H$333,1)+COUNTIF(H$11:H28,H28)-1),(RANK(H28,H$11:H$333)+COUNTIF(H$11:H28,H28)-1)))</f>
        <v/>
      </c>
      <c r="J28" s="40"/>
      <c r="K28" s="35">
        <f t="shared" si="10"/>
        <v>18</v>
      </c>
      <c r="L28" t="str">
        <f t="shared" si="2"/>
        <v>Uttlesford</v>
      </c>
      <c r="M28" s="109">
        <f t="shared" si="3"/>
        <v>98.47</v>
      </c>
      <c r="N28" s="104">
        <f t="shared" si="19"/>
        <v>98.47</v>
      </c>
      <c r="O28" s="89">
        <f t="shared" si="20"/>
        <v>98.47</v>
      </c>
      <c r="P28" s="89" t="str">
        <f t="shared" si="21"/>
        <v/>
      </c>
      <c r="Q28" s="89" t="str">
        <f t="shared" si="22"/>
        <v/>
      </c>
      <c r="R28" s="85" t="str">
        <f t="shared" si="23"/>
        <v/>
      </c>
      <c r="S28" s="41" t="str">
        <f t="shared" si="24"/>
        <v/>
      </c>
      <c r="T28" s="166" t="str">
        <f>IF(L28="","",VLOOKUP(L28,classifications!C:K,9,FALSE))</f>
        <v>Sparse</v>
      </c>
      <c r="U28" s="167">
        <f t="shared" si="25"/>
        <v>98.47</v>
      </c>
      <c r="V28" s="173">
        <f>IF(U28="","",IF($I$8="A",(RANK(U28,U$11:U$333)+COUNTIF(U$11:U28,U28)-1),(RANK(U28,U$11:U$333,1)+COUNTIF(U$11:U28,U28)-1)))</f>
        <v>39</v>
      </c>
      <c r="W28" s="174"/>
      <c r="X28" s="5" t="str">
        <f>IF(L28="","",VLOOKUP($L28,classifications!$C:$J,6,FALSE))</f>
        <v xml:space="preserve">Predominantly Rural </v>
      </c>
      <c r="Y28">
        <f t="shared" si="26"/>
        <v>98.47</v>
      </c>
      <c r="Z28" s="39">
        <f>IF(Y28="","",IF(I$8="A",(RANK(Y28,Y$11:Y$333,1)+COUNTIF(Y$11:Y28,Y28)-1),(RANK(Y28,Y$11:Y$333)+COUNTIF(Y$11:Y28,Y28)-1)))</f>
        <v>8</v>
      </c>
      <c r="AA28" s="177" t="str">
        <f>IF(L28="","",VLOOKUP($L28,classifications!C:I,7,FALSE))</f>
        <v>Predominantly Rural</v>
      </c>
      <c r="AB28" s="173">
        <f t="shared" si="27"/>
        <v>98.47</v>
      </c>
      <c r="AC28" s="173">
        <f>IF(AB28="","",IF($I$8="A",(RANK(AB28,AB$11:AB$333)+COUNTIF(AB$11:AB28,AB28)-1),(RANK(AB28,AB$11:AB$333,1)+COUNTIF(AB$11:AB28,AB28)-1)))</f>
        <v>51</v>
      </c>
      <c r="AD28" s="173"/>
      <c r="AE28" s="45" t="e">
        <f>IF(I$8="A",(RANK(AG28,AG$11:AG$333,1)+COUNTIF(AG$11:AG28,AG28)-1),(RANK(AG28,AG$11:AG$333)+COUNTIF(AG$11:AG28,AG28)-1))</f>
        <v>#N/A</v>
      </c>
      <c r="AF28" t="str">
        <f>VLOOKUP(Profile!$J$5,Families!$C:$R,2,FALSE)</f>
        <v>North Dorset</v>
      </c>
      <c r="AG28" s="15" t="e">
        <f t="shared" si="15"/>
        <v>#N/A</v>
      </c>
      <c r="AH28" s="46" t="e">
        <f t="shared" si="28"/>
        <v>#N/A</v>
      </c>
      <c r="AI28" s="5" t="str">
        <f>IF(L28="","",VLOOKUP($L28,classifications!$C:$J,8,FALSE))</f>
        <v>Essex</v>
      </c>
      <c r="AJ28" s="42" t="str">
        <f t="shared" si="29"/>
        <v/>
      </c>
      <c r="AK28" s="39" t="str">
        <f>IF(AJ28="","",IF(I$8="A",(RANK(AJ28,AJ$11:AJ$333,1)+COUNTIF(AJ$11:AJ28,AJ28)-1),(RANK(AJ28,AJ$11:AJ$333)+COUNTIF(AJ$11:AJ28,AJ28)-1)))</f>
        <v/>
      </c>
      <c r="AL28" s="3" t="str">
        <f t="shared" si="16"/>
        <v/>
      </c>
      <c r="AM28" t="str">
        <f t="shared" si="6"/>
        <v/>
      </c>
      <c r="AN28" t="str">
        <f t="shared" si="7"/>
        <v/>
      </c>
      <c r="AP28" s="5" t="str">
        <f>IF(L28="","",VLOOKUP($L28,classifications!$C:$E,3,FALSE))</f>
        <v>East of England</v>
      </c>
      <c r="AQ28" s="42">
        <f t="shared" si="30"/>
        <v>98.47</v>
      </c>
      <c r="AR28" s="39">
        <f>IF(AQ28="","",IF(I$8="A",(RANK(AQ28,AQ$11:AQ$333,1)+COUNTIF(AQ$11:AQ28,AQ28)-1),(RANK(AQ28,AQ$11:AQ$333)+COUNTIF(AQ$11:AQ28,AQ28)-1)))</f>
        <v>6</v>
      </c>
      <c r="AS28" s="3">
        <f t="shared" si="18"/>
        <v>18</v>
      </c>
      <c r="AT28" s="39" t="str">
        <f t="shared" si="8"/>
        <v>Castle Point</v>
      </c>
      <c r="AU28" s="42">
        <f t="shared" si="9"/>
        <v>97.51</v>
      </c>
      <c r="AX28">
        <f>HLOOKUP($AX$9&amp;$AX$10,Data!$A$1:$ZT$1975,(MATCH($C28,Data!$A$1:$A$1975,0)),FALSE)</f>
        <v>90.91</v>
      </c>
    </row>
    <row r="29" spans="1:50">
      <c r="A29" s="55" t="str">
        <f>$D$1&amp;19</f>
        <v>SD19</v>
      </c>
      <c r="B29" s="56" t="str">
        <f>IF(ISERROR(VLOOKUP(A29,classifications!A:C,3,FALSE)),0,VLOOKUP(A29,classifications!A:C,3,FALSE))</f>
        <v>Mid Suffolk</v>
      </c>
      <c r="C29" t="s">
        <v>16</v>
      </c>
      <c r="D29" t="str">
        <f>VLOOKUP($C29,classifications!$C:$J,4,FALSE)</f>
        <v>SD</v>
      </c>
      <c r="E29">
        <f>VLOOKUP(C29,classifications!C:K,9,FALSE)</f>
        <v>0</v>
      </c>
      <c r="F29">
        <f t="shared" si="0"/>
        <v>97.35</v>
      </c>
      <c r="G29" s="15"/>
      <c r="H29" s="41">
        <f t="shared" si="1"/>
        <v>97.35</v>
      </c>
      <c r="I29" s="73">
        <f>IF(H29="","",IF($I$8="A",(RANK(H29,H$11:H$333,1)+COUNTIF(H$11:H29,H29)-1),(RANK(H29,H$11:H$333)+COUNTIF(H$11:H29,H29)-1)))</f>
        <v>84</v>
      </c>
      <c r="J29" s="40"/>
      <c r="K29" s="35">
        <f t="shared" si="10"/>
        <v>19</v>
      </c>
      <c r="L29" t="str">
        <f t="shared" si="2"/>
        <v>Lichfield</v>
      </c>
      <c r="M29" s="109">
        <f t="shared" si="3"/>
        <v>98.41</v>
      </c>
      <c r="N29" s="104">
        <f t="shared" si="19"/>
        <v>98.41</v>
      </c>
      <c r="O29" s="89">
        <f t="shared" si="20"/>
        <v>98.41</v>
      </c>
      <c r="P29" s="89" t="str">
        <f t="shared" si="21"/>
        <v/>
      </c>
      <c r="Q29" s="89" t="str">
        <f t="shared" si="22"/>
        <v/>
      </c>
      <c r="R29" s="85" t="str">
        <f t="shared" si="23"/>
        <v/>
      </c>
      <c r="S29" s="41" t="str">
        <f t="shared" si="24"/>
        <v/>
      </c>
      <c r="T29" s="166" t="str">
        <f>IF(L29="","",VLOOKUP(L29,classifications!C:K,9,FALSE))</f>
        <v>Sparse</v>
      </c>
      <c r="U29" s="167">
        <f t="shared" si="25"/>
        <v>98.41</v>
      </c>
      <c r="V29" s="173">
        <f>IF(U29="","",IF($I$8="A",(RANK(U29,U$11:U$333)+COUNTIF(U$11:U29,U29)-1),(RANK(U29,U$11:U$333,1)+COUNTIF(U$11:U29,U29)-1)))</f>
        <v>38</v>
      </c>
      <c r="W29" s="174"/>
      <c r="X29" s="5" t="str">
        <f>IF(L29="","",VLOOKUP($L29,classifications!$C:$J,6,FALSE))</f>
        <v>Urban with Significant Rural</v>
      </c>
      <c r="Y29" t="str">
        <f t="shared" si="26"/>
        <v/>
      </c>
      <c r="Z29" s="39" t="str">
        <f>IF(Y29="","",IF(I$8="A",(RANK(Y29,Y$11:Y$333,1)+COUNTIF(Y$11:Y29,Y29)-1),(RANK(Y29,Y$11:Y$333)+COUNTIF(Y$11:Y29,Y29)-1)))</f>
        <v/>
      </c>
      <c r="AA29" s="177" t="str">
        <f>IF(L29="","",VLOOKUP($L29,classifications!C:I,7,FALSE))</f>
        <v>Urban with Significant Rural</v>
      </c>
      <c r="AB29" s="173" t="str">
        <f t="shared" si="27"/>
        <v/>
      </c>
      <c r="AC29" s="173" t="str">
        <f>IF(AB29="","",IF($I$8="A",(RANK(AB29,AB$11:AB$333)+COUNTIF(AB$11:AB29,AB29)-1),(RANK(AB29,AB$11:AB$333,1)+COUNTIF(AB$11:AB29,AB29)-1)))</f>
        <v/>
      </c>
      <c r="AD29" s="173"/>
      <c r="AE29" s="45" t="e">
        <f>IF(I$8="A",(RANK(AG29,AG$11:AG$333,1)+COUNTIF(AG$11:AG29,AG29)-1),(RANK(AG29,AG$11:AG$333)+COUNTIF(AG$11:AG29,AG29)-1))</f>
        <v>#N/A</v>
      </c>
      <c r="AF29" t="str">
        <f>VLOOKUP(Profile!$J$5,Families!$C:$R,2,FALSE)</f>
        <v>North Dorset</v>
      </c>
      <c r="AG29" s="15" t="e">
        <f t="shared" si="15"/>
        <v>#N/A</v>
      </c>
      <c r="AH29" s="46" t="e">
        <f t="shared" si="28"/>
        <v>#N/A</v>
      </c>
      <c r="AI29" s="5" t="str">
        <f>IF(L29="","",VLOOKUP($L29,classifications!$C:$J,8,FALSE))</f>
        <v>Staffordshire</v>
      </c>
      <c r="AJ29" s="42" t="str">
        <f t="shared" si="29"/>
        <v/>
      </c>
      <c r="AK29" s="39" t="str">
        <f>IF(AJ29="","",IF(I$8="A",(RANK(AJ29,AJ$11:AJ$333,1)+COUNTIF(AJ$11:AJ29,AJ29)-1),(RANK(AJ29,AJ$11:AJ$333)+COUNTIF(AJ$11:AJ29,AJ29)-1)))</f>
        <v/>
      </c>
      <c r="AL29" s="3" t="str">
        <f t="shared" si="16"/>
        <v/>
      </c>
      <c r="AM29" t="str">
        <f t="shared" si="6"/>
        <v/>
      </c>
      <c r="AN29" t="str">
        <f t="shared" si="7"/>
        <v/>
      </c>
      <c r="AP29" s="5" t="str">
        <f>IF(L29="","",VLOOKUP($L29,classifications!$C:$E,3,FALSE))</f>
        <v>West Midlands</v>
      </c>
      <c r="AQ29" s="42" t="str">
        <f t="shared" si="30"/>
        <v/>
      </c>
      <c r="AR29" s="39" t="str">
        <f>IF(AQ29="","",IF(I$8="A",(RANK(AQ29,AQ$11:AQ$333,1)+COUNTIF(AQ$11:AQ29,AQ29)-1),(RANK(AQ29,AQ$11:AQ$333)+COUNTIF(AQ$11:AQ29,AQ29)-1)))</f>
        <v/>
      </c>
      <c r="AS29" s="3">
        <f t="shared" si="18"/>
        <v>19</v>
      </c>
      <c r="AT29" s="39" t="str">
        <f t="shared" si="8"/>
        <v>Brentwood</v>
      </c>
      <c r="AU29" s="42">
        <f t="shared" si="9"/>
        <v>97.41</v>
      </c>
      <c r="AX29">
        <f>HLOOKUP($AX$9&amp;$AX$10,Data!$A$1:$ZT$1975,(MATCH($C29,Data!$A$1:$A$1975,0)),FALSE)</f>
        <v>97.35</v>
      </c>
    </row>
    <row r="30" spans="1:50">
      <c r="A30" s="55" t="str">
        <f>$D$1&amp;20</f>
        <v>SD20</v>
      </c>
      <c r="B30" s="56" t="str">
        <f>IF(ISERROR(VLOOKUP(A30,classifications!A:C,3,FALSE)),0,VLOOKUP(A30,classifications!A:C,3,FALSE))</f>
        <v>North Devon</v>
      </c>
      <c r="C30" t="s">
        <v>260</v>
      </c>
      <c r="D30" t="str">
        <f>VLOOKUP($C30,classifications!$C:$J,4,FALSE)</f>
        <v>UA</v>
      </c>
      <c r="E30">
        <f>VLOOKUP(C30,classifications!C:K,9,FALSE)</f>
        <v>0</v>
      </c>
      <c r="F30">
        <f t="shared" si="0"/>
        <v>95.3</v>
      </c>
      <c r="G30" s="15"/>
      <c r="H30" s="41" t="str">
        <f t="shared" si="1"/>
        <v/>
      </c>
      <c r="I30" s="73" t="str">
        <f>IF(H30="","",IF($I$8="A",(RANK(H30,H$11:H$333,1)+COUNTIF(H$11:H30,H30)-1),(RANK(H30,H$11:H$333)+COUNTIF(H$11:H30,H30)-1)))</f>
        <v/>
      </c>
      <c r="J30" s="40"/>
      <c r="K30" s="35">
        <f t="shared" si="10"/>
        <v>20</v>
      </c>
      <c r="L30" t="str">
        <f t="shared" si="2"/>
        <v>Elmbridge</v>
      </c>
      <c r="M30" s="109">
        <f t="shared" si="3"/>
        <v>98.4</v>
      </c>
      <c r="N30" s="104">
        <f t="shared" si="19"/>
        <v>98.4</v>
      </c>
      <c r="O30" s="89">
        <f t="shared" si="20"/>
        <v>98.4</v>
      </c>
      <c r="P30" s="89" t="str">
        <f t="shared" si="21"/>
        <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t="e">
        <f>IF(I$8="A",(RANK(AG30,AG$11:AG$333,1)+COUNTIF(AG$11:AG30,AG30)-1),(RANK(AG30,AG$11:AG$333)+COUNTIF(AG$11:AG30,AG30)-1))</f>
        <v>#N/A</v>
      </c>
      <c r="AF30" t="str">
        <f>VLOOKUP(Profile!$J$5,Families!$C:$R,2,FALSE)</f>
        <v>North Dorset</v>
      </c>
      <c r="AG30" s="15" t="e">
        <f t="shared" si="15"/>
        <v>#N/A</v>
      </c>
      <c r="AH30" s="46" t="e">
        <f t="shared" si="28"/>
        <v>#N/A</v>
      </c>
      <c r="AI30" s="5" t="str">
        <f>IF(L30="","",VLOOKUP($L30,classifications!$C:$J,8,FALSE))</f>
        <v>Surrey</v>
      </c>
      <c r="AJ30" s="42" t="str">
        <f t="shared" si="29"/>
        <v/>
      </c>
      <c r="AK30" s="39" t="str">
        <f>IF(AJ30="","",IF(I$8="A",(RANK(AJ30,AJ$11:AJ$333,1)+COUNTIF(AJ$11:AJ30,AJ30)-1),(RANK(AJ30,AJ$11:AJ$333)+COUNTIF(AJ$11:AJ30,AJ30)-1)))</f>
        <v/>
      </c>
      <c r="AL30" s="3" t="str">
        <f t="shared" si="16"/>
        <v/>
      </c>
      <c r="AM30" t="str">
        <f t="shared" si="6"/>
        <v/>
      </c>
      <c r="AN30" t="str">
        <f t="shared" si="7"/>
        <v/>
      </c>
      <c r="AP30" s="5" t="str">
        <f>IF(L30="","",VLOOKUP($L30,classifications!$C:$E,3,FALSE))</f>
        <v>South East</v>
      </c>
      <c r="AQ30" s="42" t="str">
        <f t="shared" si="30"/>
        <v/>
      </c>
      <c r="AR30" s="39" t="str">
        <f>IF(AQ30="","",IF(I$8="A",(RANK(AQ30,AQ$11:AQ$333,1)+COUNTIF(AQ$11:AQ30,AQ30)-1),(RANK(AQ30,AQ$11:AQ$333)+COUNTIF(AQ$11:AQ30,AQ30)-1)))</f>
        <v/>
      </c>
      <c r="AS30" s="3">
        <f t="shared" si="18"/>
        <v>20</v>
      </c>
      <c r="AT30" s="39" t="str">
        <f t="shared" si="8"/>
        <v>Breckland</v>
      </c>
      <c r="AU30" s="42">
        <f t="shared" si="9"/>
        <v>97.25</v>
      </c>
      <c r="AX30">
        <f>HLOOKUP($AX$9&amp;$AX$10,Data!$A$1:$ZT$1975,(MATCH($C30,Data!$A$1:$A$1975,0)),FALSE)</f>
        <v>95.3</v>
      </c>
    </row>
    <row r="31" spans="1:50">
      <c r="A31" s="55" t="str">
        <f>$D$1&amp;21</f>
        <v>SD21</v>
      </c>
      <c r="B31" s="56" t="str">
        <f>IF(ISERROR(VLOOKUP(A31,classifications!A:C,3,FALSE)),0,VLOOKUP(A31,classifications!A:C,3,FALSE))</f>
        <v>North Kesteven</v>
      </c>
      <c r="C31" t="s">
        <v>261</v>
      </c>
      <c r="D31" t="str">
        <f>VLOOKUP($C31,classifications!$C:$J,4,FALSE)</f>
        <v>UA</v>
      </c>
      <c r="E31">
        <f>VLOOKUP(C31,classifications!C:K,9,FALSE)</f>
        <v>0</v>
      </c>
      <c r="F31">
        <f t="shared" si="0"/>
        <v>88.97</v>
      </c>
      <c r="G31" s="15"/>
      <c r="H31" s="41" t="str">
        <f t="shared" si="1"/>
        <v/>
      </c>
      <c r="I31" s="73" t="str">
        <f>IF(H31="","",IF($I$8="A",(RANK(H31,H$11:H$333,1)+COUNTIF(H$11:H31,H31)-1),(RANK(H31,H$11:H$333)+COUNTIF(H$11:H31,H31)-1)))</f>
        <v/>
      </c>
      <c r="J31" s="40"/>
      <c r="K31" s="35">
        <f t="shared" si="10"/>
        <v>21</v>
      </c>
      <c r="L31" t="str">
        <f t="shared" si="2"/>
        <v>North Norfolk</v>
      </c>
      <c r="M31" s="109">
        <f t="shared" si="3"/>
        <v>98.37</v>
      </c>
      <c r="N31" s="104">
        <f t="shared" si="19"/>
        <v>98.37</v>
      </c>
      <c r="O31" s="89">
        <f t="shared" si="20"/>
        <v>98.37</v>
      </c>
      <c r="P31" s="89" t="str">
        <f t="shared" si="21"/>
        <v/>
      </c>
      <c r="Q31" s="89" t="str">
        <f t="shared" si="22"/>
        <v/>
      </c>
      <c r="R31" s="85" t="str">
        <f t="shared" si="23"/>
        <v/>
      </c>
      <c r="S31" s="41" t="str">
        <f t="shared" si="24"/>
        <v/>
      </c>
      <c r="T31" s="166" t="str">
        <f>IF(L31="","",VLOOKUP(L31,classifications!C:K,9,FALSE))</f>
        <v>Sparse</v>
      </c>
      <c r="U31" s="167">
        <f t="shared" si="25"/>
        <v>98.37</v>
      </c>
      <c r="V31" s="173">
        <f>IF(U31="","",IF($I$8="A",(RANK(U31,U$11:U$333)+COUNTIF(U$11:U31,U31)-1),(RANK(U31,U$11:U$333,1)+COUNTIF(U$11:U31,U31)-1)))</f>
        <v>36</v>
      </c>
      <c r="W31" s="174"/>
      <c r="X31" s="5" t="str">
        <f>IF(L31="","",VLOOKUP($L31,classifications!$C:$J,6,FALSE))</f>
        <v xml:space="preserve">Predominantly Rural </v>
      </c>
      <c r="Y31">
        <f t="shared" si="26"/>
        <v>98.37</v>
      </c>
      <c r="Z31" s="39">
        <f>IF(Y31="","",IF(I$8="A",(RANK(Y31,Y$11:Y$333,1)+COUNTIF(Y$11:Y31,Y31)-1),(RANK(Y31,Y$11:Y$333)+COUNTIF(Y$11:Y31,Y31)-1)))</f>
        <v>9</v>
      </c>
      <c r="AA31" s="177" t="str">
        <f>IF(L31="","",VLOOKUP($L31,classifications!C:I,7,FALSE))</f>
        <v>Predominantly Rural</v>
      </c>
      <c r="AB31" s="173">
        <f t="shared" si="27"/>
        <v>98.37</v>
      </c>
      <c r="AC31" s="173">
        <f>IF(AB31="","",IF($I$8="A",(RANK(AB31,AB$11:AB$333)+COUNTIF(AB$11:AB31,AB31)-1),(RANK(AB31,AB$11:AB$333,1)+COUNTIF(AB$11:AB31,AB31)-1)))</f>
        <v>49</v>
      </c>
      <c r="AD31" s="173"/>
      <c r="AE31" s="45" t="e">
        <f>IF(I$8="A",(RANK(AG31,AG$11:AG$333,1)+COUNTIF(AG$11:AG31,AG31)-1),(RANK(AG31,AG$11:AG$333)+COUNTIF(AG$11:AG31,AG31)-1))</f>
        <v>#N/A</v>
      </c>
      <c r="AF31" t="str">
        <f>VLOOKUP(Profile!$J$5,Families!$C:$R,2,FALSE)</f>
        <v>North Dorset</v>
      </c>
      <c r="AG31" s="15" t="e">
        <f t="shared" si="15"/>
        <v>#N/A</v>
      </c>
      <c r="AH31" s="46" t="e">
        <f t="shared" si="28"/>
        <v>#N/A</v>
      </c>
      <c r="AI31" s="5" t="str">
        <f>IF(L31="","",VLOOKUP($L31,classifications!$C:$J,8,FALSE))</f>
        <v>Norfolk</v>
      </c>
      <c r="AJ31" s="42" t="str">
        <f t="shared" si="29"/>
        <v/>
      </c>
      <c r="AK31" s="39" t="str">
        <f>IF(AJ31="","",IF(I$8="A",(RANK(AJ31,AJ$11:AJ$333,1)+COUNTIF(AJ$11:AJ31,AJ31)-1),(RANK(AJ31,AJ$11:AJ$333)+COUNTIF(AJ$11:AJ31,AJ31)-1)))</f>
        <v/>
      </c>
      <c r="AL31" s="3" t="str">
        <f t="shared" si="16"/>
        <v/>
      </c>
      <c r="AM31" t="str">
        <f t="shared" si="6"/>
        <v/>
      </c>
      <c r="AN31" t="str">
        <f t="shared" si="7"/>
        <v/>
      </c>
      <c r="AP31" s="5" t="str">
        <f>IF(L31="","",VLOOKUP($L31,classifications!$C:$E,3,FALSE))</f>
        <v>East of England</v>
      </c>
      <c r="AQ31" s="42">
        <f t="shared" si="30"/>
        <v>98.37</v>
      </c>
      <c r="AR31" s="39">
        <f>IF(AQ31="","",IF(I$8="A",(RANK(AQ31,AQ$11:AQ$333,1)+COUNTIF(AQ$11:AQ31,AQ31)-1),(RANK(AQ31,AQ$11:AQ$333)+COUNTIF(AQ$11:AQ31,AQ31)-1)))</f>
        <v>7</v>
      </c>
      <c r="AS31" s="3">
        <f t="shared" si="18"/>
        <v>21</v>
      </c>
      <c r="AT31" s="39" t="str">
        <f t="shared" si="8"/>
        <v>Welwyn Hatfield</v>
      </c>
      <c r="AU31" s="42">
        <f t="shared" si="9"/>
        <v>97.24</v>
      </c>
      <c r="AX31">
        <f>HLOOKUP($AX$9&amp;$AX$10,Data!$A$1:$ZT$1975,(MATCH($C31,Data!$A$1:$A$1975,0)),FALSE)</f>
        <v>88.97</v>
      </c>
    </row>
    <row r="32" spans="1:50">
      <c r="A32" s="55" t="str">
        <f>$D$1&amp;22</f>
        <v>SD22</v>
      </c>
      <c r="B32" s="56" t="str">
        <f>IF(ISERROR(VLOOKUP(A32,classifications!A:C,3,FALSE)),0,VLOOKUP(A32,classifications!A:C,3,FALSE))</f>
        <v>North Norfolk</v>
      </c>
      <c r="C32" t="s">
        <v>17</v>
      </c>
      <c r="D32" t="str">
        <f>VLOOKUP($C32,classifications!$C:$J,4,FALSE)</f>
        <v>SD</v>
      </c>
      <c r="E32">
        <f>VLOOKUP(C32,classifications!C:K,9,FALSE)</f>
        <v>0</v>
      </c>
      <c r="F32">
        <f t="shared" si="0"/>
        <v>96.65</v>
      </c>
      <c r="G32" s="15"/>
      <c r="H32" s="41">
        <f t="shared" si="1"/>
        <v>96.65</v>
      </c>
      <c r="I32" s="73">
        <f>IF(H32="","",IF($I$8="A",(RANK(H32,H$11:H$333,1)+COUNTIF(H$11:H32,H32)-1),(RANK(H32,H$11:H$333)+COUNTIF(H$11:H32,H32)-1)))</f>
        <v>114</v>
      </c>
      <c r="J32" s="40"/>
      <c r="K32" s="35">
        <f t="shared" si="10"/>
        <v>22</v>
      </c>
      <c r="L32" t="str">
        <f t="shared" si="2"/>
        <v>South Kesteven</v>
      </c>
      <c r="M32" s="109">
        <f t="shared" si="3"/>
        <v>98.37</v>
      </c>
      <c r="N32" s="104">
        <f t="shared" si="19"/>
        <v>98.37</v>
      </c>
      <c r="O32" s="89">
        <f t="shared" si="20"/>
        <v>98.37</v>
      </c>
      <c r="P32" s="89" t="str">
        <f t="shared" si="21"/>
        <v/>
      </c>
      <c r="Q32" s="89" t="str">
        <f t="shared" si="22"/>
        <v/>
      </c>
      <c r="R32" s="85" t="str">
        <f t="shared" si="23"/>
        <v/>
      </c>
      <c r="S32" s="41" t="str">
        <f t="shared" si="24"/>
        <v/>
      </c>
      <c r="T32" s="166" t="str">
        <f>IF(L32="","",VLOOKUP(L32,classifications!C:K,9,FALSE))</f>
        <v>Sparse</v>
      </c>
      <c r="U32" s="167">
        <f t="shared" si="25"/>
        <v>98.37</v>
      </c>
      <c r="V32" s="173">
        <f>IF(U32="","",IF($I$8="A",(RANK(U32,U$11:U$333)+COUNTIF(U$11:U32,U32)-1),(RANK(U32,U$11:U$333,1)+COUNTIF(U$11:U32,U32)-1)))</f>
        <v>37</v>
      </c>
      <c r="W32" s="174"/>
      <c r="X32" s="5" t="str">
        <f>IF(L32="","",VLOOKUP($L32,classifications!$C:$J,6,FALSE))</f>
        <v xml:space="preserve">Predominantly Rural </v>
      </c>
      <c r="Y32">
        <f t="shared" si="26"/>
        <v>98.37</v>
      </c>
      <c r="Z32" s="39">
        <f>IF(Y32="","",IF(I$8="A",(RANK(Y32,Y$11:Y$333,1)+COUNTIF(Y$11:Y32,Y32)-1),(RANK(Y32,Y$11:Y$333)+COUNTIF(Y$11:Y32,Y32)-1)))</f>
        <v>10</v>
      </c>
      <c r="AA32" s="177" t="str">
        <f>IF(L32="","",VLOOKUP($L32,classifications!C:I,7,FALSE))</f>
        <v>Predominantly Rural</v>
      </c>
      <c r="AB32" s="173">
        <f t="shared" si="27"/>
        <v>98.37</v>
      </c>
      <c r="AC32" s="173">
        <f>IF(AB32="","",IF($I$8="A",(RANK(AB32,AB$11:AB$333)+COUNTIF(AB$11:AB32,AB32)-1),(RANK(AB32,AB$11:AB$333,1)+COUNTIF(AB$11:AB32,AB32)-1)))</f>
        <v>50</v>
      </c>
      <c r="AD32" s="173"/>
      <c r="AE32" s="45" t="e">
        <f>IF(I$8="A",(RANK(AG32,AG$11:AG$333,1)+COUNTIF(AG$11:AG32,AG32)-1),(RANK(AG32,AG$11:AG$333)+COUNTIF(AG$11:AG32,AG32)-1))</f>
        <v>#N/A</v>
      </c>
      <c r="AF32" t="str">
        <f>VLOOKUP(Profile!$J$5,Families!$C:$R,2,FALSE)</f>
        <v>North Dorset</v>
      </c>
      <c r="AG32" s="15" t="e">
        <f t="shared" si="15"/>
        <v>#N/A</v>
      </c>
      <c r="AH32" s="46" t="e">
        <f t="shared" si="28"/>
        <v>#N/A</v>
      </c>
      <c r="AI32" s="5" t="str">
        <f>IF(L32="","",VLOOKUP($L32,classifications!$C:$J,8,FALSE))</f>
        <v>Lincolnshire</v>
      </c>
      <c r="AJ32" s="42" t="str">
        <f t="shared" si="29"/>
        <v/>
      </c>
      <c r="AK32" s="39" t="str">
        <f>IF(AJ32="","",IF(I$8="A",(RANK(AJ32,AJ$11:AJ$333,1)+COUNTIF(AJ$11:AJ32,AJ32)-1),(RANK(AJ32,AJ$11:AJ$333)+COUNTIF(AJ$11:AJ32,AJ32)-1)))</f>
        <v/>
      </c>
      <c r="AL32" s="3" t="str">
        <f t="shared" si="16"/>
        <v/>
      </c>
      <c r="AM32" t="str">
        <f t="shared" si="6"/>
        <v/>
      </c>
      <c r="AN32" t="str">
        <f t="shared" si="7"/>
        <v/>
      </c>
      <c r="AP32" s="5" t="str">
        <f>IF(L32="","",VLOOKUP($L32,classifications!$C:$E,3,FALSE))</f>
        <v>East Midlands</v>
      </c>
      <c r="AQ32" s="42" t="str">
        <f t="shared" si="30"/>
        <v/>
      </c>
      <c r="AR32" s="39" t="str">
        <f>IF(AQ32="","",IF(I$8="A",(RANK(AQ32,AQ$11:AQ$333,1)+COUNTIF(AQ$11:AQ32,AQ32)-1),(RANK(AQ32,AQ$11:AQ$333)+COUNTIF(AQ$11:AQ32,AQ32)-1)))</f>
        <v/>
      </c>
      <c r="AS32" s="3">
        <f t="shared" si="18"/>
        <v>22</v>
      </c>
      <c r="AT32" s="39" t="str">
        <f t="shared" si="8"/>
        <v>South Norfolk</v>
      </c>
      <c r="AU32" s="42">
        <f t="shared" si="9"/>
        <v>97.23</v>
      </c>
      <c r="AX32">
        <f>HLOOKUP($AX$9&amp;$AX$10,Data!$A$1:$ZT$1975,(MATCH($C32,Data!$A$1:$A$1975,0)),FALSE)</f>
        <v>96.65</v>
      </c>
    </row>
    <row r="33" spans="1:50">
      <c r="A33" s="55" t="str">
        <f>$D$1&amp;23</f>
        <v>SD23</v>
      </c>
      <c r="B33" s="56" t="str">
        <f>IF(ISERROR(VLOOKUP(A33,classifications!A:C,3,FALSE)),0,VLOOKUP(A33,classifications!A:C,3,FALSE))</f>
        <v>Ribble Valley</v>
      </c>
      <c r="C33" t="s">
        <v>224</v>
      </c>
      <c r="D33" t="str">
        <f>VLOOKUP($C33,classifications!$C:$J,4,FALSE)</f>
        <v>MD</v>
      </c>
      <c r="E33">
        <f>VLOOKUP(C33,classifications!C:K,9,FALSE)</f>
        <v>0</v>
      </c>
      <c r="F33">
        <f t="shared" si="0"/>
        <v>93.84</v>
      </c>
      <c r="G33" s="15"/>
      <c r="H33" s="41" t="str">
        <f t="shared" si="1"/>
        <v/>
      </c>
      <c r="I33" s="73" t="str">
        <f>IF(H33="","",IF($I$8="A",(RANK(H33,H$11:H$333,1)+COUNTIF(H$11:H33,H33)-1),(RANK(H33,H$11:H$333)+COUNTIF(H$11:H33,H33)-1)))</f>
        <v/>
      </c>
      <c r="J33" s="40"/>
      <c r="K33" s="35">
        <f t="shared" si="10"/>
        <v>23</v>
      </c>
      <c r="L33" t="str">
        <f t="shared" si="2"/>
        <v>Horsham</v>
      </c>
      <c r="M33" s="109">
        <f t="shared" si="3"/>
        <v>98.36</v>
      </c>
      <c r="N33" s="104">
        <f t="shared" si="19"/>
        <v>98.36</v>
      </c>
      <c r="O33" s="89">
        <f t="shared" si="20"/>
        <v>98.36</v>
      </c>
      <c r="P33" s="89" t="str">
        <f t="shared" si="21"/>
        <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 xml:space="preserve">Predominantly Rural </v>
      </c>
      <c r="Y33">
        <f t="shared" si="26"/>
        <v>98.36</v>
      </c>
      <c r="Z33" s="39">
        <f>IF(Y33="","",IF(I$8="A",(RANK(Y33,Y$11:Y$333,1)+COUNTIF(Y$11:Y33,Y33)-1),(RANK(Y33,Y$11:Y$333)+COUNTIF(Y$11:Y33,Y33)-1)))</f>
        <v>11</v>
      </c>
      <c r="AA33" s="177" t="str">
        <f>IF(L33="","",VLOOKUP($L33,classifications!C:I,7,FALSE))</f>
        <v>Predominantly Rural</v>
      </c>
      <c r="AB33" s="173">
        <f t="shared" si="27"/>
        <v>98.36</v>
      </c>
      <c r="AC33" s="173">
        <f>IF(AB33="","",IF($I$8="A",(RANK(AB33,AB$11:AB$333)+COUNTIF(AB$11:AB33,AB33)-1),(RANK(AB33,AB$11:AB$333,1)+COUNTIF(AB$11:AB33,AB33)-1)))</f>
        <v>48</v>
      </c>
      <c r="AD33" s="173"/>
      <c r="AE33" s="45" t="e">
        <f>IF(I$8="A",(RANK(AG33,AG$11:AG$333,1)+COUNTIF(AG$11:AG33,AG33)-1),(RANK(AG33,AG$11:AG$333)+COUNTIF(AG$11:AG33,AG33)-1))</f>
        <v>#N/A</v>
      </c>
      <c r="AF33" t="str">
        <f>VLOOKUP(Profile!$J$5,Families!$C:$R,2,FALSE)</f>
        <v>North Dorset</v>
      </c>
      <c r="AG33" s="15" t="e">
        <f t="shared" si="15"/>
        <v>#N/A</v>
      </c>
      <c r="AH33" s="46" t="e">
        <f t="shared" si="28"/>
        <v>#N/A</v>
      </c>
      <c r="AI33" s="5" t="str">
        <f>IF(L33="","",VLOOKUP($L33,classifications!$C:$J,8,FALSE))</f>
        <v>West Sussex</v>
      </c>
      <c r="AJ33" s="42" t="str">
        <f t="shared" si="29"/>
        <v/>
      </c>
      <c r="AK33" s="39" t="str">
        <f>IF(AJ33="","",IF(I$8="A",(RANK(AJ33,AJ$11:AJ$333,1)+COUNTIF(AJ$11:AJ33,AJ33)-1),(RANK(AJ33,AJ$11:AJ$333)+COUNTIF(AJ$11:AJ33,AJ33)-1)))</f>
        <v/>
      </c>
      <c r="AL33" s="3" t="str">
        <f t="shared" si="16"/>
        <v/>
      </c>
      <c r="AM33" t="str">
        <f t="shared" si="6"/>
        <v/>
      </c>
      <c r="AN33" t="str">
        <f t="shared" si="7"/>
        <v/>
      </c>
      <c r="AP33" s="5" t="str">
        <f>IF(L33="","",VLOOKUP($L33,classifications!$C:$E,3,FALSE))</f>
        <v>South East</v>
      </c>
      <c r="AQ33" s="42" t="str">
        <f t="shared" si="30"/>
        <v/>
      </c>
      <c r="AR33" s="39" t="str">
        <f>IF(AQ33="","",IF(I$8="A",(RANK(AQ33,AQ$11:AQ$333,1)+COUNTIF(AQ$11:AQ33,AQ33)-1),(RANK(AQ33,AQ$11:AQ$333)+COUNTIF(AQ$11:AQ33,AQ33)-1)))</f>
        <v/>
      </c>
      <c r="AS33" s="3">
        <f t="shared" si="18"/>
        <v>23</v>
      </c>
      <c r="AT33" s="39" t="str">
        <f t="shared" si="8"/>
        <v>King's Lynn &amp; West Norfolk</v>
      </c>
      <c r="AU33" s="42">
        <f t="shared" si="9"/>
        <v>97.16</v>
      </c>
      <c r="AX33">
        <f>HLOOKUP($AX$9&amp;$AX$10,Data!$A$1:$ZT$1975,(MATCH($C33,Data!$A$1:$A$1975,0)),FALSE)</f>
        <v>93.84</v>
      </c>
    </row>
    <row r="34" spans="1:50">
      <c r="A34" s="55" t="str">
        <f>$D$1&amp;24</f>
        <v>SD24</v>
      </c>
      <c r="B34" s="56" t="str">
        <f>IF(ISERROR(VLOOKUP(A34,classifications!A:C,3,FALSE)),0,VLOOKUP(A34,classifications!A:C,3,FALSE))</f>
        <v>Rother</v>
      </c>
      <c r="C34" t="s">
        <v>18</v>
      </c>
      <c r="D34" t="str">
        <f>VLOOKUP($C34,classifications!$C:$J,4,FALSE)</f>
        <v>SD</v>
      </c>
      <c r="E34" t="str">
        <f>VLOOKUP(C34,classifications!C:K,9,FALSE)</f>
        <v>Sparse</v>
      </c>
      <c r="F34">
        <f t="shared" si="0"/>
        <v>93.37</v>
      </c>
      <c r="G34" s="15"/>
      <c r="H34" s="41">
        <f t="shared" si="1"/>
        <v>93.37</v>
      </c>
      <c r="I34" s="73">
        <f>IF(H34="","",IF($I$8="A",(RANK(H34,H$11:H$333,1)+COUNTIF(H$11:H34,H34)-1),(RANK(H34,H$11:H$333)+COUNTIF(H$11:H34,H34)-1)))</f>
        <v>163</v>
      </c>
      <c r="J34" s="40"/>
      <c r="K34" s="35">
        <f t="shared" si="10"/>
        <v>24</v>
      </c>
      <c r="L34" t="str">
        <f t="shared" si="2"/>
        <v>East Hampshire</v>
      </c>
      <c r="M34" s="109">
        <f t="shared" si="3"/>
        <v>98.35</v>
      </c>
      <c r="N34" s="104">
        <f t="shared" si="19"/>
        <v>98.35</v>
      </c>
      <c r="O34" s="89">
        <f t="shared" si="20"/>
        <v>98.35</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 xml:space="preserve">Predominantly Rural </v>
      </c>
      <c r="Y34">
        <f t="shared" si="26"/>
        <v>98.35</v>
      </c>
      <c r="Z34" s="39">
        <f>IF(Y34="","",IF(I$8="A",(RANK(Y34,Y$11:Y$333,1)+COUNTIF(Y$11:Y34,Y34)-1),(RANK(Y34,Y$11:Y$333)+COUNTIF(Y$11:Y34,Y34)-1)))</f>
        <v>12</v>
      </c>
      <c r="AA34" s="177" t="str">
        <f>IF(L34="","",VLOOKUP($L34,classifications!C:I,7,FALSE))</f>
        <v>Predominantly Rural</v>
      </c>
      <c r="AB34" s="173">
        <f t="shared" si="27"/>
        <v>98.35</v>
      </c>
      <c r="AC34" s="173">
        <f>IF(AB34="","",IF($I$8="A",(RANK(AB34,AB$11:AB$333)+COUNTIF(AB$11:AB34,AB34)-1),(RANK(AB34,AB$11:AB$333,1)+COUNTIF(AB$11:AB34,AB34)-1)))</f>
        <v>46</v>
      </c>
      <c r="AD34" s="173"/>
      <c r="AE34" s="45" t="e">
        <f>IF(I$8="A",(RANK(AG34,AG$11:AG$333,1)+COUNTIF(AG$11:AG34,AG34)-1),(RANK(AG34,AG$11:AG$333)+COUNTIF(AG$11:AG34,AG34)-1))</f>
        <v>#N/A</v>
      </c>
      <c r="AF34" t="str">
        <f>VLOOKUP(Profile!$J$5,Families!$C:$R,2,FALSE)</f>
        <v>North Dorset</v>
      </c>
      <c r="AG34" s="15" t="e">
        <f t="shared" si="15"/>
        <v>#N/A</v>
      </c>
      <c r="AH34" s="46" t="e">
        <f t="shared" si="28"/>
        <v>#N/A</v>
      </c>
      <c r="AI34" s="5" t="str">
        <f>IF(L34="","",VLOOKUP($L34,classifications!$C:$J,8,FALSE))</f>
        <v>Hampshire</v>
      </c>
      <c r="AJ34" s="42" t="str">
        <f t="shared" si="29"/>
        <v/>
      </c>
      <c r="AK34" s="39" t="str">
        <f>IF(AJ34="","",IF(I$8="A",(RANK(AJ34,AJ$11:AJ$333,1)+COUNTIF(AJ$11:AJ34,AJ34)-1),(RANK(AJ34,AJ$11:AJ$333)+COUNTIF(AJ$11:AJ34,AJ34)-1)))</f>
        <v/>
      </c>
      <c r="AL34" s="3" t="str">
        <f t="shared" si="16"/>
        <v/>
      </c>
      <c r="AM34" t="str">
        <f t="shared" si="6"/>
        <v/>
      </c>
      <c r="AN34" t="str">
        <f t="shared" si="7"/>
        <v/>
      </c>
      <c r="AP34" s="5" t="str">
        <f>IF(L34="","",VLOOKUP($L34,classifications!$C:$E,3,FALSE))</f>
        <v>South East</v>
      </c>
      <c r="AQ34" s="42" t="str">
        <f t="shared" si="30"/>
        <v/>
      </c>
      <c r="AR34" s="39" t="str">
        <f>IF(AQ34="","",IF(I$8="A",(RANK(AQ34,AQ$11:AQ$333,1)+COUNTIF(AQ$11:AQ34,AQ34)-1),(RANK(AQ34,AQ$11:AQ$333)+COUNTIF(AQ$11:AQ34,AQ34)-1)))</f>
        <v/>
      </c>
      <c r="AS34" s="3">
        <f t="shared" si="18"/>
        <v>24</v>
      </c>
      <c r="AT34" s="39" t="str">
        <f t="shared" si="8"/>
        <v>Dacorum</v>
      </c>
      <c r="AU34" s="42">
        <f t="shared" si="9"/>
        <v>97.14</v>
      </c>
      <c r="AX34">
        <f>HLOOKUP($AX$9&amp;$AX$10,Data!$A$1:$ZT$1975,(MATCH($C34,Data!$A$1:$A$1975,0)),FALSE)</f>
        <v>93.37</v>
      </c>
    </row>
    <row r="35" spans="1:50">
      <c r="A35" s="55" t="str">
        <f>$D$1&amp;25</f>
        <v>SD25</v>
      </c>
      <c r="B35" s="56" t="str">
        <f>IF(ISERROR(VLOOKUP(A35,classifications!A:C,3,FALSE)),0,VLOOKUP(A35,classifications!A:C,3,FALSE))</f>
        <v>Rugby</v>
      </c>
      <c r="C35" t="s">
        <v>895</v>
      </c>
      <c r="D35" t="str">
        <f>VLOOKUP($C35,classifications!$C:$J,4,FALSE)</f>
        <v>UA</v>
      </c>
      <c r="E35">
        <f>VLOOKUP(C35,classifications!C:K,9,FALSE)</f>
        <v>0</v>
      </c>
      <c r="F35">
        <f t="shared" si="0"/>
        <v>96.29</v>
      </c>
      <c r="G35" s="15"/>
      <c r="H35" s="41" t="str">
        <f t="shared" si="1"/>
        <v/>
      </c>
      <c r="I35" s="73" t="str">
        <f>IF(H35="","",IF($I$8="A",(RANK(H35,H$11:H$333,1)+COUNTIF(H$11:H35,H35)-1),(RANK(H35,H$11:H$333)+COUNTIF(H$11:H35,H35)-1)))</f>
        <v/>
      </c>
      <c r="J35" s="40"/>
      <c r="K35" s="35">
        <f t="shared" si="10"/>
        <v>25</v>
      </c>
      <c r="L35" t="str">
        <f t="shared" si="2"/>
        <v>South Hams</v>
      </c>
      <c r="M35" s="109">
        <f t="shared" si="3"/>
        <v>98.35</v>
      </c>
      <c r="N35" s="104">
        <f t="shared" si="19"/>
        <v>98.35</v>
      </c>
      <c r="O35" s="89">
        <f t="shared" si="20"/>
        <v>98.35</v>
      </c>
      <c r="P35" s="89" t="str">
        <f t="shared" si="21"/>
        <v/>
      </c>
      <c r="Q35" s="89" t="str">
        <f t="shared" si="22"/>
        <v/>
      </c>
      <c r="R35" s="85" t="str">
        <f t="shared" si="23"/>
        <v/>
      </c>
      <c r="S35" s="41" t="str">
        <f t="shared" si="24"/>
        <v/>
      </c>
      <c r="T35" s="166" t="str">
        <f>IF(L35="","",VLOOKUP(L35,classifications!C:K,9,FALSE))</f>
        <v>Sparse</v>
      </c>
      <c r="U35" s="167">
        <f t="shared" si="25"/>
        <v>98.35</v>
      </c>
      <c r="V35" s="173">
        <f>IF(U35="","",IF($I$8="A",(RANK(U35,U$11:U$333)+COUNTIF(U$11:U35,U35)-1),(RANK(U35,U$11:U$333,1)+COUNTIF(U$11:U35,U35)-1)))</f>
        <v>35</v>
      </c>
      <c r="W35" s="174"/>
      <c r="X35" s="5" t="str">
        <f>IF(L35="","",VLOOKUP($L35,classifications!$C:$J,6,FALSE))</f>
        <v xml:space="preserve">Predominantly Rural </v>
      </c>
      <c r="Y35">
        <f t="shared" si="26"/>
        <v>98.35</v>
      </c>
      <c r="Z35" s="39">
        <f>IF(Y35="","",IF(I$8="A",(RANK(Y35,Y$11:Y$333,1)+COUNTIF(Y$11:Y35,Y35)-1),(RANK(Y35,Y$11:Y$333)+COUNTIF(Y$11:Y35,Y35)-1)))</f>
        <v>13</v>
      </c>
      <c r="AA35" s="177" t="str">
        <f>IF(L35="","",VLOOKUP($L35,classifications!C:I,7,FALSE))</f>
        <v>Predominantly Rural</v>
      </c>
      <c r="AB35" s="173">
        <f t="shared" si="27"/>
        <v>98.35</v>
      </c>
      <c r="AC35" s="173">
        <f>IF(AB35="","",IF($I$8="A",(RANK(AB35,AB$11:AB$333)+COUNTIF(AB$11:AB35,AB35)-1),(RANK(AB35,AB$11:AB$333,1)+COUNTIF(AB$11:AB35,AB35)-1)))</f>
        <v>47</v>
      </c>
      <c r="AD35" s="173"/>
      <c r="AE35" s="45" t="e">
        <f>IF(I$8="A",(RANK(AG35,AG$11:AG$333,1)+COUNTIF(AG$11:AG35,AG35)-1),(RANK(AG35,AG$11:AG$333)+COUNTIF(AG$11:AG35,AG35)-1))</f>
        <v>#N/A</v>
      </c>
      <c r="AF35" t="str">
        <f>VLOOKUP(Profile!$J$5,Families!$C:$R,2,FALSE)</f>
        <v>North Dorset</v>
      </c>
      <c r="AG35" s="15" t="e">
        <f t="shared" si="15"/>
        <v>#N/A</v>
      </c>
      <c r="AH35" s="46" t="e">
        <f t="shared" si="28"/>
        <v>#N/A</v>
      </c>
      <c r="AI35" s="5" t="str">
        <f>IF(L35="","",VLOOKUP($L35,classifications!$C:$J,8,FALSE))</f>
        <v>Devon</v>
      </c>
      <c r="AJ35" s="42" t="str">
        <f t="shared" si="29"/>
        <v/>
      </c>
      <c r="AK35" s="39" t="str">
        <f>IF(AJ35="","",IF(I$8="A",(RANK(AJ35,AJ$11:AJ$333,1)+COUNTIF(AJ$11:AJ35,AJ35)-1),(RANK(AJ35,AJ$11:AJ$333)+COUNTIF(AJ$11:AJ35,AJ35)-1)))</f>
        <v/>
      </c>
      <c r="AL35" s="3" t="str">
        <f t="shared" si="16"/>
        <v/>
      </c>
      <c r="AM35" t="str">
        <f t="shared" si="6"/>
        <v/>
      </c>
      <c r="AN35" t="str">
        <f t="shared" si="7"/>
        <v/>
      </c>
      <c r="AP35" s="5" t="str">
        <f>IF(L35="","",VLOOKUP($L35,classifications!$C:$E,3,FALSE))</f>
        <v>South West</v>
      </c>
      <c r="AQ35" s="42" t="str">
        <f t="shared" si="30"/>
        <v/>
      </c>
      <c r="AR35" s="39" t="str">
        <f>IF(AQ35="","",IF(I$8="A",(RANK(AQ35,AQ$11:AQ$333,1)+COUNTIF(AQ$11:AQ35,AQ35)-1),(RANK(AQ35,AQ$11:AQ$333)+COUNTIF(AQ$11:AQ35,AQ35)-1)))</f>
        <v/>
      </c>
      <c r="AS35" s="3">
        <f t="shared" si="18"/>
        <v>25</v>
      </c>
      <c r="AT35" s="39" t="str">
        <f t="shared" si="8"/>
        <v>West Suffolk</v>
      </c>
      <c r="AU35" s="42">
        <f t="shared" si="9"/>
        <v>97.13</v>
      </c>
      <c r="AX35">
        <f>HLOOKUP($AX$9&amp;$AX$10,Data!$A$1:$ZT$1975,(MATCH($C35,Data!$A$1:$A$1975,0)),FALSE)</f>
        <v>96.29</v>
      </c>
    </row>
    <row r="36" spans="1:50">
      <c r="A36" s="55" t="str">
        <f>$D$1&amp;26</f>
        <v>SD26</v>
      </c>
      <c r="B36" s="56" t="str">
        <f>IF(ISERROR(VLOOKUP(A36,classifications!A:C,3,FALSE)),0,VLOOKUP(A36,classifications!A:C,3,FALSE))</f>
        <v>South Cambridgeshire</v>
      </c>
      <c r="C36" t="s">
        <v>263</v>
      </c>
      <c r="D36" t="str">
        <f>VLOOKUP($C36,classifications!$C:$J,4,FALSE)</f>
        <v>UA</v>
      </c>
      <c r="E36">
        <f>VLOOKUP(C36,classifications!C:K,9,FALSE)</f>
        <v>0</v>
      </c>
      <c r="F36">
        <f t="shared" si="0"/>
        <v>97.07</v>
      </c>
      <c r="G36" s="15"/>
      <c r="H36" s="41" t="str">
        <f t="shared" si="1"/>
        <v/>
      </c>
      <c r="I36" s="73" t="str">
        <f>IF(H36="","",IF($I$8="A",(RANK(H36,H$11:H$333,1)+COUNTIF(H$11:H36,H36)-1),(RANK(H36,H$11:H$333)+COUNTIF(H$11:H36,H36)-1)))</f>
        <v/>
      </c>
      <c r="J36" s="40"/>
      <c r="K36" s="35">
        <f t="shared" si="10"/>
        <v>26</v>
      </c>
      <c r="L36" t="str">
        <f t="shared" si="2"/>
        <v>Mid Suffolk</v>
      </c>
      <c r="M36" s="109">
        <f t="shared" si="3"/>
        <v>98.34</v>
      </c>
      <c r="N36" s="104">
        <f t="shared" si="19"/>
        <v>98.34</v>
      </c>
      <c r="O36" s="89">
        <f t="shared" si="20"/>
        <v>98.34</v>
      </c>
      <c r="P36" s="89" t="str">
        <f t="shared" si="21"/>
        <v/>
      </c>
      <c r="Q36" s="89" t="str">
        <f t="shared" si="22"/>
        <v/>
      </c>
      <c r="R36" s="85" t="str">
        <f t="shared" si="23"/>
        <v/>
      </c>
      <c r="S36" s="41" t="str">
        <f t="shared" si="24"/>
        <v/>
      </c>
      <c r="T36" s="166" t="str">
        <f>IF(L36="","",VLOOKUP(L36,classifications!C:K,9,FALSE))</f>
        <v>Sparse</v>
      </c>
      <c r="U36" s="167">
        <f t="shared" si="25"/>
        <v>98.34</v>
      </c>
      <c r="V36" s="173">
        <f>IF(U36="","",IF($I$8="A",(RANK(U36,U$11:U$333)+COUNTIF(U$11:U36,U36)-1),(RANK(U36,U$11:U$333,1)+COUNTIF(U$11:U36,U36)-1)))</f>
        <v>34</v>
      </c>
      <c r="W36" s="174"/>
      <c r="X36" s="5" t="str">
        <f>IF(L36="","",VLOOKUP($L36,classifications!$C:$J,6,FALSE))</f>
        <v xml:space="preserve">Predominantly Rural </v>
      </c>
      <c r="Y36">
        <f t="shared" si="26"/>
        <v>98.34</v>
      </c>
      <c r="Z36" s="39">
        <f>IF(Y36="","",IF(I$8="A",(RANK(Y36,Y$11:Y$333,1)+COUNTIF(Y$11:Y36,Y36)-1),(RANK(Y36,Y$11:Y$333)+COUNTIF(Y$11:Y36,Y36)-1)))</f>
        <v>14</v>
      </c>
      <c r="AA36" s="177" t="str">
        <f>IF(L36="","",VLOOKUP($L36,classifications!C:I,7,FALSE))</f>
        <v>Predominantly Rural</v>
      </c>
      <c r="AB36" s="173">
        <f t="shared" si="27"/>
        <v>98.34</v>
      </c>
      <c r="AC36" s="173">
        <f>IF(AB36="","",IF($I$8="A",(RANK(AB36,AB$11:AB$333)+COUNTIF(AB$11:AB36,AB36)-1),(RANK(AB36,AB$11:AB$333,1)+COUNTIF(AB$11:AB36,AB36)-1)))</f>
        <v>45</v>
      </c>
      <c r="AD36" s="173"/>
      <c r="AE36" s="45" t="e">
        <f>IF(I$8="A",(RANK(AG36,AG$11:AG$333,1)+COUNTIF(AG$11:AG36,AG36)-1),(RANK(AG36,AG$11:AG$333)+COUNTIF(AG$11:AG36,AG36)-1))</f>
        <v>#N/A</v>
      </c>
      <c r="AF36" t="str">
        <f>VLOOKUP(Profile!$J$5,Families!$C:$R,2,FALSE)</f>
        <v>North Dorset</v>
      </c>
      <c r="AG36" s="15" t="e">
        <f t="shared" si="15"/>
        <v>#N/A</v>
      </c>
      <c r="AH36" s="46" t="e">
        <f t="shared" si="28"/>
        <v>#N/A</v>
      </c>
      <c r="AI36" s="5" t="str">
        <f>IF(L36="","",VLOOKUP($L36,classifications!$C:$J,8,FALSE))</f>
        <v>Suffolk</v>
      </c>
      <c r="AJ36" s="42">
        <f t="shared" si="29"/>
        <v>98.34</v>
      </c>
      <c r="AK36" s="39">
        <f>IF(AJ36="","",IF(I$8="A",(RANK(AJ36,AJ$11:AJ$333,1)+COUNTIF(AJ$11:AJ36,AJ36)-1),(RANK(AJ36,AJ$11:AJ$333)+COUNTIF(AJ$11:AJ36,AJ36)-1)))</f>
        <v>1</v>
      </c>
      <c r="AL36" s="3" t="str">
        <f t="shared" si="16"/>
        <v/>
      </c>
      <c r="AM36" t="str">
        <f t="shared" si="6"/>
        <v/>
      </c>
      <c r="AN36" t="str">
        <f t="shared" si="7"/>
        <v/>
      </c>
      <c r="AP36" s="5" t="str">
        <f>IF(L36="","",VLOOKUP($L36,classifications!$C:$E,3,FALSE))</f>
        <v>East of England</v>
      </c>
      <c r="AQ36" s="42">
        <f t="shared" si="30"/>
        <v>98.34</v>
      </c>
      <c r="AR36" s="39">
        <f>IF(AQ36="","",IF(I$8="A",(RANK(AQ36,AQ$11:AQ$333,1)+COUNTIF(AQ$11:AQ36,AQ36)-1),(RANK(AQ36,AQ$11:AQ$333)+COUNTIF(AQ$11:AQ36,AQ36)-1)))</f>
        <v>8</v>
      </c>
      <c r="AS36" s="3">
        <f t="shared" si="18"/>
        <v>26</v>
      </c>
      <c r="AT36" s="39" t="str">
        <f t="shared" si="8"/>
        <v>Epping Forest</v>
      </c>
      <c r="AU36" s="42">
        <f t="shared" si="9"/>
        <v>96.94</v>
      </c>
      <c r="AX36">
        <f>HLOOKUP($AX$9&amp;$AX$10,Data!$A$1:$ZT$1975,(MATCH($C36,Data!$A$1:$A$1975,0)),FALSE)</f>
        <v>97.07</v>
      </c>
    </row>
    <row r="37" spans="1:50">
      <c r="A37" s="55" t="str">
        <f>$D$1&amp;27</f>
        <v>SD27</v>
      </c>
      <c r="B37" s="56" t="str">
        <f>IF(ISERROR(VLOOKUP(A37,classifications!A:C,3,FALSE)),0,VLOOKUP(A37,classifications!A:C,3,FALSE))</f>
        <v>South Hams</v>
      </c>
      <c r="C37" t="s">
        <v>225</v>
      </c>
      <c r="D37" t="str">
        <f>VLOOKUP($C37,classifications!$C:$J,4,FALSE)</f>
        <v>MD</v>
      </c>
      <c r="E37">
        <f>VLOOKUP(C37,classifications!C:K,9,FALSE)</f>
        <v>0</v>
      </c>
      <c r="F37">
        <f t="shared" si="0"/>
        <v>94.22</v>
      </c>
      <c r="G37" s="15"/>
      <c r="H37" s="41" t="str">
        <f t="shared" si="1"/>
        <v/>
      </c>
      <c r="I37" s="73" t="str">
        <f>IF(H37="","",IF($I$8="A",(RANK(H37,H$11:H$333,1)+COUNTIF(H$11:H37,H37)-1),(RANK(H37,H$11:H$333)+COUNTIF(H$11:H37,H37)-1)))</f>
        <v/>
      </c>
      <c r="J37" s="40"/>
      <c r="K37" s="35">
        <f t="shared" si="10"/>
        <v>27</v>
      </c>
      <c r="L37" t="str">
        <f t="shared" si="2"/>
        <v>Cheltenham</v>
      </c>
      <c r="M37" s="109">
        <f t="shared" si="3"/>
        <v>98.32</v>
      </c>
      <c r="N37" s="104">
        <f t="shared" si="19"/>
        <v>98.32</v>
      </c>
      <c r="O37" s="89">
        <f t="shared" si="20"/>
        <v>98.32</v>
      </c>
      <c r="P37" s="89" t="str">
        <f t="shared" si="21"/>
        <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t="e">
        <f>IF(I$8="A",(RANK(AG37,AG$11:AG$333,1)+COUNTIF(AG$11:AG37,AG37)-1),(RANK(AG37,AG$11:AG$333)+COUNTIF(AG$11:AG37,AG37)-1))</f>
        <v>#N/A</v>
      </c>
      <c r="AF37" t="str">
        <f>VLOOKUP(Profile!$J$5,Families!$C:$R,2,FALSE)</f>
        <v>North Dorset</v>
      </c>
      <c r="AG37" s="15" t="e">
        <f t="shared" si="15"/>
        <v>#N/A</v>
      </c>
      <c r="AH37" s="46" t="e">
        <f t="shared" si="28"/>
        <v>#N/A</v>
      </c>
      <c r="AI37" s="5" t="str">
        <f>IF(L37="","",VLOOKUP($L37,classifications!$C:$J,8,FALSE))</f>
        <v>Gloucestershire</v>
      </c>
      <c r="AJ37" s="42" t="str">
        <f t="shared" si="29"/>
        <v/>
      </c>
      <c r="AK37" s="39" t="str">
        <f>IF(AJ37="","",IF(I$8="A",(RANK(AJ37,AJ$11:AJ$333,1)+COUNTIF(AJ$11:AJ37,AJ37)-1),(RANK(AJ37,AJ$11:AJ$333)+COUNTIF(AJ$11:AJ37,AJ37)-1)))</f>
        <v/>
      </c>
      <c r="AL37" s="3" t="str">
        <f t="shared" si="16"/>
        <v/>
      </c>
      <c r="AM37" t="str">
        <f t="shared" si="6"/>
        <v/>
      </c>
      <c r="AN37" t="str">
        <f t="shared" si="7"/>
        <v/>
      </c>
      <c r="AP37" s="5" t="str">
        <f>IF(L37="","",VLOOKUP($L37,classifications!$C:$E,3,FALSE))</f>
        <v>South West</v>
      </c>
      <c r="AQ37" s="42" t="str">
        <f t="shared" si="30"/>
        <v/>
      </c>
      <c r="AR37" s="39" t="str">
        <f>IF(AQ37="","",IF(I$8="A",(RANK(AQ37,AQ$11:AQ$333,1)+COUNTIF(AQ$11:AQ37,AQ37)-1),(RANK(AQ37,AQ$11:AQ$333)+COUNTIF(AQ$11:AQ37,AQ37)-1)))</f>
        <v/>
      </c>
      <c r="AS37" s="3">
        <f t="shared" si="18"/>
        <v>27</v>
      </c>
      <c r="AT37" s="39" t="str">
        <f t="shared" si="8"/>
        <v>East Hertfordshire</v>
      </c>
      <c r="AU37" s="42">
        <f t="shared" si="9"/>
        <v>96.92</v>
      </c>
      <c r="AX37">
        <f>HLOOKUP($AX$9&amp;$AX$10,Data!$A$1:$ZT$1975,(MATCH($C37,Data!$A$1:$A$1975,0)),FALSE)</f>
        <v>94.22</v>
      </c>
    </row>
    <row r="38" spans="1:50">
      <c r="A38" s="55" t="str">
        <f>$D$1&amp;28</f>
        <v>SD28</v>
      </c>
      <c r="B38" s="56" t="str">
        <f>IF(ISERROR(VLOOKUP(A38,classifications!A:C,3,FALSE)),0,VLOOKUP(A38,classifications!A:C,3,FALSE))</f>
        <v>South Holland</v>
      </c>
      <c r="C38" t="s">
        <v>19</v>
      </c>
      <c r="D38" t="str">
        <f>VLOOKUP($C38,classifications!$C:$J,4,FALSE)</f>
        <v>SD</v>
      </c>
      <c r="E38" t="str">
        <f>VLOOKUP(C38,classifications!C:K,9,FALSE)</f>
        <v>Sparse</v>
      </c>
      <c r="F38">
        <f t="shared" si="0"/>
        <v>97.59</v>
      </c>
      <c r="G38" s="15"/>
      <c r="H38" s="41">
        <f t="shared" si="1"/>
        <v>97.59</v>
      </c>
      <c r="I38" s="73">
        <f>IF(H38="","",IF($I$8="A",(RANK(H38,H$11:H$333,1)+COUNTIF(H$11:H38,H38)-1),(RANK(H38,H$11:H$333)+COUNTIF(H$11:H38,H38)-1)))</f>
        <v>72</v>
      </c>
      <c r="J38" s="40"/>
      <c r="K38" s="35">
        <f t="shared" si="10"/>
        <v>28</v>
      </c>
      <c r="L38" t="str">
        <f t="shared" si="2"/>
        <v>Cotswold</v>
      </c>
      <c r="M38" s="109">
        <f t="shared" si="3"/>
        <v>98.32</v>
      </c>
      <c r="N38" s="104">
        <f t="shared" si="19"/>
        <v>98.32</v>
      </c>
      <c r="O38" s="89">
        <f t="shared" si="20"/>
        <v>98.32</v>
      </c>
      <c r="P38" s="89" t="str">
        <f t="shared" si="21"/>
        <v/>
      </c>
      <c r="Q38" s="89" t="str">
        <f t="shared" si="22"/>
        <v/>
      </c>
      <c r="R38" s="85" t="str">
        <f t="shared" si="23"/>
        <v/>
      </c>
      <c r="S38" s="41" t="str">
        <f t="shared" si="24"/>
        <v/>
      </c>
      <c r="T38" s="166" t="str">
        <f>IF(L38="","",VLOOKUP(L38,classifications!C:K,9,FALSE))</f>
        <v>Sparse</v>
      </c>
      <c r="U38" s="167">
        <f t="shared" si="25"/>
        <v>98.32</v>
      </c>
      <c r="V38" s="173">
        <f>IF(U38="","",IF($I$8="A",(RANK(U38,U$11:U$333)+COUNTIF(U$11:U38,U38)-1),(RANK(U38,U$11:U$333,1)+COUNTIF(U$11:U38,U38)-1)))</f>
        <v>33</v>
      </c>
      <c r="W38" s="174"/>
      <c r="X38" s="5" t="str">
        <f>IF(L38="","",VLOOKUP($L38,classifications!$C:$J,6,FALSE))</f>
        <v xml:space="preserve">Predominantly Rural </v>
      </c>
      <c r="Y38">
        <f t="shared" si="26"/>
        <v>98.32</v>
      </c>
      <c r="Z38" s="39">
        <f>IF(Y38="","",IF(I$8="A",(RANK(Y38,Y$11:Y$333,1)+COUNTIF(Y$11:Y38,Y38)-1),(RANK(Y38,Y$11:Y$333)+COUNTIF(Y$11:Y38,Y38)-1)))</f>
        <v>15</v>
      </c>
      <c r="AA38" s="177" t="str">
        <f>IF(L38="","",VLOOKUP($L38,classifications!C:I,7,FALSE))</f>
        <v>Predominantly Rural</v>
      </c>
      <c r="AB38" s="173">
        <f t="shared" si="27"/>
        <v>98.32</v>
      </c>
      <c r="AC38" s="173">
        <f>IF(AB38="","",IF($I$8="A",(RANK(AB38,AB$11:AB$333)+COUNTIF(AB$11:AB38,AB38)-1),(RANK(AB38,AB$11:AB$333,1)+COUNTIF(AB$11:AB38,AB38)-1)))</f>
        <v>44</v>
      </c>
      <c r="AD38" s="173"/>
      <c r="AE38" s="45" t="e">
        <f>IF(I$8="A",(RANK(AG38,AG$11:AG$333,1)+COUNTIF(AG$11:AG38,AG38)-1),(RANK(AG38,AG$11:AG$333)+COUNTIF(AG$11:AG38,AG38)-1))</f>
        <v>#N/A</v>
      </c>
      <c r="AF38" t="str">
        <f>VLOOKUP(Profile!$J$5,Families!$C:$R,2,FALSE)</f>
        <v>North Dorset</v>
      </c>
      <c r="AG38" s="15" t="e">
        <f t="shared" si="15"/>
        <v>#N/A</v>
      </c>
      <c r="AH38" s="46" t="e">
        <f t="shared" si="28"/>
        <v>#N/A</v>
      </c>
      <c r="AI38" s="5" t="str">
        <f>IF(L38="","",VLOOKUP($L38,classifications!$C:$J,8,FALSE))</f>
        <v>Gloucestershire</v>
      </c>
      <c r="AJ38" s="42" t="str">
        <f t="shared" si="29"/>
        <v/>
      </c>
      <c r="AK38" s="39" t="str">
        <f>IF(AJ38="","",IF(I$8="A",(RANK(AJ38,AJ$11:AJ$333,1)+COUNTIF(AJ$11:AJ38,AJ38)-1),(RANK(AJ38,AJ$11:AJ$333)+COUNTIF(AJ$11:AJ38,AJ38)-1)))</f>
        <v/>
      </c>
      <c r="AL38" s="3" t="str">
        <f t="shared" si="16"/>
        <v/>
      </c>
      <c r="AM38" t="str">
        <f t="shared" si="6"/>
        <v/>
      </c>
      <c r="AN38" t="str">
        <f t="shared" si="7"/>
        <v/>
      </c>
      <c r="AP38" s="5" t="str">
        <f>IF(L38="","",VLOOKUP($L38,classifications!$C:$E,3,FALSE))</f>
        <v>South West</v>
      </c>
      <c r="AQ38" s="42" t="str">
        <f t="shared" si="30"/>
        <v/>
      </c>
      <c r="AR38" s="39" t="str">
        <f>IF(AQ38="","",IF(I$8="A",(RANK(AQ38,AQ$11:AQ$333,1)+COUNTIF(AQ$11:AQ38,AQ38)-1),(RANK(AQ38,AQ$11:AQ$333)+COUNTIF(AQ$11:AQ38,AQ38)-1)))</f>
        <v/>
      </c>
      <c r="AS38" s="3">
        <f t="shared" si="18"/>
        <v>28</v>
      </c>
      <c r="AT38" s="39" t="str">
        <f t="shared" si="8"/>
        <v>Broxbourne</v>
      </c>
      <c r="AU38" s="42">
        <f t="shared" si="9"/>
        <v>96.87</v>
      </c>
      <c r="AX38">
        <f>HLOOKUP($AX$9&amp;$AX$10,Data!$A$1:$ZT$1975,(MATCH($C38,Data!$A$1:$A$1975,0)),FALSE)</f>
        <v>97.59</v>
      </c>
    </row>
    <row r="39" spans="1:50">
      <c r="A39" s="55" t="str">
        <f>$D$1&amp;29</f>
        <v>SD29</v>
      </c>
      <c r="B39" s="56" t="str">
        <f>IF(ISERROR(VLOOKUP(A39,classifications!A:C,3,FALSE)),0,VLOOKUP(A39,classifications!A:C,3,FALSE))</f>
        <v>South Kesteven</v>
      </c>
      <c r="C39" t="s">
        <v>20</v>
      </c>
      <c r="D39" t="str">
        <f>VLOOKUP($C39,classifications!$C:$J,4,FALSE)</f>
        <v>SD</v>
      </c>
      <c r="E39">
        <f>VLOOKUP(C39,classifications!C:K,9,FALSE)</f>
        <v>0</v>
      </c>
      <c r="F39">
        <f t="shared" si="0"/>
        <v>97.25</v>
      </c>
      <c r="G39" s="15"/>
      <c r="H39" s="41">
        <f t="shared" si="1"/>
        <v>97.25</v>
      </c>
      <c r="I39" s="73">
        <f>IF(H39="","",IF($I$8="A",(RANK(H39,H$11:H$333,1)+COUNTIF(H$11:H39,H39)-1),(RANK(H39,H$11:H$333)+COUNTIF(H$11:H39,H39)-1)))</f>
        <v>86</v>
      </c>
      <c r="J39" s="40"/>
      <c r="K39" s="35">
        <f t="shared" si="10"/>
        <v>29</v>
      </c>
      <c r="L39" t="str">
        <f t="shared" si="2"/>
        <v>West Devon</v>
      </c>
      <c r="M39" s="109">
        <f t="shared" si="3"/>
        <v>98.3</v>
      </c>
      <c r="N39" s="104">
        <f t="shared" si="19"/>
        <v>98.3</v>
      </c>
      <c r="O39" s="89">
        <f t="shared" si="20"/>
        <v>98.3</v>
      </c>
      <c r="P39" s="89" t="str">
        <f t="shared" si="21"/>
        <v/>
      </c>
      <c r="Q39" s="89" t="str">
        <f t="shared" si="22"/>
        <v/>
      </c>
      <c r="R39" s="85" t="str">
        <f t="shared" si="23"/>
        <v/>
      </c>
      <c r="S39" s="41" t="str">
        <f t="shared" si="24"/>
        <v/>
      </c>
      <c r="T39" s="166" t="str">
        <f>IF(L39="","",VLOOKUP(L39,classifications!C:K,9,FALSE))</f>
        <v>Sparse</v>
      </c>
      <c r="U39" s="167">
        <f t="shared" si="25"/>
        <v>98.3</v>
      </c>
      <c r="V39" s="173">
        <f>IF(U39="","",IF($I$8="A",(RANK(U39,U$11:U$333)+COUNTIF(U$11:U39,U39)-1),(RANK(U39,U$11:U$333,1)+COUNTIF(U$11:U39,U39)-1)))</f>
        <v>32</v>
      </c>
      <c r="W39" s="174"/>
      <c r="X39" s="5" t="str">
        <f>IF(L39="","",VLOOKUP($L39,classifications!$C:$J,6,FALSE))</f>
        <v xml:space="preserve">Predominantly Rural </v>
      </c>
      <c r="Y39">
        <f t="shared" si="26"/>
        <v>98.3</v>
      </c>
      <c r="Z39" s="39">
        <f>IF(Y39="","",IF(I$8="A",(RANK(Y39,Y$11:Y$333,1)+COUNTIF(Y$11:Y39,Y39)-1),(RANK(Y39,Y$11:Y$333)+COUNTIF(Y$11:Y39,Y39)-1)))</f>
        <v>16</v>
      </c>
      <c r="AA39" s="177" t="str">
        <f>IF(L39="","",VLOOKUP($L39,classifications!C:I,7,FALSE))</f>
        <v>Predominantly Rural</v>
      </c>
      <c r="AB39" s="173">
        <f t="shared" si="27"/>
        <v>98.3</v>
      </c>
      <c r="AC39" s="173">
        <f>IF(AB39="","",IF($I$8="A",(RANK(AB39,AB$11:AB$333)+COUNTIF(AB$11:AB39,AB39)-1),(RANK(AB39,AB$11:AB$333,1)+COUNTIF(AB$11:AB39,AB39)-1)))</f>
        <v>43</v>
      </c>
      <c r="AD39" s="173"/>
      <c r="AE39" s="45" t="e">
        <f>IF(I$8="A",(RANK(AG39,AG$11:AG$333,1)+COUNTIF(AG$11:AG39,AG39)-1),(RANK(AG39,AG$11:AG$333)+COUNTIF(AG$11:AG39,AG39)-1))</f>
        <v>#N/A</v>
      </c>
      <c r="AF39" t="str">
        <f>VLOOKUP(Profile!$J$5,Families!$C:$R,2,FALSE)</f>
        <v>North Dorset</v>
      </c>
      <c r="AG39" s="15" t="e">
        <f t="shared" si="15"/>
        <v>#N/A</v>
      </c>
      <c r="AH39" s="46" t="e">
        <f t="shared" si="28"/>
        <v>#N/A</v>
      </c>
      <c r="AI39" s="5" t="str">
        <f>IF(L39="","",VLOOKUP($L39,classifications!$C:$J,8,FALSE))</f>
        <v>Devon</v>
      </c>
      <c r="AJ39" s="42" t="str">
        <f t="shared" si="29"/>
        <v/>
      </c>
      <c r="AK39" s="39" t="str">
        <f>IF(AJ39="","",IF(I$8="A",(RANK(AJ39,AJ$11:AJ$333,1)+COUNTIF(AJ$11:AJ39,AJ39)-1),(RANK(AJ39,AJ$11:AJ$333)+COUNTIF(AJ$11:AJ39,AJ39)-1)))</f>
        <v/>
      </c>
      <c r="AL39" s="3" t="str">
        <f t="shared" si="16"/>
        <v/>
      </c>
      <c r="AM39" t="str">
        <f t="shared" si="6"/>
        <v/>
      </c>
      <c r="AN39" t="str">
        <f t="shared" si="7"/>
        <v/>
      </c>
      <c r="AP39" s="5" t="str">
        <f>IF(L39="","",VLOOKUP($L39,classifications!$C:$E,3,FALSE))</f>
        <v>South West</v>
      </c>
      <c r="AQ39" s="42" t="str">
        <f t="shared" si="30"/>
        <v/>
      </c>
      <c r="AR39" s="39" t="str">
        <f>IF(AQ39="","",IF(I$8="A",(RANK(AQ39,AQ$11:AQ$333,1)+COUNTIF(AQ$11:AQ39,AQ39)-1),(RANK(AQ39,AQ$11:AQ$333)+COUNTIF(AQ$11:AQ39,AQ39)-1)))</f>
        <v/>
      </c>
      <c r="AS39" s="3">
        <f t="shared" si="18"/>
        <v>29</v>
      </c>
      <c r="AT39" s="39" t="str">
        <f t="shared" si="8"/>
        <v>Chelmsford</v>
      </c>
      <c r="AU39" s="42">
        <f t="shared" si="9"/>
        <v>96.59</v>
      </c>
      <c r="AX39">
        <f>HLOOKUP($AX$9&amp;$AX$10,Data!$A$1:$ZT$1975,(MATCH($C39,Data!$A$1:$A$1975,0)),FALSE)</f>
        <v>97.25</v>
      </c>
    </row>
    <row r="40" spans="1:50">
      <c r="A40" s="55" t="str">
        <f>$D$1&amp;30</f>
        <v>SD30</v>
      </c>
      <c r="B40" s="56" t="str">
        <f>IF(ISERROR(VLOOKUP(A40,classifications!A:C,3,FALSE)),0,VLOOKUP(A40,classifications!A:C,3,FALSE))</f>
        <v>South Oxfordshire</v>
      </c>
      <c r="C40" t="s">
        <v>198</v>
      </c>
      <c r="D40" t="str">
        <f>VLOOKUP($C40,classifications!$C:$J,4,FALSE)</f>
        <v>L</v>
      </c>
      <c r="E40">
        <f>VLOOKUP(C40,classifications!C:K,9,FALSE)</f>
        <v>0</v>
      </c>
      <c r="F40">
        <f t="shared" si="0"/>
        <v>92.2</v>
      </c>
      <c r="G40" s="15"/>
      <c r="H40" s="41" t="str">
        <f t="shared" si="1"/>
        <v/>
      </c>
      <c r="I40" s="73" t="str">
        <f>IF(H40="","",IF($I$8="A",(RANK(H40,H$11:H$333,1)+COUNTIF(H$11:H40,H40)-1),(RANK(H40,H$11:H$333)+COUNTIF(H$11:H40,H40)-1)))</f>
        <v/>
      </c>
      <c r="J40" s="40"/>
      <c r="K40" s="35">
        <f t="shared" si="10"/>
        <v>30</v>
      </c>
      <c r="L40" t="str">
        <f t="shared" si="2"/>
        <v>Mole Valley</v>
      </c>
      <c r="M40" s="109">
        <f t="shared" si="3"/>
        <v>98.29</v>
      </c>
      <c r="N40" s="104">
        <f t="shared" si="19"/>
        <v>98.29</v>
      </c>
      <c r="O40" s="89">
        <f t="shared" si="20"/>
        <v>98.29</v>
      </c>
      <c r="P40" s="89" t="str">
        <f t="shared" si="21"/>
        <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Urban with Significant Rural</v>
      </c>
      <c r="Y40" t="str">
        <f t="shared" si="26"/>
        <v/>
      </c>
      <c r="Z40" s="39" t="str">
        <f>IF(Y40="","",IF(I$8="A",(RANK(Y40,Y$11:Y$333,1)+COUNTIF(Y$11:Y40,Y40)-1),(RANK(Y40,Y$11:Y$333)+COUNTIF(Y$11:Y40,Y40)-1)))</f>
        <v/>
      </c>
      <c r="AA40" s="177" t="str">
        <f>IF(L40="","",VLOOKUP($L40,classifications!C:I,7,FALSE))</f>
        <v>Urban with Significant Rural</v>
      </c>
      <c r="AB40" s="173" t="str">
        <f t="shared" si="27"/>
        <v/>
      </c>
      <c r="AC40" s="173" t="str">
        <f>IF(AB40="","",IF($I$8="A",(RANK(AB40,AB$11:AB$333)+COUNTIF(AB$11:AB40,AB40)-1),(RANK(AB40,AB$11:AB$333,1)+COUNTIF(AB$11:AB40,AB40)-1)))</f>
        <v/>
      </c>
      <c r="AD40" s="173"/>
      <c r="AE40" s="45" t="e">
        <f>IF(I$8="A",(RANK(AG40,AG$11:AG$333,1)+COUNTIF(AG$11:AG40,AG40)-1),(RANK(AG40,AG$11:AG$333)+COUNTIF(AG$11:AG40,AG40)-1))</f>
        <v>#N/A</v>
      </c>
      <c r="AF40" t="str">
        <f>VLOOKUP(Profile!$J$5,Families!$C:$R,2,FALSE)</f>
        <v>North Dorset</v>
      </c>
      <c r="AG40" s="15" t="e">
        <f t="shared" si="15"/>
        <v>#N/A</v>
      </c>
      <c r="AH40" s="46" t="e">
        <f t="shared" si="28"/>
        <v>#N/A</v>
      </c>
      <c r="AI40" s="5" t="str">
        <f>IF(L40="","",VLOOKUP($L40,classifications!$C:$J,8,FALSE))</f>
        <v>Surrey</v>
      </c>
      <c r="AJ40" s="42" t="str">
        <f t="shared" si="29"/>
        <v/>
      </c>
      <c r="AK40" s="39" t="str">
        <f>IF(AJ40="","",IF(I$8="A",(RANK(AJ40,AJ$11:AJ$333,1)+COUNTIF(AJ$11:AJ40,AJ40)-1),(RANK(AJ40,AJ$11:AJ$333)+COUNTIF(AJ$11:AJ40,AJ40)-1)))</f>
        <v/>
      </c>
      <c r="AL40" s="3" t="str">
        <f t="shared" si="16"/>
        <v/>
      </c>
      <c r="AM40" t="str">
        <f t="shared" si="6"/>
        <v/>
      </c>
      <c r="AN40" t="str">
        <f t="shared" si="7"/>
        <v/>
      </c>
      <c r="AP40" s="5" t="str">
        <f>IF(L40="","",VLOOKUP($L40,classifications!$C:$E,3,FALSE))</f>
        <v>South East</v>
      </c>
      <c r="AQ40" s="42" t="str">
        <f t="shared" si="30"/>
        <v/>
      </c>
      <c r="AR40" s="39" t="str">
        <f>IF(AQ40="","",IF(I$8="A",(RANK(AQ40,AQ$11:AQ$333,1)+COUNTIF(AQ$11:AQ40,AQ40)-1),(RANK(AQ40,AQ$11:AQ$333)+COUNTIF(AQ$11:AQ40,AQ40)-1)))</f>
        <v/>
      </c>
      <c r="AS40" s="3">
        <f t="shared" si="18"/>
        <v>30</v>
      </c>
      <c r="AT40" s="39" t="str">
        <f t="shared" si="8"/>
        <v>Basildon</v>
      </c>
      <c r="AU40" s="42">
        <f t="shared" si="9"/>
        <v>96.47</v>
      </c>
      <c r="AX40">
        <f>HLOOKUP($AX$9&amp;$AX$10,Data!$A$1:$ZT$1975,(MATCH($C40,Data!$A$1:$A$1975,0)),FALSE)</f>
        <v>92.2</v>
      </c>
    </row>
    <row r="41" spans="1:50">
      <c r="A41" s="55" t="str">
        <f>$D$1&amp;31</f>
        <v>SD31</v>
      </c>
      <c r="B41" s="56" t="str">
        <f>IF(ISERROR(VLOOKUP(A41,classifications!A:C,3,FALSE)),0,VLOOKUP(A41,classifications!A:C,3,FALSE))</f>
        <v>Stafford</v>
      </c>
      <c r="C41" t="s">
        <v>21</v>
      </c>
      <c r="D41" t="str">
        <f>VLOOKUP($C41,classifications!$C:$J,4,FALSE)</f>
        <v>SD</v>
      </c>
      <c r="E41">
        <f>VLOOKUP(C41,classifications!C:K,9,FALSE)</f>
        <v>0</v>
      </c>
      <c r="F41">
        <f t="shared" si="0"/>
        <v>97.41</v>
      </c>
      <c r="G41" s="15"/>
      <c r="H41" s="41">
        <f t="shared" si="1"/>
        <v>97.41</v>
      </c>
      <c r="I41" s="73">
        <f>IF(H41="","",IF($I$8="A",(RANK(H41,H$11:H$333,1)+COUNTIF(H$11:H41,H41)-1),(RANK(H41,H$11:H$333)+COUNTIF(H$11:H41,H41)-1)))</f>
        <v>83</v>
      </c>
      <c r="J41" s="40"/>
      <c r="K41" s="35">
        <f t="shared" si="10"/>
        <v>31</v>
      </c>
      <c r="L41" t="str">
        <f t="shared" si="2"/>
        <v>High Peak</v>
      </c>
      <c r="M41" s="109">
        <f t="shared" si="3"/>
        <v>98.28</v>
      </c>
      <c r="N41" s="104">
        <f t="shared" si="19"/>
        <v>98.28</v>
      </c>
      <c r="O41" s="89">
        <f t="shared" si="20"/>
        <v>98.28</v>
      </c>
      <c r="P41" s="89" t="str">
        <f t="shared" si="21"/>
        <v/>
      </c>
      <c r="Q41" s="89" t="str">
        <f t="shared" si="22"/>
        <v/>
      </c>
      <c r="R41" s="85" t="str">
        <f t="shared" si="23"/>
        <v/>
      </c>
      <c r="S41" s="41" t="str">
        <f t="shared" si="24"/>
        <v/>
      </c>
      <c r="T41" s="166">
        <f>IF(L41="","",VLOOKUP(L41,classifications!C:K,9,FALSE))</f>
        <v>0</v>
      </c>
      <c r="U41" s="167" t="str">
        <f t="shared" si="25"/>
        <v/>
      </c>
      <c r="V41" s="173" t="str">
        <f>IF(U41="","",IF($I$8="A",(RANK(U41,U$11:U$333)+COUNTIF(U$11:U41,U41)-1),(RANK(U41,U$11:U$333,1)+COUNTIF(U$11:U41,U41)-1)))</f>
        <v/>
      </c>
      <c r="W41" s="174"/>
      <c r="X41" s="5" t="str">
        <f>IF(L41="","",VLOOKUP($L41,classifications!$C:$J,6,FALSE))</f>
        <v xml:space="preserve">Predominantly Rural </v>
      </c>
      <c r="Y41">
        <f t="shared" si="26"/>
        <v>98.28</v>
      </c>
      <c r="Z41" s="39">
        <f>IF(Y41="","",IF(I$8="A",(RANK(Y41,Y$11:Y$333,1)+COUNTIF(Y$11:Y41,Y41)-1),(RANK(Y41,Y$11:Y$333)+COUNTIF(Y$11:Y41,Y41)-1)))</f>
        <v>17</v>
      </c>
      <c r="AA41" s="177" t="str">
        <f>IF(L41="","",VLOOKUP($L41,classifications!C:I,7,FALSE))</f>
        <v>Predominantly Rural</v>
      </c>
      <c r="AB41" s="173">
        <f t="shared" si="27"/>
        <v>98.28</v>
      </c>
      <c r="AC41" s="173">
        <f>IF(AB41="","",IF($I$8="A",(RANK(AB41,AB$11:AB$333)+COUNTIF(AB$11:AB41,AB41)-1),(RANK(AB41,AB$11:AB$333,1)+COUNTIF(AB$11:AB41,AB41)-1)))</f>
        <v>42</v>
      </c>
      <c r="AD41" s="173"/>
      <c r="AE41" s="45" t="e">
        <f>IF(I$8="A",(RANK(AG41,AG$11:AG$333,1)+COUNTIF(AG$11:AG41,AG41)-1),(RANK(AG41,AG$11:AG$333)+COUNTIF(AG$11:AG41,AG41)-1))</f>
        <v>#N/A</v>
      </c>
      <c r="AF41" t="str">
        <f>VLOOKUP(Profile!$J$5,Families!$C:$R,2,FALSE)</f>
        <v>North Dorset</v>
      </c>
      <c r="AG41" s="15" t="e">
        <f t="shared" si="15"/>
        <v>#N/A</v>
      </c>
      <c r="AH41" s="46" t="e">
        <f t="shared" si="28"/>
        <v>#N/A</v>
      </c>
      <c r="AI41" s="5" t="str">
        <f>IF(L41="","",VLOOKUP($L41,classifications!$C:$J,8,FALSE))</f>
        <v>Derbyshire</v>
      </c>
      <c r="AJ41" s="42" t="str">
        <f t="shared" si="29"/>
        <v/>
      </c>
      <c r="AK41" s="39" t="str">
        <f>IF(AJ41="","",IF(I$8="A",(RANK(AJ41,AJ$11:AJ$333,1)+COUNTIF(AJ$11:AJ41,AJ41)-1),(RANK(AJ41,AJ$11:AJ$333)+COUNTIF(AJ$11:AJ41,AJ41)-1)))</f>
        <v/>
      </c>
      <c r="AL41" s="3" t="str">
        <f t="shared" si="16"/>
        <v/>
      </c>
      <c r="AM41" t="str">
        <f t="shared" si="6"/>
        <v/>
      </c>
      <c r="AN41" t="str">
        <f t="shared" si="7"/>
        <v/>
      </c>
      <c r="AP41" s="5" t="str">
        <f>IF(L41="","",VLOOKUP($L41,classifications!$C:$E,3,FALSE))</f>
        <v>East Midlands</v>
      </c>
      <c r="AQ41" s="42" t="str">
        <f t="shared" si="30"/>
        <v/>
      </c>
      <c r="AR41" s="39" t="str">
        <f>IF(AQ41="","",IF(I$8="A",(RANK(AQ41,AQ$11:AQ$333,1)+COUNTIF(AQ$11:AQ41,AQ41)-1),(RANK(AQ41,AQ$11:AQ$333)+COUNTIF(AQ$11:AQ41,AQ41)-1)))</f>
        <v/>
      </c>
      <c r="AS41" s="3">
        <f t="shared" si="18"/>
        <v>31</v>
      </c>
      <c r="AT41" s="39" t="str">
        <f t="shared" si="8"/>
        <v>Watford</v>
      </c>
      <c r="AU41" s="42">
        <f t="shared" si="9"/>
        <v>96.39</v>
      </c>
      <c r="AX41">
        <f>HLOOKUP($AX$9&amp;$AX$10,Data!$A$1:$ZT$1975,(MATCH($C41,Data!$A$1:$A$1975,0)),FALSE)</f>
        <v>97.41</v>
      </c>
    </row>
    <row r="42" spans="1:50">
      <c r="A42" s="55" t="str">
        <f>$D$1&amp;32</f>
        <v>SD32</v>
      </c>
      <c r="B42" s="56" t="str">
        <f>IF(ISERROR(VLOOKUP(A42,classifications!A:C,3,FALSE)),0,VLOOKUP(A42,classifications!A:C,3,FALSE))</f>
        <v>Stratford-on-Avon</v>
      </c>
      <c r="C42" t="s">
        <v>812</v>
      </c>
      <c r="D42" t="str">
        <f>VLOOKUP($C42,classifications!$C:$J,4,FALSE)</f>
        <v>UA</v>
      </c>
      <c r="E42">
        <f>VLOOKUP(C42,classifications!C:K,9,FALSE)</f>
        <v>0</v>
      </c>
      <c r="F42">
        <f t="shared" si="0"/>
        <v>94.49</v>
      </c>
      <c r="G42" s="15"/>
      <c r="H42" s="41" t="str">
        <f t="shared" si="1"/>
        <v/>
      </c>
      <c r="I42" s="73" t="str">
        <f>IF(H42="","",IF($I$8="A",(RANK(H42,H$11:H$333,1)+COUNTIF(H$11:H42,H42)-1),(RANK(H42,H$11:H$333)+COUNTIF(H$11:H42,H42)-1)))</f>
        <v/>
      </c>
      <c r="J42" s="40"/>
      <c r="K42" s="35">
        <f t="shared" si="10"/>
        <v>32</v>
      </c>
      <c r="L42" t="str">
        <f t="shared" si="2"/>
        <v>Warwick</v>
      </c>
      <c r="M42" s="109">
        <f t="shared" si="3"/>
        <v>98.14</v>
      </c>
      <c r="N42" s="104">
        <f t="shared" si="19"/>
        <v>98.14</v>
      </c>
      <c r="O42" s="89">
        <f t="shared" si="20"/>
        <v>98.14</v>
      </c>
      <c r="P42" s="89" t="str">
        <f t="shared" si="21"/>
        <v/>
      </c>
      <c r="Q42" s="89" t="str">
        <f t="shared" si="22"/>
        <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Predominantly Urban</v>
      </c>
      <c r="Y42" t="str">
        <f t="shared" si="26"/>
        <v/>
      </c>
      <c r="Z42" s="39" t="str">
        <f>IF(Y42="","",IF(I$8="A",(RANK(Y42,Y$11:Y$333,1)+COUNTIF(Y$11:Y42,Y42)-1),(RANK(Y42,Y$11:Y$333)+COUNTIF(Y$11:Y42,Y42)-1)))</f>
        <v/>
      </c>
      <c r="AA42" s="177" t="str">
        <f>IF(L42="","",VLOOKUP($L42,classifications!C:I,7,FALSE))</f>
        <v>Predominantly Urban</v>
      </c>
      <c r="AB42" s="173" t="str">
        <f t="shared" si="27"/>
        <v/>
      </c>
      <c r="AC42" s="173" t="str">
        <f>IF(AB42="","",IF($I$8="A",(RANK(AB42,AB$11:AB$333)+COUNTIF(AB$11:AB42,AB42)-1),(RANK(AB42,AB$11:AB$333,1)+COUNTIF(AB$11:AB42,AB42)-1)))</f>
        <v/>
      </c>
      <c r="AD42" s="173"/>
      <c r="AE42" s="45" t="e">
        <f>IF(I$8="A",(RANK(AG42,AG$11:AG$333,1)+COUNTIF(AG$11:AG42,AG42)-1),(RANK(AG42,AG$11:AG$333)+COUNTIF(AG$11:AG42,AG42)-1))</f>
        <v>#N/A</v>
      </c>
      <c r="AF42" t="str">
        <f>VLOOKUP(Profile!$J$5,Families!$C:$R,2,FALSE)</f>
        <v>North Dorset</v>
      </c>
      <c r="AG42" s="15" t="e">
        <f t="shared" si="15"/>
        <v>#N/A</v>
      </c>
      <c r="AH42" s="46" t="e">
        <f t="shared" si="28"/>
        <v>#N/A</v>
      </c>
      <c r="AI42" s="5" t="str">
        <f>IF(L42="","",VLOOKUP($L42,classifications!$C:$J,8,FALSE))</f>
        <v>Warwickshire</v>
      </c>
      <c r="AJ42" s="42" t="str">
        <f t="shared" si="29"/>
        <v/>
      </c>
      <c r="AK42" s="39" t="str">
        <f>IF(AJ42="","",IF(I$8="A",(RANK(AJ42,AJ$11:AJ$333,1)+COUNTIF(AJ$11:AJ42,AJ42)-1),(RANK(AJ42,AJ$11:AJ$333)+COUNTIF(AJ$11:AJ42,AJ42)-1)))</f>
        <v/>
      </c>
      <c r="AL42" s="3" t="str">
        <f t="shared" si="16"/>
        <v/>
      </c>
      <c r="AM42" t="str">
        <f t="shared" si="6"/>
        <v/>
      </c>
      <c r="AN42" t="str">
        <f t="shared" si="7"/>
        <v/>
      </c>
      <c r="AP42" s="5" t="str">
        <f>IF(L42="","",VLOOKUP($L42,classifications!$C:$E,3,FALSE))</f>
        <v>West Midlands</v>
      </c>
      <c r="AQ42" s="42" t="str">
        <f t="shared" si="30"/>
        <v/>
      </c>
      <c r="AR42" s="39" t="str">
        <f>IF(AQ42="","",IF(I$8="A",(RANK(AQ42,AQ$11:AQ$333,1)+COUNTIF(AQ$11:AQ42,AQ42)-1),(RANK(AQ42,AQ$11:AQ$333)+COUNTIF(AQ$11:AQ42,AQ42)-1)))</f>
        <v/>
      </c>
      <c r="AS42" s="3">
        <f t="shared" si="18"/>
        <v>32</v>
      </c>
      <c r="AT42" s="39" t="str">
        <f t="shared" si="8"/>
        <v>Fenland</v>
      </c>
      <c r="AU42" s="42">
        <f t="shared" si="9"/>
        <v>96.28</v>
      </c>
      <c r="AX42">
        <f>HLOOKUP($AX$9&amp;$AX$10,Data!$A$1:$ZT$1975,(MATCH($C42,Data!$A$1:$A$1975,0)),FALSE)</f>
        <v>94.49</v>
      </c>
    </row>
    <row r="43" spans="1:50">
      <c r="A43" s="55" t="str">
        <f>$D$1&amp;33</f>
        <v>SD33</v>
      </c>
      <c r="B43" s="56" t="str">
        <f>IF(ISERROR(VLOOKUP(A43,classifications!A:C,3,FALSE)),0,VLOOKUP(A43,classifications!A:C,3,FALSE))</f>
        <v>Stroud</v>
      </c>
      <c r="C43" t="s">
        <v>816</v>
      </c>
      <c r="D43" t="str">
        <f>VLOOKUP($C43,classifications!$C:$J,4,FALSE)</f>
        <v>UA</v>
      </c>
      <c r="E43">
        <f>VLOOKUP(C43,classifications!C:K,9,FALSE)</f>
        <v>0</v>
      </c>
      <c r="F43">
        <f t="shared" si="0"/>
        <v>93.04</v>
      </c>
      <c r="G43" s="15"/>
      <c r="H43" s="41" t="str">
        <f t="shared" si="1"/>
        <v/>
      </c>
      <c r="I43" s="73" t="str">
        <f>IF(H43="","",IF($I$8="A",(RANK(H43,H$11:H$333,1)+COUNTIF(H$11:H43,H43)-1),(RANK(H43,H$11:H$333)+COUNTIF(H$11:H43,H43)-1)))</f>
        <v/>
      </c>
      <c r="J43" s="40"/>
      <c r="K43" s="35">
        <f t="shared" si="10"/>
        <v>33</v>
      </c>
      <c r="L43" t="str">
        <f t="shared" si="2"/>
        <v>Winchester</v>
      </c>
      <c r="M43" s="109">
        <f t="shared" si="3"/>
        <v>98.14</v>
      </c>
      <c r="N43" s="104">
        <f t="shared" si="19"/>
        <v>98.14</v>
      </c>
      <c r="O43" s="89">
        <f t="shared" si="20"/>
        <v>98.14</v>
      </c>
      <c r="P43" s="89" t="str">
        <f t="shared" si="21"/>
        <v/>
      </c>
      <c r="Q43" s="89" t="str">
        <f t="shared" si="22"/>
        <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 xml:space="preserve">Predominantly Rural </v>
      </c>
      <c r="Y43">
        <f t="shared" si="26"/>
        <v>98.14</v>
      </c>
      <c r="Z43" s="39">
        <f>IF(Y43="","",IF(I$8="A",(RANK(Y43,Y$11:Y$333,1)+COUNTIF(Y$11:Y43,Y43)-1),(RANK(Y43,Y$11:Y$333)+COUNTIF(Y$11:Y43,Y43)-1)))</f>
        <v>18</v>
      </c>
      <c r="AA43" s="177" t="str">
        <f>IF(L43="","",VLOOKUP($L43,classifications!C:I,7,FALSE))</f>
        <v>Predominantly Rural</v>
      </c>
      <c r="AB43" s="173">
        <f t="shared" si="27"/>
        <v>98.14</v>
      </c>
      <c r="AC43" s="173">
        <f>IF(AB43="","",IF($I$8="A",(RANK(AB43,AB$11:AB$333)+COUNTIF(AB$11:AB43,AB43)-1),(RANK(AB43,AB$11:AB$333,1)+COUNTIF(AB$11:AB43,AB43)-1)))</f>
        <v>41</v>
      </c>
      <c r="AD43" s="173"/>
      <c r="AE43" s="45" t="e">
        <f>IF(I$8="A",(RANK(AG43,AG$11:AG$333,1)+COUNTIF(AG$11:AG43,AG43)-1),(RANK(AG43,AG$11:AG$333)+COUNTIF(AG$11:AG43,AG43)-1))</f>
        <v>#N/A</v>
      </c>
      <c r="AF43" t="str">
        <f>VLOOKUP(Profile!$J$5,Families!$C:$R,2,FALSE)</f>
        <v>North Dorset</v>
      </c>
      <c r="AG43" s="15" t="e">
        <f t="shared" si="15"/>
        <v>#N/A</v>
      </c>
      <c r="AH43" s="46" t="e">
        <f t="shared" si="28"/>
        <v>#N/A</v>
      </c>
      <c r="AI43" s="5" t="str">
        <f>IF(L43="","",VLOOKUP($L43,classifications!$C:$J,8,FALSE))</f>
        <v>Hampshire</v>
      </c>
      <c r="AJ43" s="42" t="str">
        <f t="shared" si="29"/>
        <v/>
      </c>
      <c r="AK43" s="39" t="str">
        <f>IF(AJ43="","",IF(I$8="A",(RANK(AJ43,AJ$11:AJ$333,1)+COUNTIF(AJ$11:AJ43,AJ43)-1),(RANK(AJ43,AJ$11:AJ$333)+COUNTIF(AJ$11:AJ43,AJ43)-1)))</f>
        <v/>
      </c>
      <c r="AL43" s="3" t="str">
        <f t="shared" si="16"/>
        <v/>
      </c>
      <c r="AM43" t="str">
        <f t="shared" si="6"/>
        <v/>
      </c>
      <c r="AN43" t="str">
        <f t="shared" si="7"/>
        <v/>
      </c>
      <c r="AP43" s="5" t="str">
        <f>IF(L43="","",VLOOKUP($L43,classifications!$C:$E,3,FALSE))</f>
        <v>South East</v>
      </c>
      <c r="AQ43" s="42" t="str">
        <f t="shared" si="30"/>
        <v/>
      </c>
      <c r="AR43" s="39" t="str">
        <f>IF(AQ43="","",IF(I$8="A",(RANK(AQ43,AQ$11:AQ$333,1)+COUNTIF(AQ$11:AQ43,AQ43)-1),(RANK(AQ43,AQ$11:AQ$333)+COUNTIF(AQ$11:AQ43,AQ43)-1)))</f>
        <v/>
      </c>
      <c r="AS43" s="3">
        <f t="shared" si="18"/>
        <v>33</v>
      </c>
      <c r="AT43" s="39" t="str">
        <f t="shared" si="8"/>
        <v>Hertsmere</v>
      </c>
      <c r="AU43" s="42">
        <f t="shared" si="9"/>
        <v>96.09</v>
      </c>
      <c r="AX43">
        <f>HLOOKUP($AX$9&amp;$AX$10,Data!$A$1:$ZT$1975,(MATCH($C43,Data!$A$1:$A$1975,0)),FALSE)</f>
        <v>93.04</v>
      </c>
    </row>
    <row r="44" spans="1:50">
      <c r="A44" s="55" t="str">
        <f>$D$1&amp;34</f>
        <v>SD34</v>
      </c>
      <c r="B44" s="56" t="str">
        <f>IF(ISERROR(VLOOKUP(A44,classifications!A:C,3,FALSE)),0,VLOOKUP(A44,classifications!A:C,3,FALSE))</f>
        <v>Teignbridge</v>
      </c>
      <c r="C44" t="s">
        <v>22</v>
      </c>
      <c r="D44" t="str">
        <f>VLOOKUP($C44,classifications!$C:$J,4,FALSE)</f>
        <v>SD</v>
      </c>
      <c r="E44">
        <f>VLOOKUP(C44,classifications!C:K,9,FALSE)</f>
        <v>0</v>
      </c>
      <c r="F44">
        <f t="shared" si="0"/>
        <v>97.91</v>
      </c>
      <c r="G44" s="15"/>
      <c r="H44" s="41">
        <f t="shared" si="1"/>
        <v>97.91</v>
      </c>
      <c r="I44" s="73">
        <f>IF(H44="","",IF($I$8="A",(RANK(H44,H$11:H$333,1)+COUNTIF(H$11:H44,H44)-1),(RANK(H44,H$11:H$333)+COUNTIF(H$11:H44,H44)-1)))</f>
        <v>50</v>
      </c>
      <c r="J44" s="40"/>
      <c r="K44" s="35">
        <f t="shared" si="10"/>
        <v>34</v>
      </c>
      <c r="L44" t="str">
        <f t="shared" si="2"/>
        <v>Babergh</v>
      </c>
      <c r="M44" s="109">
        <f t="shared" si="3"/>
        <v>98.11</v>
      </c>
      <c r="N44" s="104">
        <f t="shared" si="19"/>
        <v>98.11</v>
      </c>
      <c r="O44" s="89">
        <f t="shared" si="20"/>
        <v>98.11</v>
      </c>
      <c r="P44" s="89" t="str">
        <f t="shared" si="21"/>
        <v/>
      </c>
      <c r="Q44" s="89" t="str">
        <f t="shared" si="22"/>
        <v/>
      </c>
      <c r="R44" s="85" t="str">
        <f t="shared" si="23"/>
        <v/>
      </c>
      <c r="S44" s="41" t="str">
        <f t="shared" si="24"/>
        <v>u</v>
      </c>
      <c r="T44" s="166" t="str">
        <f>IF(L44="","",VLOOKUP(L44,classifications!C:K,9,FALSE))</f>
        <v>Sparse</v>
      </c>
      <c r="U44" s="167">
        <f t="shared" si="25"/>
        <v>98.11</v>
      </c>
      <c r="V44" s="173">
        <f>IF(U44="","",IF($I$8="A",(RANK(U44,U$11:U$333)+COUNTIF(U$11:U44,U44)-1),(RANK(U44,U$11:U$333,1)+COUNTIF(U$11:U44,U44)-1)))</f>
        <v>31</v>
      </c>
      <c r="W44" s="174"/>
      <c r="X44" s="5" t="str">
        <f>IF(L44="","",VLOOKUP($L44,classifications!$C:$J,6,FALSE))</f>
        <v xml:space="preserve">Predominantly Rural </v>
      </c>
      <c r="Y44">
        <f t="shared" si="26"/>
        <v>98.11</v>
      </c>
      <c r="Z44" s="39">
        <f>IF(Y44="","",IF(I$8="A",(RANK(Y44,Y$11:Y$333,1)+COUNTIF(Y$11:Y44,Y44)-1),(RANK(Y44,Y$11:Y$333)+COUNTIF(Y$11:Y44,Y44)-1)))</f>
        <v>19</v>
      </c>
      <c r="AA44" s="177" t="str">
        <f>IF(L44="","",VLOOKUP($L44,classifications!C:I,7,FALSE))</f>
        <v>Predominantly Rural</v>
      </c>
      <c r="AB44" s="173">
        <f t="shared" si="27"/>
        <v>98.11</v>
      </c>
      <c r="AC44" s="173">
        <f>IF(AB44="","",IF($I$8="A",(RANK(AB44,AB$11:AB$333)+COUNTIF(AB$11:AB44,AB44)-1),(RANK(AB44,AB$11:AB$333,1)+COUNTIF(AB$11:AB44,AB44)-1)))</f>
        <v>40</v>
      </c>
      <c r="AD44" s="173"/>
      <c r="AE44" s="45" t="e">
        <f>IF(I$8="A",(RANK(AG44,AG$11:AG$333,1)+COUNTIF(AG$11:AG44,AG44)-1),(RANK(AG44,AG$11:AG$333)+COUNTIF(AG$11:AG44,AG44)-1))</f>
        <v>#N/A</v>
      </c>
      <c r="AF44" t="str">
        <f>VLOOKUP(Profile!$J$5,Families!$C:$R,2,FALSE)</f>
        <v>North Dorset</v>
      </c>
      <c r="AG44" s="15" t="e">
        <f t="shared" si="15"/>
        <v>#N/A</v>
      </c>
      <c r="AH44" s="46" t="e">
        <f t="shared" si="28"/>
        <v>#N/A</v>
      </c>
      <c r="AI44" s="5" t="str">
        <f>IF(L44="","",VLOOKUP($L44,classifications!$C:$J,8,FALSE))</f>
        <v>Suffolk</v>
      </c>
      <c r="AJ44" s="42">
        <f t="shared" si="29"/>
        <v>98.11</v>
      </c>
      <c r="AK44" s="39">
        <f>IF(AJ44="","",IF(I$8="A",(RANK(AJ44,AJ$11:AJ$333,1)+COUNTIF(AJ$11:AJ44,AJ44)-1),(RANK(AJ44,AJ$11:AJ$333)+COUNTIF(AJ$11:AJ44,AJ44)-1)))</f>
        <v>2</v>
      </c>
      <c r="AL44" s="3" t="str">
        <f t="shared" si="16"/>
        <v/>
      </c>
      <c r="AM44" t="str">
        <f t="shared" si="6"/>
        <v/>
      </c>
      <c r="AN44" t="str">
        <f t="shared" si="7"/>
        <v/>
      </c>
      <c r="AP44" s="5" t="str">
        <f>IF(L44="","",VLOOKUP($L44,classifications!$C:$E,3,FALSE))</f>
        <v>East of England</v>
      </c>
      <c r="AQ44" s="42">
        <f t="shared" si="30"/>
        <v>98.11</v>
      </c>
      <c r="AR44" s="39">
        <f>IF(AQ44="","",IF(I$8="A",(RANK(AQ44,AQ$11:AQ$333,1)+COUNTIF(AQ$11:AQ44,AQ44)-1),(RANK(AQ44,AQ$11:AQ$333)+COUNTIF(AQ$11:AQ44,AQ44)-1)))</f>
        <v>9</v>
      </c>
      <c r="AS44" s="3">
        <f t="shared" si="18"/>
        <v>34</v>
      </c>
      <c r="AT44" s="39" t="str">
        <f t="shared" si="8"/>
        <v>Great Yarmouth</v>
      </c>
      <c r="AU44" s="42">
        <f t="shared" si="9"/>
        <v>95.66</v>
      </c>
      <c r="AX44">
        <f>HLOOKUP($AX$9&amp;$AX$10,Data!$A$1:$ZT$1975,(MATCH($C44,Data!$A$1:$A$1975,0)),FALSE)</f>
        <v>97.91</v>
      </c>
    </row>
    <row r="45" spans="1:50">
      <c r="A45" s="55" t="str">
        <f>$D$1&amp;35</f>
        <v>SD35</v>
      </c>
      <c r="B45" s="56" t="str">
        <f>IF(ISERROR(VLOOKUP(A45,classifications!A:C,3,FALSE)),0,VLOOKUP(A45,classifications!A:C,3,FALSE))</f>
        <v>Tewkesbury</v>
      </c>
      <c r="C45" t="s">
        <v>199</v>
      </c>
      <c r="D45" t="str">
        <f>VLOOKUP($C45,classifications!$C:$J,4,FALSE)</f>
        <v>L</v>
      </c>
      <c r="E45">
        <f>VLOOKUP(C45,classifications!C:K,9,FALSE)</f>
        <v>0</v>
      </c>
      <c r="F45">
        <f t="shared" si="0"/>
        <v>96.97</v>
      </c>
      <c r="G45" s="15"/>
      <c r="H45" s="41" t="str">
        <f t="shared" si="1"/>
        <v/>
      </c>
      <c r="I45" s="73" t="str">
        <f>IF(H45="","",IF($I$8="A",(RANK(H45,H$11:H$333,1)+COUNTIF(H$11:H45,H45)-1),(RANK(H45,H$11:H$333)+COUNTIF(H$11:H45,H45)-1)))</f>
        <v/>
      </c>
      <c r="J45" s="40"/>
      <c r="K45" s="35">
        <f t="shared" si="10"/>
        <v>35</v>
      </c>
      <c r="L45" t="str">
        <f t="shared" si="2"/>
        <v>South Derbyshire</v>
      </c>
      <c r="M45" s="109">
        <f t="shared" si="3"/>
        <v>98.09</v>
      </c>
      <c r="N45" s="104">
        <f t="shared" si="19"/>
        <v>98.09</v>
      </c>
      <c r="O45" s="89">
        <f t="shared" si="20"/>
        <v>98.09</v>
      </c>
      <c r="P45" s="89" t="str">
        <f t="shared" si="21"/>
        <v/>
      </c>
      <c r="Q45" s="89" t="str">
        <f t="shared" si="22"/>
        <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Urban with Significant Rural</v>
      </c>
      <c r="Y45" t="str">
        <f t="shared" si="26"/>
        <v/>
      </c>
      <c r="Z45" s="39" t="str">
        <f>IF(Y45="","",IF(I$8="A",(RANK(Y45,Y$11:Y$333,1)+COUNTIF(Y$11:Y45,Y45)-1),(RANK(Y45,Y$11:Y$333)+COUNTIF(Y$11:Y45,Y45)-1)))</f>
        <v/>
      </c>
      <c r="AA45" s="177" t="str">
        <f>IF(L45="","",VLOOKUP($L45,classifications!C:I,7,FALSE))</f>
        <v>Urban with Significant Rural</v>
      </c>
      <c r="AB45" s="173" t="str">
        <f t="shared" si="27"/>
        <v/>
      </c>
      <c r="AC45" s="173" t="str">
        <f>IF(AB45="","",IF($I$8="A",(RANK(AB45,AB$11:AB$333)+COUNTIF(AB$11:AB45,AB45)-1),(RANK(AB45,AB$11:AB$333,1)+COUNTIF(AB$11:AB45,AB45)-1)))</f>
        <v/>
      </c>
      <c r="AD45" s="173"/>
      <c r="AE45" s="45" t="e">
        <f>IF(I$8="A",(RANK(AG45,AG$11:AG$333,1)+COUNTIF(AG$11:AG45,AG45)-1),(RANK(AG45,AG$11:AG$333)+COUNTIF(AG$11:AG45,AG45)-1))</f>
        <v>#N/A</v>
      </c>
      <c r="AF45" t="str">
        <f>VLOOKUP(Profile!$J$5,Families!$C:$R,2,FALSE)</f>
        <v>North Dorset</v>
      </c>
      <c r="AG45" s="15" t="e">
        <f t="shared" si="15"/>
        <v>#N/A</v>
      </c>
      <c r="AH45" s="46" t="e">
        <f t="shared" si="28"/>
        <v>#N/A</v>
      </c>
      <c r="AI45" s="5" t="str">
        <f>IF(L45="","",VLOOKUP($L45,classifications!$C:$J,8,FALSE))</f>
        <v>Derbyshire</v>
      </c>
      <c r="AJ45" s="42" t="str">
        <f t="shared" si="29"/>
        <v/>
      </c>
      <c r="AK45" s="39" t="str">
        <f>IF(AJ45="","",IF(I$8="A",(RANK(AJ45,AJ$11:AJ$333,1)+COUNTIF(AJ$11:AJ45,AJ45)-1),(RANK(AJ45,AJ$11:AJ$333)+COUNTIF(AJ$11:AJ45,AJ45)-1)))</f>
        <v/>
      </c>
      <c r="AL45" s="3" t="str">
        <f t="shared" si="16"/>
        <v/>
      </c>
      <c r="AM45" t="str">
        <f t="shared" si="6"/>
        <v/>
      </c>
      <c r="AN45" t="str">
        <f t="shared" si="7"/>
        <v/>
      </c>
      <c r="AP45" s="5" t="str">
        <f>IF(L45="","",VLOOKUP($L45,classifications!$C:$E,3,FALSE))</f>
        <v>East Midlands</v>
      </c>
      <c r="AQ45" s="42" t="str">
        <f t="shared" si="30"/>
        <v/>
      </c>
      <c r="AR45" s="39" t="str">
        <f>IF(AQ45="","",IF(I$8="A",(RANK(AQ45,AQ$11:AQ$333,1)+COUNTIF(AQ$11:AQ45,AQ45)-1),(RANK(AQ45,AQ$11:AQ$333)+COUNTIF(AQ$11:AQ45,AQ45)-1)))</f>
        <v/>
      </c>
      <c r="AS45" s="3">
        <f t="shared" si="18"/>
        <v>35</v>
      </c>
      <c r="AT45" s="39" t="str">
        <f t="shared" si="8"/>
        <v>Ipswich</v>
      </c>
      <c r="AU45" s="42">
        <f t="shared" si="9"/>
        <v>95.44</v>
      </c>
      <c r="AX45">
        <f>HLOOKUP($AX$9&amp;$AX$10,Data!$A$1:$ZT$1975,(MATCH($C45,Data!$A$1:$A$1975,0)),FALSE)</f>
        <v>96.97</v>
      </c>
    </row>
    <row r="46" spans="1:50">
      <c r="A46" s="55" t="str">
        <f>$D$1&amp;36</f>
        <v>SD36</v>
      </c>
      <c r="B46" s="56" t="str">
        <f>IF(ISERROR(VLOOKUP(A46,classifications!A:C,3,FALSE)),0,VLOOKUP(A46,classifications!A:C,3,FALSE))</f>
        <v>Torridge</v>
      </c>
      <c r="C46" t="s">
        <v>23</v>
      </c>
      <c r="D46" t="str">
        <f>VLOOKUP($C46,classifications!$C:$J,4,FALSE)</f>
        <v>SD</v>
      </c>
      <c r="E46">
        <f>VLOOKUP(C46,classifications!C:K,9,FALSE)</f>
        <v>0</v>
      </c>
      <c r="F46">
        <f t="shared" si="0"/>
        <v>97.87</v>
      </c>
      <c r="G46" s="15"/>
      <c r="H46" s="41">
        <f t="shared" si="1"/>
        <v>97.87</v>
      </c>
      <c r="I46" s="73">
        <f>IF(H46="","",IF($I$8="A",(RANK(H46,H$11:H$333,1)+COUNTIF(H$11:H46,H46)-1),(RANK(H46,H$11:H$333)+COUNTIF(H$11:H46,H46)-1)))</f>
        <v>54</v>
      </c>
      <c r="J46" s="40"/>
      <c r="K46" s="35">
        <f t="shared" si="10"/>
        <v>36</v>
      </c>
      <c r="L46" t="str">
        <f t="shared" si="2"/>
        <v>Fareham</v>
      </c>
      <c r="M46" s="109">
        <f t="shared" si="3"/>
        <v>98.08</v>
      </c>
      <c r="N46" s="104">
        <f t="shared" si="19"/>
        <v>98.08</v>
      </c>
      <c r="O46" s="89">
        <f t="shared" si="20"/>
        <v>98.08</v>
      </c>
      <c r="P46" s="89" t="str">
        <f t="shared" si="21"/>
        <v/>
      </c>
      <c r="Q46" s="89" t="str">
        <f t="shared" si="22"/>
        <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Predominantly Urban</v>
      </c>
      <c r="Y46" t="str">
        <f t="shared" si="26"/>
        <v/>
      </c>
      <c r="Z46" s="39" t="str">
        <f>IF(Y46="","",IF(I$8="A",(RANK(Y46,Y$11:Y$333,1)+COUNTIF(Y$11:Y46,Y46)-1),(RANK(Y46,Y$11:Y$333)+COUNTIF(Y$11:Y46,Y46)-1)))</f>
        <v/>
      </c>
      <c r="AA46" s="177" t="str">
        <f>IF(L46="","",VLOOKUP($L46,classifications!C:I,7,FALSE))</f>
        <v>Predominantly Urban</v>
      </c>
      <c r="AB46" s="173" t="str">
        <f t="shared" si="27"/>
        <v/>
      </c>
      <c r="AC46" s="173" t="str">
        <f>IF(AB46="","",IF($I$8="A",(RANK(AB46,AB$11:AB$333)+COUNTIF(AB$11:AB46,AB46)-1),(RANK(AB46,AB$11:AB$333,1)+COUNTIF(AB$11:AB46,AB46)-1)))</f>
        <v/>
      </c>
      <c r="AD46" s="173"/>
      <c r="AE46" s="45" t="e">
        <f>IF(I$8="A",(RANK(AG46,AG$11:AG$333,1)+COUNTIF(AG$11:AG46,AG46)-1),(RANK(AG46,AG$11:AG$333)+COUNTIF(AG$11:AG46,AG46)-1))</f>
        <v>#N/A</v>
      </c>
      <c r="AF46" t="str">
        <f>VLOOKUP(Profile!$J$5,Families!$C:$R,2,FALSE)</f>
        <v>North Dorset</v>
      </c>
      <c r="AG46" s="15" t="e">
        <f t="shared" si="15"/>
        <v>#N/A</v>
      </c>
      <c r="AH46" s="46" t="e">
        <f t="shared" si="28"/>
        <v>#N/A</v>
      </c>
      <c r="AI46" s="5" t="str">
        <f>IF(L46="","",VLOOKUP($L46,classifications!$C:$J,8,FALSE))</f>
        <v>Hampshire</v>
      </c>
      <c r="AJ46" s="42" t="str">
        <f t="shared" si="29"/>
        <v/>
      </c>
      <c r="AK46" s="39" t="str">
        <f>IF(AJ46="","",IF(I$8="A",(RANK(AJ46,AJ$11:AJ$333,1)+COUNTIF(AJ$11:AJ46,AJ46)-1),(RANK(AJ46,AJ$11:AJ$333)+COUNTIF(AJ$11:AJ46,AJ46)-1)))</f>
        <v/>
      </c>
      <c r="AL46" s="3" t="str">
        <f t="shared" si="16"/>
        <v/>
      </c>
      <c r="AM46" t="str">
        <f t="shared" si="6"/>
        <v/>
      </c>
      <c r="AN46" t="str">
        <f t="shared" si="7"/>
        <v/>
      </c>
      <c r="AP46" s="5" t="str">
        <f>IF(L46="","",VLOOKUP($L46,classifications!$C:$E,3,FALSE))</f>
        <v>South East</v>
      </c>
      <c r="AQ46" s="42" t="str">
        <f t="shared" si="30"/>
        <v/>
      </c>
      <c r="AR46" s="39" t="str">
        <f>IF(AQ46="","",IF(I$8="A",(RANK(AQ46,AQ$11:AQ$333,1)+COUNTIF(AQ$11:AQ46,AQ46)-1),(RANK(AQ46,AQ$11:AQ$333)+COUNTIF(AQ$11:AQ46,AQ46)-1)))</f>
        <v/>
      </c>
      <c r="AS46" s="3">
        <f t="shared" si="18"/>
        <v>36</v>
      </c>
      <c r="AT46" s="39" t="str">
        <f t="shared" si="8"/>
        <v>Harlow</v>
      </c>
      <c r="AU46" s="42">
        <f t="shared" si="9"/>
        <v>94.55</v>
      </c>
      <c r="AX46">
        <f>HLOOKUP($AX$9&amp;$AX$10,Data!$A$1:$ZT$1975,(MATCH($C46,Data!$A$1:$A$1975,0)),FALSE)</f>
        <v>97.87</v>
      </c>
    </row>
    <row r="47" spans="1:50">
      <c r="A47" s="55" t="str">
        <f>$D$1&amp;37</f>
        <v>SD37</v>
      </c>
      <c r="B47" s="56" t="str">
        <f>IF(ISERROR(VLOOKUP(A47,classifications!A:C,3,FALSE)),0,VLOOKUP(A47,classifications!A:C,3,FALSE))</f>
        <v>Uttlesford</v>
      </c>
      <c r="C47" t="s">
        <v>24</v>
      </c>
      <c r="D47" t="str">
        <f>VLOOKUP($C47,classifications!$C:$J,4,FALSE)</f>
        <v>SD</v>
      </c>
      <c r="E47">
        <f>VLOOKUP(C47,classifications!C:K,9,FALSE)</f>
        <v>0</v>
      </c>
      <c r="F47">
        <f t="shared" si="0"/>
        <v>96.87</v>
      </c>
      <c r="G47" s="15"/>
      <c r="H47" s="41">
        <f t="shared" si="1"/>
        <v>96.87</v>
      </c>
      <c r="I47" s="73">
        <f>IF(H47="","",IF($I$8="A",(RANK(H47,H$11:H$333,1)+COUNTIF(H$11:H47,H47)-1),(RANK(H47,H$11:H$333)+COUNTIF(H$11:H47,H47)-1)))</f>
        <v>106</v>
      </c>
      <c r="J47" s="40"/>
      <c r="K47" s="35">
        <f t="shared" si="10"/>
        <v>37</v>
      </c>
      <c r="L47" t="str">
        <f t="shared" si="2"/>
        <v>South Staffordshire</v>
      </c>
      <c r="M47" s="109">
        <f t="shared" si="3"/>
        <v>98.07</v>
      </c>
      <c r="N47" s="104">
        <f t="shared" si="19"/>
        <v>98.07</v>
      </c>
      <c r="O47" s="89">
        <f t="shared" si="20"/>
        <v>98.07</v>
      </c>
      <c r="P47" s="89" t="str">
        <f t="shared" si="21"/>
        <v/>
      </c>
      <c r="Q47" s="89" t="str">
        <f t="shared" si="22"/>
        <v/>
      </c>
      <c r="R47" s="85" t="str">
        <f t="shared" si="23"/>
        <v/>
      </c>
      <c r="S47" s="41" t="str">
        <f t="shared" si="24"/>
        <v/>
      </c>
      <c r="T47" s="166">
        <f>IF(L47="","",VLOOKUP(L47,classifications!C:K,9,FALSE))</f>
        <v>0</v>
      </c>
      <c r="U47" s="167" t="str">
        <f t="shared" si="25"/>
        <v/>
      </c>
      <c r="V47" s="173" t="str">
        <f>IF(U47="","",IF($I$8="A",(RANK(U47,U$11:U$333)+COUNTIF(U$11:U47,U47)-1),(RANK(U47,U$11:U$333,1)+COUNTIF(U$11:U47,U47)-1)))</f>
        <v/>
      </c>
      <c r="W47" s="174"/>
      <c r="X47" s="5" t="str">
        <f>IF(L47="","",VLOOKUP($L47,classifications!$C:$J,6,FALSE))</f>
        <v>Urban with Significant Rural</v>
      </c>
      <c r="Y47" t="str">
        <f t="shared" si="26"/>
        <v/>
      </c>
      <c r="Z47" s="39" t="str">
        <f>IF(Y47="","",IF(I$8="A",(RANK(Y47,Y$11:Y$333,1)+COUNTIF(Y$11:Y47,Y47)-1),(RANK(Y47,Y$11:Y$333)+COUNTIF(Y$11:Y47,Y47)-1)))</f>
        <v/>
      </c>
      <c r="AA47" s="177" t="str">
        <f>IF(L47="","",VLOOKUP($L47,classifications!C:I,7,FALSE))</f>
        <v>Urban with Significant Rural</v>
      </c>
      <c r="AB47" s="173" t="str">
        <f t="shared" si="27"/>
        <v/>
      </c>
      <c r="AC47" s="173" t="str">
        <f>IF(AB47="","",IF($I$8="A",(RANK(AB47,AB$11:AB$333)+COUNTIF(AB$11:AB47,AB47)-1),(RANK(AB47,AB$11:AB$333,1)+COUNTIF(AB$11:AB47,AB47)-1)))</f>
        <v/>
      </c>
      <c r="AD47" s="173"/>
      <c r="AE47" s="45" t="e">
        <f>IF(I$8="A",(RANK(AG47,AG$11:AG$333,1)+COUNTIF(AG$11:AG47,AG47)-1),(RANK(AG47,AG$11:AG$333)+COUNTIF(AG$11:AG47,AG47)-1))</f>
        <v>#N/A</v>
      </c>
      <c r="AF47" t="str">
        <f>VLOOKUP(Profile!$J$5,Families!$C:$R,2,FALSE)</f>
        <v>North Dorset</v>
      </c>
      <c r="AG47" s="15" t="e">
        <f t="shared" si="15"/>
        <v>#N/A</v>
      </c>
      <c r="AH47" s="46" t="e">
        <f t="shared" si="28"/>
        <v>#N/A</v>
      </c>
      <c r="AI47" s="5" t="str">
        <f>IF(L47="","",VLOOKUP($L47,classifications!$C:$J,8,FALSE))</f>
        <v>Staffordshire</v>
      </c>
      <c r="AJ47" s="42" t="str">
        <f t="shared" si="29"/>
        <v/>
      </c>
      <c r="AK47" s="39" t="str">
        <f>IF(AJ47="","",IF(I$8="A",(RANK(AJ47,AJ$11:AJ$333,1)+COUNTIF(AJ$11:AJ47,AJ47)-1),(RANK(AJ47,AJ$11:AJ$333)+COUNTIF(AJ$11:AJ47,AJ47)-1)))</f>
        <v/>
      </c>
      <c r="AL47" s="3" t="str">
        <f t="shared" si="16"/>
        <v/>
      </c>
      <c r="AM47" t="str">
        <f t="shared" si="6"/>
        <v/>
      </c>
      <c r="AN47" t="str">
        <f t="shared" si="7"/>
        <v/>
      </c>
      <c r="AP47" s="5" t="str">
        <f>IF(L47="","",VLOOKUP($L47,classifications!$C:$E,3,FALSE))</f>
        <v>West Midlands</v>
      </c>
      <c r="AQ47" s="42" t="str">
        <f t="shared" si="30"/>
        <v/>
      </c>
      <c r="AR47" s="39" t="str">
        <f>IF(AQ47="","",IF(I$8="A",(RANK(AQ47,AQ$11:AQ$333,1)+COUNTIF(AQ$11:AQ47,AQ47)-1),(RANK(AQ47,AQ$11:AQ$333)+COUNTIF(AQ$11:AQ47,AQ47)-1)))</f>
        <v/>
      </c>
      <c r="AS47" s="3">
        <f t="shared" si="18"/>
        <v>37</v>
      </c>
      <c r="AT47" s="39" t="str">
        <f t="shared" si="8"/>
        <v>Stevenage</v>
      </c>
      <c r="AU47" s="42">
        <f t="shared" si="9"/>
        <v>94.37</v>
      </c>
      <c r="AX47">
        <f>HLOOKUP($AX$9&amp;$AX$10,Data!$A$1:$ZT$1975,(MATCH($C47,Data!$A$1:$A$1975,0)),FALSE)</f>
        <v>96.87</v>
      </c>
    </row>
    <row r="48" spans="1:50">
      <c r="A48" s="55" t="str">
        <f>$D$1&amp;38</f>
        <v>SD38</v>
      </c>
      <c r="B48" s="56" t="str">
        <f>IF(ISERROR(VLOOKUP(A48,classifications!A:C,3,FALSE)),0,VLOOKUP(A48,classifications!A:C,3,FALSE))</f>
        <v>Vale of White Horse</v>
      </c>
      <c r="C48" t="s">
        <v>25</v>
      </c>
      <c r="D48" t="str">
        <f>VLOOKUP($C48,classifications!$C:$J,4,FALSE)</f>
        <v>SD</v>
      </c>
      <c r="E48">
        <f>VLOOKUP(C48,classifications!C:K,9,FALSE)</f>
        <v>0</v>
      </c>
      <c r="F48">
        <f t="shared" si="0"/>
        <v>97.63</v>
      </c>
      <c r="G48" s="15"/>
      <c r="H48" s="41">
        <f t="shared" si="1"/>
        <v>97.63</v>
      </c>
      <c r="I48" s="73">
        <f>IF(H48="","",IF($I$8="A",(RANK(H48,H$11:H$333,1)+COUNTIF(H$11:H48,H48)-1),(RANK(H48,H$11:H$333)+COUNTIF(H$11:H48,H48)-1)))</f>
        <v>67</v>
      </c>
      <c r="J48" s="40"/>
      <c r="K48" s="35">
        <f t="shared" si="10"/>
        <v>38</v>
      </c>
      <c r="L48" t="str">
        <f t="shared" si="2"/>
        <v>Runnymede</v>
      </c>
      <c r="M48" s="109">
        <f t="shared" si="3"/>
        <v>98.03</v>
      </c>
      <c r="N48" s="104">
        <f t="shared" si="19"/>
        <v>98.03</v>
      </c>
      <c r="O48" s="89">
        <f t="shared" si="20"/>
        <v>98.03</v>
      </c>
      <c r="P48" s="89" t="str">
        <f t="shared" si="21"/>
        <v/>
      </c>
      <c r="Q48" s="89" t="str">
        <f t="shared" si="22"/>
        <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Predominantly Urban</v>
      </c>
      <c r="Y48" t="str">
        <f t="shared" si="26"/>
        <v/>
      </c>
      <c r="Z48" s="39" t="str">
        <f>IF(Y48="","",IF(I$8="A",(RANK(Y48,Y$11:Y$333,1)+COUNTIF(Y$11:Y48,Y48)-1),(RANK(Y48,Y$11:Y$333)+COUNTIF(Y$11:Y48,Y48)-1)))</f>
        <v/>
      </c>
      <c r="AA48" s="177" t="str">
        <f>IF(L48="","",VLOOKUP($L48,classifications!C:I,7,FALSE))</f>
        <v>Predominantly Urban</v>
      </c>
      <c r="AB48" s="173" t="str">
        <f t="shared" si="27"/>
        <v/>
      </c>
      <c r="AC48" s="173" t="str">
        <f>IF(AB48="","",IF($I$8="A",(RANK(AB48,AB$11:AB$333)+COUNTIF(AB$11:AB48,AB48)-1),(RANK(AB48,AB$11:AB$333,1)+COUNTIF(AB$11:AB48,AB48)-1)))</f>
        <v/>
      </c>
      <c r="AD48" s="173"/>
      <c r="AE48" s="45" t="e">
        <f>IF(I$8="A",(RANK(AG48,AG$11:AG$333,1)+COUNTIF(AG$11:AG48,AG48)-1),(RANK(AG48,AG$11:AG$333)+COUNTIF(AG$11:AG48,AG48)-1))</f>
        <v>#N/A</v>
      </c>
      <c r="AF48" t="str">
        <f>VLOOKUP(Profile!$J$5,Families!$C:$R,2,FALSE)</f>
        <v>North Dorset</v>
      </c>
      <c r="AG48" s="15" t="e">
        <f t="shared" si="15"/>
        <v>#N/A</v>
      </c>
      <c r="AH48" s="46" t="e">
        <f t="shared" si="28"/>
        <v>#N/A</v>
      </c>
      <c r="AI48" s="5" t="str">
        <f>IF(L48="","",VLOOKUP($L48,classifications!$C:$J,8,FALSE))</f>
        <v>Surrey</v>
      </c>
      <c r="AJ48" s="42" t="str">
        <f t="shared" si="29"/>
        <v/>
      </c>
      <c r="AK48" s="39" t="str">
        <f>IF(AJ48="","",IF(I$8="A",(RANK(AJ48,AJ$11:AJ$333,1)+COUNTIF(AJ$11:AJ48,AJ48)-1),(RANK(AJ48,AJ$11:AJ$333)+COUNTIF(AJ$11:AJ48,AJ48)-1)))</f>
        <v/>
      </c>
      <c r="AL48" s="3" t="str">
        <f t="shared" si="16"/>
        <v/>
      </c>
      <c r="AM48" t="str">
        <f t="shared" si="6"/>
        <v/>
      </c>
      <c r="AN48" t="str">
        <f t="shared" si="7"/>
        <v/>
      </c>
      <c r="AP48" s="5" t="str">
        <f>IF(L48="","",VLOOKUP($L48,classifications!$C:$E,3,FALSE))</f>
        <v>South East</v>
      </c>
      <c r="AQ48" s="42" t="str">
        <f t="shared" si="30"/>
        <v/>
      </c>
      <c r="AR48" s="39" t="str">
        <f>IF(AQ48="","",IF(I$8="A",(RANK(AQ48,AQ$11:AQ$333,1)+COUNTIF(AQ$11:AQ48,AQ48)-1),(RANK(AQ48,AQ$11:AQ$333)+COUNTIF(AQ$11:AQ48,AQ48)-1)))</f>
        <v/>
      </c>
      <c r="AS48" s="3">
        <f t="shared" si="18"/>
        <v>38</v>
      </c>
      <c r="AT48" s="39" t="str">
        <f t="shared" si="8"/>
        <v>Tendring</v>
      </c>
      <c r="AU48" s="42">
        <f t="shared" si="9"/>
        <v>93.87</v>
      </c>
      <c r="AX48">
        <f>HLOOKUP($AX$9&amp;$AX$10,Data!$A$1:$ZT$1975,(MATCH($C48,Data!$A$1:$A$1975,0)),FALSE)</f>
        <v>97.63</v>
      </c>
    </row>
    <row r="49" spans="1:50">
      <c r="A49" s="55" t="str">
        <f>$D$1&amp;39</f>
        <v>SD39</v>
      </c>
      <c r="B49" s="56" t="str">
        <f>IF(ISERROR(VLOOKUP(A49,classifications!A:C,3,FALSE)),0,VLOOKUP(A49,classifications!A:C,3,FALSE))</f>
        <v>Wealden</v>
      </c>
      <c r="C49" t="s">
        <v>300</v>
      </c>
      <c r="D49" t="str">
        <f>VLOOKUP($C49,classifications!$C:$J,4,FALSE)</f>
        <v>UA</v>
      </c>
      <c r="E49">
        <f>VLOOKUP(C49,classifications!C:K,9,FALSE)</f>
        <v>0</v>
      </c>
      <c r="F49">
        <f t="shared" si="0"/>
        <v>98.46</v>
      </c>
      <c r="G49" s="15"/>
      <c r="H49" s="41" t="str">
        <f t="shared" si="1"/>
        <v/>
      </c>
      <c r="I49" s="73" t="str">
        <f>IF(H49="","",IF($I$8="A",(RANK(H49,H$11:H$333,1)+COUNTIF(H$11:H49,H49)-1),(RANK(H49,H$11:H$333)+COUNTIF(H$11:H49,H49)-1)))</f>
        <v/>
      </c>
      <c r="J49" s="40"/>
      <c r="K49" s="35">
        <f t="shared" si="10"/>
        <v>39</v>
      </c>
      <c r="L49" t="str">
        <f t="shared" si="2"/>
        <v>Sevenoaks</v>
      </c>
      <c r="M49" s="109">
        <f t="shared" si="3"/>
        <v>98.03</v>
      </c>
      <c r="N49" s="104">
        <f t="shared" si="19"/>
        <v>98.03</v>
      </c>
      <c r="O49" s="89">
        <f t="shared" si="20"/>
        <v>98.03</v>
      </c>
      <c r="P49" s="89" t="str">
        <f t="shared" si="21"/>
        <v/>
      </c>
      <c r="Q49" s="89" t="str">
        <f t="shared" si="22"/>
        <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 xml:space="preserve">Predominantly Rural </v>
      </c>
      <c r="Y49">
        <f t="shared" si="26"/>
        <v>98.03</v>
      </c>
      <c r="Z49" s="39">
        <f>IF(Y49="","",IF(I$8="A",(RANK(Y49,Y$11:Y$333,1)+COUNTIF(Y$11:Y49,Y49)-1),(RANK(Y49,Y$11:Y$333)+COUNTIF(Y$11:Y49,Y49)-1)))</f>
        <v>20</v>
      </c>
      <c r="AA49" s="177" t="str">
        <f>IF(L49="","",VLOOKUP($L49,classifications!C:I,7,FALSE))</f>
        <v>Predominantly Rural</v>
      </c>
      <c r="AB49" s="173">
        <f t="shared" si="27"/>
        <v>98.03</v>
      </c>
      <c r="AC49" s="173">
        <f>IF(AB49="","",IF($I$8="A",(RANK(AB49,AB$11:AB$333)+COUNTIF(AB$11:AB49,AB49)-1),(RANK(AB49,AB$11:AB$333,1)+COUNTIF(AB$11:AB49,AB49)-1)))</f>
        <v>39</v>
      </c>
      <c r="AD49" s="173"/>
      <c r="AE49" s="45" t="e">
        <f>IF(I$8="A",(RANK(AG49,AG$11:AG$333,1)+COUNTIF(AG$11:AG49,AG49)-1),(RANK(AG49,AG$11:AG$333)+COUNTIF(AG$11:AG49,AG49)-1))</f>
        <v>#N/A</v>
      </c>
      <c r="AF49" t="str">
        <f>VLOOKUP(Profile!$J$5,Families!$C:$R,2,FALSE)</f>
        <v>North Dorset</v>
      </c>
      <c r="AG49" s="15" t="e">
        <f t="shared" si="15"/>
        <v>#N/A</v>
      </c>
      <c r="AH49" s="46" t="e">
        <f t="shared" si="28"/>
        <v>#N/A</v>
      </c>
      <c r="AI49" s="5" t="str">
        <f>IF(L49="","",VLOOKUP($L49,classifications!$C:$J,8,FALSE))</f>
        <v>Kent</v>
      </c>
      <c r="AJ49" s="42" t="str">
        <f t="shared" si="29"/>
        <v/>
      </c>
      <c r="AK49" s="39" t="str">
        <f>IF(AJ49="","",IF(I$8="A",(RANK(AJ49,AJ$11:AJ$333,1)+COUNTIF(AJ$11:AJ49,AJ49)-1),(RANK(AJ49,AJ$11:AJ$333)+COUNTIF(AJ$11:AJ49,AJ49)-1)))</f>
        <v/>
      </c>
      <c r="AL49" s="3" t="str">
        <f t="shared" si="16"/>
        <v/>
      </c>
      <c r="AM49" t="str">
        <f t="shared" si="6"/>
        <v/>
      </c>
      <c r="AN49" t="str">
        <f t="shared" si="7"/>
        <v/>
      </c>
      <c r="AP49" s="5" t="str">
        <f>IF(L49="","",VLOOKUP($L49,classifications!$C:$E,3,FALSE))</f>
        <v>South East</v>
      </c>
      <c r="AQ49" s="42" t="str">
        <f t="shared" si="30"/>
        <v/>
      </c>
      <c r="AR49" s="39" t="str">
        <f>IF(AQ49="","",IF(I$8="A",(RANK(AQ49,AQ$11:AQ$333,1)+COUNTIF(AQ$11:AQ49,AQ49)-1),(RANK(AQ49,AQ$11:AQ$333)+COUNTIF(AQ$11:AQ49,AQ49)-1)))</f>
        <v/>
      </c>
      <c r="AS49" s="3">
        <f t="shared" si="18"/>
        <v>39</v>
      </c>
      <c r="AT49" s="39" t="str">
        <f t="shared" si="8"/>
        <v>Norwich</v>
      </c>
      <c r="AU49" s="42">
        <f t="shared" si="9"/>
        <v>93.44</v>
      </c>
      <c r="AX49">
        <f>HLOOKUP($AX$9&amp;$AX$10,Data!$A$1:$ZT$1975,(MATCH($C49,Data!$A$1:$A$1975,0)),FALSE)</f>
        <v>98.46</v>
      </c>
    </row>
    <row r="50" spans="1:50">
      <c r="A50" s="55" t="str">
        <f>$D$1&amp;40</f>
        <v>SD40</v>
      </c>
      <c r="B50" s="56" t="str">
        <f>IF(ISERROR(VLOOKUP(A50,classifications!A:C,3,FALSE)),0,VLOOKUP(A50,classifications!A:C,3,FALSE))</f>
        <v>West Devon</v>
      </c>
      <c r="C50" t="s">
        <v>26</v>
      </c>
      <c r="D50" t="str">
        <f>VLOOKUP($C50,classifications!$C:$J,4,FALSE)</f>
        <v>SD</v>
      </c>
      <c r="E50">
        <f>VLOOKUP(C50,classifications!C:K,9,FALSE)</f>
        <v>0</v>
      </c>
      <c r="F50">
        <f t="shared" si="0"/>
        <v>93.74</v>
      </c>
      <c r="G50" s="15"/>
      <c r="H50" s="41">
        <f t="shared" si="1"/>
        <v>93.74</v>
      </c>
      <c r="I50" s="73">
        <f>IF(H50="","",IF($I$8="A",(RANK(H50,H$11:H$333,1)+COUNTIF(H$11:H50,H50)-1),(RANK(H50,H$11:H$333)+COUNTIF(H$11:H50,H50)-1)))</f>
        <v>160</v>
      </c>
      <c r="J50" s="40"/>
      <c r="K50" s="35">
        <f t="shared" si="10"/>
        <v>40</v>
      </c>
      <c r="L50" t="str">
        <f t="shared" si="2"/>
        <v>Tonbridge &amp; Malling</v>
      </c>
      <c r="M50" s="109">
        <f t="shared" si="3"/>
        <v>98.03</v>
      </c>
      <c r="N50" s="104">
        <f t="shared" si="19"/>
        <v>98.03</v>
      </c>
      <c r="O50" s="89">
        <f t="shared" si="20"/>
        <v>98.03</v>
      </c>
      <c r="P50" s="89" t="str">
        <f t="shared" si="21"/>
        <v/>
      </c>
      <c r="Q50" s="89" t="str">
        <f t="shared" si="22"/>
        <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Urban with Significant Rural</v>
      </c>
      <c r="Y50" t="str">
        <f t="shared" si="26"/>
        <v/>
      </c>
      <c r="Z50" s="39" t="str">
        <f>IF(Y50="","",IF(I$8="A",(RANK(Y50,Y$11:Y$333,1)+COUNTIF(Y$11:Y50,Y50)-1),(RANK(Y50,Y$11:Y$333)+COUNTIF(Y$11:Y50,Y50)-1)))</f>
        <v/>
      </c>
      <c r="AA50" s="177" t="str">
        <f>IF(L50="","",VLOOKUP($L50,classifications!C:I,7,FALSE))</f>
        <v>Urban with Significant Rural</v>
      </c>
      <c r="AB50" s="173" t="str">
        <f t="shared" si="27"/>
        <v/>
      </c>
      <c r="AC50" s="173" t="str">
        <f>IF(AB50="","",IF($I$8="A",(RANK(AB50,AB$11:AB$333)+COUNTIF(AB$11:AB50,AB50)-1),(RANK(AB50,AB$11:AB$333,1)+COUNTIF(AB$11:AB50,AB50)-1)))</f>
        <v/>
      </c>
      <c r="AD50" s="173"/>
      <c r="AE50" s="45" t="e">
        <f>IF(I$8="A",(RANK(AG50,AG$11:AG$333,1)+COUNTIF(AG$11:AG50,AG50)-1),(RANK(AG50,AG$11:AG$333)+COUNTIF(AG$11:AG50,AG50)-1))</f>
        <v>#N/A</v>
      </c>
      <c r="AF50" t="str">
        <f>VLOOKUP(Profile!$J$5,Families!$C:$R,2,FALSE)</f>
        <v>North Dorset</v>
      </c>
      <c r="AG50" s="15" t="e">
        <f t="shared" si="15"/>
        <v>#N/A</v>
      </c>
      <c r="AH50" s="46" t="e">
        <f t="shared" si="28"/>
        <v>#N/A</v>
      </c>
      <c r="AI50" s="5" t="str">
        <f>IF(L50="","",VLOOKUP($L50,classifications!$C:$J,8,FALSE))</f>
        <v>Kent</v>
      </c>
      <c r="AJ50" s="42" t="str">
        <f t="shared" si="29"/>
        <v/>
      </c>
      <c r="AK50" s="39" t="str">
        <f>IF(AJ50="","",IF(I$8="A",(RANK(AJ50,AJ$11:AJ$333,1)+COUNTIF(AJ$11:AJ50,AJ50)-1),(RANK(AJ50,AJ$11:AJ$333)+COUNTIF(AJ$11:AJ50,AJ50)-1)))</f>
        <v/>
      </c>
      <c r="AL50" s="3" t="str">
        <f t="shared" si="16"/>
        <v/>
      </c>
      <c r="AM50" t="str">
        <f t="shared" si="6"/>
        <v/>
      </c>
      <c r="AN50" t="str">
        <f t="shared" si="7"/>
        <v/>
      </c>
      <c r="AP50" s="5" t="str">
        <f>IF(L50="","",VLOOKUP($L50,classifications!$C:$E,3,FALSE))</f>
        <v>South East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93.74</v>
      </c>
    </row>
    <row r="51" spans="1:50">
      <c r="A51" s="55" t="str">
        <f>$D$1&amp;41</f>
        <v>SD41</v>
      </c>
      <c r="B51" s="56" t="str">
        <f>IF(ISERROR(VLOOKUP(A51,classifications!A:C,3,FALSE)),0,VLOOKUP(A51,classifications!A:C,3,FALSE))</f>
        <v>West Lindsey</v>
      </c>
      <c r="C51" t="s">
        <v>226</v>
      </c>
      <c r="D51" t="str">
        <f>VLOOKUP($C51,classifications!$C:$J,4,FALSE)</f>
        <v>MD</v>
      </c>
      <c r="E51">
        <f>VLOOKUP(C51,classifications!C:K,9,FALSE)</f>
        <v>0</v>
      </c>
      <c r="F51">
        <f t="shared" si="0"/>
        <v>95.25</v>
      </c>
      <c r="G51" s="15"/>
      <c r="H51" s="41" t="str">
        <f t="shared" si="1"/>
        <v/>
      </c>
      <c r="I51" s="73" t="str">
        <f>IF(H51="","",IF($I$8="A",(RANK(H51,H$11:H$333,1)+COUNTIF(H$11:H51,H51)-1),(RANK(H51,H$11:H$333)+COUNTIF(H$11:H51,H51)-1)))</f>
        <v/>
      </c>
      <c r="J51" s="40"/>
      <c r="K51" s="35">
        <f t="shared" si="10"/>
        <v>41</v>
      </c>
      <c r="L51" t="str">
        <f t="shared" si="2"/>
        <v>Cherwell</v>
      </c>
      <c r="M51" s="109">
        <f t="shared" si="3"/>
        <v>98.02</v>
      </c>
      <c r="N51" s="104">
        <f t="shared" si="19"/>
        <v>98.02</v>
      </c>
      <c r="O51" s="89">
        <f t="shared" si="20"/>
        <v>98.02</v>
      </c>
      <c r="P51" s="89" t="str">
        <f t="shared" si="21"/>
        <v/>
      </c>
      <c r="Q51" s="89" t="str">
        <f t="shared" si="22"/>
        <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Urban with Significant Rural</v>
      </c>
      <c r="Y51" t="str">
        <f t="shared" si="26"/>
        <v/>
      </c>
      <c r="Z51" s="39" t="str">
        <f>IF(Y51="","",IF(I$8="A",(RANK(Y51,Y$11:Y$333,1)+COUNTIF(Y$11:Y51,Y51)-1),(RANK(Y51,Y$11:Y$333)+COUNTIF(Y$11:Y51,Y51)-1)))</f>
        <v/>
      </c>
      <c r="AA51" s="177" t="str">
        <f>IF(L51="","",VLOOKUP($L51,classifications!C:I,7,FALSE))</f>
        <v>Urban with Significant Rural</v>
      </c>
      <c r="AB51" s="173" t="str">
        <f t="shared" si="27"/>
        <v/>
      </c>
      <c r="AC51" s="173" t="str">
        <f>IF(AB51="","",IF($I$8="A",(RANK(AB51,AB$11:AB$333)+COUNTIF(AB$11:AB51,AB51)-1),(RANK(AB51,AB$11:AB$333,1)+COUNTIF(AB$11:AB51,AB51)-1)))</f>
        <v/>
      </c>
      <c r="AD51" s="173"/>
      <c r="AE51" s="45" t="e">
        <f>IF(I$8="A",(RANK(AG51,AG$11:AG$333,1)+COUNTIF(AG$11:AG51,AG51)-1),(RANK(AG51,AG$11:AG$333)+COUNTIF(AG$11:AG51,AG51)-1))</f>
        <v>#N/A</v>
      </c>
      <c r="AF51" t="str">
        <f>VLOOKUP(Profile!$J$5,Families!$C:$R,2,FALSE)</f>
        <v>North Dorset</v>
      </c>
      <c r="AG51" s="15" t="e">
        <f t="shared" si="15"/>
        <v>#N/A</v>
      </c>
      <c r="AH51" s="46" t="e">
        <f t="shared" si="28"/>
        <v>#N/A</v>
      </c>
      <c r="AI51" s="5" t="str">
        <f>IF(L51="","",VLOOKUP($L51,classifications!$C:$J,8,FALSE))</f>
        <v>Oxfordshire</v>
      </c>
      <c r="AJ51" s="42" t="str">
        <f t="shared" si="29"/>
        <v/>
      </c>
      <c r="AK51" s="39" t="str">
        <f>IF(AJ51="","",IF(I$8="A",(RANK(AJ51,AJ$11:AJ$333,1)+COUNTIF(AJ$11:AJ51,AJ51)-1),(RANK(AJ51,AJ$11:AJ$333)+COUNTIF(AJ$11:AJ51,AJ51)-1)))</f>
        <v/>
      </c>
      <c r="AL51" s="3" t="str">
        <f t="shared" si="16"/>
        <v/>
      </c>
      <c r="AM51" t="str">
        <f t="shared" si="6"/>
        <v/>
      </c>
      <c r="AN51" t="str">
        <f t="shared" si="7"/>
        <v/>
      </c>
      <c r="AP51" s="5" t="str">
        <f>IF(L51="","",VLOOKUP($L51,classifications!$C:$E,3,FALSE))</f>
        <v>South East</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95.25</v>
      </c>
    </row>
    <row r="52" spans="1:50">
      <c r="A52" s="55" t="str">
        <f>$D$1&amp;42</f>
        <v>SD42</v>
      </c>
      <c r="B52" s="56" t="str">
        <f>IF(ISERROR(VLOOKUP(A52,classifications!A:C,3,FALSE)),0,VLOOKUP(A52,classifications!A:C,3,FALSE))</f>
        <v>West Oxfordshire</v>
      </c>
      <c r="C52" t="s">
        <v>227</v>
      </c>
      <c r="D52" t="str">
        <f>VLOOKUP($C52,classifications!$C:$J,4,FALSE)</f>
        <v>MD</v>
      </c>
      <c r="E52">
        <f>VLOOKUP(C52,classifications!C:K,9,FALSE)</f>
        <v>0</v>
      </c>
      <c r="F52">
        <f t="shared" si="0"/>
        <v>95.86</v>
      </c>
      <c r="G52" s="15"/>
      <c r="H52" s="41" t="str">
        <f t="shared" si="1"/>
        <v/>
      </c>
      <c r="I52" s="73" t="str">
        <f>IF(H52="","",IF($I$8="A",(RANK(H52,H$11:H$333,1)+COUNTIF(H$11:H52,H52)-1),(RANK(H52,H$11:H$333)+COUNTIF(H$11:H52,H52)-1)))</f>
        <v/>
      </c>
      <c r="J52" s="40"/>
      <c r="K52" s="35">
        <f t="shared" si="10"/>
        <v>42</v>
      </c>
      <c r="L52" t="str">
        <f t="shared" si="2"/>
        <v>Harborough</v>
      </c>
      <c r="M52" s="109">
        <f t="shared" si="3"/>
        <v>98.01</v>
      </c>
      <c r="N52" s="104">
        <f t="shared" si="19"/>
        <v>98.01</v>
      </c>
      <c r="O52" s="89" t="str">
        <f t="shared" si="20"/>
        <v/>
      </c>
      <c r="P52" s="89">
        <f t="shared" si="21"/>
        <v>98.01</v>
      </c>
      <c r="Q52" s="89" t="str">
        <f t="shared" si="22"/>
        <v/>
      </c>
      <c r="R52" s="85" t="str">
        <f t="shared" si="23"/>
        <v/>
      </c>
      <c r="S52" s="41" t="str">
        <f t="shared" si="24"/>
        <v/>
      </c>
      <c r="T52" s="166" t="str">
        <f>IF(L52="","",VLOOKUP(L52,classifications!C:K,9,FALSE))</f>
        <v>Sparse</v>
      </c>
      <c r="U52" s="167">
        <f t="shared" si="25"/>
        <v>98.01</v>
      </c>
      <c r="V52" s="173">
        <f>IF(U52="","",IF($I$8="A",(RANK(U52,U$11:U$333)+COUNTIF(U$11:U52,U52)-1),(RANK(U52,U$11:U$333,1)+COUNTIF(U$11:U52,U52)-1)))</f>
        <v>30</v>
      </c>
      <c r="W52" s="174"/>
      <c r="X52" s="5" t="str">
        <f>IF(L52="","",VLOOKUP($L52,classifications!$C:$J,6,FALSE))</f>
        <v xml:space="preserve">Predominantly Rural </v>
      </c>
      <c r="Y52">
        <f t="shared" si="26"/>
        <v>98.01</v>
      </c>
      <c r="Z52" s="39">
        <f>IF(Y52="","",IF(I$8="A",(RANK(Y52,Y$11:Y$333,1)+COUNTIF(Y$11:Y52,Y52)-1),(RANK(Y52,Y$11:Y$333)+COUNTIF(Y$11:Y52,Y52)-1)))</f>
        <v>21</v>
      </c>
      <c r="AA52" s="177" t="str">
        <f>IF(L52="","",VLOOKUP($L52,classifications!C:I,7,FALSE))</f>
        <v>Predominantly Rural</v>
      </c>
      <c r="AB52" s="173">
        <f t="shared" si="27"/>
        <v>98.01</v>
      </c>
      <c r="AC52" s="173">
        <f>IF(AB52="","",IF($I$8="A",(RANK(AB52,AB$11:AB$333)+COUNTIF(AB$11:AB52,AB52)-1),(RANK(AB52,AB$11:AB$333,1)+COUNTIF(AB$11:AB52,AB52)-1)))</f>
        <v>37</v>
      </c>
      <c r="AD52" s="173"/>
      <c r="AE52" s="45" t="e">
        <f>IF(I$8="A",(RANK(AG52,AG$11:AG$333,1)+COUNTIF(AG$11:AG52,AG52)-1),(RANK(AG52,AG$11:AG$333)+COUNTIF(AG$11:AG52,AG52)-1))</f>
        <v>#N/A</v>
      </c>
      <c r="AF52" t="str">
        <f>VLOOKUP(Profile!$J$5,Families!$C:$R,2,FALSE)</f>
        <v>North Dorset</v>
      </c>
      <c r="AG52" s="15" t="e">
        <f t="shared" si="15"/>
        <v>#N/A</v>
      </c>
      <c r="AH52" s="46" t="e">
        <f t="shared" si="28"/>
        <v>#N/A</v>
      </c>
      <c r="AI52" s="5" t="str">
        <f>IF(L52="","",VLOOKUP($L52,classifications!$C:$J,8,FALSE))</f>
        <v>Leicestershire</v>
      </c>
      <c r="AJ52" s="42" t="str">
        <f t="shared" si="29"/>
        <v/>
      </c>
      <c r="AK52" s="39" t="str">
        <f>IF(AJ52="","",IF(I$8="A",(RANK(AJ52,AJ$11:AJ$333,1)+COUNTIF(AJ$11:AJ52,AJ52)-1),(RANK(AJ52,AJ$11:AJ$333)+COUNTIF(AJ$11:AJ52,AJ52)-1)))</f>
        <v/>
      </c>
      <c r="AL52" s="3" t="str">
        <f t="shared" si="16"/>
        <v/>
      </c>
      <c r="AM52" t="str">
        <f t="shared" si="6"/>
        <v/>
      </c>
      <c r="AN52" t="str">
        <f t="shared" si="7"/>
        <v/>
      </c>
      <c r="AP52" s="5" t="str">
        <f>IF(L52="","",VLOOKUP($L52,classifications!$C:$E,3,FALSE))</f>
        <v>East Midlands</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95.86</v>
      </c>
    </row>
    <row r="53" spans="1:50">
      <c r="A53" s="55" t="str">
        <f>$D$1&amp;43</f>
        <v>SD43</v>
      </c>
      <c r="B53" s="56" t="str">
        <f>IF(ISERROR(VLOOKUP(A53,classifications!A:C,3,FALSE)),0,VLOOKUP(A53,classifications!A:C,3,FALSE))</f>
        <v>West Suffolk</v>
      </c>
      <c r="C53" t="s">
        <v>27</v>
      </c>
      <c r="D53" t="str">
        <f>VLOOKUP($C53,classifications!$C:$J,4,FALSE)</f>
        <v>SD</v>
      </c>
      <c r="E53">
        <f>VLOOKUP(C53,classifications!C:K,9,FALSE)</f>
        <v>0</v>
      </c>
      <c r="F53">
        <f t="shared" si="0"/>
        <v>99.27</v>
      </c>
      <c r="G53" s="15"/>
      <c r="H53" s="41">
        <f t="shared" si="1"/>
        <v>99.27</v>
      </c>
      <c r="I53" s="73">
        <f>IF(H53="","",IF($I$8="A",(RANK(H53,H$11:H$333,1)+COUNTIF(H$11:H53,H53)-1),(RANK(H53,H$11:H$333)+COUNTIF(H$11:H53,H53)-1)))</f>
        <v>3</v>
      </c>
      <c r="J53" s="40"/>
      <c r="K53" s="35">
        <f t="shared" si="10"/>
        <v>43</v>
      </c>
      <c r="L53" t="str">
        <f t="shared" si="2"/>
        <v>Maldon</v>
      </c>
      <c r="M53" s="109">
        <f t="shared" si="3"/>
        <v>98.01</v>
      </c>
      <c r="N53" s="104">
        <f t="shared" si="19"/>
        <v>98.01</v>
      </c>
      <c r="O53" s="89" t="str">
        <f t="shared" si="20"/>
        <v/>
      </c>
      <c r="P53" s="89">
        <f t="shared" si="21"/>
        <v>98.01</v>
      </c>
      <c r="Q53" s="89" t="str">
        <f t="shared" si="22"/>
        <v/>
      </c>
      <c r="R53" s="85" t="str">
        <f t="shared" si="23"/>
        <v/>
      </c>
      <c r="S53" s="41" t="str">
        <f t="shared" si="24"/>
        <v/>
      </c>
      <c r="T53" s="166">
        <f>IF(L53="","",VLOOKUP(L53,classifications!C:K,9,FALSE))</f>
        <v>0</v>
      </c>
      <c r="U53" s="167" t="str">
        <f t="shared" si="25"/>
        <v/>
      </c>
      <c r="V53" s="173" t="str">
        <f>IF(U53="","",IF($I$8="A",(RANK(U53,U$11:U$333)+COUNTIF(U$11:U53,U53)-1),(RANK(U53,U$11:U$333,1)+COUNTIF(U$11:U53,U53)-1)))</f>
        <v/>
      </c>
      <c r="W53" s="174"/>
      <c r="X53" s="5" t="str">
        <f>IF(L53="","",VLOOKUP($L53,classifications!$C:$J,6,FALSE))</f>
        <v xml:space="preserve">Predominantly Rural </v>
      </c>
      <c r="Y53">
        <f t="shared" si="26"/>
        <v>98.01</v>
      </c>
      <c r="Z53" s="39">
        <f>IF(Y53="","",IF(I$8="A",(RANK(Y53,Y$11:Y$333,1)+COUNTIF(Y$11:Y53,Y53)-1),(RANK(Y53,Y$11:Y$333)+COUNTIF(Y$11:Y53,Y53)-1)))</f>
        <v>22</v>
      </c>
      <c r="AA53" s="177" t="str">
        <f>IF(L53="","",VLOOKUP($L53,classifications!C:I,7,FALSE))</f>
        <v>Predominantly Rural</v>
      </c>
      <c r="AB53" s="173">
        <f t="shared" si="27"/>
        <v>98.01</v>
      </c>
      <c r="AC53" s="173">
        <f>IF(AB53="","",IF($I$8="A",(RANK(AB53,AB$11:AB$333)+COUNTIF(AB$11:AB53,AB53)-1),(RANK(AB53,AB$11:AB$333,1)+COUNTIF(AB$11:AB53,AB53)-1)))</f>
        <v>38</v>
      </c>
      <c r="AD53" s="173"/>
      <c r="AE53" s="45" t="e">
        <f>IF(I$8="A",(RANK(AG53,AG$11:AG$333,1)+COUNTIF(AG$11:AG53,AG53)-1),(RANK(AG53,AG$11:AG$333)+COUNTIF(AG$11:AG53,AG53)-1))</f>
        <v>#N/A</v>
      </c>
      <c r="AF53" t="str">
        <f>VLOOKUP(Profile!$J$5,Families!$C:$R,2,FALSE)</f>
        <v>North Dorset</v>
      </c>
      <c r="AG53" s="15" t="e">
        <f t="shared" si="15"/>
        <v>#N/A</v>
      </c>
      <c r="AH53" s="46" t="e">
        <f t="shared" si="28"/>
        <v>#N/A</v>
      </c>
      <c r="AI53" s="5" t="str">
        <f>IF(L53="","",VLOOKUP($L53,classifications!$C:$J,8,FALSE))</f>
        <v>Essex</v>
      </c>
      <c r="AJ53" s="42" t="str">
        <f t="shared" si="29"/>
        <v/>
      </c>
      <c r="AK53" s="39" t="str">
        <f>IF(AJ53="","",IF(I$8="A",(RANK(AJ53,AJ$11:AJ$333,1)+COUNTIF(AJ$11:AJ53,AJ53)-1),(RANK(AJ53,AJ$11:AJ$333)+COUNTIF(AJ$11:AJ53,AJ53)-1)))</f>
        <v/>
      </c>
      <c r="AL53" s="3" t="str">
        <f t="shared" si="16"/>
        <v/>
      </c>
      <c r="AM53" t="str">
        <f t="shared" si="6"/>
        <v/>
      </c>
      <c r="AN53" t="str">
        <f t="shared" si="7"/>
        <v/>
      </c>
      <c r="AP53" s="5" t="str">
        <f>IF(L53="","",VLOOKUP($L53,classifications!$C:$E,3,FALSE))</f>
        <v>East of England</v>
      </c>
      <c r="AQ53" s="42">
        <f t="shared" si="30"/>
        <v>98.01</v>
      </c>
      <c r="AR53" s="39">
        <f>IF(AQ53="","",IF(I$8="A",(RANK(AQ53,AQ$11:AQ$333,1)+COUNTIF(AQ$11:AQ53,AQ53)-1),(RANK(AQ53,AQ$11:AQ$333)+COUNTIF(AQ$11:AQ53,AQ53)-1)))</f>
        <v>10</v>
      </c>
      <c r="AS53" s="3" t="str">
        <f t="shared" si="18"/>
        <v/>
      </c>
      <c r="AT53" s="39" t="str">
        <f t="shared" si="8"/>
        <v/>
      </c>
      <c r="AU53" s="42" t="str">
        <f t="shared" si="9"/>
        <v/>
      </c>
      <c r="AX53">
        <f>HLOOKUP($AX$9&amp;$AX$10,Data!$A$1:$ZT$1975,(MATCH($C53,Data!$A$1:$A$1975,0)),FALSE)</f>
        <v>99.27</v>
      </c>
    </row>
    <row r="54" spans="1:50">
      <c r="A54" s="55" t="str">
        <f>$D$1&amp;44</f>
        <v>SD44</v>
      </c>
      <c r="B54" s="56" t="str">
        <f>IF(ISERROR(VLOOKUP(A54,classifications!A:C,3,FALSE)),0,VLOOKUP(A54,classifications!A:C,3,FALSE))</f>
        <v>Wychavon</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Vale of White Horse</v>
      </c>
      <c r="M54" s="109">
        <f t="shared" si="3"/>
        <v>97.95</v>
      </c>
      <c r="N54" s="104">
        <f t="shared" si="19"/>
        <v>97.95</v>
      </c>
      <c r="O54" s="89" t="str">
        <f t="shared" si="20"/>
        <v/>
      </c>
      <c r="P54" s="89">
        <f t="shared" si="21"/>
        <v>97.95</v>
      </c>
      <c r="Q54" s="89" t="str">
        <f t="shared" si="22"/>
        <v/>
      </c>
      <c r="R54" s="85" t="str">
        <f t="shared" si="23"/>
        <v/>
      </c>
      <c r="S54" s="41" t="str">
        <f t="shared" si="24"/>
        <v/>
      </c>
      <c r="T54" s="166" t="str">
        <f>IF(L54="","",VLOOKUP(L54,classifications!C:K,9,FALSE))</f>
        <v>Sparse</v>
      </c>
      <c r="U54" s="167">
        <f t="shared" si="25"/>
        <v>97.95</v>
      </c>
      <c r="V54" s="173">
        <f>IF(U54="","",IF($I$8="A",(RANK(U54,U$11:U$333)+COUNTIF(U$11:U54,U54)-1),(RANK(U54,U$11:U$333,1)+COUNTIF(U$11:U54,U54)-1)))</f>
        <v>29</v>
      </c>
      <c r="W54" s="174"/>
      <c r="X54" s="5" t="str">
        <f>IF(L54="","",VLOOKUP($L54,classifications!$C:$J,6,FALSE))</f>
        <v xml:space="preserve">Predominantly Rural </v>
      </c>
      <c r="Y54">
        <f t="shared" si="26"/>
        <v>97.95</v>
      </c>
      <c r="Z54" s="39">
        <f>IF(Y54="","",IF(I$8="A",(RANK(Y54,Y$11:Y$333,1)+COUNTIF(Y$11:Y54,Y54)-1),(RANK(Y54,Y$11:Y$333)+COUNTIF(Y$11:Y54,Y54)-1)))</f>
        <v>23</v>
      </c>
      <c r="AA54" s="177" t="str">
        <f>IF(L54="","",VLOOKUP($L54,classifications!C:I,7,FALSE))</f>
        <v>Predominantly Rural</v>
      </c>
      <c r="AB54" s="173">
        <f t="shared" si="27"/>
        <v>97.95</v>
      </c>
      <c r="AC54" s="173">
        <f>IF(AB54="","",IF($I$8="A",(RANK(AB54,AB$11:AB$333)+COUNTIF(AB$11:AB54,AB54)-1),(RANK(AB54,AB$11:AB$333,1)+COUNTIF(AB$11:AB54,AB54)-1)))</f>
        <v>36</v>
      </c>
      <c r="AD54" s="173"/>
      <c r="AE54" s="45" t="e">
        <f>IF(I$8="A",(RANK(AG54,AG$11:AG$333,1)+COUNTIF(AG$11:AG54,AG54)-1),(RANK(AG54,AG$11:AG$333)+COUNTIF(AG$11:AG54,AG54)-1))</f>
        <v>#N/A</v>
      </c>
      <c r="AF54" t="str">
        <f>VLOOKUP(Profile!$J$5,Families!$C:$R,2,FALSE)</f>
        <v>North Dorset</v>
      </c>
      <c r="AG54" s="15" t="e">
        <f t="shared" si="15"/>
        <v>#N/A</v>
      </c>
      <c r="AH54" s="46" t="e">
        <f t="shared" si="28"/>
        <v>#N/A</v>
      </c>
      <c r="AI54" s="5" t="str">
        <f>IF(L54="","",VLOOKUP($L54,classifications!$C:$J,8,FALSE))</f>
        <v>Oxfordshire</v>
      </c>
      <c r="AJ54" s="42" t="str">
        <f t="shared" si="29"/>
        <v/>
      </c>
      <c r="AK54" s="39" t="str">
        <f>IF(AJ54="","",IF(I$8="A",(RANK(AJ54,AJ$11:AJ$333,1)+COUNTIF(AJ$11:AJ54,AJ54)-1),(RANK(AJ54,AJ$11:AJ$333)+COUNTIF(AJ$11:AJ54,AJ54)-1)))</f>
        <v/>
      </c>
      <c r="AL54" s="3" t="str">
        <f t="shared" si="16"/>
        <v/>
      </c>
      <c r="AM54" t="str">
        <f t="shared" si="6"/>
        <v/>
      </c>
      <c r="AN54" t="str">
        <f t="shared" si="7"/>
        <v/>
      </c>
      <c r="AP54" s="5" t="str">
        <f>IF(L54="","",VLOOKUP($L54,classifications!$C:$E,3,FALSE))</f>
        <v>South East</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SD45</v>
      </c>
      <c r="B55" s="56">
        <f>IF(ISERROR(VLOOKUP(A55,classifications!A:C,3,FALSE)),0,VLOOKUP(A55,classifications!A:C,3,FALSE))</f>
        <v>0</v>
      </c>
      <c r="C55" t="s">
        <v>200</v>
      </c>
      <c r="D55" t="str">
        <f>VLOOKUP($C55,classifications!$C:$J,4,FALSE)</f>
        <v>L</v>
      </c>
      <c r="E55">
        <f>VLOOKUP(C55,classifications!C:K,9,FALSE)</f>
        <v>0</v>
      </c>
      <c r="F55">
        <f t="shared" si="0"/>
        <v>94.08</v>
      </c>
      <c r="G55" s="15"/>
      <c r="H55" s="41" t="str">
        <f t="shared" si="1"/>
        <v/>
      </c>
      <c r="I55" s="73" t="str">
        <f>IF(H55="","",IF($I$8="A",(RANK(H55,H$11:H$333,1)+COUNTIF(H$11:H55,H55)-1),(RANK(H55,H$11:H$333)+COUNTIF(H$11:H55,H55)-1)))</f>
        <v/>
      </c>
      <c r="J55" s="40"/>
      <c r="K55" s="35">
        <f t="shared" si="10"/>
        <v>45</v>
      </c>
      <c r="L55" t="str">
        <f t="shared" si="2"/>
        <v>Basingstoke &amp; Deane</v>
      </c>
      <c r="M55" s="109">
        <f t="shared" si="3"/>
        <v>97.94</v>
      </c>
      <c r="N55" s="104">
        <f t="shared" si="19"/>
        <v>97.94</v>
      </c>
      <c r="O55" s="89" t="str">
        <f t="shared" si="20"/>
        <v/>
      </c>
      <c r="P55" s="89">
        <f t="shared" si="21"/>
        <v>97.94</v>
      </c>
      <c r="Q55" s="89" t="str">
        <f t="shared" si="22"/>
        <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Urban with Significant Rural</v>
      </c>
      <c r="Y55" t="str">
        <f t="shared" si="26"/>
        <v/>
      </c>
      <c r="Z55" s="39" t="str">
        <f>IF(Y55="","",IF(I$8="A",(RANK(Y55,Y$11:Y$333,1)+COUNTIF(Y$11:Y55,Y55)-1),(RANK(Y55,Y$11:Y$333)+COUNTIF(Y$11:Y55,Y55)-1)))</f>
        <v/>
      </c>
      <c r="AA55" s="177" t="str">
        <f>IF(L55="","",VLOOKUP($L55,classifications!C:I,7,FALSE))</f>
        <v>Urban with Significant Rural</v>
      </c>
      <c r="AB55" s="173" t="str">
        <f t="shared" si="27"/>
        <v/>
      </c>
      <c r="AC55" s="173" t="str">
        <f>IF(AB55="","",IF($I$8="A",(RANK(AB55,AB$11:AB$333)+COUNTIF(AB$11:AB55,AB55)-1),(RANK(AB55,AB$11:AB$333,1)+COUNTIF(AB$11:AB55,AB55)-1)))</f>
        <v/>
      </c>
      <c r="AD55" s="173"/>
      <c r="AE55" s="45" t="e">
        <f>IF(I$8="A",(RANK(AG55,AG$11:AG$333,1)+COUNTIF(AG$11:AG55,AG55)-1),(RANK(AG55,AG$11:AG$333)+COUNTIF(AG$11:AG55,AG55)-1))</f>
        <v>#N/A</v>
      </c>
      <c r="AF55" t="str">
        <f>VLOOKUP(Profile!$J$5,Families!$C:$R,2,FALSE)</f>
        <v>North Dorset</v>
      </c>
      <c r="AG55" s="15" t="e">
        <f t="shared" si="15"/>
        <v>#N/A</v>
      </c>
      <c r="AH55" s="46" t="e">
        <f t="shared" si="28"/>
        <v>#N/A</v>
      </c>
      <c r="AI55" s="5" t="str">
        <f>IF(L55="","",VLOOKUP($L55,classifications!$C:$J,8,FALSE))</f>
        <v>Hampshire</v>
      </c>
      <c r="AJ55" s="42" t="str">
        <f t="shared" si="29"/>
        <v/>
      </c>
      <c r="AK55" s="39" t="str">
        <f>IF(AJ55="","",IF(I$8="A",(RANK(AJ55,AJ$11:AJ$333,1)+COUNTIF(AJ$11:AJ55,AJ55)-1),(RANK(AJ55,AJ$11:AJ$333)+COUNTIF(AJ$11:AJ55,AJ55)-1)))</f>
        <v/>
      </c>
      <c r="AL55" s="3" t="str">
        <f t="shared" si="16"/>
        <v/>
      </c>
      <c r="AM55" t="str">
        <f t="shared" si="6"/>
        <v/>
      </c>
      <c r="AN55" t="str">
        <f t="shared" si="7"/>
        <v/>
      </c>
      <c r="AP55" s="5" t="str">
        <f>IF(L55="","",VLOOKUP($L55,classifications!$C:$E,3,FALSE))</f>
        <v>South East</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94.08</v>
      </c>
    </row>
    <row r="56" spans="1:50">
      <c r="A56" s="55" t="str">
        <f>$D$1&amp;46</f>
        <v>SD46</v>
      </c>
      <c r="B56" s="56">
        <f>IF(ISERROR(VLOOKUP(A56,classifications!A:C,3,FALSE)),0,VLOOKUP(A56,classifications!A:C,3,FALSE))</f>
        <v>0</v>
      </c>
      <c r="C56" t="s">
        <v>28</v>
      </c>
      <c r="D56" t="str">
        <f>VLOOKUP($C56,classifications!$C:$J,4,FALSE)</f>
        <v>SD</v>
      </c>
      <c r="E56">
        <f>VLOOKUP(C56,classifications!C:K,9,FALSE)</f>
        <v>0</v>
      </c>
      <c r="F56">
        <f t="shared" si="0"/>
        <v>96.76</v>
      </c>
      <c r="G56" s="15"/>
      <c r="H56" s="41">
        <f t="shared" si="1"/>
        <v>96.76</v>
      </c>
      <c r="I56" s="73">
        <f>IF(H56="","",IF($I$8="A",(RANK(H56,H$11:H$333,1)+COUNTIF(H$11:H56,H56)-1),(RANK(H56,H$11:H$333)+COUNTIF(H$11:H56,H56)-1)))</f>
        <v>108</v>
      </c>
      <c r="J56" s="40"/>
      <c r="K56" s="35">
        <f t="shared" si="10"/>
        <v>46</v>
      </c>
      <c r="L56" t="str">
        <f t="shared" si="2"/>
        <v>South Oxfordshire</v>
      </c>
      <c r="M56" s="109">
        <f t="shared" si="3"/>
        <v>97.94</v>
      </c>
      <c r="N56" s="104">
        <f t="shared" si="19"/>
        <v>97.94</v>
      </c>
      <c r="O56" s="89" t="str">
        <f t="shared" si="20"/>
        <v/>
      </c>
      <c r="P56" s="89">
        <f t="shared" si="21"/>
        <v>97.94</v>
      </c>
      <c r="Q56" s="89" t="str">
        <f t="shared" si="22"/>
        <v/>
      </c>
      <c r="R56" s="85" t="str">
        <f t="shared" si="23"/>
        <v/>
      </c>
      <c r="S56" s="41" t="str">
        <f t="shared" si="24"/>
        <v/>
      </c>
      <c r="T56" s="166" t="str">
        <f>IF(L56="","",VLOOKUP(L56,classifications!C:K,9,FALSE))</f>
        <v>Sparse</v>
      </c>
      <c r="U56" s="167">
        <f t="shared" si="25"/>
        <v>97.94</v>
      </c>
      <c r="V56" s="173">
        <f>IF(U56="","",IF($I$8="A",(RANK(U56,U$11:U$333)+COUNTIF(U$11:U56,U56)-1),(RANK(U56,U$11:U$333,1)+COUNTIF(U$11:U56,U56)-1)))</f>
        <v>27</v>
      </c>
      <c r="W56" s="174"/>
      <c r="X56" s="5" t="str">
        <f>IF(L56="","",VLOOKUP($L56,classifications!$C:$J,6,FALSE))</f>
        <v xml:space="preserve">Predominantly Rural </v>
      </c>
      <c r="Y56">
        <f t="shared" si="26"/>
        <v>97.94</v>
      </c>
      <c r="Z56" s="39">
        <f>IF(Y56="","",IF(I$8="A",(RANK(Y56,Y$11:Y$333,1)+COUNTIF(Y$11:Y56,Y56)-1),(RANK(Y56,Y$11:Y$333)+COUNTIF(Y$11:Y56,Y56)-1)))</f>
        <v>24</v>
      </c>
      <c r="AA56" s="177" t="str">
        <f>IF(L56="","",VLOOKUP($L56,classifications!C:I,7,FALSE))</f>
        <v>Predominantly Rural</v>
      </c>
      <c r="AB56" s="173">
        <f t="shared" si="27"/>
        <v>97.94</v>
      </c>
      <c r="AC56" s="173">
        <f>IF(AB56="","",IF($I$8="A",(RANK(AB56,AB$11:AB$333)+COUNTIF(AB$11:AB56,AB56)-1),(RANK(AB56,AB$11:AB$333,1)+COUNTIF(AB$11:AB56,AB56)-1)))</f>
        <v>34</v>
      </c>
      <c r="AD56" s="173"/>
      <c r="AE56" s="45" t="e">
        <f>IF(I$8="A",(RANK(AG56,AG$11:AG$333,1)+COUNTIF(AG$11:AG56,AG56)-1),(RANK(AG56,AG$11:AG$333)+COUNTIF(AG$11:AG56,AG56)-1))</f>
        <v>#N/A</v>
      </c>
      <c r="AF56" t="str">
        <f>VLOOKUP(Profile!$J$5,Families!$C:$R,2,FALSE)</f>
        <v>North Dorset</v>
      </c>
      <c r="AG56" s="15" t="e">
        <f t="shared" si="15"/>
        <v>#N/A</v>
      </c>
      <c r="AH56" s="46" t="e">
        <f t="shared" si="28"/>
        <v>#N/A</v>
      </c>
      <c r="AI56" s="5" t="str">
        <f>IF(L56="","",VLOOKUP($L56,classifications!$C:$J,8,FALSE))</f>
        <v>Oxfordshire</v>
      </c>
      <c r="AJ56" s="42" t="str">
        <f t="shared" si="29"/>
        <v/>
      </c>
      <c r="AK56" s="39" t="str">
        <f>IF(AJ56="","",IF(I$8="A",(RANK(AJ56,AJ$11:AJ$333,1)+COUNTIF(AJ$11:AJ56,AJ56)-1),(RANK(AJ56,AJ$11:AJ$333)+COUNTIF(AJ$11:AJ56,AJ56)-1)))</f>
        <v/>
      </c>
      <c r="AL56" s="3" t="str">
        <f t="shared" si="16"/>
        <v/>
      </c>
      <c r="AM56" t="str">
        <f t="shared" si="6"/>
        <v/>
      </c>
      <c r="AN56" t="str">
        <f t="shared" si="7"/>
        <v/>
      </c>
      <c r="AP56" s="5" t="str">
        <f>IF(L56="","",VLOOKUP($L56,classifications!$C:$E,3,FALSE))</f>
        <v>South East</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96.76</v>
      </c>
    </row>
    <row r="57" spans="1:50">
      <c r="A57" s="55" t="str">
        <f>$D$1&amp;47</f>
        <v>SD47</v>
      </c>
      <c r="B57" s="56">
        <f>IF(ISERROR(VLOOKUP(A57,classifications!A:C,3,FALSE)),0,VLOOKUP(A57,classifications!A:C,3,FALSE))</f>
        <v>0</v>
      </c>
      <c r="C57" t="s">
        <v>29</v>
      </c>
      <c r="D57" t="str">
        <f>VLOOKUP($C57,classifications!$C:$J,4,FALSE)</f>
        <v>SD</v>
      </c>
      <c r="E57">
        <f>VLOOKUP(C57,classifications!C:K,9,FALSE)</f>
        <v>0</v>
      </c>
      <c r="F57">
        <f t="shared" si="0"/>
        <v>96.51</v>
      </c>
      <c r="G57" s="15"/>
      <c r="H57" s="41">
        <f t="shared" si="1"/>
        <v>96.51</v>
      </c>
      <c r="I57" s="73">
        <f>IF(H57="","",IF($I$8="A",(RANK(H57,H$11:H$333,1)+COUNTIF(H$11:H57,H57)-1),(RANK(H57,H$11:H$333)+COUNTIF(H$11:H57,H57)-1)))</f>
        <v>120</v>
      </c>
      <c r="J57" s="40"/>
      <c r="K57" s="35">
        <f t="shared" si="10"/>
        <v>47</v>
      </c>
      <c r="L57" t="str">
        <f t="shared" si="2"/>
        <v>Tewkesbury</v>
      </c>
      <c r="M57" s="109">
        <f t="shared" si="3"/>
        <v>97.94</v>
      </c>
      <c r="N57" s="104">
        <f t="shared" si="19"/>
        <v>97.94</v>
      </c>
      <c r="O57" s="89" t="str">
        <f t="shared" si="20"/>
        <v/>
      </c>
      <c r="P57" s="89">
        <f t="shared" si="21"/>
        <v>97.94</v>
      </c>
      <c r="Q57" s="89" t="str">
        <f t="shared" si="22"/>
        <v/>
      </c>
      <c r="R57" s="85" t="str">
        <f t="shared" si="23"/>
        <v/>
      </c>
      <c r="S57" s="41" t="str">
        <f t="shared" si="24"/>
        <v/>
      </c>
      <c r="T57" s="166" t="str">
        <f>IF(L57="","",VLOOKUP(L57,classifications!C:K,9,FALSE))</f>
        <v>Sparse</v>
      </c>
      <c r="U57" s="167">
        <f t="shared" si="25"/>
        <v>97.94</v>
      </c>
      <c r="V57" s="173">
        <f>IF(U57="","",IF($I$8="A",(RANK(U57,U$11:U$333)+COUNTIF(U$11:U57,U57)-1),(RANK(U57,U$11:U$333,1)+COUNTIF(U$11:U57,U57)-1)))</f>
        <v>28</v>
      </c>
      <c r="W57" s="174"/>
      <c r="X57" s="5" t="str">
        <f>IF(L57="","",VLOOKUP($L57,classifications!$C:$J,6,FALSE))</f>
        <v xml:space="preserve">Predominantly Rural </v>
      </c>
      <c r="Y57">
        <f t="shared" si="26"/>
        <v>97.94</v>
      </c>
      <c r="Z57" s="39">
        <f>IF(Y57="","",IF(I$8="A",(RANK(Y57,Y$11:Y$333,1)+COUNTIF(Y$11:Y57,Y57)-1),(RANK(Y57,Y$11:Y$333)+COUNTIF(Y$11:Y57,Y57)-1)))</f>
        <v>25</v>
      </c>
      <c r="AA57" s="177" t="str">
        <f>IF(L57="","",VLOOKUP($L57,classifications!C:I,7,FALSE))</f>
        <v>Predominantly Rural</v>
      </c>
      <c r="AB57" s="173">
        <f t="shared" si="27"/>
        <v>97.94</v>
      </c>
      <c r="AC57" s="173">
        <f>IF(AB57="","",IF($I$8="A",(RANK(AB57,AB$11:AB$333)+COUNTIF(AB$11:AB57,AB57)-1),(RANK(AB57,AB$11:AB$333,1)+COUNTIF(AB$11:AB57,AB57)-1)))</f>
        <v>35</v>
      </c>
      <c r="AD57" s="173"/>
      <c r="AE57" s="45" t="e">
        <f>IF(I$8="A",(RANK(AG57,AG$11:AG$333,1)+COUNTIF(AG$11:AG57,AG57)-1),(RANK(AG57,AG$11:AG$333)+COUNTIF(AG$11:AG57,AG57)-1))</f>
        <v>#N/A</v>
      </c>
      <c r="AF57" t="str">
        <f>VLOOKUP(Profile!$J$5,Families!$C:$R,2,FALSE)</f>
        <v>North Dorset</v>
      </c>
      <c r="AG57" s="15" t="e">
        <f t="shared" si="15"/>
        <v>#N/A</v>
      </c>
      <c r="AH57" s="46" t="e">
        <f t="shared" si="28"/>
        <v>#N/A</v>
      </c>
      <c r="AI57" s="5" t="str">
        <f>IF(L57="","",VLOOKUP($L57,classifications!$C:$J,8,FALSE))</f>
        <v>Gloucestershire</v>
      </c>
      <c r="AJ57" s="42" t="str">
        <f t="shared" si="29"/>
        <v/>
      </c>
      <c r="AK57" s="39" t="str">
        <f>IF(AJ57="","",IF(I$8="A",(RANK(AJ57,AJ$11:AJ$333,1)+COUNTIF(AJ$11:AJ57,AJ57)-1),(RANK(AJ57,AJ$11:AJ$333)+COUNTIF(AJ$11:AJ57,AJ57)-1)))</f>
        <v/>
      </c>
      <c r="AL57" s="3" t="str">
        <f t="shared" si="16"/>
        <v/>
      </c>
      <c r="AM57" t="str">
        <f t="shared" si="6"/>
        <v/>
      </c>
      <c r="AN57" t="str">
        <f t="shared" si="7"/>
        <v/>
      </c>
      <c r="AP57" s="5" t="str">
        <f>IF(L57="","",VLOOKUP($L57,classifications!$C:$E,3,FALSE))</f>
        <v>South West</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96.51</v>
      </c>
    </row>
    <row r="58" spans="1:50">
      <c r="A58" s="55" t="str">
        <f>$D$1&amp;48</f>
        <v>SD48</v>
      </c>
      <c r="B58" s="56">
        <f>IF(ISERROR(VLOOKUP(A58,classifications!A:C,3,FALSE)),0,VLOOKUP(A58,classifications!A:C,3,FALSE))</f>
        <v>0</v>
      </c>
      <c r="C58" t="s">
        <v>31</v>
      </c>
      <c r="D58" t="str">
        <f>VLOOKUP($C58,classifications!$C:$J,4,FALSE)</f>
        <v>SD</v>
      </c>
      <c r="E58">
        <f>VLOOKUP(C58,classifications!C:K,9,FALSE)</f>
        <v>0</v>
      </c>
      <c r="F58">
        <f t="shared" si="0"/>
        <v>97.51</v>
      </c>
      <c r="G58" s="15"/>
      <c r="H58" s="41">
        <f t="shared" si="1"/>
        <v>97.51</v>
      </c>
      <c r="I58" s="73">
        <f>IF(H58="","",IF($I$8="A",(RANK(H58,H$11:H$333,1)+COUNTIF(H$11:H58,H58)-1),(RANK(H58,H$11:H$333)+COUNTIF(H$11:H58,H58)-1)))</f>
        <v>80</v>
      </c>
      <c r="J58" s="40"/>
      <c r="K58" s="35">
        <f t="shared" si="10"/>
        <v>48</v>
      </c>
      <c r="L58" t="str">
        <f t="shared" si="2"/>
        <v>Mid Sussex</v>
      </c>
      <c r="M58" s="109">
        <f t="shared" si="3"/>
        <v>97.92</v>
      </c>
      <c r="N58" s="104">
        <f t="shared" ref="N58:N121" si="31">IF(L58="","",IF($H$8="%%",M58*100,M58))</f>
        <v>97.92</v>
      </c>
      <c r="O58" s="89" t="str">
        <f t="shared" ref="O58:O121" si="32">IF(I$8="A",IF(N58&gt;=$P$7,IF(N58&lt;=$O$10,N58,""),""),IF(N58&lt;=$P$7,IF(N58&gt;=$O$10,N58,""),""))</f>
        <v/>
      </c>
      <c r="P58" s="89">
        <f t="shared" ref="P58:P121" si="33">IF(I$8="A",IF(N58&gt;$O$10,IF(N58&lt;=$P$10,N58,""),""),IF(N58&lt;$O$10,IF(N58&gt;=$P$10,N58,""),""))</f>
        <v>97.92</v>
      </c>
      <c r="Q58" s="89" t="str">
        <f t="shared" ref="Q58:Q121" si="34">IF(I$8="A",IF(N58&gt;$P$10,IF(N58&lt;=$Q$10,N58,""),""),IF(N58&lt;$P$10,IF(N58&gt;=$Q$10,N58,""),""))</f>
        <v/>
      </c>
      <c r="R58" s="85" t="str">
        <f t="shared" ref="R58:R121" si="35">IF(I$8="A",IF(N58&gt;$Q$10,N58,""),IF(N58&lt;$Q$10,N58,""))</f>
        <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Predominantly Urban</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Predominantly Urban</v>
      </c>
      <c r="AB58" s="173" t="str">
        <f t="shared" ref="AB58:AB121" si="39">IF(AA58=$J$3,M58,"")</f>
        <v/>
      </c>
      <c r="AC58" s="173" t="str">
        <f>IF(AB58="","",IF($I$8="A",(RANK(AB58,AB$11:AB$333)+COUNTIF(AB$11:AB58,AB58)-1),(RANK(AB58,AB$11:AB$333,1)+COUNTIF(AB$11:AB58,AB58)-1)))</f>
        <v/>
      </c>
      <c r="AD58" s="173"/>
      <c r="AE58" s="45" t="e">
        <f>IF(I$8="A",(RANK(AG58,AG$11:AG$333,1)+COUNTIF(AG$11:AG58,AG58)-1),(RANK(AG58,AG$11:AG$333)+COUNTIF(AG$11:AG58,AG58)-1))</f>
        <v>#N/A</v>
      </c>
      <c r="AF58" t="str">
        <f>VLOOKUP(Profile!$J$5,Families!$C:$R,2,FALSE)</f>
        <v>North Dorset</v>
      </c>
      <c r="AG58" s="15" t="e">
        <f t="shared" si="15"/>
        <v>#N/A</v>
      </c>
      <c r="AH58" s="46" t="e">
        <f t="shared" ref="AH58:AH121" si="40">AE58</f>
        <v>#N/A</v>
      </c>
      <c r="AI58" s="5" t="str">
        <f>IF(L58="","",VLOOKUP($L58,classifications!$C:$J,8,FALSE))</f>
        <v>West Sussex</v>
      </c>
      <c r="AJ58" s="42" t="str">
        <f t="shared" ref="AJ58:AJ121" si="41">IF(AI58=$I$3,M58,"")</f>
        <v/>
      </c>
      <c r="AK58" s="39" t="str">
        <f>IF(AJ58="","",IF(I$8="A",(RANK(AJ58,AJ$11:AJ$333,1)+COUNTIF(AJ$11:AJ58,AJ58)-1),(RANK(AJ58,AJ$11:AJ$333)+COUNTIF(AJ$11:AJ58,AJ58)-1)))</f>
        <v/>
      </c>
      <c r="AL58" s="3" t="str">
        <f t="shared" si="16"/>
        <v/>
      </c>
      <c r="AM58" t="str">
        <f t="shared" si="6"/>
        <v/>
      </c>
      <c r="AN58" t="str">
        <f t="shared" si="7"/>
        <v/>
      </c>
      <c r="AP58" s="5" t="str">
        <f>IF(L58="","",VLOOKUP($L58,classifications!$C:$E,3,FALSE))</f>
        <v>South East</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97.51</v>
      </c>
    </row>
    <row r="59" spans="1:50">
      <c r="A59" s="55" t="str">
        <f>$D$1&amp;49</f>
        <v>SD49</v>
      </c>
      <c r="B59" s="56">
        <f>IF(ISERROR(VLOOKUP(A59,classifications!A:C,3,FALSE)),0,VLOOKUP(A59,classifications!A:C,3,FALSE))</f>
        <v>0</v>
      </c>
      <c r="C59" t="s">
        <v>303</v>
      </c>
      <c r="D59" t="str">
        <f>VLOOKUP($C59,classifications!$C:$J,4,FALSE)</f>
        <v>UA</v>
      </c>
      <c r="E59">
        <f>VLOOKUP(C59,classifications!C:K,9,FALSE)</f>
        <v>0</v>
      </c>
      <c r="F59">
        <f t="shared" si="0"/>
        <v>97.55</v>
      </c>
      <c r="G59" s="15"/>
      <c r="H59" s="41" t="str">
        <f t="shared" si="1"/>
        <v/>
      </c>
      <c r="I59" s="73" t="str">
        <f>IF(H59="","",IF($I$8="A",(RANK(H59,H$11:H$333,1)+COUNTIF(H$11:H59,H59)-1),(RANK(H59,H$11:H$333)+COUNTIF(H$11:H59,H59)-1)))</f>
        <v/>
      </c>
      <c r="J59" s="40"/>
      <c r="K59" s="35">
        <f t="shared" si="10"/>
        <v>49</v>
      </c>
      <c r="L59" t="str">
        <f t="shared" si="2"/>
        <v>Test Valley</v>
      </c>
      <c r="M59" s="109">
        <f t="shared" si="3"/>
        <v>97.92</v>
      </c>
      <c r="N59" s="104">
        <f t="shared" si="31"/>
        <v>97.92</v>
      </c>
      <c r="O59" s="89" t="str">
        <f t="shared" si="32"/>
        <v/>
      </c>
      <c r="P59" s="89">
        <f t="shared" si="33"/>
        <v>97.92</v>
      </c>
      <c r="Q59" s="89" t="str">
        <f t="shared" si="34"/>
        <v/>
      </c>
      <c r="R59" s="85" t="str">
        <f t="shared" si="35"/>
        <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Urban with Significant Rural</v>
      </c>
      <c r="Y59" t="str">
        <f t="shared" si="38"/>
        <v/>
      </c>
      <c r="Z59" s="39" t="str">
        <f>IF(Y59="","",IF(I$8="A",(RANK(Y59,Y$11:Y$333,1)+COUNTIF(Y$11:Y59,Y59)-1),(RANK(Y59,Y$11:Y$333)+COUNTIF(Y$11:Y59,Y59)-1)))</f>
        <v/>
      </c>
      <c r="AA59" s="177" t="str">
        <f>IF(L59="","",VLOOKUP($L59,classifications!C:I,7,FALSE))</f>
        <v>Urban with Significant Rural</v>
      </c>
      <c r="AB59" s="173" t="str">
        <f t="shared" si="39"/>
        <v/>
      </c>
      <c r="AC59" s="173" t="str">
        <f>IF(AB59="","",IF($I$8="A",(RANK(AB59,AB$11:AB$333)+COUNTIF(AB$11:AB59,AB59)-1),(RANK(AB59,AB$11:AB$333,1)+COUNTIF(AB$11:AB59,AB59)-1)))</f>
        <v/>
      </c>
      <c r="AD59" s="173"/>
      <c r="AE59" s="45" t="e">
        <f>IF(I$8="A",(RANK(AG59,AG$11:AG$333,1)+COUNTIF(AG$11:AG59,AG59)-1),(RANK(AG59,AG$11:AG$333)+COUNTIF(AG$11:AG59,AG59)-1))</f>
        <v>#N/A</v>
      </c>
      <c r="AF59" t="str">
        <f>VLOOKUP(Profile!$J$5,Families!$C:$R,2,FALSE)</f>
        <v>North Dorset</v>
      </c>
      <c r="AG59" s="15" t="e">
        <f t="shared" si="15"/>
        <v>#N/A</v>
      </c>
      <c r="AH59" s="46" t="e">
        <f t="shared" si="40"/>
        <v>#N/A</v>
      </c>
      <c r="AI59" s="5" t="str">
        <f>IF(L59="","",VLOOKUP($L59,classifications!$C:$J,8,FALSE))</f>
        <v>Hampshire</v>
      </c>
      <c r="AJ59" s="42" t="str">
        <f t="shared" si="41"/>
        <v/>
      </c>
      <c r="AK59" s="39" t="str">
        <f>IF(AJ59="","",IF(I$8="A",(RANK(AJ59,AJ$11:AJ$333,1)+COUNTIF(AJ$11:AJ59,AJ59)-1),(RANK(AJ59,AJ$11:AJ$333)+COUNTIF(AJ$11:AJ59,AJ59)-1)))</f>
        <v/>
      </c>
      <c r="AL59" s="3" t="str">
        <f t="shared" si="16"/>
        <v/>
      </c>
      <c r="AM59" t="str">
        <f t="shared" si="6"/>
        <v/>
      </c>
      <c r="AN59" t="str">
        <f t="shared" si="7"/>
        <v/>
      </c>
      <c r="AP59" s="5" t="str">
        <f>IF(L59="","",VLOOKUP($L59,classifications!$C:$E,3,FALSE))</f>
        <v>South East</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97.55</v>
      </c>
    </row>
    <row r="60" spans="1:50">
      <c r="A60" s="55" t="str">
        <f>$D$1&amp;50</f>
        <v>SD50</v>
      </c>
      <c r="B60" s="56">
        <f>IF(ISERROR(VLOOKUP(A60,classifications!A:C,3,FALSE)),0,VLOOKUP(A60,classifications!A:C,3,FALSE))</f>
        <v>0</v>
      </c>
      <c r="C60" t="s">
        <v>32</v>
      </c>
      <c r="D60" t="str">
        <f>VLOOKUP($C60,classifications!$C:$J,4,FALSE)</f>
        <v>SD</v>
      </c>
      <c r="E60">
        <f>VLOOKUP(C60,classifications!C:K,9,FALSE)</f>
        <v>0</v>
      </c>
      <c r="F60">
        <f t="shared" si="0"/>
        <v>96.76</v>
      </c>
      <c r="G60" s="15"/>
      <c r="H60" s="41">
        <f t="shared" si="1"/>
        <v>96.76</v>
      </c>
      <c r="I60" s="73">
        <f>IF(H60="","",IF($I$8="A",(RANK(H60,H$11:H$333,1)+COUNTIF(H$11:H60,H60)-1),(RANK(H60,H$11:H$333)+COUNTIF(H$11:H60,H60)-1)))</f>
        <v>109</v>
      </c>
      <c r="J60" s="40"/>
      <c r="K60" s="35">
        <f t="shared" si="10"/>
        <v>50</v>
      </c>
      <c r="L60" t="str">
        <f t="shared" si="2"/>
        <v>Broadland</v>
      </c>
      <c r="M60" s="109">
        <f t="shared" si="3"/>
        <v>97.91</v>
      </c>
      <c r="N60" s="104">
        <f t="shared" si="31"/>
        <v>97.91</v>
      </c>
      <c r="O60" s="89" t="str">
        <f t="shared" si="32"/>
        <v/>
      </c>
      <c r="P60" s="89">
        <f t="shared" si="33"/>
        <v>97.91</v>
      </c>
      <c r="Q60" s="89" t="str">
        <f t="shared" si="34"/>
        <v/>
      </c>
      <c r="R60" s="85" t="str">
        <f t="shared" si="35"/>
        <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Urban with Significant Rural</v>
      </c>
      <c r="Y60" t="str">
        <f t="shared" si="38"/>
        <v/>
      </c>
      <c r="Z60" s="39" t="str">
        <f>IF(Y60="","",IF(I$8="A",(RANK(Y60,Y$11:Y$333,1)+COUNTIF(Y$11:Y60,Y60)-1),(RANK(Y60,Y$11:Y$333)+COUNTIF(Y$11:Y60,Y60)-1)))</f>
        <v/>
      </c>
      <c r="AA60" s="177" t="str">
        <f>IF(L60="","",VLOOKUP($L60,classifications!C:I,7,FALSE))</f>
        <v>Urban with Significant Rural</v>
      </c>
      <c r="AB60" s="173" t="str">
        <f t="shared" si="39"/>
        <v/>
      </c>
      <c r="AC60" s="173" t="str">
        <f>IF(AB60="","",IF($I$8="A",(RANK(AB60,AB$11:AB$333)+COUNTIF(AB$11:AB60,AB60)-1),(RANK(AB60,AB$11:AB$333,1)+COUNTIF(AB$11:AB60,AB60)-1)))</f>
        <v/>
      </c>
      <c r="AD60" s="173"/>
      <c r="AE60" s="45" t="e">
        <f>IF(I$8="A",(RANK(AG60,AG$11:AG$333,1)+COUNTIF(AG$11:AG60,AG60)-1),(RANK(AG60,AG$11:AG$333)+COUNTIF(AG$11:AG60,AG60)-1))</f>
        <v>#N/A</v>
      </c>
      <c r="AF60" t="str">
        <f>VLOOKUP(Profile!$J$5,Families!$C:$R,2,FALSE)</f>
        <v>North Dorset</v>
      </c>
      <c r="AG60" s="15" t="e">
        <f t="shared" si="15"/>
        <v>#N/A</v>
      </c>
      <c r="AH60" s="46" t="e">
        <f t="shared" si="40"/>
        <v>#N/A</v>
      </c>
      <c r="AI60" s="5" t="str">
        <f>IF(L60="","",VLOOKUP($L60,classifications!$C:$J,8,FALSE))</f>
        <v>Norfolk</v>
      </c>
      <c r="AJ60" s="42" t="str">
        <f t="shared" si="41"/>
        <v/>
      </c>
      <c r="AK60" s="39" t="str">
        <f>IF(AJ60="","",IF(I$8="A",(RANK(AJ60,AJ$11:AJ$333,1)+COUNTIF(AJ$11:AJ60,AJ60)-1),(RANK(AJ60,AJ$11:AJ$333)+COUNTIF(AJ$11:AJ60,AJ60)-1)))</f>
        <v/>
      </c>
      <c r="AL60" s="3" t="str">
        <f t="shared" si="16"/>
        <v/>
      </c>
      <c r="AM60" t="str">
        <f t="shared" si="6"/>
        <v/>
      </c>
      <c r="AN60" t="str">
        <f t="shared" si="7"/>
        <v/>
      </c>
      <c r="AP60" s="5" t="str">
        <f>IF(L60="","",VLOOKUP($L60,classifications!$C:$E,3,FALSE))</f>
        <v>East of England</v>
      </c>
      <c r="AQ60" s="42">
        <f t="shared" si="42"/>
        <v>97.91</v>
      </c>
      <c r="AR60" s="39">
        <f>IF(AQ60="","",IF(I$8="A",(RANK(AQ60,AQ$11:AQ$333,1)+COUNTIF(AQ$11:AQ60,AQ60)-1),(RANK(AQ60,AQ$11:AQ$333)+COUNTIF(AQ$11:AQ60,AQ60)-1)))</f>
        <v>11</v>
      </c>
      <c r="AS60" s="3" t="str">
        <f t="shared" si="18"/>
        <v/>
      </c>
      <c r="AT60" s="39" t="str">
        <f t="shared" si="8"/>
        <v/>
      </c>
      <c r="AU60" s="42" t="str">
        <f t="shared" si="9"/>
        <v/>
      </c>
      <c r="AX60">
        <f>HLOOKUP($AX$9&amp;$AX$10,Data!$A$1:$ZT$1975,(MATCH($C60,Data!$A$1:$A$1975,0)),FALSE)</f>
        <v>96.76</v>
      </c>
    </row>
    <row r="61" spans="1:50">
      <c r="A61" s="55" t="str">
        <f>$D$1&amp;51</f>
        <v>SD51</v>
      </c>
      <c r="B61" s="56">
        <f>IF(ISERROR(VLOOKUP(A61,classifications!A:C,3,FALSE)),0,VLOOKUP(A61,classifications!A:C,3,FALSE))</f>
        <v>0</v>
      </c>
      <c r="C61" t="s">
        <v>33</v>
      </c>
      <c r="D61" t="str">
        <f>VLOOKUP($C61,classifications!$C:$J,4,FALSE)</f>
        <v>SD</v>
      </c>
      <c r="E61">
        <f>VLOOKUP(C61,classifications!C:K,9,FALSE)</f>
        <v>0</v>
      </c>
      <c r="F61">
        <f t="shared" si="0"/>
        <v>96.59</v>
      </c>
      <c r="G61" s="15"/>
      <c r="H61" s="41">
        <f t="shared" si="1"/>
        <v>96.59</v>
      </c>
      <c r="I61" s="73">
        <f>IF(H61="","",IF($I$8="A",(RANK(H61,H$11:H$333,1)+COUNTIF(H$11:H61,H61)-1),(RANK(H61,H$11:H$333)+COUNTIF(H$11:H61,H61)-1)))</f>
        <v>118</v>
      </c>
      <c r="J61" s="40"/>
      <c r="K61" s="35">
        <f t="shared" si="10"/>
        <v>51</v>
      </c>
      <c r="L61" t="str">
        <f t="shared" si="2"/>
        <v>Stratford-on-Avon</v>
      </c>
      <c r="M61" s="109">
        <f t="shared" si="3"/>
        <v>97.91</v>
      </c>
      <c r="N61" s="104">
        <f t="shared" si="31"/>
        <v>97.91</v>
      </c>
      <c r="O61" s="89" t="str">
        <f t="shared" si="32"/>
        <v/>
      </c>
      <c r="P61" s="89">
        <f t="shared" si="33"/>
        <v>97.91</v>
      </c>
      <c r="Q61" s="89" t="str">
        <f t="shared" si="34"/>
        <v/>
      </c>
      <c r="R61" s="85" t="str">
        <f t="shared" si="35"/>
        <v/>
      </c>
      <c r="S61" s="41" t="str">
        <f t="shared" si="36"/>
        <v/>
      </c>
      <c r="T61" s="166" t="str">
        <f>IF(L61="","",VLOOKUP(L61,classifications!C:K,9,FALSE))</f>
        <v>Sparse</v>
      </c>
      <c r="U61" s="167">
        <f t="shared" si="37"/>
        <v>97.91</v>
      </c>
      <c r="V61" s="173">
        <f>IF(U61="","",IF($I$8="A",(RANK(U61,U$11:U$333)+COUNTIF(U$11:U61,U61)-1),(RANK(U61,U$11:U$333,1)+COUNTIF(U$11:U61,U61)-1)))</f>
        <v>26</v>
      </c>
      <c r="W61" s="174"/>
      <c r="X61" s="5" t="str">
        <f>IF(L61="","",VLOOKUP($L61,classifications!$C:$J,6,FALSE))</f>
        <v xml:space="preserve">Predominantly Rural </v>
      </c>
      <c r="Y61">
        <f t="shared" si="38"/>
        <v>97.91</v>
      </c>
      <c r="Z61" s="39">
        <f>IF(Y61="","",IF(I$8="A",(RANK(Y61,Y$11:Y$333,1)+COUNTIF(Y$11:Y61,Y61)-1),(RANK(Y61,Y$11:Y$333)+COUNTIF(Y$11:Y61,Y61)-1)))</f>
        <v>26</v>
      </c>
      <c r="AA61" s="177" t="str">
        <f>IF(L61="","",VLOOKUP($L61,classifications!C:I,7,FALSE))</f>
        <v>Predominantly Rural</v>
      </c>
      <c r="AB61" s="173">
        <f t="shared" si="39"/>
        <v>97.91</v>
      </c>
      <c r="AC61" s="173">
        <f>IF(AB61="","",IF($I$8="A",(RANK(AB61,AB$11:AB$333)+COUNTIF(AB$11:AB61,AB61)-1),(RANK(AB61,AB$11:AB$333,1)+COUNTIF(AB$11:AB61,AB61)-1)))</f>
        <v>33</v>
      </c>
      <c r="AD61" s="173"/>
      <c r="AE61" s="45" t="e">
        <f>IF(I$8="A",(RANK(AG61,AG$11:AG$333,1)+COUNTIF(AG$11:AG61,AG61)-1),(RANK(AG61,AG$11:AG$333)+COUNTIF(AG$11:AG61,AG61)-1))</f>
        <v>#N/A</v>
      </c>
      <c r="AF61" t="str">
        <f>VLOOKUP(Profile!$J$5,Families!$C:$R,2,FALSE)</f>
        <v>North Dorset</v>
      </c>
      <c r="AG61" s="15" t="e">
        <f t="shared" si="15"/>
        <v>#N/A</v>
      </c>
      <c r="AH61" s="46" t="e">
        <f t="shared" si="40"/>
        <v>#N/A</v>
      </c>
      <c r="AI61" s="5" t="str">
        <f>IF(L61="","",VLOOKUP($L61,classifications!$C:$J,8,FALSE))</f>
        <v>Warwickshire</v>
      </c>
      <c r="AJ61" s="42" t="str">
        <f t="shared" si="41"/>
        <v/>
      </c>
      <c r="AK61" s="39" t="str">
        <f>IF(AJ61="","",IF(I$8="A",(RANK(AJ61,AJ$11:AJ$333,1)+COUNTIF(AJ$11:AJ61,AJ61)-1),(RANK(AJ61,AJ$11:AJ$333)+COUNTIF(AJ$11:AJ61,AJ61)-1)))</f>
        <v/>
      </c>
      <c r="AL61" s="3" t="str">
        <f t="shared" si="16"/>
        <v/>
      </c>
      <c r="AM61" t="str">
        <f t="shared" si="6"/>
        <v/>
      </c>
      <c r="AN61" t="str">
        <f t="shared" si="7"/>
        <v/>
      </c>
      <c r="AP61" s="5" t="str">
        <f>IF(L61="","",VLOOKUP($L61,classifications!$C:$E,3,FALSE))</f>
        <v>West Midlands</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96.59</v>
      </c>
    </row>
    <row r="62" spans="1:50">
      <c r="A62" s="55" t="str">
        <f>$D$1&amp;52</f>
        <v>SD52</v>
      </c>
      <c r="B62" s="56">
        <f>IF(ISERROR(VLOOKUP(A62,classifications!A:C,3,FALSE)),0,VLOOKUP(A62,classifications!A:C,3,FALSE))</f>
        <v>0</v>
      </c>
      <c r="C62" t="s">
        <v>34</v>
      </c>
      <c r="D62" t="str">
        <f>VLOOKUP($C62,classifications!$C:$J,4,FALSE)</f>
        <v>SD</v>
      </c>
      <c r="E62">
        <f>VLOOKUP(C62,classifications!C:K,9,FALSE)</f>
        <v>0</v>
      </c>
      <c r="F62">
        <f t="shared" si="0"/>
        <v>98.32</v>
      </c>
      <c r="G62" s="15"/>
      <c r="H62" s="41">
        <f t="shared" si="1"/>
        <v>98.32</v>
      </c>
      <c r="I62" s="73">
        <f>IF(H62="","",IF($I$8="A",(RANK(H62,H$11:H$333,1)+COUNTIF(H$11:H62,H62)-1),(RANK(H62,H$11:H$333)+COUNTIF(H$11:H62,H62)-1)))</f>
        <v>27</v>
      </c>
      <c r="J62" s="40"/>
      <c r="K62" s="35">
        <f t="shared" si="10"/>
        <v>52</v>
      </c>
      <c r="L62" t="str">
        <f t="shared" si="2"/>
        <v>North Hertfordshire</v>
      </c>
      <c r="M62" s="109">
        <f t="shared" si="3"/>
        <v>97.9</v>
      </c>
      <c r="N62" s="104">
        <f t="shared" si="31"/>
        <v>97.9</v>
      </c>
      <c r="O62" s="89" t="str">
        <f t="shared" si="32"/>
        <v/>
      </c>
      <c r="P62" s="89">
        <f t="shared" si="33"/>
        <v>97.9</v>
      </c>
      <c r="Q62" s="89" t="str">
        <f t="shared" si="34"/>
        <v/>
      </c>
      <c r="R62" s="85" t="str">
        <f t="shared" si="35"/>
        <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Urban with Significant Rural</v>
      </c>
      <c r="Y62" t="str">
        <f t="shared" si="38"/>
        <v/>
      </c>
      <c r="Z62" s="39" t="str">
        <f>IF(Y62="","",IF(I$8="A",(RANK(Y62,Y$11:Y$333,1)+COUNTIF(Y$11:Y62,Y62)-1),(RANK(Y62,Y$11:Y$333)+COUNTIF(Y$11:Y62,Y62)-1)))</f>
        <v/>
      </c>
      <c r="AA62" s="177" t="str">
        <f>IF(L62="","",VLOOKUP($L62,classifications!C:I,7,FALSE))</f>
        <v>Urban with Significant Rural</v>
      </c>
      <c r="AB62" s="173" t="str">
        <f t="shared" si="39"/>
        <v/>
      </c>
      <c r="AC62" s="173" t="str">
        <f>IF(AB62="","",IF($I$8="A",(RANK(AB62,AB$11:AB$333)+COUNTIF(AB$11:AB62,AB62)-1),(RANK(AB62,AB$11:AB$333,1)+COUNTIF(AB$11:AB62,AB62)-1)))</f>
        <v/>
      </c>
      <c r="AD62" s="173"/>
      <c r="AE62" s="45" t="e">
        <f>IF(I$8="A",(RANK(AG62,AG$11:AG$333,1)+COUNTIF(AG$11:AG62,AG62)-1),(RANK(AG62,AG$11:AG$333)+COUNTIF(AG$11:AG62,AG62)-1))</f>
        <v>#N/A</v>
      </c>
      <c r="AF62" t="str">
        <f>VLOOKUP(Profile!$J$5,Families!$C:$R,2,FALSE)</f>
        <v>North Dorset</v>
      </c>
      <c r="AG62" s="15" t="e">
        <f t="shared" si="15"/>
        <v>#N/A</v>
      </c>
      <c r="AH62" s="46" t="e">
        <f t="shared" si="40"/>
        <v>#N/A</v>
      </c>
      <c r="AI62" s="5" t="str">
        <f>IF(L62="","",VLOOKUP($L62,classifications!$C:$J,8,FALSE))</f>
        <v>Hertfordshire</v>
      </c>
      <c r="AJ62" s="42" t="str">
        <f t="shared" si="41"/>
        <v/>
      </c>
      <c r="AK62" s="39" t="str">
        <f>IF(AJ62="","",IF(I$8="A",(RANK(AJ62,AJ$11:AJ$333,1)+COUNTIF(AJ$11:AJ62,AJ62)-1),(RANK(AJ62,AJ$11:AJ$333)+COUNTIF(AJ$11:AJ62,AJ62)-1)))</f>
        <v/>
      </c>
      <c r="AL62" s="3" t="str">
        <f t="shared" si="16"/>
        <v/>
      </c>
      <c r="AM62" t="str">
        <f t="shared" si="6"/>
        <v/>
      </c>
      <c r="AN62" t="str">
        <f t="shared" si="7"/>
        <v/>
      </c>
      <c r="AP62" s="5" t="str">
        <f>IF(L62="","",VLOOKUP($L62,classifications!$C:$E,3,FALSE))</f>
        <v>East of England</v>
      </c>
      <c r="AQ62" s="42">
        <f t="shared" si="42"/>
        <v>97.9</v>
      </c>
      <c r="AR62" s="39">
        <f>IF(AQ62="","",IF(I$8="A",(RANK(AQ62,AQ$11:AQ$333,1)+COUNTIF(AQ$11:AQ62,AQ62)-1),(RANK(AQ62,AQ$11:AQ$333)+COUNTIF(AQ$11:AQ62,AQ62)-1)))</f>
        <v>12</v>
      </c>
      <c r="AS62" s="3" t="str">
        <f t="shared" si="18"/>
        <v/>
      </c>
      <c r="AT62" s="39" t="str">
        <f t="shared" si="8"/>
        <v/>
      </c>
      <c r="AU62" s="42" t="str">
        <f t="shared" si="9"/>
        <v/>
      </c>
      <c r="AX62">
        <f>HLOOKUP($AX$9&amp;$AX$10,Data!$A$1:$ZT$1975,(MATCH($C62,Data!$A$1:$A$1975,0)),FALSE)</f>
        <v>98.32</v>
      </c>
    </row>
    <row r="63" spans="1:50">
      <c r="A63" s="55" t="str">
        <f>$D$1&amp;53</f>
        <v>SD53</v>
      </c>
      <c r="B63" s="56">
        <f>IF(ISERROR(VLOOKUP(A63,classifications!A:C,3,FALSE)),0,VLOOKUP(A63,classifications!A:C,3,FALSE))</f>
        <v>0</v>
      </c>
      <c r="C63" t="s">
        <v>35</v>
      </c>
      <c r="D63" t="str">
        <f>VLOOKUP($C63,classifications!$C:$J,4,FALSE)</f>
        <v>SD</v>
      </c>
      <c r="E63">
        <f>VLOOKUP(C63,classifications!C:K,9,FALSE)</f>
        <v>0</v>
      </c>
      <c r="F63">
        <f t="shared" si="0"/>
        <v>98.02</v>
      </c>
      <c r="G63" s="15"/>
      <c r="H63" s="41">
        <f t="shared" si="1"/>
        <v>98.02</v>
      </c>
      <c r="I63" s="73">
        <f>IF(H63="","",IF($I$8="A",(RANK(H63,H$11:H$333,1)+COUNTIF(H$11:H63,H63)-1),(RANK(H63,H$11:H$333)+COUNTIF(H$11:H63,H63)-1)))</f>
        <v>41</v>
      </c>
      <c r="J63" s="40"/>
      <c r="K63" s="35">
        <f t="shared" si="10"/>
        <v>53</v>
      </c>
      <c r="L63" t="str">
        <f t="shared" si="2"/>
        <v>Woking</v>
      </c>
      <c r="M63" s="109">
        <f t="shared" si="3"/>
        <v>97.89</v>
      </c>
      <c r="N63" s="104">
        <f t="shared" si="31"/>
        <v>97.89</v>
      </c>
      <c r="O63" s="89" t="str">
        <f t="shared" si="32"/>
        <v/>
      </c>
      <c r="P63" s="89">
        <f t="shared" si="33"/>
        <v>97.89</v>
      </c>
      <c r="Q63" s="89" t="str">
        <f t="shared" si="34"/>
        <v/>
      </c>
      <c r="R63" s="85" t="str">
        <f t="shared" si="35"/>
        <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Predominantly Urban</v>
      </c>
      <c r="Y63" t="str">
        <f t="shared" si="38"/>
        <v/>
      </c>
      <c r="Z63" s="39" t="str">
        <f>IF(Y63="","",IF(I$8="A",(RANK(Y63,Y$11:Y$333,1)+COUNTIF(Y$11:Y63,Y63)-1),(RANK(Y63,Y$11:Y$333)+COUNTIF(Y$11:Y63,Y63)-1)))</f>
        <v/>
      </c>
      <c r="AA63" s="177" t="str">
        <f>IF(L63="","",VLOOKUP($L63,classifications!C:I,7,FALSE))</f>
        <v>Predominantly Urban</v>
      </c>
      <c r="AB63" s="173" t="str">
        <f t="shared" si="39"/>
        <v/>
      </c>
      <c r="AC63" s="173" t="str">
        <f>IF(AB63="","",IF($I$8="A",(RANK(AB63,AB$11:AB$333)+COUNTIF(AB$11:AB63,AB63)-1),(RANK(AB63,AB$11:AB$333,1)+COUNTIF(AB$11:AB63,AB63)-1)))</f>
        <v/>
      </c>
      <c r="AD63" s="173"/>
      <c r="AE63" s="45" t="e">
        <f>IF(I$8="A",(RANK(AG63,AG$11:AG$333,1)+COUNTIF(AG$11:AG63,AG63)-1),(RANK(AG63,AG$11:AG$333)+COUNTIF(AG$11:AG63,AG63)-1))</f>
        <v>#N/A</v>
      </c>
      <c r="AF63" t="str">
        <f>VLOOKUP(Profile!$J$5,Families!$C:$R,2,FALSE)</f>
        <v>North Dorset</v>
      </c>
      <c r="AG63" s="15" t="e">
        <f t="shared" si="15"/>
        <v>#N/A</v>
      </c>
      <c r="AH63" s="46" t="e">
        <f t="shared" si="40"/>
        <v>#N/A</v>
      </c>
      <c r="AI63" s="5" t="str">
        <f>IF(L63="","",VLOOKUP($L63,classifications!$C:$J,8,FALSE))</f>
        <v>Surrey</v>
      </c>
      <c r="AJ63" s="42" t="str">
        <f t="shared" si="41"/>
        <v/>
      </c>
      <c r="AK63" s="39" t="str">
        <f>IF(AJ63="","",IF(I$8="A",(RANK(AJ63,AJ$11:AJ$333,1)+COUNTIF(AJ$11:AJ63,AJ63)-1),(RANK(AJ63,AJ$11:AJ$333)+COUNTIF(AJ$11:AJ63,AJ63)-1)))</f>
        <v/>
      </c>
      <c r="AL63" s="3" t="str">
        <f t="shared" si="16"/>
        <v/>
      </c>
      <c r="AM63" t="str">
        <f t="shared" si="6"/>
        <v/>
      </c>
      <c r="AN63" t="str">
        <f t="shared" si="7"/>
        <v/>
      </c>
      <c r="AP63" s="5" t="str">
        <f>IF(L63="","",VLOOKUP($L63,classifications!$C:$E,3,FALSE))</f>
        <v>South East</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98.02</v>
      </c>
    </row>
    <row r="64" spans="1:50">
      <c r="A64" s="55" t="str">
        <f>$D$1&amp;54</f>
        <v>SD54</v>
      </c>
      <c r="B64" s="56">
        <f>IF(ISERROR(VLOOKUP(A64,classifications!A:C,3,FALSE)),0,VLOOKUP(A64,classifications!A:C,3,FALSE))</f>
        <v>0</v>
      </c>
      <c r="C64" t="s">
        <v>304</v>
      </c>
      <c r="D64" t="str">
        <f>VLOOKUP($C64,classifications!$C:$J,4,FALSE)</f>
        <v>UA</v>
      </c>
      <c r="E64" t="str">
        <f>VLOOKUP(C64,classifications!C:K,9,FALSE)</f>
        <v>Sparse</v>
      </c>
      <c r="F64">
        <f t="shared" si="0"/>
        <v>97.94</v>
      </c>
      <c r="G64" s="15"/>
      <c r="H64" s="41" t="str">
        <f t="shared" si="1"/>
        <v/>
      </c>
      <c r="I64" s="73" t="str">
        <f>IF(H64="","",IF($I$8="A",(RANK(H64,H$11:H$333,1)+COUNTIF(H$11:H64,H64)-1),(RANK(H64,H$11:H$333)+COUNTIF(H$11:H64,H64)-1)))</f>
        <v/>
      </c>
      <c r="J64" s="40"/>
      <c r="K64" s="35">
        <f t="shared" si="10"/>
        <v>54</v>
      </c>
      <c r="L64" t="str">
        <f t="shared" si="2"/>
        <v>Bromsgrove</v>
      </c>
      <c r="M64" s="109">
        <f t="shared" si="3"/>
        <v>97.87</v>
      </c>
      <c r="N64" s="104">
        <f t="shared" si="31"/>
        <v>97.87</v>
      </c>
      <c r="O64" s="89" t="str">
        <f t="shared" si="32"/>
        <v/>
      </c>
      <c r="P64" s="89">
        <f t="shared" si="33"/>
        <v>97.87</v>
      </c>
      <c r="Q64" s="89" t="str">
        <f t="shared" si="34"/>
        <v/>
      </c>
      <c r="R64" s="85" t="str">
        <f t="shared" si="35"/>
        <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Predominantly Urban</v>
      </c>
      <c r="Y64" t="str">
        <f t="shared" si="38"/>
        <v/>
      </c>
      <c r="Z64" s="39" t="str">
        <f>IF(Y64="","",IF(I$8="A",(RANK(Y64,Y$11:Y$333,1)+COUNTIF(Y$11:Y64,Y64)-1),(RANK(Y64,Y$11:Y$333)+COUNTIF(Y$11:Y64,Y64)-1)))</f>
        <v/>
      </c>
      <c r="AA64" s="177" t="str">
        <f>IF(L64="","",VLOOKUP($L64,classifications!C:I,7,FALSE))</f>
        <v>Predominantly Urban</v>
      </c>
      <c r="AB64" s="173" t="str">
        <f t="shared" si="39"/>
        <v/>
      </c>
      <c r="AC64" s="173" t="str">
        <f>IF(AB64="","",IF($I$8="A",(RANK(AB64,AB$11:AB$333)+COUNTIF(AB$11:AB64,AB64)-1),(RANK(AB64,AB$11:AB$333,1)+COUNTIF(AB$11:AB64,AB64)-1)))</f>
        <v/>
      </c>
      <c r="AD64" s="173"/>
      <c r="AE64" s="45" t="e">
        <f>IF(I$8="A",(RANK(AG64,AG$11:AG$333,1)+COUNTIF(AG$11:AG64,AG64)-1),(RANK(AG64,AG$11:AG$333)+COUNTIF(AG$11:AG64,AG64)-1))</f>
        <v>#N/A</v>
      </c>
      <c r="AF64" t="str">
        <f>VLOOKUP(Profile!$J$5,Families!$C:$R,2,FALSE)</f>
        <v>North Dorset</v>
      </c>
      <c r="AG64" s="15" t="e">
        <f t="shared" si="15"/>
        <v>#N/A</v>
      </c>
      <c r="AH64" s="46" t="e">
        <f t="shared" si="40"/>
        <v>#N/A</v>
      </c>
      <c r="AI64" s="5" t="str">
        <f>IF(L64="","",VLOOKUP($L64,classifications!$C:$J,8,FALSE))</f>
        <v>Worcestershire</v>
      </c>
      <c r="AJ64" s="42" t="str">
        <f t="shared" si="41"/>
        <v/>
      </c>
      <c r="AK64" s="39" t="str">
        <f>IF(AJ64="","",IF(I$8="A",(RANK(AJ64,AJ$11:AJ$333,1)+COUNTIF(AJ$11:AJ64,AJ64)-1),(RANK(AJ64,AJ$11:AJ$333)+COUNTIF(AJ$11:AJ64,AJ64)-1)))</f>
        <v/>
      </c>
      <c r="AL64" s="3" t="str">
        <f t="shared" si="16"/>
        <v/>
      </c>
      <c r="AM64" t="str">
        <f t="shared" si="6"/>
        <v/>
      </c>
      <c r="AN64" t="str">
        <f t="shared" si="7"/>
        <v/>
      </c>
      <c r="AP64" s="5" t="str">
        <f>IF(L64="","",VLOOKUP($L64,classifications!$C:$E,3,FALSE))</f>
        <v>West Midlands</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97.94</v>
      </c>
    </row>
    <row r="65" spans="1:50">
      <c r="A65" s="55" t="str">
        <f>$D$1&amp;55</f>
        <v>SD55</v>
      </c>
      <c r="B65" s="56">
        <f>IF(ISERROR(VLOOKUP(A65,classifications!A:C,3,FALSE)),0,VLOOKUP(A65,classifications!A:C,3,FALSE))</f>
        <v>0</v>
      </c>
      <c r="C65" t="s">
        <v>813</v>
      </c>
      <c r="D65" t="str">
        <f>VLOOKUP($C65,classifications!$C:$J,4,FALSE)</f>
        <v>UA</v>
      </c>
      <c r="E65">
        <f>VLOOKUP(C65,classifications!C:K,9,FALSE)</f>
        <v>0</v>
      </c>
      <c r="F65">
        <f t="shared" si="0"/>
        <v>96.98</v>
      </c>
      <c r="G65" s="15"/>
      <c r="H65" s="41" t="str">
        <f t="shared" si="1"/>
        <v/>
      </c>
      <c r="I65" s="73" t="str">
        <f>IF(H65="","",IF($I$8="A",(RANK(H65,H$11:H$333,1)+COUNTIF(H$11:H65,H65)-1),(RANK(H65,H$11:H$333)+COUNTIF(H$11:H65,H65)-1)))</f>
        <v/>
      </c>
      <c r="J65" s="40"/>
      <c r="K65" s="35">
        <f t="shared" si="10"/>
        <v>55</v>
      </c>
      <c r="L65" t="str">
        <f t="shared" si="2"/>
        <v>Newcastle-under-Lyme</v>
      </c>
      <c r="M65" s="109">
        <f t="shared" si="3"/>
        <v>97.83</v>
      </c>
      <c r="N65" s="104">
        <f t="shared" si="31"/>
        <v>97.83</v>
      </c>
      <c r="O65" s="89" t="str">
        <f t="shared" si="32"/>
        <v/>
      </c>
      <c r="P65" s="89">
        <f t="shared" si="33"/>
        <v>97.83</v>
      </c>
      <c r="Q65" s="89" t="str">
        <f t="shared" si="34"/>
        <v/>
      </c>
      <c r="R65" s="85" t="str">
        <f t="shared" si="35"/>
        <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t="e">
        <f>IF(I$8="A",(RANK(AG65,AG$11:AG$333,1)+COUNTIF(AG$11:AG65,AG65)-1),(RANK(AG65,AG$11:AG$333)+COUNTIF(AG$11:AG65,AG65)-1))</f>
        <v>#N/A</v>
      </c>
      <c r="AF65" t="str">
        <f>VLOOKUP(Profile!$J$5,Families!$C:$R,2,FALSE)</f>
        <v>North Dorset</v>
      </c>
      <c r="AG65" s="15" t="e">
        <f t="shared" si="15"/>
        <v>#N/A</v>
      </c>
      <c r="AH65" s="46" t="e">
        <f t="shared" si="40"/>
        <v>#N/A</v>
      </c>
      <c r="AI65" s="5" t="str">
        <f>IF(L65="","",VLOOKUP($L65,classifications!$C:$J,8,FALSE))</f>
        <v>Staffordshire</v>
      </c>
      <c r="AJ65" s="42" t="str">
        <f t="shared" si="41"/>
        <v/>
      </c>
      <c r="AK65" s="39" t="str">
        <f>IF(AJ65="","",IF(I$8="A",(RANK(AJ65,AJ$11:AJ$333,1)+COUNTIF(AJ$11:AJ65,AJ65)-1),(RANK(AJ65,AJ$11:AJ$333)+COUNTIF(AJ$11:AJ65,AJ65)-1)))</f>
        <v/>
      </c>
      <c r="AL65" s="3" t="str">
        <f t="shared" si="16"/>
        <v/>
      </c>
      <c r="AM65" t="str">
        <f t="shared" si="6"/>
        <v/>
      </c>
      <c r="AN65" t="str">
        <f t="shared" si="7"/>
        <v/>
      </c>
      <c r="AP65" s="5" t="str">
        <f>IF(L65="","",VLOOKUP($L65,classifications!$C:$E,3,FALSE))</f>
        <v>West Midlands</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96.98</v>
      </c>
    </row>
    <row r="66" spans="1:50">
      <c r="A66" s="55" t="str">
        <f>$D$1&amp;56</f>
        <v>SD56</v>
      </c>
      <c r="B66" s="56">
        <f>IF(ISERROR(VLOOKUP(A66,classifications!A:C,3,FALSE)),0,VLOOKUP(A66,classifications!A:C,3,FALSE))</f>
        <v>0</v>
      </c>
      <c r="C66" t="s">
        <v>36</v>
      </c>
      <c r="D66" t="str">
        <f>VLOOKUP($C66,classifications!$C:$J,4,FALSE)</f>
        <v>SD</v>
      </c>
      <c r="E66">
        <f>VLOOKUP(C66,classifications!C:K,9,FALSE)</f>
        <v>0</v>
      </c>
      <c r="F66">
        <f t="shared" si="0"/>
        <v>96.31</v>
      </c>
      <c r="G66" s="15"/>
      <c r="H66" s="41">
        <f t="shared" si="1"/>
        <v>96.31</v>
      </c>
      <c r="I66" s="73">
        <f>IF(H66="","",IF($I$8="A",(RANK(H66,H$11:H$333,1)+COUNTIF(H$11:H66,H66)-1),(RANK(H66,H$11:H$333)+COUNTIF(H$11:H66,H66)-1)))</f>
        <v>128</v>
      </c>
      <c r="J66" s="40"/>
      <c r="K66" s="35">
        <f t="shared" si="10"/>
        <v>56</v>
      </c>
      <c r="L66" t="str">
        <f t="shared" si="2"/>
        <v>Derbyshire Dales</v>
      </c>
      <c r="M66" s="109">
        <f t="shared" si="3"/>
        <v>97.82</v>
      </c>
      <c r="N66" s="104">
        <f t="shared" si="31"/>
        <v>97.82</v>
      </c>
      <c r="O66" s="89" t="str">
        <f t="shared" si="32"/>
        <v/>
      </c>
      <c r="P66" s="89">
        <f t="shared" si="33"/>
        <v>97.82</v>
      </c>
      <c r="Q66" s="89" t="str">
        <f t="shared" si="34"/>
        <v/>
      </c>
      <c r="R66" s="85" t="str">
        <f t="shared" si="35"/>
        <v/>
      </c>
      <c r="S66" s="41" t="str">
        <f t="shared" si="36"/>
        <v/>
      </c>
      <c r="T66" s="166" t="str">
        <f>IF(L66="","",VLOOKUP(L66,classifications!C:K,9,FALSE))</f>
        <v>Sparse</v>
      </c>
      <c r="U66" s="167">
        <f t="shared" si="37"/>
        <v>97.82</v>
      </c>
      <c r="V66" s="173">
        <f>IF(U66="","",IF($I$8="A",(RANK(U66,U$11:U$333)+COUNTIF(U$11:U66,U66)-1),(RANK(U66,U$11:U$333,1)+COUNTIF(U$11:U66,U66)-1)))</f>
        <v>25</v>
      </c>
      <c r="W66" s="174"/>
      <c r="X66" s="5" t="str">
        <f>IF(L66="","",VLOOKUP($L66,classifications!$C:$J,6,FALSE))</f>
        <v xml:space="preserve">Predominantly Rural </v>
      </c>
      <c r="Y66">
        <f t="shared" si="38"/>
        <v>97.82</v>
      </c>
      <c r="Z66" s="39">
        <f>IF(Y66="","",IF(I$8="A",(RANK(Y66,Y$11:Y$333,1)+COUNTIF(Y$11:Y66,Y66)-1),(RANK(Y66,Y$11:Y$333)+COUNTIF(Y$11:Y66,Y66)-1)))</f>
        <v>27</v>
      </c>
      <c r="AA66" s="177" t="str">
        <f>IF(L66="","",VLOOKUP($L66,classifications!C:I,7,FALSE))</f>
        <v>Predominantly Rural</v>
      </c>
      <c r="AB66" s="173">
        <f t="shared" si="39"/>
        <v>97.82</v>
      </c>
      <c r="AC66" s="173">
        <f>IF(AB66="","",IF($I$8="A",(RANK(AB66,AB$11:AB$333)+COUNTIF(AB$11:AB66,AB66)-1),(RANK(AB66,AB$11:AB$333,1)+COUNTIF(AB$11:AB66,AB66)-1)))</f>
        <v>32</v>
      </c>
      <c r="AD66" s="173"/>
      <c r="AE66" s="45" t="e">
        <f>IF(I$8="A",(RANK(AG66,AG$11:AG$333,1)+COUNTIF(AG$11:AG66,AG66)-1),(RANK(AG66,AG$11:AG$333)+COUNTIF(AG$11:AG66,AG66)-1))</f>
        <v>#N/A</v>
      </c>
      <c r="AF66" t="str">
        <f>VLOOKUP(Profile!$J$5,Families!$C:$R,2,FALSE)</f>
        <v>North Dorset</v>
      </c>
      <c r="AG66" s="15" t="e">
        <f t="shared" si="15"/>
        <v>#N/A</v>
      </c>
      <c r="AH66" s="46" t="e">
        <f t="shared" si="40"/>
        <v>#N/A</v>
      </c>
      <c r="AI66" s="5" t="str">
        <f>IF(L66="","",VLOOKUP($L66,classifications!$C:$J,8,FALSE))</f>
        <v>Derbyshire</v>
      </c>
      <c r="AJ66" s="42" t="str">
        <f t="shared" si="41"/>
        <v/>
      </c>
      <c r="AK66" s="39" t="str">
        <f>IF(AJ66="","",IF(I$8="A",(RANK(AJ66,AJ$11:AJ$333,1)+COUNTIF(AJ$11:AJ66,AJ66)-1),(RANK(AJ66,AJ$11:AJ$333)+COUNTIF(AJ$11:AJ66,AJ66)-1)))</f>
        <v/>
      </c>
      <c r="AL66" s="3" t="str">
        <f t="shared" si="16"/>
        <v/>
      </c>
      <c r="AM66" t="str">
        <f t="shared" si="6"/>
        <v/>
      </c>
      <c r="AN66" t="str">
        <f t="shared" si="7"/>
        <v/>
      </c>
      <c r="AP66" s="5" t="str">
        <f>IF(L66="","",VLOOKUP($L66,classifications!$C:$E,3,FALSE))</f>
        <v>East Midlands</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96.31</v>
      </c>
    </row>
    <row r="67" spans="1:50">
      <c r="A67" s="55" t="str">
        <f>$D$1&amp;57</f>
        <v>SD57</v>
      </c>
      <c r="B67" s="56">
        <f>IF(ISERROR(VLOOKUP(A67,classifications!A:C,3,FALSE)),0,VLOOKUP(A67,classifications!A:C,3,FALSE))</f>
        <v>0</v>
      </c>
      <c r="C67" t="s">
        <v>37</v>
      </c>
      <c r="D67" t="str">
        <f>VLOOKUP($C67,classifications!$C:$J,4,FALSE)</f>
        <v>SD</v>
      </c>
      <c r="E67" t="str">
        <f>VLOOKUP(C67,classifications!C:K,9,FALSE)</f>
        <v>Sparse</v>
      </c>
      <c r="F67">
        <f t="shared" si="0"/>
        <v>97.71</v>
      </c>
      <c r="G67" s="15"/>
      <c r="H67" s="41">
        <f t="shared" si="1"/>
        <v>97.71</v>
      </c>
      <c r="I67" s="73">
        <f>IF(H67="","",IF($I$8="A",(RANK(H67,H$11:H$333,1)+COUNTIF(H$11:H67,H67)-1),(RANK(H67,H$11:H$333)+COUNTIF(H$11:H67,H67)-1)))</f>
        <v>64</v>
      </c>
      <c r="J67" s="40"/>
      <c r="K67" s="35">
        <f t="shared" si="10"/>
        <v>57</v>
      </c>
      <c r="L67" t="str">
        <f t="shared" si="2"/>
        <v>Rushmoor</v>
      </c>
      <c r="M67" s="109">
        <f t="shared" si="3"/>
        <v>97.82</v>
      </c>
      <c r="N67" s="104">
        <f t="shared" si="31"/>
        <v>97.82</v>
      </c>
      <c r="O67" s="89" t="str">
        <f t="shared" si="32"/>
        <v/>
      </c>
      <c r="P67" s="89">
        <f t="shared" si="33"/>
        <v>97.82</v>
      </c>
      <c r="Q67" s="89" t="str">
        <f t="shared" si="34"/>
        <v/>
      </c>
      <c r="R67" s="85" t="str">
        <f t="shared" si="35"/>
        <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Predominantly Urban</v>
      </c>
      <c r="Y67" t="str">
        <f t="shared" si="38"/>
        <v/>
      </c>
      <c r="Z67" s="39" t="str">
        <f>IF(Y67="","",IF(I$8="A",(RANK(Y67,Y$11:Y$333,1)+COUNTIF(Y$11:Y67,Y67)-1),(RANK(Y67,Y$11:Y$333)+COUNTIF(Y$11:Y67,Y67)-1)))</f>
        <v/>
      </c>
      <c r="AA67" s="177" t="str">
        <f>IF(L67="","",VLOOKUP($L67,classifications!C:I,7,FALSE))</f>
        <v>Predominantly Urban</v>
      </c>
      <c r="AB67" s="173" t="str">
        <f t="shared" si="39"/>
        <v/>
      </c>
      <c r="AC67" s="173" t="str">
        <f>IF(AB67="","",IF($I$8="A",(RANK(AB67,AB$11:AB$333)+COUNTIF(AB$11:AB67,AB67)-1),(RANK(AB67,AB$11:AB$333,1)+COUNTIF(AB$11:AB67,AB67)-1)))</f>
        <v/>
      </c>
      <c r="AD67" s="173"/>
      <c r="AE67" s="45" t="e">
        <f>IF(I$8="A",(RANK(AG67,AG$11:AG$333,1)+COUNTIF(AG$11:AG67,AG67)-1),(RANK(AG67,AG$11:AG$333)+COUNTIF(AG$11:AG67,AG67)-1))</f>
        <v>#N/A</v>
      </c>
      <c r="AF67" t="str">
        <f>VLOOKUP(Profile!$J$5,Families!$C:$R,2,FALSE)</f>
        <v>North Dorset</v>
      </c>
      <c r="AG67" s="15" t="e">
        <f t="shared" si="15"/>
        <v>#N/A</v>
      </c>
      <c r="AH67" s="46" t="e">
        <f t="shared" si="40"/>
        <v>#N/A</v>
      </c>
      <c r="AI67" s="5" t="str">
        <f>IF(L67="","",VLOOKUP($L67,classifications!$C:$J,8,FALSE))</f>
        <v>Hampshire</v>
      </c>
      <c r="AJ67" s="42" t="str">
        <f t="shared" si="41"/>
        <v/>
      </c>
      <c r="AK67" s="39" t="str">
        <f>IF(AJ67="","",IF(I$8="A",(RANK(AJ67,AJ$11:AJ$333,1)+COUNTIF(AJ$11:AJ67,AJ67)-1),(RANK(AJ67,AJ$11:AJ$333)+COUNTIF(AJ$11:AJ67,AJ67)-1)))</f>
        <v/>
      </c>
      <c r="AL67" s="3" t="str">
        <f t="shared" si="16"/>
        <v/>
      </c>
      <c r="AM67" t="str">
        <f t="shared" si="6"/>
        <v/>
      </c>
      <c r="AN67" t="str">
        <f t="shared" si="7"/>
        <v/>
      </c>
      <c r="AP67" s="5" t="str">
        <f>IF(L67="","",VLOOKUP($L67,classifications!$C:$E,3,FALSE))</f>
        <v>South East</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97.71</v>
      </c>
    </row>
    <row r="68" spans="1:50">
      <c r="A68" s="55" t="str">
        <f>$D$1&amp;58</f>
        <v>SD58</v>
      </c>
      <c r="B68" s="56">
        <f>IF(ISERROR(VLOOKUP(A68,classifications!A:C,3,FALSE)),0,VLOOKUP(A68,classifications!A:C,3,FALSE))</f>
        <v>0</v>
      </c>
      <c r="C68" t="s">
        <v>39</v>
      </c>
      <c r="D68" t="str">
        <f>VLOOKUP($C68,classifications!$C:$J,4,FALSE)</f>
        <v>SD</v>
      </c>
      <c r="E68">
        <f>VLOOKUP(C68,classifications!C:K,9,FALSE)</f>
        <v>0</v>
      </c>
      <c r="F68">
        <f t="shared" si="0"/>
        <v>96.9</v>
      </c>
      <c r="G68" s="15"/>
      <c r="H68" s="41">
        <f t="shared" si="1"/>
        <v>96.9</v>
      </c>
      <c r="I68" s="73">
        <f>IF(H68="","",IF($I$8="A",(RANK(H68,H$11:H$333,1)+COUNTIF(H$11:H68,H68)-1),(RANK(H68,H$11:H$333)+COUNTIF(H$11:H68,H68)-1)))</f>
        <v>104</v>
      </c>
      <c r="J68" s="40"/>
      <c r="K68" s="35">
        <f t="shared" si="10"/>
        <v>58</v>
      </c>
      <c r="L68" t="str">
        <f t="shared" si="2"/>
        <v>Guildford</v>
      </c>
      <c r="M68" s="109">
        <f t="shared" si="3"/>
        <v>97.81</v>
      </c>
      <c r="N68" s="104">
        <f t="shared" si="31"/>
        <v>97.81</v>
      </c>
      <c r="O68" s="89" t="str">
        <f t="shared" si="32"/>
        <v/>
      </c>
      <c r="P68" s="89">
        <f t="shared" si="33"/>
        <v>97.81</v>
      </c>
      <c r="Q68" s="89" t="str">
        <f t="shared" si="34"/>
        <v/>
      </c>
      <c r="R68" s="85" t="str">
        <f t="shared" si="35"/>
        <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Predominantly Urban</v>
      </c>
      <c r="Y68" t="str">
        <f t="shared" si="38"/>
        <v/>
      </c>
      <c r="Z68" s="39" t="str">
        <f>IF(Y68="","",IF(I$8="A",(RANK(Y68,Y$11:Y$333,1)+COUNTIF(Y$11:Y68,Y68)-1),(RANK(Y68,Y$11:Y$333)+COUNTIF(Y$11:Y68,Y68)-1)))</f>
        <v/>
      </c>
      <c r="AA68" s="177" t="str">
        <f>IF(L68="","",VLOOKUP($L68,classifications!C:I,7,FALSE))</f>
        <v>Predominantly Urban</v>
      </c>
      <c r="AB68" s="173" t="str">
        <f t="shared" si="39"/>
        <v/>
      </c>
      <c r="AC68" s="173" t="str">
        <f>IF(AB68="","",IF($I$8="A",(RANK(AB68,AB$11:AB$333)+COUNTIF(AB$11:AB68,AB68)-1),(RANK(AB68,AB$11:AB$333,1)+COUNTIF(AB$11:AB68,AB68)-1)))</f>
        <v/>
      </c>
      <c r="AD68" s="173"/>
      <c r="AE68" s="45" t="e">
        <f>IF(I$8="A",(RANK(AG68,AG$11:AG$333,1)+COUNTIF(AG$11:AG68,AG68)-1),(RANK(AG68,AG$11:AG$333)+COUNTIF(AG$11:AG68,AG68)-1))</f>
        <v>#N/A</v>
      </c>
      <c r="AF68" t="str">
        <f>VLOOKUP(Profile!$J$5,Families!$C:$R,2,FALSE)</f>
        <v>North Dorset</v>
      </c>
      <c r="AG68" s="15" t="e">
        <f t="shared" si="15"/>
        <v>#N/A</v>
      </c>
      <c r="AH68" s="46" t="e">
        <f t="shared" si="40"/>
        <v>#N/A</v>
      </c>
      <c r="AI68" s="5" t="str">
        <f>IF(L68="","",VLOOKUP($L68,classifications!$C:$J,8,FALSE))</f>
        <v>Surrey</v>
      </c>
      <c r="AJ68" s="42" t="str">
        <f t="shared" si="41"/>
        <v/>
      </c>
      <c r="AK68" s="39" t="str">
        <f>IF(AJ68="","",IF(I$8="A",(RANK(AJ68,AJ$11:AJ$333,1)+COUNTIF(AJ$11:AJ68,AJ68)-1),(RANK(AJ68,AJ$11:AJ$333)+COUNTIF(AJ$11:AJ68,AJ68)-1)))</f>
        <v/>
      </c>
      <c r="AL68" s="3" t="str">
        <f t="shared" si="16"/>
        <v/>
      </c>
      <c r="AM68" t="str">
        <f t="shared" si="6"/>
        <v/>
      </c>
      <c r="AN68" t="str">
        <f t="shared" si="7"/>
        <v/>
      </c>
      <c r="AP68" s="5" t="str">
        <f>IF(L68="","",VLOOKUP($L68,classifications!$C:$E,3,FALSE))</f>
        <v>South East</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96.9</v>
      </c>
    </row>
    <row r="69" spans="1:50">
      <c r="A69" s="55" t="str">
        <f>$D$1&amp;59</f>
        <v>SD59</v>
      </c>
      <c r="B69" s="56">
        <f>IF(ISERROR(VLOOKUP(A69,classifications!A:C,3,FALSE)),0,VLOOKUP(A69,classifications!A:C,3,FALSE))</f>
        <v>0</v>
      </c>
      <c r="C69" t="s">
        <v>369</v>
      </c>
      <c r="D69" t="str">
        <f>VLOOKUP($C69,classifications!$C:$J,4,FALSE)</f>
        <v>L</v>
      </c>
      <c r="E69">
        <f>VLOOKUP(C69,classifications!C:K,9,FALSE)</f>
        <v>0</v>
      </c>
      <c r="F69">
        <f t="shared" si="0"/>
        <v>97.58</v>
      </c>
      <c r="G69" s="15"/>
      <c r="H69" s="41" t="str">
        <f t="shared" si="1"/>
        <v/>
      </c>
      <c r="I69" s="73" t="str">
        <f>IF(H69="","",IF($I$8="A",(RANK(H69,H$11:H$333,1)+COUNTIF(H$11:H69,H69)-1),(RANK(H69,H$11:H$333)+COUNTIF(H$11:H69,H69)-1)))</f>
        <v/>
      </c>
      <c r="J69" s="40"/>
      <c r="K69" s="35">
        <f t="shared" si="10"/>
        <v>59</v>
      </c>
      <c r="L69" t="str">
        <f t="shared" si="2"/>
        <v>Waverley</v>
      </c>
      <c r="M69" s="109">
        <f t="shared" si="3"/>
        <v>97.81</v>
      </c>
      <c r="N69" s="104">
        <f t="shared" si="31"/>
        <v>97.81</v>
      </c>
      <c r="O69" s="89" t="str">
        <f t="shared" si="32"/>
        <v/>
      </c>
      <c r="P69" s="89">
        <f t="shared" si="33"/>
        <v>97.81</v>
      </c>
      <c r="Q69" s="89" t="str">
        <f t="shared" si="34"/>
        <v/>
      </c>
      <c r="R69" s="85" t="str">
        <f t="shared" si="35"/>
        <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 xml:space="preserve">Predominantly Rural </v>
      </c>
      <c r="Y69">
        <f t="shared" si="38"/>
        <v>97.81</v>
      </c>
      <c r="Z69" s="39">
        <f>IF(Y69="","",IF(I$8="A",(RANK(Y69,Y$11:Y$333,1)+COUNTIF(Y$11:Y69,Y69)-1),(RANK(Y69,Y$11:Y$333)+COUNTIF(Y$11:Y69,Y69)-1)))</f>
        <v>28</v>
      </c>
      <c r="AA69" s="177" t="str">
        <f>IF(L69="","",VLOOKUP($L69,classifications!C:I,7,FALSE))</f>
        <v>Predominantly Rural</v>
      </c>
      <c r="AB69" s="173">
        <f t="shared" si="39"/>
        <v>97.81</v>
      </c>
      <c r="AC69" s="173">
        <f>IF(AB69="","",IF($I$8="A",(RANK(AB69,AB$11:AB$333)+COUNTIF(AB$11:AB69,AB69)-1),(RANK(AB69,AB$11:AB$333,1)+COUNTIF(AB$11:AB69,AB69)-1)))</f>
        <v>30</v>
      </c>
      <c r="AD69" s="173"/>
      <c r="AE69" s="45" t="e">
        <f>IF(I$8="A",(RANK(AG69,AG$11:AG$333,1)+COUNTIF(AG$11:AG69,AG69)-1),(RANK(AG69,AG$11:AG$333)+COUNTIF(AG$11:AG69,AG69)-1))</f>
        <v>#N/A</v>
      </c>
      <c r="AF69" t="str">
        <f>VLOOKUP(Profile!$J$5,Families!$C:$R,2,FALSE)</f>
        <v>North Dorset</v>
      </c>
      <c r="AG69" s="15" t="e">
        <f t="shared" si="15"/>
        <v>#N/A</v>
      </c>
      <c r="AH69" s="46" t="e">
        <f t="shared" si="40"/>
        <v>#N/A</v>
      </c>
      <c r="AI69" s="5" t="str">
        <f>IF(L69="","",VLOOKUP($L69,classifications!$C:$J,8,FALSE))</f>
        <v>Surrey</v>
      </c>
      <c r="AJ69" s="42" t="str">
        <f t="shared" si="41"/>
        <v/>
      </c>
      <c r="AK69" s="39" t="str">
        <f>IF(AJ69="","",IF(I$8="A",(RANK(AJ69,AJ$11:AJ$333,1)+COUNTIF(AJ$11:AJ69,AJ69)-1),(RANK(AJ69,AJ$11:AJ$333)+COUNTIF(AJ$11:AJ69,AJ69)-1)))</f>
        <v/>
      </c>
      <c r="AL69" s="3" t="str">
        <f t="shared" si="16"/>
        <v/>
      </c>
      <c r="AM69" t="str">
        <f t="shared" si="6"/>
        <v/>
      </c>
      <c r="AN69" t="str">
        <f t="shared" si="7"/>
        <v/>
      </c>
      <c r="AP69" s="5" t="str">
        <f>IF(L69="","",VLOOKUP($L69,classifications!$C:$E,3,FALSE))</f>
        <v>South East</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97.58</v>
      </c>
    </row>
    <row r="70" spans="1:50">
      <c r="A70" s="55" t="str">
        <f>$D$1&amp;60</f>
        <v>SD60</v>
      </c>
      <c r="B70" s="56">
        <f>IF(ISERROR(VLOOKUP(A70,classifications!A:C,3,FALSE)),0,VLOOKUP(A70,classifications!A:C,3,FALSE))</f>
        <v>0</v>
      </c>
      <c r="C70" t="s">
        <v>41</v>
      </c>
      <c r="D70" t="str">
        <f>VLOOKUP($C70,classifications!$C:$J,4,FALSE)</f>
        <v>SD</v>
      </c>
      <c r="E70">
        <f>VLOOKUP(C70,classifications!C:K,9,FALSE)</f>
        <v>0</v>
      </c>
      <c r="F70">
        <f t="shared" si="0"/>
        <v>97.63</v>
      </c>
      <c r="G70" s="15"/>
      <c r="H70" s="41">
        <f t="shared" si="1"/>
        <v>97.63</v>
      </c>
      <c r="I70" s="73">
        <f>IF(H70="","",IF($I$8="A",(RANK(H70,H$11:H$333,1)+COUNTIF(H$11:H70,H70)-1),(RANK(H70,H$11:H$333)+COUNTIF(H$11:H70,H70)-1)))</f>
        <v>68</v>
      </c>
      <c r="J70" s="40"/>
      <c r="K70" s="35">
        <f t="shared" si="10"/>
        <v>60</v>
      </c>
      <c r="L70" t="str">
        <f t="shared" si="2"/>
        <v>West Oxfordshire</v>
      </c>
      <c r="M70" s="109">
        <f t="shared" si="3"/>
        <v>97.81</v>
      </c>
      <c r="N70" s="104">
        <f t="shared" si="31"/>
        <v>97.81</v>
      </c>
      <c r="O70" s="89" t="str">
        <f t="shared" si="32"/>
        <v/>
      </c>
      <c r="P70" s="89">
        <f t="shared" si="33"/>
        <v>97.81</v>
      </c>
      <c r="Q70" s="89" t="str">
        <f t="shared" si="34"/>
        <v/>
      </c>
      <c r="R70" s="85" t="str">
        <f t="shared" si="35"/>
        <v/>
      </c>
      <c r="S70" s="41" t="str">
        <f t="shared" si="36"/>
        <v/>
      </c>
      <c r="T70" s="166" t="str">
        <f>IF(L70="","",VLOOKUP(L70,classifications!C:K,9,FALSE))</f>
        <v>Sparse</v>
      </c>
      <c r="U70" s="167">
        <f t="shared" si="37"/>
        <v>97.81</v>
      </c>
      <c r="V70" s="173">
        <f>IF(U70="","",IF($I$8="A",(RANK(U70,U$11:U$333)+COUNTIF(U$11:U70,U70)-1),(RANK(U70,U$11:U$333,1)+COUNTIF(U$11:U70,U70)-1)))</f>
        <v>24</v>
      </c>
      <c r="W70" s="174"/>
      <c r="X70" s="5" t="str">
        <f>IF(L70="","",VLOOKUP($L70,classifications!$C:$J,6,FALSE))</f>
        <v xml:space="preserve">Predominantly Rural </v>
      </c>
      <c r="Y70">
        <f t="shared" si="38"/>
        <v>97.81</v>
      </c>
      <c r="Z70" s="39">
        <f>IF(Y70="","",IF(I$8="A",(RANK(Y70,Y$11:Y$333,1)+COUNTIF(Y$11:Y70,Y70)-1),(RANK(Y70,Y$11:Y$333)+COUNTIF(Y$11:Y70,Y70)-1)))</f>
        <v>29</v>
      </c>
      <c r="AA70" s="177" t="str">
        <f>IF(L70="","",VLOOKUP($L70,classifications!C:I,7,FALSE))</f>
        <v>Predominantly Rural</v>
      </c>
      <c r="AB70" s="173">
        <f t="shared" si="39"/>
        <v>97.81</v>
      </c>
      <c r="AC70" s="173">
        <f>IF(AB70="","",IF($I$8="A",(RANK(AB70,AB$11:AB$333)+COUNTIF(AB$11:AB70,AB70)-1),(RANK(AB70,AB$11:AB$333,1)+COUNTIF(AB$11:AB70,AB70)-1)))</f>
        <v>31</v>
      </c>
      <c r="AD70" s="173"/>
      <c r="AE70" s="45" t="e">
        <f>IF(I$8="A",(RANK(AG70,AG$11:AG$333,1)+COUNTIF(AG$11:AG70,AG70)-1),(RANK(AG70,AG$11:AG$333)+COUNTIF(AG$11:AG70,AG70)-1))</f>
        <v>#N/A</v>
      </c>
      <c r="AF70" t="str">
        <f>VLOOKUP(Profile!$J$5,Families!$C:$R,2,FALSE)</f>
        <v>North Dorset</v>
      </c>
      <c r="AG70" s="15" t="e">
        <f t="shared" si="15"/>
        <v>#N/A</v>
      </c>
      <c r="AH70" s="46" t="e">
        <f t="shared" si="40"/>
        <v>#N/A</v>
      </c>
      <c r="AI70" s="5" t="str">
        <f>IF(L70="","",VLOOKUP($L70,classifications!$C:$J,8,FALSE))</f>
        <v>Oxfordshire</v>
      </c>
      <c r="AJ70" s="42" t="str">
        <f t="shared" si="41"/>
        <v/>
      </c>
      <c r="AK70" s="39" t="str">
        <f>IF(AJ70="","",IF(I$8="A",(RANK(AJ70,AJ$11:AJ$333,1)+COUNTIF(AJ$11:AJ70,AJ70)-1),(RANK(AJ70,AJ$11:AJ$333)+COUNTIF(AJ$11:AJ70,AJ70)-1)))</f>
        <v/>
      </c>
      <c r="AL70" s="3" t="str">
        <f t="shared" si="16"/>
        <v/>
      </c>
      <c r="AM70" t="str">
        <f t="shared" si="6"/>
        <v/>
      </c>
      <c r="AN70" t="str">
        <f t="shared" si="7"/>
        <v/>
      </c>
      <c r="AP70" s="5" t="str">
        <f>IF(L70="","",VLOOKUP($L70,classifications!$C:$E,3,FALSE))</f>
        <v>South East</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97.63</v>
      </c>
    </row>
    <row r="71" spans="1:50">
      <c r="A71" s="55" t="str">
        <f>$D$1&amp;61</f>
        <v>SD61</v>
      </c>
      <c r="B71" s="56">
        <f>IF(ISERROR(VLOOKUP(A71,classifications!A:C,3,FALSE)),0,VLOOKUP(A71,classifications!A:C,3,FALSE))</f>
        <v>0</v>
      </c>
      <c r="C71" t="s">
        <v>305</v>
      </c>
      <c r="D71" t="str">
        <f>VLOOKUP($C71,classifications!$C:$J,4,FALSE)</f>
        <v>UA</v>
      </c>
      <c r="E71" t="str">
        <f>VLOOKUP(C71,classifications!C:K,9,FALSE)</f>
        <v>Sparse</v>
      </c>
      <c r="F71">
        <f t="shared" si="0"/>
        <v>97</v>
      </c>
      <c r="G71" s="15"/>
      <c r="H71" s="41" t="str">
        <f t="shared" si="1"/>
        <v/>
      </c>
      <c r="I71" s="73" t="str">
        <f>IF(H71="","",IF($I$8="A",(RANK(H71,H$11:H$333,1)+COUNTIF(H$11:H71,H71)-1),(RANK(H71,H$11:H$333)+COUNTIF(H$11:H71,H71)-1)))</f>
        <v/>
      </c>
      <c r="J71" s="40"/>
      <c r="K71" s="35">
        <f t="shared" si="10"/>
        <v>61</v>
      </c>
      <c r="L71" t="str">
        <f t="shared" si="2"/>
        <v>East Cambridgeshire</v>
      </c>
      <c r="M71" s="109">
        <f t="shared" si="3"/>
        <v>97.8</v>
      </c>
      <c r="N71" s="104">
        <f t="shared" si="31"/>
        <v>97.8</v>
      </c>
      <c r="O71" s="89" t="str">
        <f t="shared" si="32"/>
        <v/>
      </c>
      <c r="P71" s="89">
        <f t="shared" si="33"/>
        <v>97.8</v>
      </c>
      <c r="Q71" s="89" t="str">
        <f t="shared" si="34"/>
        <v/>
      </c>
      <c r="R71" s="85" t="str">
        <f t="shared" si="35"/>
        <v/>
      </c>
      <c r="S71" s="41" t="str">
        <f t="shared" si="36"/>
        <v/>
      </c>
      <c r="T71" s="166" t="str">
        <f>IF(L71="","",VLOOKUP(L71,classifications!C:K,9,FALSE))</f>
        <v>Sparse</v>
      </c>
      <c r="U71" s="167">
        <f t="shared" si="37"/>
        <v>97.8</v>
      </c>
      <c r="V71" s="173">
        <f>IF(U71="","",IF($I$8="A",(RANK(U71,U$11:U$333)+COUNTIF(U$11:U71,U71)-1),(RANK(U71,U$11:U$333,1)+COUNTIF(U$11:U71,U71)-1)))</f>
        <v>23</v>
      </c>
      <c r="W71" s="174"/>
      <c r="X71" s="5" t="str">
        <f>IF(L71="","",VLOOKUP($L71,classifications!$C:$J,6,FALSE))</f>
        <v xml:space="preserve">Predominantly Rural </v>
      </c>
      <c r="Y71">
        <f t="shared" si="38"/>
        <v>97.8</v>
      </c>
      <c r="Z71" s="39">
        <f>IF(Y71="","",IF(I$8="A",(RANK(Y71,Y$11:Y$333,1)+COUNTIF(Y$11:Y71,Y71)-1),(RANK(Y71,Y$11:Y$333)+COUNTIF(Y$11:Y71,Y71)-1)))</f>
        <v>30</v>
      </c>
      <c r="AA71" s="177" t="str">
        <f>IF(L71="","",VLOOKUP($L71,classifications!C:I,7,FALSE))</f>
        <v>Predominantly Rural</v>
      </c>
      <c r="AB71" s="173">
        <f t="shared" si="39"/>
        <v>97.8</v>
      </c>
      <c r="AC71" s="173">
        <f>IF(AB71="","",IF($I$8="A",(RANK(AB71,AB$11:AB$333)+COUNTIF(AB$11:AB71,AB71)-1),(RANK(AB71,AB$11:AB$333,1)+COUNTIF(AB$11:AB71,AB71)-1)))</f>
        <v>28</v>
      </c>
      <c r="AD71" s="173"/>
      <c r="AE71" s="45" t="e">
        <f>IF(I$8="A",(RANK(AG71,AG$11:AG$333,1)+COUNTIF(AG$11:AG71,AG71)-1),(RANK(AG71,AG$11:AG$333)+COUNTIF(AG$11:AG71,AG71)-1))</f>
        <v>#N/A</v>
      </c>
      <c r="AF71" t="str">
        <f>VLOOKUP(Profile!$J$5,Families!$C:$R,2,FALSE)</f>
        <v>North Dorset</v>
      </c>
      <c r="AG71" s="15" t="e">
        <f t="shared" si="15"/>
        <v>#N/A</v>
      </c>
      <c r="AH71" s="46" t="e">
        <f t="shared" si="40"/>
        <v>#N/A</v>
      </c>
      <c r="AI71" s="5" t="str">
        <f>IF(L71="","",VLOOKUP($L71,classifications!$C:$J,8,FALSE))</f>
        <v>Cambridgeshire</v>
      </c>
      <c r="AJ71" s="42" t="str">
        <f t="shared" si="41"/>
        <v/>
      </c>
      <c r="AK71" s="39" t="str">
        <f>IF(AJ71="","",IF(I$8="A",(RANK(AJ71,AJ$11:AJ$333,1)+COUNTIF(AJ$11:AJ71,AJ71)-1),(RANK(AJ71,AJ$11:AJ$333)+COUNTIF(AJ$11:AJ71,AJ71)-1)))</f>
        <v/>
      </c>
      <c r="AL71" s="3" t="str">
        <f t="shared" si="16"/>
        <v/>
      </c>
      <c r="AM71" t="str">
        <f t="shared" si="6"/>
        <v/>
      </c>
      <c r="AN71" t="str">
        <f t="shared" si="7"/>
        <v/>
      </c>
      <c r="AP71" s="5" t="str">
        <f>IF(L71="","",VLOOKUP($L71,classifications!$C:$E,3,FALSE))</f>
        <v>East of England</v>
      </c>
      <c r="AQ71" s="42">
        <f t="shared" si="42"/>
        <v>97.8</v>
      </c>
      <c r="AR71" s="39">
        <f>IF(AQ71="","",IF(I$8="A",(RANK(AQ71,AQ$11:AQ$333,1)+COUNTIF(AQ$11:AQ71,AQ71)-1),(RANK(AQ71,AQ$11:AQ$333)+COUNTIF(AQ$11:AQ71,AQ71)-1)))</f>
        <v>13</v>
      </c>
      <c r="AS71" s="3" t="str">
        <f t="shared" si="18"/>
        <v/>
      </c>
      <c r="AT71" s="39" t="str">
        <f t="shared" si="8"/>
        <v/>
      </c>
      <c r="AU71" s="42" t="str">
        <f t="shared" si="9"/>
        <v/>
      </c>
      <c r="AX71">
        <f>HLOOKUP($AX$9&amp;$AX$10,Data!$A$1:$ZT$1975,(MATCH($C71,Data!$A$1:$A$1975,0)),FALSE)</f>
        <v>97</v>
      </c>
    </row>
    <row r="72" spans="1:50">
      <c r="A72" s="55" t="str">
        <f>$D$1&amp;62</f>
        <v>SD62</v>
      </c>
      <c r="B72" s="56">
        <f>IF(ISERROR(VLOOKUP(A72,classifications!A:C,3,FALSE)),0,VLOOKUP(A72,classifications!A:C,3,FALSE))</f>
        <v>0</v>
      </c>
      <c r="C72" t="s">
        <v>44</v>
      </c>
      <c r="D72" t="str">
        <f>VLOOKUP($C72,classifications!$C:$J,4,FALSE)</f>
        <v>SD</v>
      </c>
      <c r="E72" t="str">
        <f>VLOOKUP(C72,classifications!C:K,9,FALSE)</f>
        <v>Sparse</v>
      </c>
      <c r="F72">
        <f t="shared" si="0"/>
        <v>98.32</v>
      </c>
      <c r="G72" s="15"/>
      <c r="H72" s="41">
        <f t="shared" si="1"/>
        <v>98.32</v>
      </c>
      <c r="I72" s="73">
        <f>IF(H72="","",IF($I$8="A",(RANK(H72,H$11:H$333,1)+COUNTIF(H$11:H72,H72)-1),(RANK(H72,H$11:H$333)+COUNTIF(H$11:H72,H72)-1)))</f>
        <v>28</v>
      </c>
      <c r="J72" s="40"/>
      <c r="K72" s="35">
        <f t="shared" si="10"/>
        <v>62</v>
      </c>
      <c r="L72" t="str">
        <f t="shared" si="2"/>
        <v>Huntingdonshire</v>
      </c>
      <c r="M72" s="109">
        <f t="shared" si="3"/>
        <v>97.8</v>
      </c>
      <c r="N72" s="104">
        <f t="shared" si="31"/>
        <v>97.8</v>
      </c>
      <c r="O72" s="89" t="str">
        <f t="shared" si="32"/>
        <v/>
      </c>
      <c r="P72" s="89">
        <f t="shared" si="33"/>
        <v>97.8</v>
      </c>
      <c r="Q72" s="89" t="str">
        <f t="shared" si="34"/>
        <v/>
      </c>
      <c r="R72" s="85" t="str">
        <f t="shared" si="35"/>
        <v/>
      </c>
      <c r="S72" s="41" t="str">
        <f t="shared" si="36"/>
        <v/>
      </c>
      <c r="T72" s="166">
        <f>IF(L72="","",VLOOKUP(L72,classifications!C:K,9,FALSE))</f>
        <v>0</v>
      </c>
      <c r="U72" s="167" t="str">
        <f t="shared" si="37"/>
        <v/>
      </c>
      <c r="V72" s="173" t="str">
        <f>IF(U72="","",IF($I$8="A",(RANK(U72,U$11:U$333)+COUNTIF(U$11:U72,U72)-1),(RANK(U72,U$11:U$333,1)+COUNTIF(U$11:U72,U72)-1)))</f>
        <v/>
      </c>
      <c r="W72" s="174"/>
      <c r="X72" s="5" t="str">
        <f>IF(L72="","",VLOOKUP($L72,classifications!$C:$J,6,FALSE))</f>
        <v xml:space="preserve">Predominantly Rural </v>
      </c>
      <c r="Y72">
        <f t="shared" si="38"/>
        <v>97.8</v>
      </c>
      <c r="Z72" s="39">
        <f>IF(Y72="","",IF(I$8="A",(RANK(Y72,Y$11:Y$333,1)+COUNTIF(Y$11:Y72,Y72)-1),(RANK(Y72,Y$11:Y$333)+COUNTIF(Y$11:Y72,Y72)-1)))</f>
        <v>31</v>
      </c>
      <c r="AA72" s="177" t="str">
        <f>IF(L72="","",VLOOKUP($L72,classifications!C:I,7,FALSE))</f>
        <v>Predominantly Rural</v>
      </c>
      <c r="AB72" s="173">
        <f t="shared" si="39"/>
        <v>97.8</v>
      </c>
      <c r="AC72" s="173">
        <f>IF(AB72="","",IF($I$8="A",(RANK(AB72,AB$11:AB$333)+COUNTIF(AB$11:AB72,AB72)-1),(RANK(AB72,AB$11:AB$333,1)+COUNTIF(AB$11:AB72,AB72)-1)))</f>
        <v>29</v>
      </c>
      <c r="AD72" s="173"/>
      <c r="AE72" s="45" t="e">
        <f>IF(I$8="A",(RANK(AG72,AG$11:AG$333,1)+COUNTIF(AG$11:AG72,AG72)-1),(RANK(AG72,AG$11:AG$333)+COUNTIF(AG$11:AG72,AG72)-1))</f>
        <v>#N/A</v>
      </c>
      <c r="AF72" t="str">
        <f>VLOOKUP(Profile!$J$5,Families!$C:$R,2,FALSE)</f>
        <v>North Dorset</v>
      </c>
      <c r="AG72" s="15" t="e">
        <f t="shared" si="15"/>
        <v>#N/A</v>
      </c>
      <c r="AH72" s="46" t="e">
        <f t="shared" si="40"/>
        <v>#N/A</v>
      </c>
      <c r="AI72" s="5" t="str">
        <f>IF(L72="","",VLOOKUP($L72,classifications!$C:$J,8,FALSE))</f>
        <v>Cambridgeshire</v>
      </c>
      <c r="AJ72" s="42" t="str">
        <f t="shared" si="41"/>
        <v/>
      </c>
      <c r="AK72" s="39" t="str">
        <f>IF(AJ72="","",IF(I$8="A",(RANK(AJ72,AJ$11:AJ$333,1)+COUNTIF(AJ$11:AJ72,AJ72)-1),(RANK(AJ72,AJ$11:AJ$333)+COUNTIF(AJ$11:AJ72,AJ72)-1)))</f>
        <v/>
      </c>
      <c r="AL72" s="3" t="str">
        <f t="shared" si="16"/>
        <v/>
      </c>
      <c r="AM72" t="str">
        <f t="shared" si="6"/>
        <v/>
      </c>
      <c r="AN72" t="str">
        <f t="shared" si="7"/>
        <v/>
      </c>
      <c r="AP72" s="5" t="str">
        <f>IF(L72="","",VLOOKUP($L72,classifications!$C:$E,3,FALSE))</f>
        <v>East of England</v>
      </c>
      <c r="AQ72" s="42">
        <f t="shared" si="42"/>
        <v>97.8</v>
      </c>
      <c r="AR72" s="39">
        <f>IF(AQ72="","",IF(I$8="A",(RANK(AQ72,AQ$11:AQ$333,1)+COUNTIF(AQ$11:AQ72,AQ72)-1),(RANK(AQ72,AQ$11:AQ$333)+COUNTIF(AQ$11:AQ72,AQ72)-1)))</f>
        <v>14</v>
      </c>
      <c r="AS72" s="3" t="str">
        <f t="shared" si="18"/>
        <v/>
      </c>
      <c r="AT72" s="39" t="str">
        <f t="shared" si="8"/>
        <v/>
      </c>
      <c r="AU72" s="42" t="str">
        <f t="shared" si="9"/>
        <v/>
      </c>
      <c r="AX72">
        <f>HLOOKUP($AX$9&amp;$AX$10,Data!$A$1:$ZT$1975,(MATCH($C72,Data!$A$1:$A$1975,0)),FALSE)</f>
        <v>98.32</v>
      </c>
    </row>
    <row r="73" spans="1:50">
      <c r="A73" s="55" t="str">
        <f>$D$1&amp;63</f>
        <v>SD63</v>
      </c>
      <c r="B73" s="56">
        <f>IF(ISERROR(VLOOKUP(A73,classifications!A:C,3,FALSE)),0,VLOOKUP(A73,classifications!A:C,3,FALSE))</f>
        <v>0</v>
      </c>
      <c r="C73" t="s">
        <v>228</v>
      </c>
      <c r="D73" t="str">
        <f>VLOOKUP($C73,classifications!$C:$J,4,FALSE)</f>
        <v>MD</v>
      </c>
      <c r="E73">
        <f>VLOOKUP(C73,classifications!C:K,9,FALSE)</f>
        <v>0</v>
      </c>
      <c r="F73">
        <f t="shared" si="0"/>
        <v>93.65</v>
      </c>
      <c r="G73" s="15"/>
      <c r="H73" s="41" t="str">
        <f t="shared" si="1"/>
        <v/>
      </c>
      <c r="I73" s="73" t="str">
        <f>IF(H73="","",IF($I$8="A",(RANK(H73,H$11:H$333,1)+COUNTIF(H$11:H73,H73)-1),(RANK(H73,H$11:H$333)+COUNTIF(H$11:H73,H73)-1)))</f>
        <v/>
      </c>
      <c r="J73" s="40"/>
      <c r="K73" s="35">
        <f t="shared" si="10"/>
        <v>63</v>
      </c>
      <c r="L73" t="str">
        <f t="shared" si="2"/>
        <v>West Lindsey</v>
      </c>
      <c r="M73" s="109">
        <f t="shared" si="3"/>
        <v>97.73</v>
      </c>
      <c r="N73" s="104">
        <f t="shared" si="31"/>
        <v>97.73</v>
      </c>
      <c r="O73" s="89" t="str">
        <f t="shared" si="32"/>
        <v/>
      </c>
      <c r="P73" s="89">
        <f t="shared" si="33"/>
        <v>97.73</v>
      </c>
      <c r="Q73" s="89" t="str">
        <f t="shared" si="34"/>
        <v/>
      </c>
      <c r="R73" s="85" t="str">
        <f t="shared" si="35"/>
        <v/>
      </c>
      <c r="S73" s="41" t="str">
        <f t="shared" si="36"/>
        <v/>
      </c>
      <c r="T73" s="166" t="str">
        <f>IF(L73="","",VLOOKUP(L73,classifications!C:K,9,FALSE))</f>
        <v>Sparse</v>
      </c>
      <c r="U73" s="167">
        <f t="shared" si="37"/>
        <v>97.73</v>
      </c>
      <c r="V73" s="173">
        <f>IF(U73="","",IF($I$8="A",(RANK(U73,U$11:U$333)+COUNTIF(U$11:U73,U73)-1),(RANK(U73,U$11:U$333,1)+COUNTIF(U$11:U73,U73)-1)))</f>
        <v>22</v>
      </c>
      <c r="W73" s="174"/>
      <c r="X73" s="5" t="str">
        <f>IF(L73="","",VLOOKUP($L73,classifications!$C:$J,6,FALSE))</f>
        <v xml:space="preserve">Predominantly Rural </v>
      </c>
      <c r="Y73">
        <f t="shared" si="38"/>
        <v>97.73</v>
      </c>
      <c r="Z73" s="39">
        <f>IF(Y73="","",IF(I$8="A",(RANK(Y73,Y$11:Y$333,1)+COUNTIF(Y$11:Y73,Y73)-1),(RANK(Y73,Y$11:Y$333)+COUNTIF(Y$11:Y73,Y73)-1)))</f>
        <v>32</v>
      </c>
      <c r="AA73" s="177" t="str">
        <f>IF(L73="","",VLOOKUP($L73,classifications!C:I,7,FALSE))</f>
        <v>Predominantly Rural</v>
      </c>
      <c r="AB73" s="173">
        <f t="shared" si="39"/>
        <v>97.73</v>
      </c>
      <c r="AC73" s="173">
        <f>IF(AB73="","",IF($I$8="A",(RANK(AB73,AB$11:AB$333)+COUNTIF(AB$11:AB73,AB73)-1),(RANK(AB73,AB$11:AB$333,1)+COUNTIF(AB$11:AB73,AB73)-1)))</f>
        <v>27</v>
      </c>
      <c r="AD73" s="173"/>
      <c r="AE73" s="45" t="e">
        <f>IF(I$8="A",(RANK(AG73,AG$11:AG$333,1)+COUNTIF(AG$11:AG73,AG73)-1),(RANK(AG73,AG$11:AG$333)+COUNTIF(AG$11:AG73,AG73)-1))</f>
        <v>#N/A</v>
      </c>
      <c r="AF73" t="str">
        <f>VLOOKUP(Profile!$J$5,Families!$C:$R,2,FALSE)</f>
        <v>North Dorset</v>
      </c>
      <c r="AG73" s="15" t="e">
        <f t="shared" si="15"/>
        <v>#N/A</v>
      </c>
      <c r="AH73" s="46" t="e">
        <f t="shared" si="40"/>
        <v>#N/A</v>
      </c>
      <c r="AI73" s="5" t="str">
        <f>IF(L73="","",VLOOKUP($L73,classifications!$C:$J,8,FALSE))</f>
        <v>Lincolnshire</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East Midlands</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93.65</v>
      </c>
    </row>
    <row r="74" spans="1:50">
      <c r="A74" s="55" t="str">
        <f>$D$1&amp;64</f>
        <v>SD64</v>
      </c>
      <c r="B74" s="56">
        <f>IF(ISERROR(VLOOKUP(A74,classifications!A:C,3,FALSE)),0,VLOOKUP(A74,classifications!A:C,3,FALSE))</f>
        <v>0</v>
      </c>
      <c r="C74" t="s">
        <v>46</v>
      </c>
      <c r="D74" t="str">
        <f>VLOOKUP($C74,classifications!$C:$J,4,FALSE)</f>
        <v>SD</v>
      </c>
      <c r="E74">
        <f>VLOOKUP(C74,classifications!C:K,9,FALSE)</f>
        <v>0</v>
      </c>
      <c r="F74">
        <f t="shared" si="0"/>
        <v>97.06</v>
      </c>
      <c r="G74" s="15"/>
      <c r="H74" s="41">
        <f t="shared" si="1"/>
        <v>97.06</v>
      </c>
      <c r="I74" s="73">
        <f>IF(H74="","",IF($I$8="A",(RANK(H74,H$11:H$333,1)+COUNTIF(H$11:H74,H74)-1),(RANK(H74,H$11:H$333)+COUNTIF(H$11:H74,H74)-1)))</f>
        <v>97</v>
      </c>
      <c r="J74" s="40"/>
      <c r="K74" s="35">
        <f t="shared" si="10"/>
        <v>64</v>
      </c>
      <c r="L74" t="str">
        <f t="shared" si="2"/>
        <v>Chichester</v>
      </c>
      <c r="M74" s="109">
        <f t="shared" si="3"/>
        <v>97.71</v>
      </c>
      <c r="N74" s="104">
        <f t="shared" si="31"/>
        <v>97.71</v>
      </c>
      <c r="O74" s="89" t="str">
        <f t="shared" si="32"/>
        <v/>
      </c>
      <c r="P74" s="89">
        <f t="shared" si="33"/>
        <v>97.71</v>
      </c>
      <c r="Q74" s="89" t="str">
        <f t="shared" si="34"/>
        <v/>
      </c>
      <c r="R74" s="85" t="str">
        <f t="shared" si="35"/>
        <v/>
      </c>
      <c r="S74" s="41" t="str">
        <f t="shared" si="36"/>
        <v/>
      </c>
      <c r="T74" s="166" t="str">
        <f>IF(L74="","",VLOOKUP(L74,classifications!C:K,9,FALSE))</f>
        <v>Sparse</v>
      </c>
      <c r="U74" s="167">
        <f t="shared" si="37"/>
        <v>97.71</v>
      </c>
      <c r="V74" s="173">
        <f>IF(U74="","",IF($I$8="A",(RANK(U74,U$11:U$333)+COUNTIF(U$11:U74,U74)-1),(RANK(U74,U$11:U$333,1)+COUNTIF(U$11:U74,U74)-1)))</f>
        <v>21</v>
      </c>
      <c r="W74" s="174"/>
      <c r="X74" s="5" t="str">
        <f>IF(L74="","",VLOOKUP($L74,classifications!$C:$J,6,FALSE))</f>
        <v xml:space="preserve">Predominantly Rural </v>
      </c>
      <c r="Y74">
        <f t="shared" si="38"/>
        <v>97.71</v>
      </c>
      <c r="Z74" s="39">
        <f>IF(Y74="","",IF(I$8="A",(RANK(Y74,Y$11:Y$333,1)+COUNTIF(Y$11:Y74,Y74)-1),(RANK(Y74,Y$11:Y$333)+COUNTIF(Y$11:Y74,Y74)-1)))</f>
        <v>33</v>
      </c>
      <c r="AA74" s="177" t="str">
        <f>IF(L74="","",VLOOKUP($L74,classifications!C:I,7,FALSE))</f>
        <v>Predominantly Rural</v>
      </c>
      <c r="AB74" s="173">
        <f t="shared" si="39"/>
        <v>97.71</v>
      </c>
      <c r="AC74" s="173">
        <f>IF(AB74="","",IF($I$8="A",(RANK(AB74,AB$11:AB$333)+COUNTIF(AB$11:AB74,AB74)-1),(RANK(AB74,AB$11:AB$333,1)+COUNTIF(AB$11:AB74,AB74)-1)))</f>
        <v>26</v>
      </c>
      <c r="AD74" s="173"/>
      <c r="AE74" s="45" t="e">
        <f>IF(I$8="A",(RANK(AG74,AG$11:AG$333,1)+COUNTIF(AG$11:AG74,AG74)-1),(RANK(AG74,AG$11:AG$333)+COUNTIF(AG$11:AG74,AG74)-1))</f>
        <v>#N/A</v>
      </c>
      <c r="AF74" t="str">
        <f>VLOOKUP(Profile!$J$5,Families!$C:$R,2,FALSE)</f>
        <v>North Dorset</v>
      </c>
      <c r="AG74" s="15" t="e">
        <f t="shared" si="15"/>
        <v>#N/A</v>
      </c>
      <c r="AH74" s="46" t="e">
        <f t="shared" si="40"/>
        <v>#N/A</v>
      </c>
      <c r="AI74" s="5" t="str">
        <f>IF(L74="","",VLOOKUP($L74,classifications!$C:$J,8,FALSE))</f>
        <v>West Sussex</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South East</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97.06</v>
      </c>
    </row>
    <row r="75" spans="1:50">
      <c r="A75" s="55" t="str">
        <f>$D$1&amp;65</f>
        <v>SD65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94.6</v>
      </c>
      <c r="G75" s="15"/>
      <c r="H75" s="41" t="str">
        <f t="shared" ref="H75:H138" si="44">IF(D75=$D$1,HLOOKUP($D$6,$AX$10:$ZZ$337,ROW()-9,FALSE),"")</f>
        <v/>
      </c>
      <c r="I75" s="73" t="str">
        <f>IF(H75="","",IF($I$8="A",(RANK(H75,H$11:H$333,1)+COUNTIF(H$11:H75,H75)-1),(RANK(H75,H$11:H$333)+COUNTIF(H$11:H75,H75)-1)))</f>
        <v/>
      </c>
      <c r="J75" s="40"/>
      <c r="K75" s="35">
        <f t="shared" si="10"/>
        <v>65</v>
      </c>
      <c r="L75" t="str">
        <f t="shared" ref="L75:L138" si="45">IF(K75="","",INDEX(C$11:C$327,MATCH(K75,I$11:I$333,0)))</f>
        <v>Teignbridge</v>
      </c>
      <c r="M75" s="109">
        <f t="shared" ref="M75:M138" si="46">IF(L75="","",IF(VLOOKUP(L75,C:D,2,FALSE)=$F$3,VLOOKUP(L75,C:H,6,FALSE),""))</f>
        <v>97.69</v>
      </c>
      <c r="N75" s="104">
        <f t="shared" si="31"/>
        <v>97.69</v>
      </c>
      <c r="O75" s="89" t="str">
        <f t="shared" si="32"/>
        <v/>
      </c>
      <c r="P75" s="89">
        <f t="shared" si="33"/>
        <v>97.69</v>
      </c>
      <c r="Q75" s="89" t="str">
        <f t="shared" si="34"/>
        <v/>
      </c>
      <c r="R75" s="85" t="str">
        <f t="shared" si="35"/>
        <v/>
      </c>
      <c r="S75" s="41" t="str">
        <f t="shared" si="36"/>
        <v/>
      </c>
      <c r="T75" s="166" t="str">
        <f>IF(L75="","",VLOOKUP(L75,classifications!C:K,9,FALSE))</f>
        <v>Sparse</v>
      </c>
      <c r="U75" s="167">
        <f t="shared" si="37"/>
        <v>97.69</v>
      </c>
      <c r="V75" s="173">
        <f>IF(U75="","",IF($I$8="A",(RANK(U75,U$11:U$333)+COUNTIF(U$11:U75,U75)-1),(RANK(U75,U$11:U$333,1)+COUNTIF(U$11:U75,U75)-1)))</f>
        <v>20</v>
      </c>
      <c r="W75" s="174"/>
      <c r="X75" s="5" t="str">
        <f>IF(L75="","",VLOOKUP($L75,classifications!$C:$J,6,FALSE))</f>
        <v xml:space="preserve">Predominantly Rural </v>
      </c>
      <c r="Y75">
        <f t="shared" si="38"/>
        <v>97.69</v>
      </c>
      <c r="Z75" s="39">
        <f>IF(Y75="","",IF(I$8="A",(RANK(Y75,Y$11:Y$333,1)+COUNTIF(Y$11:Y75,Y75)-1),(RANK(Y75,Y$11:Y$333)+COUNTIF(Y$11:Y75,Y75)-1)))</f>
        <v>34</v>
      </c>
      <c r="AA75" s="177" t="str">
        <f>IF(L75="","",VLOOKUP($L75,classifications!C:I,7,FALSE))</f>
        <v>Predominantly Rural</v>
      </c>
      <c r="AB75" s="173">
        <f t="shared" si="39"/>
        <v>97.69</v>
      </c>
      <c r="AC75" s="173">
        <f>IF(AB75="","",IF($I$8="A",(RANK(AB75,AB$11:AB$333)+COUNTIF(AB$11:AB75,AB75)-1),(RANK(AB75,AB$11:AB$333,1)+COUNTIF(AB$11:AB75,AB75)-1)))</f>
        <v>25</v>
      </c>
      <c r="AD75" s="173"/>
      <c r="AE75" s="45" t="e">
        <f>IF(I$8="A",(RANK(AG75,AG$11:AG$333,1)+COUNTIF(AG$11:AG75,AG75)-1),(RANK(AG75,AG$11:AG$333)+COUNTIF(AG$11:AG75,AG75)-1))</f>
        <v>#N/A</v>
      </c>
      <c r="AF75" t="str">
        <f>VLOOKUP(Profile!$J$5,Families!$C:$R,2,FALSE)</f>
        <v>North Dorset</v>
      </c>
      <c r="AG75" s="15" t="e">
        <f t="shared" si="15"/>
        <v>#N/A</v>
      </c>
      <c r="AH75" s="46" t="e">
        <f t="shared" si="40"/>
        <v>#N/A</v>
      </c>
      <c r="AI75" s="5" t="str">
        <f>IF(L75="","",VLOOKUP($L75,classifications!$C:$J,8,FALSE))</f>
        <v>Devon</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South West</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94.6</v>
      </c>
    </row>
    <row r="76" spans="1:50">
      <c r="A76" s="55" t="str">
        <f>$D$1&amp;66</f>
        <v>SD66</v>
      </c>
      <c r="B76" s="56">
        <f>IF(ISERROR(VLOOKUP(A76,classifications!A:C,3,FALSE)),0,VLOOKUP(A76,classifications!A:C,3,FALSE))</f>
        <v>0</v>
      </c>
      <c r="C76" t="s">
        <v>47</v>
      </c>
      <c r="D76" t="str">
        <f>VLOOKUP($C76,classifications!$C:$J,4,FALSE)</f>
        <v>SD</v>
      </c>
      <c r="E76">
        <f>VLOOKUP(C76,classifications!C:K,9,FALSE)</f>
        <v>0</v>
      </c>
      <c r="F76">
        <f t="shared" si="43"/>
        <v>97.14</v>
      </c>
      <c r="G76" s="15"/>
      <c r="H76" s="41">
        <f t="shared" si="44"/>
        <v>97.14</v>
      </c>
      <c r="I76" s="73">
        <f>IF(H76="","",IF($I$8="A",(RANK(H76,H$11:H$333,1)+COUNTIF(H$11:H76,H76)-1),(RANK(H76,H$11:H$333)+COUNTIF(H$11:H76,H76)-1)))</f>
        <v>95</v>
      </c>
      <c r="J76" s="40"/>
      <c r="K76" s="35">
        <f t="shared" ref="K76:K139" si="51">IF(K75="","",IF(K75+1&gt;(COUNT(H$11:H$333)),"",K75+1))</f>
        <v>66</v>
      </c>
      <c r="L76" t="str">
        <f t="shared" si="45"/>
        <v>Stroud</v>
      </c>
      <c r="M76" s="109">
        <f t="shared" si="46"/>
        <v>97.66</v>
      </c>
      <c r="N76" s="104">
        <f t="shared" si="31"/>
        <v>97.66</v>
      </c>
      <c r="O76" s="89" t="str">
        <f t="shared" si="32"/>
        <v/>
      </c>
      <c r="P76" s="89">
        <f t="shared" si="33"/>
        <v>97.66</v>
      </c>
      <c r="Q76" s="89" t="str">
        <f t="shared" si="34"/>
        <v/>
      </c>
      <c r="R76" s="85" t="str">
        <f t="shared" si="35"/>
        <v/>
      </c>
      <c r="S76" s="41" t="str">
        <f t="shared" si="36"/>
        <v/>
      </c>
      <c r="T76" s="166" t="str">
        <f>IF(L76="","",VLOOKUP(L76,classifications!C:K,9,FALSE))</f>
        <v>Sparse</v>
      </c>
      <c r="U76" s="167">
        <f t="shared" si="37"/>
        <v>97.66</v>
      </c>
      <c r="V76" s="173">
        <f>IF(U76="","",IF($I$8="A",(RANK(U76,U$11:U$333)+COUNTIF(U$11:U76,U76)-1),(RANK(U76,U$11:U$333,1)+COUNTIF(U$11:U76,U76)-1)))</f>
        <v>19</v>
      </c>
      <c r="W76" s="174"/>
      <c r="X76" s="5" t="str">
        <f>IF(L76="","",VLOOKUP($L76,classifications!$C:$J,6,FALSE))</f>
        <v>Urban with Significant Rural</v>
      </c>
      <c r="Y76" t="str">
        <f t="shared" si="38"/>
        <v/>
      </c>
      <c r="Z76" s="39" t="str">
        <f>IF(Y76="","",IF(I$8="A",(RANK(Y76,Y$11:Y$333,1)+COUNTIF(Y$11:Y76,Y76)-1),(RANK(Y76,Y$11:Y$333)+COUNTIF(Y$11:Y76,Y76)-1)))</f>
        <v/>
      </c>
      <c r="AA76" s="177" t="str">
        <f>IF(L76="","",VLOOKUP($L76,classifications!C:I,7,FALSE))</f>
        <v>Urban with Significant Rural</v>
      </c>
      <c r="AB76" s="173" t="str">
        <f t="shared" si="39"/>
        <v/>
      </c>
      <c r="AC76" s="173" t="str">
        <f>IF(AB76="","",IF($I$8="A",(RANK(AB76,AB$11:AB$333)+COUNTIF(AB$11:AB76,AB76)-1),(RANK(AB76,AB$11:AB$333,1)+COUNTIF(AB$11:AB76,AB76)-1)))</f>
        <v/>
      </c>
      <c r="AD76" s="173"/>
      <c r="AE76" s="45" t="e">
        <f>IF(I$8="A",(RANK(AG76,AG$11:AG$333,1)+COUNTIF(AG$11:AG76,AG76)-1),(RANK(AG76,AG$11:AG$333)+COUNTIF(AG$11:AG76,AG76)-1))</f>
        <v>#N/A</v>
      </c>
      <c r="AF76" t="str">
        <f>VLOOKUP(Profile!$J$5,Families!$C:$R,2,FALSE)</f>
        <v>North Dorset</v>
      </c>
      <c r="AG76" s="15" t="e">
        <f t="shared" ref="AG76:AG139" si="52">VLOOKUP(AF76,$C$11:$H$333,4,FALSE)</f>
        <v>#N/A</v>
      </c>
      <c r="AH76" s="46" t="e">
        <f t="shared" si="40"/>
        <v>#N/A</v>
      </c>
      <c r="AI76" s="5" t="str">
        <f>IF(L76="","",VLOOKUP($L76,classifications!$C:$J,8,FALSE))</f>
        <v>Gloucestershire</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South West</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97.14</v>
      </c>
    </row>
    <row r="77" spans="1:50">
      <c r="A77" s="55" t="str">
        <f>$D$1&amp;67</f>
        <v>SD67</v>
      </c>
      <c r="B77" s="56">
        <f>IF(ISERROR(VLOOKUP(A77,classifications!A:C,3,FALSE)),0,VLOOKUP(A77,classifications!A:C,3,FALSE))</f>
        <v>0</v>
      </c>
      <c r="C77" t="s">
        <v>264</v>
      </c>
      <c r="D77" t="str">
        <f>VLOOKUP($C77,classifications!$C:$J,4,FALSE)</f>
        <v>UA</v>
      </c>
      <c r="E77">
        <f>VLOOKUP(C77,classifications!C:K,9,FALSE)</f>
        <v>0</v>
      </c>
      <c r="F77">
        <f t="shared" si="43"/>
        <v>96.39</v>
      </c>
      <c r="G77" s="15"/>
      <c r="H77" s="41" t="str">
        <f t="shared" si="44"/>
        <v/>
      </c>
      <c r="I77" s="73" t="str">
        <f>IF(H77="","",IF($I$8="A",(RANK(H77,H$11:H$333,1)+COUNTIF(H$11:H77,H77)-1),(RANK(H77,H$11:H$333)+COUNTIF(H$11:H77,H77)-1)))</f>
        <v/>
      </c>
      <c r="J77" s="40"/>
      <c r="K77" s="35">
        <f t="shared" si="51"/>
        <v>67</v>
      </c>
      <c r="L77" t="str">
        <f t="shared" si="45"/>
        <v>Broxtowe</v>
      </c>
      <c r="M77" s="109">
        <f t="shared" si="46"/>
        <v>97.63</v>
      </c>
      <c r="N77" s="104">
        <f t="shared" si="31"/>
        <v>97.63</v>
      </c>
      <c r="O77" s="89" t="str">
        <f t="shared" si="32"/>
        <v/>
      </c>
      <c r="P77" s="89">
        <f t="shared" si="33"/>
        <v>97.63</v>
      </c>
      <c r="Q77" s="89" t="str">
        <f t="shared" si="34"/>
        <v/>
      </c>
      <c r="R77" s="85" t="str">
        <f t="shared" si="35"/>
        <v/>
      </c>
      <c r="S77" s="41" t="str">
        <f t="shared" si="36"/>
        <v/>
      </c>
      <c r="T77" s="166">
        <f>IF(L77="","",VLOOKUP(L77,classifications!C:K,9,FALSE))</f>
        <v>0</v>
      </c>
      <c r="U77" s="167" t="str">
        <f t="shared" si="37"/>
        <v/>
      </c>
      <c r="V77" s="173" t="str">
        <f>IF(U77="","",IF($I$8="A",(RANK(U77,U$11:U$333)+COUNTIF(U$11:U77,U77)-1),(RANK(U77,U$11:U$333,1)+COUNTIF(U$11:U77,U77)-1)))</f>
        <v/>
      </c>
      <c r="W77" s="174"/>
      <c r="X77" s="5" t="str">
        <f>IF(L77="","",VLOOKUP($L77,classifications!$C:$J,6,FALSE))</f>
        <v>Predominantly Urban</v>
      </c>
      <c r="Y77" t="str">
        <f t="shared" si="38"/>
        <v/>
      </c>
      <c r="Z77" s="39" t="str">
        <f>IF(Y77="","",IF(I$8="A",(RANK(Y77,Y$11:Y$333,1)+COUNTIF(Y$11:Y77,Y77)-1),(RANK(Y77,Y$11:Y$333)+COUNTIF(Y$11:Y77,Y77)-1)))</f>
        <v/>
      </c>
      <c r="AA77" s="177" t="str">
        <f>IF(L77="","",VLOOKUP($L77,classifications!C:I,7,FALSE))</f>
        <v>Predominantly Urban</v>
      </c>
      <c r="AB77" s="173" t="str">
        <f t="shared" si="39"/>
        <v/>
      </c>
      <c r="AC77" s="173" t="str">
        <f>IF(AB77="","",IF($I$8="A",(RANK(AB77,AB$11:AB$333)+COUNTIF(AB$11:AB77,AB77)-1),(RANK(AB77,AB$11:AB$333,1)+COUNTIF(AB$11:AB77,AB77)-1)))</f>
        <v/>
      </c>
      <c r="AD77" s="173"/>
      <c r="AE77" s="45" t="e">
        <f>IF(I$8="A",(RANK(AG77,AG$11:AG$333,1)+COUNTIF(AG$11:AG77,AG77)-1),(RANK(AG77,AG$11:AG$333)+COUNTIF(AG$11:AG77,AG77)-1))</f>
        <v>#N/A</v>
      </c>
      <c r="AF77" t="str">
        <f>VLOOKUP(Profile!$J$5,Families!$C:$R,2,FALSE)</f>
        <v>North Dorset</v>
      </c>
      <c r="AG77" s="15" t="e">
        <f t="shared" si="52"/>
        <v>#N/A</v>
      </c>
      <c r="AH77" s="46" t="e">
        <f t="shared" si="40"/>
        <v>#N/A</v>
      </c>
      <c r="AI77" s="5" t="str">
        <f>IF(L77="","",VLOOKUP($L77,classifications!$C:$J,8,FALSE))</f>
        <v>Nottinghamshire</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East Midlands</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96.39</v>
      </c>
    </row>
    <row r="78" spans="1:50">
      <c r="A78" s="55" t="str">
        <f>$D$1&amp;68</f>
        <v>SD68</v>
      </c>
      <c r="B78" s="56">
        <f>IF(ISERROR(VLOOKUP(A78,classifications!A:C,3,FALSE)),0,VLOOKUP(A78,classifications!A:C,3,FALSE))</f>
        <v>0</v>
      </c>
      <c r="C78" t="s">
        <v>48</v>
      </c>
      <c r="D78" t="str">
        <f>VLOOKUP($C78,classifications!$C:$J,4,FALSE)</f>
        <v>SD</v>
      </c>
      <c r="E78">
        <f>VLOOKUP(C78,classifications!C:K,9,FALSE)</f>
        <v>0</v>
      </c>
      <c r="F78">
        <f t="shared" si="43"/>
        <v>96.23</v>
      </c>
      <c r="G78" s="15"/>
      <c r="H78" s="41">
        <f t="shared" si="44"/>
        <v>96.23</v>
      </c>
      <c r="I78" s="73">
        <f>IF(H78="","",IF($I$8="A",(RANK(H78,H$11:H$333,1)+COUNTIF(H$11:H78,H78)-1),(RANK(H78,H$11:H$333)+COUNTIF(H$11:H78,H78)-1)))</f>
        <v>134</v>
      </c>
      <c r="J78" s="40"/>
      <c r="K78" s="35">
        <f t="shared" si="51"/>
        <v>68</v>
      </c>
      <c r="L78" t="str">
        <f t="shared" si="45"/>
        <v>Colchester</v>
      </c>
      <c r="M78" s="109">
        <f t="shared" si="46"/>
        <v>97.63</v>
      </c>
      <c r="N78" s="104">
        <f t="shared" si="31"/>
        <v>97.63</v>
      </c>
      <c r="O78" s="89" t="str">
        <f t="shared" si="32"/>
        <v/>
      </c>
      <c r="P78" s="89">
        <f t="shared" si="33"/>
        <v>97.63</v>
      </c>
      <c r="Q78" s="89" t="str">
        <f t="shared" si="34"/>
        <v/>
      </c>
      <c r="R78" s="85" t="str">
        <f t="shared" si="35"/>
        <v/>
      </c>
      <c r="S78" s="41" t="str">
        <f t="shared" si="36"/>
        <v/>
      </c>
      <c r="T78" s="166">
        <f>IF(L78="","",VLOOKUP(L78,classifications!C:K,9,FALSE))</f>
        <v>0</v>
      </c>
      <c r="U78" s="167" t="str">
        <f t="shared" si="37"/>
        <v/>
      </c>
      <c r="V78" s="173" t="str">
        <f>IF(U78="","",IF($I$8="A",(RANK(U78,U$11:U$333)+COUNTIF(U$11:U78,U78)-1),(RANK(U78,U$11:U$333,1)+COUNTIF(U$11:U78,U78)-1)))</f>
        <v/>
      </c>
      <c r="W78" s="174"/>
      <c r="X78" s="5" t="str">
        <f>IF(L78="","",VLOOKUP($L78,classifications!$C:$J,6,FALSE))</f>
        <v>Urban with Significant Rural</v>
      </c>
      <c r="Y78" t="str">
        <f t="shared" si="38"/>
        <v/>
      </c>
      <c r="Z78" s="39" t="str">
        <f>IF(Y78="","",IF(I$8="A",(RANK(Y78,Y$11:Y$333,1)+COUNTIF(Y$11:Y78,Y78)-1),(RANK(Y78,Y$11:Y$333)+COUNTIF(Y$11:Y78,Y78)-1)))</f>
        <v/>
      </c>
      <c r="AA78" s="177" t="str">
        <f>IF(L78="","",VLOOKUP($L78,classifications!C:I,7,FALSE))</f>
        <v>Urban with Significant Rural</v>
      </c>
      <c r="AB78" s="173" t="str">
        <f t="shared" si="39"/>
        <v/>
      </c>
      <c r="AC78" s="173" t="str">
        <f>IF(AB78="","",IF($I$8="A",(RANK(AB78,AB$11:AB$333)+COUNTIF(AB$11:AB78,AB78)-1),(RANK(AB78,AB$11:AB$333,1)+COUNTIF(AB$11:AB78,AB78)-1)))</f>
        <v/>
      </c>
      <c r="AD78" s="173"/>
      <c r="AE78" s="45" t="e">
        <f>IF(I$8="A",(RANK(AG78,AG$11:AG$333,1)+COUNTIF(AG$11:AG78,AG78)-1),(RANK(AG78,AG$11:AG$333)+COUNTIF(AG$11:AG78,AG78)-1))</f>
        <v>#N/A</v>
      </c>
      <c r="AF78" t="str">
        <f>VLOOKUP(Profile!$J$5,Families!$C:$R,2,FALSE)</f>
        <v>North Dorset</v>
      </c>
      <c r="AG78" s="15" t="e">
        <f t="shared" si="52"/>
        <v>#N/A</v>
      </c>
      <c r="AH78" s="46" t="e">
        <f t="shared" si="40"/>
        <v>#N/A</v>
      </c>
      <c r="AI78" s="5" t="str">
        <f>IF(L78="","",VLOOKUP($L78,classifications!$C:$J,8,FALSE))</f>
        <v>Essex</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East of England</v>
      </c>
      <c r="AQ78" s="42">
        <f t="shared" si="42"/>
        <v>97.63</v>
      </c>
      <c r="AR78" s="39">
        <f>IF(AQ78="","",IF(I$8="A",(RANK(AQ78,AQ$11:AQ$333,1)+COUNTIF(AQ$11:AQ78,AQ78)-1),(RANK(AQ78,AQ$11:AQ$333)+COUNTIF(AQ$11:AQ78,AQ78)-1)))</f>
        <v>15</v>
      </c>
      <c r="AS78" s="3" t="str">
        <f t="shared" si="54"/>
        <v/>
      </c>
      <c r="AT78" s="39" t="str">
        <f t="shared" si="49"/>
        <v/>
      </c>
      <c r="AU78" s="42" t="str">
        <f t="shared" si="50"/>
        <v/>
      </c>
      <c r="AX78">
        <f>HLOOKUP($AX$9&amp;$AX$10,Data!$A$1:$ZT$1975,(MATCH($C78,Data!$A$1:$A$1975,0)),FALSE)</f>
        <v>96.23</v>
      </c>
    </row>
    <row r="79" spans="1:50">
      <c r="A79" s="55" t="str">
        <f>$D$1&amp;69</f>
        <v>SD69</v>
      </c>
      <c r="B79" s="56">
        <f>IF(ISERROR(VLOOKUP(A79,classifications!A:C,3,FALSE)),0,VLOOKUP(A79,classifications!A:C,3,FALSE))</f>
        <v>0</v>
      </c>
      <c r="C79" t="s">
        <v>265</v>
      </c>
      <c r="D79" t="str">
        <f>VLOOKUP($C79,classifications!$C:$J,4,FALSE)</f>
        <v>UA</v>
      </c>
      <c r="E79">
        <f>VLOOKUP(C79,classifications!C:K,9,FALSE)</f>
        <v>0</v>
      </c>
      <c r="F79">
        <f t="shared" si="43"/>
        <v>93.24</v>
      </c>
      <c r="G79" s="15"/>
      <c r="H79" s="41" t="str">
        <f t="shared" si="44"/>
        <v/>
      </c>
      <c r="I79" s="73" t="str">
        <f>IF(H79="","",IF($I$8="A",(RANK(H79,H$11:H$333,1)+COUNTIF(H$11:H79,H79)-1),(RANK(H79,H$11:H$333)+COUNTIF(H$11:H79,H79)-1)))</f>
        <v/>
      </c>
      <c r="J79" s="40"/>
      <c r="K79" s="35">
        <f t="shared" si="51"/>
        <v>69</v>
      </c>
      <c r="L79" t="str">
        <f t="shared" si="45"/>
        <v>Gedling</v>
      </c>
      <c r="M79" s="109">
        <f t="shared" si="46"/>
        <v>97.63</v>
      </c>
      <c r="N79" s="104">
        <f t="shared" si="31"/>
        <v>97.63</v>
      </c>
      <c r="O79" s="89" t="str">
        <f t="shared" si="32"/>
        <v/>
      </c>
      <c r="P79" s="89">
        <f t="shared" si="33"/>
        <v>97.63</v>
      </c>
      <c r="Q79" s="89" t="str">
        <f t="shared" si="34"/>
        <v/>
      </c>
      <c r="R79" s="85" t="str">
        <f t="shared" si="35"/>
        <v/>
      </c>
      <c r="S79" s="41" t="str">
        <f t="shared" si="36"/>
        <v/>
      </c>
      <c r="T79" s="166">
        <f>IF(L79="","",VLOOKUP(L79,classifications!C:K,9,FALSE))</f>
        <v>0</v>
      </c>
      <c r="U79" s="167" t="str">
        <f t="shared" si="37"/>
        <v/>
      </c>
      <c r="V79" s="173" t="str">
        <f>IF(U79="","",IF($I$8="A",(RANK(U79,U$11:U$333)+COUNTIF(U$11:U79,U79)-1),(RANK(U79,U$11:U$333,1)+COUNTIF(U$11:U79,U79)-1)))</f>
        <v/>
      </c>
      <c r="W79" s="174"/>
      <c r="X79" s="5" t="str">
        <f>IF(L79="","",VLOOKUP($L79,classifications!$C:$J,6,FALSE))</f>
        <v>Predominantly Urban</v>
      </c>
      <c r="Y79" t="str">
        <f t="shared" si="38"/>
        <v/>
      </c>
      <c r="Z79" s="39" t="str">
        <f>IF(Y79="","",IF(I$8="A",(RANK(Y79,Y$11:Y$333,1)+COUNTIF(Y$11:Y79,Y79)-1),(RANK(Y79,Y$11:Y$333)+COUNTIF(Y$11:Y79,Y79)-1)))</f>
        <v/>
      </c>
      <c r="AA79" s="177" t="str">
        <f>IF(L79="","",VLOOKUP($L79,classifications!C:I,7,FALSE))</f>
        <v>Predominantly Urban</v>
      </c>
      <c r="AB79" s="173" t="str">
        <f t="shared" si="39"/>
        <v/>
      </c>
      <c r="AC79" s="173" t="str">
        <f>IF(AB79="","",IF($I$8="A",(RANK(AB79,AB$11:AB$333)+COUNTIF(AB$11:AB79,AB79)-1),(RANK(AB79,AB$11:AB$333,1)+COUNTIF(AB$11:AB79,AB79)-1)))</f>
        <v/>
      </c>
      <c r="AD79" s="173"/>
      <c r="AE79" s="45" t="e">
        <f>IF(I$8="A",(RANK(AG79,AG$11:AG$333,1)+COUNTIF(AG$11:AG79,AG79)-1),(RANK(AG79,AG$11:AG$333)+COUNTIF(AG$11:AG79,AG79)-1))</f>
        <v>#N/A</v>
      </c>
      <c r="AF79" t="str">
        <f>VLOOKUP(Profile!$J$5,Families!$C:$R,2,FALSE)</f>
        <v>North Dorset</v>
      </c>
      <c r="AG79" s="15" t="e">
        <f t="shared" si="52"/>
        <v>#N/A</v>
      </c>
      <c r="AH79" s="46" t="e">
        <f t="shared" si="40"/>
        <v>#N/A</v>
      </c>
      <c r="AI79" s="5" t="str">
        <f>IF(L79="","",VLOOKUP($L79,classifications!$C:$J,8,FALSE))</f>
        <v>Nottinghamshire</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East Midlands</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93.24</v>
      </c>
    </row>
    <row r="80" spans="1:50">
      <c r="A80" s="55" t="str">
        <f>$D$1&amp;70</f>
        <v>SD70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f t="shared" si="51"/>
        <v>70</v>
      </c>
      <c r="L80" t="str">
        <f t="shared" si="45"/>
        <v>Stafford</v>
      </c>
      <c r="M80" s="109">
        <f t="shared" si="46"/>
        <v>97.63</v>
      </c>
      <c r="N80" s="104">
        <f t="shared" si="31"/>
        <v>97.63</v>
      </c>
      <c r="O80" s="89" t="str">
        <f t="shared" si="32"/>
        <v/>
      </c>
      <c r="P80" s="89">
        <f t="shared" si="33"/>
        <v>97.63</v>
      </c>
      <c r="Q80" s="89" t="str">
        <f t="shared" si="34"/>
        <v/>
      </c>
      <c r="R80" s="85" t="str">
        <f t="shared" si="35"/>
        <v/>
      </c>
      <c r="S80" s="41" t="str">
        <f t="shared" si="36"/>
        <v/>
      </c>
      <c r="T80" s="166" t="str">
        <f>IF(L80="","",VLOOKUP(L80,classifications!C:K,9,FALSE))</f>
        <v>Sparse</v>
      </c>
      <c r="U80" s="167">
        <f t="shared" si="37"/>
        <v>97.63</v>
      </c>
      <c r="V80" s="173">
        <f>IF(U80="","",IF($I$8="A",(RANK(U80,U$11:U$333)+COUNTIF(U$11:U80,U80)-1),(RANK(U80,U$11:U$333,1)+COUNTIF(U$11:U80,U80)-1)))</f>
        <v>18</v>
      </c>
      <c r="W80" s="174"/>
      <c r="X80" s="5" t="str">
        <f>IF(L80="","",VLOOKUP($L80,classifications!$C:$J,6,FALSE))</f>
        <v>Urban with Significant Rural</v>
      </c>
      <c r="Y80" t="str">
        <f t="shared" si="38"/>
        <v/>
      </c>
      <c r="Z80" s="39" t="str">
        <f>IF(Y80="","",IF(I$8="A",(RANK(Y80,Y$11:Y$333,1)+COUNTIF(Y$11:Y80,Y80)-1),(RANK(Y80,Y$11:Y$333)+COUNTIF(Y$11:Y80,Y80)-1)))</f>
        <v/>
      </c>
      <c r="AA80" s="177" t="str">
        <f>IF(L80="","",VLOOKUP($L80,classifications!C:I,7,FALSE))</f>
        <v>Urban with Significant Rural</v>
      </c>
      <c r="AB80" s="173" t="str">
        <f t="shared" si="39"/>
        <v/>
      </c>
      <c r="AC80" s="173" t="str">
        <f>IF(AB80="","",IF($I$8="A",(RANK(AB80,AB$11:AB$333)+COUNTIF(AB$11:AB80,AB80)-1),(RANK(AB80,AB$11:AB$333,1)+COUNTIF(AB$11:AB80,AB80)-1)))</f>
        <v/>
      </c>
      <c r="AD80" s="173"/>
      <c r="AE80" s="45" t="e">
        <f>IF(I$8="A",(RANK(AG80,AG$11:AG$333,1)+COUNTIF(AG$11:AG80,AG80)-1),(RANK(AG80,AG$11:AG$333)+COUNTIF(AG$11:AG80,AG80)-1))</f>
        <v>#N/A</v>
      </c>
      <c r="AF80" t="str">
        <f>VLOOKUP(Profile!$J$5,Families!$C:$R,2,FALSE)</f>
        <v>North Dorset</v>
      </c>
      <c r="AG80" s="15" t="e">
        <f t="shared" si="52"/>
        <v>#N/A</v>
      </c>
      <c r="AH80" s="46" t="e">
        <f t="shared" si="40"/>
        <v>#N/A</v>
      </c>
      <c r="AI80" s="5" t="str">
        <f>IF(L80="","",VLOOKUP($L80,classifications!$C:$J,8,FALSE))</f>
        <v>Staffordshire</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West Midlands</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SD71</v>
      </c>
      <c r="B81" s="56">
        <f>IF(ISERROR(VLOOKUP(A81,classifications!A:C,3,FALSE)),0,VLOOKUP(A81,classifications!A:C,3,FALSE))</f>
        <v>0</v>
      </c>
      <c r="C81" t="s">
        <v>50</v>
      </c>
      <c r="D81" t="str">
        <f>VLOOKUP($C81,classifications!$C:$J,4,FALSE)</f>
        <v>SD</v>
      </c>
      <c r="E81" t="str">
        <f>VLOOKUP(C81,classifications!C:K,9,FALSE)</f>
        <v>Sparse</v>
      </c>
      <c r="F81">
        <f t="shared" si="43"/>
        <v>97.82</v>
      </c>
      <c r="G81" s="15"/>
      <c r="H81" s="41">
        <f t="shared" si="44"/>
        <v>97.82</v>
      </c>
      <c r="I81" s="73">
        <f>IF(H81="","",IF($I$8="A",(RANK(H81,H$11:H$333,1)+COUNTIF(H$11:H81,H81)-1),(RANK(H81,H$11:H$333)+COUNTIF(H$11:H81,H81)-1)))</f>
        <v>56</v>
      </c>
      <c r="J81" s="40"/>
      <c r="K81" s="35">
        <f t="shared" si="51"/>
        <v>71</v>
      </c>
      <c r="L81" t="str">
        <f t="shared" si="45"/>
        <v>Wealden</v>
      </c>
      <c r="M81" s="109">
        <f t="shared" si="46"/>
        <v>97.62</v>
      </c>
      <c r="N81" s="104">
        <f t="shared" si="31"/>
        <v>97.62</v>
      </c>
      <c r="O81" s="89" t="str">
        <f t="shared" si="32"/>
        <v/>
      </c>
      <c r="P81" s="89">
        <f t="shared" si="33"/>
        <v>97.62</v>
      </c>
      <c r="Q81" s="89" t="str">
        <f t="shared" si="34"/>
        <v/>
      </c>
      <c r="R81" s="85" t="str">
        <f t="shared" si="35"/>
        <v/>
      </c>
      <c r="S81" s="41" t="str">
        <f t="shared" si="36"/>
        <v/>
      </c>
      <c r="T81" s="166" t="str">
        <f>IF(L81="","",VLOOKUP(L81,classifications!C:K,9,FALSE))</f>
        <v>Sparse</v>
      </c>
      <c r="U81" s="167">
        <f t="shared" si="37"/>
        <v>97.62</v>
      </c>
      <c r="V81" s="173">
        <f>IF(U81="","",IF($I$8="A",(RANK(U81,U$11:U$333)+COUNTIF(U$11:U81,U81)-1),(RANK(U81,U$11:U$333,1)+COUNTIF(U$11:U81,U81)-1)))</f>
        <v>17</v>
      </c>
      <c r="W81" s="174"/>
      <c r="X81" s="5" t="str">
        <f>IF(L81="","",VLOOKUP($L81,classifications!$C:$J,6,FALSE))</f>
        <v xml:space="preserve">Predominantly Rural </v>
      </c>
      <c r="Y81">
        <f t="shared" si="38"/>
        <v>97.62</v>
      </c>
      <c r="Z81" s="39">
        <f>IF(Y81="","",IF(I$8="A",(RANK(Y81,Y$11:Y$333,1)+COUNTIF(Y$11:Y81,Y81)-1),(RANK(Y81,Y$11:Y$333)+COUNTIF(Y$11:Y81,Y81)-1)))</f>
        <v>35</v>
      </c>
      <c r="AA81" s="177" t="str">
        <f>IF(L81="","",VLOOKUP($L81,classifications!C:I,7,FALSE))</f>
        <v>Predominantly Rural</v>
      </c>
      <c r="AB81" s="173">
        <f t="shared" si="39"/>
        <v>97.62</v>
      </c>
      <c r="AC81" s="173">
        <f>IF(AB81="","",IF($I$8="A",(RANK(AB81,AB$11:AB$333)+COUNTIF(AB$11:AB81,AB81)-1),(RANK(AB81,AB$11:AB$333,1)+COUNTIF(AB$11:AB81,AB81)-1)))</f>
        <v>24</v>
      </c>
      <c r="AD81" s="173"/>
      <c r="AE81" s="45" t="e">
        <f>IF(I$8="A",(RANK(AG81,AG$11:AG$333,1)+COUNTIF(AG$11:AG81,AG81)-1),(RANK(AG81,AG$11:AG$333)+COUNTIF(AG$11:AG81,AG81)-1))</f>
        <v>#N/A</v>
      </c>
      <c r="AF81" t="str">
        <f>VLOOKUP(Profile!$J$5,Families!$C:$R,2,FALSE)</f>
        <v>North Dorset</v>
      </c>
      <c r="AG81" s="15" t="e">
        <f t="shared" si="52"/>
        <v>#N/A</v>
      </c>
      <c r="AH81" s="46" t="e">
        <f t="shared" si="40"/>
        <v>#N/A</v>
      </c>
      <c r="AI81" s="5" t="str">
        <f>IF(L81="","",VLOOKUP($L81,classifications!$C:$J,8,FALSE))</f>
        <v>East Sussex</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South East</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97.82</v>
      </c>
    </row>
    <row r="82" spans="1:50">
      <c r="A82" s="55" t="str">
        <f>$D$1&amp;72</f>
        <v>SD72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f t="shared" si="51"/>
        <v>72</v>
      </c>
      <c r="L82" t="str">
        <f t="shared" si="45"/>
        <v>Braintree</v>
      </c>
      <c r="M82" s="109">
        <f t="shared" si="46"/>
        <v>97.59</v>
      </c>
      <c r="N82" s="104">
        <f t="shared" si="31"/>
        <v>97.59</v>
      </c>
      <c r="O82" s="89" t="str">
        <f t="shared" si="32"/>
        <v/>
      </c>
      <c r="P82" s="89">
        <f t="shared" si="33"/>
        <v>97.59</v>
      </c>
      <c r="Q82" s="89" t="str">
        <f t="shared" si="34"/>
        <v/>
      </c>
      <c r="R82" s="85" t="str">
        <f t="shared" si="35"/>
        <v/>
      </c>
      <c r="S82" s="41" t="str">
        <f t="shared" si="36"/>
        <v/>
      </c>
      <c r="T82" s="166" t="str">
        <f>IF(L82="","",VLOOKUP(L82,classifications!C:K,9,FALSE))</f>
        <v>Sparse</v>
      </c>
      <c r="U82" s="167">
        <f t="shared" si="37"/>
        <v>97.59</v>
      </c>
      <c r="V82" s="173">
        <f>IF(U82="","",IF($I$8="A",(RANK(U82,U$11:U$333)+COUNTIF(U$11:U82,U82)-1),(RANK(U82,U$11:U$333,1)+COUNTIF(U$11:U82,U82)-1)))</f>
        <v>16</v>
      </c>
      <c r="W82" s="174"/>
      <c r="X82" s="5" t="str">
        <f>IF(L82="","",VLOOKUP($L82,classifications!$C:$J,6,FALSE))</f>
        <v xml:space="preserve">Predominantly Rural </v>
      </c>
      <c r="Y82">
        <f t="shared" si="38"/>
        <v>97.59</v>
      </c>
      <c r="Z82" s="39">
        <f>IF(Y82="","",IF(I$8="A",(RANK(Y82,Y$11:Y$333,1)+COUNTIF(Y$11:Y82,Y82)-1),(RANK(Y82,Y$11:Y$333)+COUNTIF(Y$11:Y82,Y82)-1)))</f>
        <v>36</v>
      </c>
      <c r="AA82" s="177" t="str">
        <f>IF(L82="","",VLOOKUP($L82,classifications!C:I,7,FALSE))</f>
        <v>Predominantly Rural</v>
      </c>
      <c r="AB82" s="173">
        <f t="shared" si="39"/>
        <v>97.59</v>
      </c>
      <c r="AC82" s="173">
        <f>IF(AB82="","",IF($I$8="A",(RANK(AB82,AB$11:AB$333)+COUNTIF(AB$11:AB82,AB82)-1),(RANK(AB82,AB$11:AB$333,1)+COUNTIF(AB$11:AB82,AB82)-1)))</f>
        <v>23</v>
      </c>
      <c r="AD82" s="173"/>
      <c r="AE82" s="45" t="e">
        <f>IF(I$8="A",(RANK(AG82,AG$11:AG$333,1)+COUNTIF(AG$11:AG82,AG82)-1),(RANK(AG82,AG$11:AG$333)+COUNTIF(AG$11:AG82,AG82)-1))</f>
        <v>#N/A</v>
      </c>
      <c r="AF82" t="str">
        <f>VLOOKUP(Profile!$J$5,Families!$C:$R,2,FALSE)</f>
        <v>North Dorset</v>
      </c>
      <c r="AG82" s="15" t="e">
        <f t="shared" si="52"/>
        <v>#N/A</v>
      </c>
      <c r="AH82" s="46" t="e">
        <f t="shared" si="40"/>
        <v>#N/A</v>
      </c>
      <c r="AI82" s="5" t="str">
        <f>IF(L82="","",VLOOKUP($L82,classifications!$C:$J,8,FALSE))</f>
        <v>Essex</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East of England</v>
      </c>
      <c r="AQ82" s="42">
        <f t="shared" si="42"/>
        <v>97.59</v>
      </c>
      <c r="AR82" s="39">
        <f>IF(AQ82="","",IF(I$8="A",(RANK(AQ82,AQ$11:AQ$333,1)+COUNTIF(AQ$11:AQ82,AQ82)-1),(RANK(AQ82,AQ$11:AQ$333)+COUNTIF(AQ$11:AQ82,AQ82)-1)))</f>
        <v>16</v>
      </c>
      <c r="AS82" s="3" t="str">
        <f t="shared" si="54"/>
        <v/>
      </c>
      <c r="AT82" s="39" t="str">
        <f t="shared" si="49"/>
        <v/>
      </c>
      <c r="AU82" s="42" t="str">
        <f t="shared" si="50"/>
        <v/>
      </c>
      <c r="AX82" t="e">
        <f>HLOOKUP($AX$9&amp;$AX$10,Data!$A$1:$ZT$1975,(MATCH($C82,Data!$A$1:$A$1975,0)),FALSE)</f>
        <v>#N/A</v>
      </c>
    </row>
    <row r="83" spans="1:50">
      <c r="A83" s="55" t="str">
        <f>$D$1&amp;73</f>
        <v>SD73</v>
      </c>
      <c r="B83" s="56">
        <f>IF(ISERROR(VLOOKUP(A83,classifications!A:C,3,FALSE)),0,VLOOKUP(A83,classifications!A:C,3,FALSE))</f>
        <v>0</v>
      </c>
      <c r="C83" t="s">
        <v>229</v>
      </c>
      <c r="D83" t="str">
        <f>VLOOKUP($C83,classifications!$C:$J,4,FALSE)</f>
        <v>MD</v>
      </c>
      <c r="E83">
        <f>VLOOKUP(C83,classifications!C:K,9,FALSE)</f>
        <v>0</v>
      </c>
      <c r="F83">
        <f t="shared" si="43"/>
        <v>94.01</v>
      </c>
      <c r="G83" s="15"/>
      <c r="H83" s="41" t="str">
        <f t="shared" si="44"/>
        <v/>
      </c>
      <c r="I83" s="73" t="str">
        <f>IF(H83="","",IF($I$8="A",(RANK(H83,H$11:H$333,1)+COUNTIF(H$11:H83,H83)-1),(RANK(H83,H$11:H$333)+COUNTIF(H$11:H83,H83)-1)))</f>
        <v/>
      </c>
      <c r="J83" s="40"/>
      <c r="K83" s="35">
        <f t="shared" si="51"/>
        <v>73</v>
      </c>
      <c r="L83" t="str">
        <f t="shared" si="45"/>
        <v>Forest of Dean</v>
      </c>
      <c r="M83" s="109">
        <f t="shared" si="46"/>
        <v>97.58</v>
      </c>
      <c r="N83" s="104">
        <f t="shared" si="31"/>
        <v>97.58</v>
      </c>
      <c r="O83" s="89" t="str">
        <f t="shared" si="32"/>
        <v/>
      </c>
      <c r="P83" s="89">
        <f t="shared" si="33"/>
        <v>97.58</v>
      </c>
      <c r="Q83" s="89" t="str">
        <f t="shared" si="34"/>
        <v/>
      </c>
      <c r="R83" s="85" t="str">
        <f t="shared" si="35"/>
        <v/>
      </c>
      <c r="S83" s="41" t="str">
        <f t="shared" si="36"/>
        <v/>
      </c>
      <c r="T83" s="166" t="str">
        <f>IF(L83="","",VLOOKUP(L83,classifications!C:K,9,FALSE))</f>
        <v>Sparse</v>
      </c>
      <c r="U83" s="167">
        <f t="shared" si="37"/>
        <v>97.58</v>
      </c>
      <c r="V83" s="173">
        <f>IF(U83="","",IF($I$8="A",(RANK(U83,U$11:U$333)+COUNTIF(U$11:U83,U83)-1),(RANK(U83,U$11:U$333,1)+COUNTIF(U$11:U83,U83)-1)))</f>
        <v>15</v>
      </c>
      <c r="W83" s="174"/>
      <c r="X83" s="5" t="str">
        <f>IF(L83="","",VLOOKUP($L83,classifications!$C:$J,6,FALSE))</f>
        <v xml:space="preserve">Predominantly Rural </v>
      </c>
      <c r="Y83">
        <f t="shared" si="38"/>
        <v>97.58</v>
      </c>
      <c r="Z83" s="39">
        <f>IF(Y83="","",IF(I$8="A",(RANK(Y83,Y$11:Y$333,1)+COUNTIF(Y$11:Y83,Y83)-1),(RANK(Y83,Y$11:Y$333)+COUNTIF(Y$11:Y83,Y83)-1)))</f>
        <v>37</v>
      </c>
      <c r="AA83" s="177" t="str">
        <f>IF(L83="","",VLOOKUP($L83,classifications!C:I,7,FALSE))</f>
        <v>Predominantly Rural</v>
      </c>
      <c r="AB83" s="173">
        <f t="shared" si="39"/>
        <v>97.58</v>
      </c>
      <c r="AC83" s="173">
        <f>IF(AB83="","",IF($I$8="A",(RANK(AB83,AB$11:AB$333)+COUNTIF(AB$11:AB83,AB83)-1),(RANK(AB83,AB$11:AB$333,1)+COUNTIF(AB$11:AB83,AB83)-1)))</f>
        <v>22</v>
      </c>
      <c r="AD83" s="173"/>
      <c r="AE83" s="45" t="e">
        <f>IF(I$8="A",(RANK(AG83,AG$11:AG$333,1)+COUNTIF(AG$11:AG83,AG83)-1),(RANK(AG83,AG$11:AG$333)+COUNTIF(AG$11:AG83,AG83)-1))</f>
        <v>#N/A</v>
      </c>
      <c r="AF83" t="str">
        <f>VLOOKUP(Profile!$J$5,Families!$C:$R,2,FALSE)</f>
        <v>North Dorset</v>
      </c>
      <c r="AG83" s="15" t="e">
        <f t="shared" si="52"/>
        <v>#N/A</v>
      </c>
      <c r="AH83" s="46" t="e">
        <f t="shared" si="40"/>
        <v>#N/A</v>
      </c>
      <c r="AI83" s="5" t="str">
        <f>IF(L83="","",VLOOKUP($L83,classifications!$C:$J,8,FALSE))</f>
        <v>Gloucestershire</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South West</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94.01</v>
      </c>
    </row>
    <row r="84" spans="1:50">
      <c r="A84" s="55" t="str">
        <f>$D$1&amp;74</f>
        <v>SD74</v>
      </c>
      <c r="B84" s="56">
        <f>IF(ISERROR(VLOOKUP(A84,classifications!A:C,3,FALSE)),0,VLOOKUP(A84,classifications!A:C,3,FALSE))</f>
        <v>0</v>
      </c>
      <c r="C84" t="s">
        <v>309</v>
      </c>
      <c r="D84" t="str">
        <f>VLOOKUP($C84,classifications!$C:$J,4,FALSE)</f>
        <v>UA</v>
      </c>
      <c r="E84">
        <f>VLOOKUP(C84,classifications!C:K,9,FALSE)</f>
        <v>0</v>
      </c>
      <c r="F84">
        <f t="shared" si="43"/>
        <v>96.23</v>
      </c>
      <c r="G84" s="15"/>
      <c r="H84" s="41" t="str">
        <f t="shared" si="44"/>
        <v/>
      </c>
      <c r="I84" s="73" t="str">
        <f>IF(H84="","",IF($I$8="A",(RANK(H84,H$11:H$333,1)+COUNTIF(H$11:H84,H84)-1),(RANK(H84,H$11:H$333)+COUNTIF(H$11:H84,H84)-1)))</f>
        <v/>
      </c>
      <c r="J84" s="40"/>
      <c r="K84" s="35">
        <f t="shared" si="51"/>
        <v>74</v>
      </c>
      <c r="L84" t="str">
        <f t="shared" si="45"/>
        <v>East Staffordshire</v>
      </c>
      <c r="M84" s="109">
        <f t="shared" si="46"/>
        <v>97.55</v>
      </c>
      <c r="N84" s="104">
        <f t="shared" si="31"/>
        <v>97.55</v>
      </c>
      <c r="O84" s="89" t="str">
        <f t="shared" si="32"/>
        <v/>
      </c>
      <c r="P84" s="89">
        <f t="shared" si="33"/>
        <v>97.55</v>
      </c>
      <c r="Q84" s="89" t="str">
        <f t="shared" si="34"/>
        <v/>
      </c>
      <c r="R84" s="85" t="str">
        <f t="shared" si="35"/>
        <v/>
      </c>
      <c r="S84" s="41" t="str">
        <f t="shared" si="36"/>
        <v/>
      </c>
      <c r="T84" s="166">
        <f>IF(L84="","",VLOOKUP(L84,classifications!C:K,9,FALSE))</f>
        <v>0</v>
      </c>
      <c r="U84" s="167" t="str">
        <f t="shared" si="37"/>
        <v/>
      </c>
      <c r="V84" s="173" t="str">
        <f>IF(U84="","",IF($I$8="A",(RANK(U84,U$11:U$333)+COUNTIF(U$11:U84,U84)-1),(RANK(U84,U$11:U$333,1)+COUNTIF(U$11:U84,U84)-1)))</f>
        <v/>
      </c>
      <c r="W84" s="174"/>
      <c r="X84" s="5" t="str">
        <f>IF(L84="","",VLOOKUP($L84,classifications!$C:$J,6,FALSE))</f>
        <v>Urban with Significant Rural</v>
      </c>
      <c r="Y84" t="str">
        <f t="shared" si="38"/>
        <v/>
      </c>
      <c r="Z84" s="39" t="str">
        <f>IF(Y84="","",IF(I$8="A",(RANK(Y84,Y$11:Y$333,1)+COUNTIF(Y$11:Y84,Y84)-1),(RANK(Y84,Y$11:Y$333)+COUNTIF(Y$11:Y84,Y84)-1)))</f>
        <v/>
      </c>
      <c r="AA84" s="177" t="str">
        <f>IF(L84="","",VLOOKUP($L84,classifications!C:I,7,FALSE))</f>
        <v>Urban with Significant Rural</v>
      </c>
      <c r="AB84" s="173" t="str">
        <f t="shared" si="39"/>
        <v/>
      </c>
      <c r="AC84" s="173" t="str">
        <f>IF(AB84="","",IF($I$8="A",(RANK(AB84,AB$11:AB$333)+COUNTIF(AB$11:AB84,AB84)-1),(RANK(AB84,AB$11:AB$333,1)+COUNTIF(AB$11:AB84,AB84)-1)))</f>
        <v/>
      </c>
      <c r="AD84" s="173"/>
      <c r="AE84" s="45" t="e">
        <f>IF(I$8="A",(RANK(AG84,AG$11:AG$333,1)+COUNTIF(AG$11:AG84,AG84)-1),(RANK(AG84,AG$11:AG$333)+COUNTIF(AG$11:AG84,AG84)-1))</f>
        <v>#N/A</v>
      </c>
      <c r="AF84" t="str">
        <f>VLOOKUP(Profile!$J$5,Families!$C:$R,2,FALSE)</f>
        <v>North Dorset</v>
      </c>
      <c r="AG84" s="15" t="e">
        <f t="shared" si="52"/>
        <v>#N/A</v>
      </c>
      <c r="AH84" s="46" t="e">
        <f t="shared" si="40"/>
        <v>#N/A</v>
      </c>
      <c r="AI84" s="5" t="str">
        <f>IF(L84="","",VLOOKUP($L84,classifications!$C:$J,8,FALSE))</f>
        <v>Staffordshire</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West Midlands</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96.23</v>
      </c>
    </row>
    <row r="85" spans="1:50">
      <c r="A85" s="55" t="str">
        <f>$D$1&amp;75</f>
        <v>SD75</v>
      </c>
      <c r="B85" s="56">
        <f>IF(ISERROR(VLOOKUP(A85,classifications!A:C,3,FALSE)),0,VLOOKUP(A85,classifications!A:C,3,FALSE))</f>
        <v>0</v>
      </c>
      <c r="C85" t="s">
        <v>51</v>
      </c>
      <c r="D85" t="str">
        <f>VLOOKUP($C85,classifications!$C:$J,4,FALSE)</f>
        <v>SD</v>
      </c>
      <c r="E85">
        <f>VLOOKUP(C85,classifications!C:K,9,FALSE)</f>
        <v>0</v>
      </c>
      <c r="F85">
        <f t="shared" si="43"/>
        <v>96.48</v>
      </c>
      <c r="G85" s="15"/>
      <c r="H85" s="41">
        <f t="shared" si="44"/>
        <v>96.48</v>
      </c>
      <c r="I85" s="73">
        <f>IF(H85="","",IF($I$8="A",(RANK(H85,H$11:H$333,1)+COUNTIF(H$11:H85,H85)-1),(RANK(H85,H$11:H$333)+COUNTIF(H$11:H85,H85)-1)))</f>
        <v>122</v>
      </c>
      <c r="J85" s="40"/>
      <c r="K85" s="35">
        <f t="shared" si="51"/>
        <v>75</v>
      </c>
      <c r="L85" t="str">
        <f t="shared" si="45"/>
        <v>East Suffolk</v>
      </c>
      <c r="M85" s="109">
        <f t="shared" si="46"/>
        <v>97.55</v>
      </c>
      <c r="N85" s="104">
        <f t="shared" si="31"/>
        <v>97.55</v>
      </c>
      <c r="O85" s="89" t="str">
        <f t="shared" si="32"/>
        <v/>
      </c>
      <c r="P85" s="89">
        <f t="shared" si="33"/>
        <v>97.55</v>
      </c>
      <c r="Q85" s="89" t="str">
        <f t="shared" si="34"/>
        <v/>
      </c>
      <c r="R85" s="85" t="str">
        <f t="shared" si="35"/>
        <v/>
      </c>
      <c r="S85" s="41" t="str">
        <f t="shared" si="36"/>
        <v/>
      </c>
      <c r="T85" s="166" t="str">
        <f>IF(L85="","",VLOOKUP(L85,classifications!C:K,9,FALSE))</f>
        <v>Sparse</v>
      </c>
      <c r="U85" s="167">
        <f t="shared" si="37"/>
        <v>97.55</v>
      </c>
      <c r="V85" s="173">
        <f>IF(U85="","",IF($I$8="A",(RANK(U85,U$11:U$333)+COUNTIF(U$11:U85,U85)-1),(RANK(U85,U$11:U$333,1)+COUNTIF(U$11:U85,U85)-1)))</f>
        <v>13</v>
      </c>
      <c r="W85" s="174"/>
      <c r="X85" s="5" t="str">
        <f>IF(L85="","",VLOOKUP($L85,classifications!$C:$J,6,FALSE))</f>
        <v xml:space="preserve">Predominantly Rural </v>
      </c>
      <c r="Y85">
        <f t="shared" si="38"/>
        <v>97.55</v>
      </c>
      <c r="Z85" s="39">
        <f>IF(Y85="","",IF(I$8="A",(RANK(Y85,Y$11:Y$333,1)+COUNTIF(Y$11:Y85,Y85)-1),(RANK(Y85,Y$11:Y$333)+COUNTIF(Y$11:Y85,Y85)-1)))</f>
        <v>38</v>
      </c>
      <c r="AA85" s="177" t="str">
        <f>IF(L85="","",VLOOKUP($L85,classifications!C:I,7,FALSE))</f>
        <v xml:space="preserve">Predominantly Rural </v>
      </c>
      <c r="AB85" s="173" t="str">
        <f t="shared" si="39"/>
        <v/>
      </c>
      <c r="AC85" s="173" t="str">
        <f>IF(AB85="","",IF($I$8="A",(RANK(AB85,AB$11:AB$333)+COUNTIF(AB$11:AB85,AB85)-1),(RANK(AB85,AB$11:AB$333,1)+COUNTIF(AB$11:AB85,AB85)-1)))</f>
        <v/>
      </c>
      <c r="AD85" s="173"/>
      <c r="AE85" s="45" t="e">
        <f>IF(I$8="A",(RANK(AG85,AG$11:AG$333,1)+COUNTIF(AG$11:AG85,AG85)-1),(RANK(AG85,AG$11:AG$333)+COUNTIF(AG$11:AG85,AG85)-1))</f>
        <v>#N/A</v>
      </c>
      <c r="AF85" t="str">
        <f>VLOOKUP(Profile!$J$5,Families!$C:$R,2,FALSE)</f>
        <v>North Dorset</v>
      </c>
      <c r="AG85" s="15" t="e">
        <f t="shared" si="52"/>
        <v>#N/A</v>
      </c>
      <c r="AH85" s="46" t="e">
        <f t="shared" si="40"/>
        <v>#N/A</v>
      </c>
      <c r="AI85" s="5" t="str">
        <f>IF(L85="","",VLOOKUP($L85,classifications!$C:$J,8,FALSE))</f>
        <v>Suffolk</v>
      </c>
      <c r="AJ85" s="42">
        <f t="shared" si="41"/>
        <v>97.55</v>
      </c>
      <c r="AK85" s="39">
        <f>IF(AJ85="","",IF(I$8="A",(RANK(AJ85,AJ$11:AJ$333,1)+COUNTIF(AJ$11:AJ85,AJ85)-1),(RANK(AJ85,AJ$11:AJ$333)+COUNTIF(AJ$11:AJ85,AJ85)-1)))</f>
        <v>3</v>
      </c>
      <c r="AL85" s="3" t="str">
        <f t="shared" si="53"/>
        <v/>
      </c>
      <c r="AM85" t="str">
        <f t="shared" si="47"/>
        <v/>
      </c>
      <c r="AN85" t="str">
        <f t="shared" si="48"/>
        <v/>
      </c>
      <c r="AP85" s="5" t="str">
        <f>IF(L85="","",VLOOKUP($L85,classifications!$C:$E,3,FALSE))</f>
        <v>East of England</v>
      </c>
      <c r="AQ85" s="42">
        <f t="shared" si="42"/>
        <v>97.55</v>
      </c>
      <c r="AR85" s="39">
        <f>IF(AQ85="","",IF(I$8="A",(RANK(AQ85,AQ$11:AQ$333,1)+COUNTIF(AQ$11:AQ85,AQ85)-1),(RANK(AQ85,AQ$11:AQ$333)+COUNTIF(AQ$11:AQ85,AQ85)-1)))</f>
        <v>17</v>
      </c>
      <c r="AS85" s="3" t="str">
        <f t="shared" si="54"/>
        <v/>
      </c>
      <c r="AT85" s="39" t="str">
        <f t="shared" si="49"/>
        <v/>
      </c>
      <c r="AU85" s="42" t="str">
        <f t="shared" si="50"/>
        <v/>
      </c>
      <c r="AX85">
        <f>HLOOKUP($AX$9&amp;$AX$10,Data!$A$1:$ZT$1975,(MATCH($C85,Data!$A$1:$A$1975,0)),FALSE)</f>
        <v>96.48</v>
      </c>
    </row>
    <row r="86" spans="1:50">
      <c r="A86" s="55" t="str">
        <f>$D$1&amp;76</f>
        <v>SD76</v>
      </c>
      <c r="B86" s="56">
        <f>IF(ISERROR(VLOOKUP(A86,classifications!A:C,3,FALSE)),0,VLOOKUP(A86,classifications!A:C,3,FALSE))</f>
        <v>0</v>
      </c>
      <c r="C86" t="s">
        <v>230</v>
      </c>
      <c r="D86" t="str">
        <f>VLOOKUP($C86,classifications!$C:$J,4,FALSE)</f>
        <v>MD</v>
      </c>
      <c r="E86">
        <f>VLOOKUP(C86,classifications!C:K,9,FALSE)</f>
        <v>0</v>
      </c>
      <c r="F86">
        <f t="shared" si="43"/>
        <v>96.46</v>
      </c>
      <c r="G86" s="15"/>
      <c r="H86" s="41" t="str">
        <f t="shared" si="44"/>
        <v/>
      </c>
      <c r="I86" s="73" t="str">
        <f>IF(H86="","",IF($I$8="A",(RANK(H86,H$11:H$333,1)+COUNTIF(H$11:H86,H86)-1),(RANK(H86,H$11:H$333)+COUNTIF(H$11:H86,H86)-1)))</f>
        <v/>
      </c>
      <c r="J86" s="40"/>
      <c r="K86" s="35">
        <f t="shared" si="51"/>
        <v>76</v>
      </c>
      <c r="L86" t="str">
        <f t="shared" si="45"/>
        <v>Rother</v>
      </c>
      <c r="M86" s="109">
        <f t="shared" si="46"/>
        <v>97.55</v>
      </c>
      <c r="N86" s="104">
        <f t="shared" si="31"/>
        <v>97.55</v>
      </c>
      <c r="O86" s="89" t="str">
        <f t="shared" si="32"/>
        <v/>
      </c>
      <c r="P86" s="89">
        <f t="shared" si="33"/>
        <v>97.55</v>
      </c>
      <c r="Q86" s="89" t="str">
        <f t="shared" si="34"/>
        <v/>
      </c>
      <c r="R86" s="85" t="str">
        <f t="shared" si="35"/>
        <v/>
      </c>
      <c r="S86" s="41" t="str">
        <f t="shared" si="36"/>
        <v/>
      </c>
      <c r="T86" s="166" t="str">
        <f>IF(L86="","",VLOOKUP(L86,classifications!C:K,9,FALSE))</f>
        <v>Sparse</v>
      </c>
      <c r="U86" s="167">
        <f t="shared" si="37"/>
        <v>97.55</v>
      </c>
      <c r="V86" s="173">
        <f>IF(U86="","",IF($I$8="A",(RANK(U86,U$11:U$333)+COUNTIF(U$11:U86,U86)-1),(RANK(U86,U$11:U$333,1)+COUNTIF(U$11:U86,U86)-1)))</f>
        <v>14</v>
      </c>
      <c r="W86" s="174"/>
      <c r="X86" s="5" t="str">
        <f>IF(L86="","",VLOOKUP($L86,classifications!$C:$J,6,FALSE))</f>
        <v xml:space="preserve">Predominantly Rural </v>
      </c>
      <c r="Y86">
        <f t="shared" si="38"/>
        <v>97.55</v>
      </c>
      <c r="Z86" s="39">
        <f>IF(Y86="","",IF(I$8="A",(RANK(Y86,Y$11:Y$333,1)+COUNTIF(Y$11:Y86,Y86)-1),(RANK(Y86,Y$11:Y$333)+COUNTIF(Y$11:Y86,Y86)-1)))</f>
        <v>39</v>
      </c>
      <c r="AA86" s="177" t="str">
        <f>IF(L86="","",VLOOKUP($L86,classifications!C:I,7,FALSE))</f>
        <v>Predominantly Rural</v>
      </c>
      <c r="AB86" s="173">
        <f t="shared" si="39"/>
        <v>97.55</v>
      </c>
      <c r="AC86" s="173">
        <f>IF(AB86="","",IF($I$8="A",(RANK(AB86,AB$11:AB$333)+COUNTIF(AB$11:AB86,AB86)-1),(RANK(AB86,AB$11:AB$333,1)+COUNTIF(AB$11:AB86,AB86)-1)))</f>
        <v>21</v>
      </c>
      <c r="AD86" s="173"/>
      <c r="AE86" s="45" t="e">
        <f>IF(I$8="A",(RANK(AG86,AG$11:AG$333,1)+COUNTIF(AG$11:AG86,AG86)-1),(RANK(AG86,AG$11:AG$333)+COUNTIF(AG$11:AG86,AG86)-1))</f>
        <v>#N/A</v>
      </c>
      <c r="AF86" t="str">
        <f>VLOOKUP(Profile!$J$5,Families!$C:$R,2,FALSE)</f>
        <v>North Dorset</v>
      </c>
      <c r="AG86" s="15" t="e">
        <f t="shared" si="52"/>
        <v>#N/A</v>
      </c>
      <c r="AH86" s="46" t="e">
        <f t="shared" si="40"/>
        <v>#N/A</v>
      </c>
      <c r="AI86" s="5" t="str">
        <f>IF(L86="","",VLOOKUP($L86,classifications!$C:$J,8,FALSE))</f>
        <v>East Sussex</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South East</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96.46</v>
      </c>
    </row>
    <row r="87" spans="1:50">
      <c r="A87" s="55" t="str">
        <f>$D$1&amp;77</f>
        <v>SD77</v>
      </c>
      <c r="B87" s="56">
        <f>IF(ISERROR(VLOOKUP(A87,classifications!A:C,3,FALSE)),0,VLOOKUP(A87,classifications!A:C,3,FALSE))</f>
        <v>0</v>
      </c>
      <c r="C87" t="s">
        <v>266</v>
      </c>
      <c r="D87" t="str">
        <f>VLOOKUP($C87,classifications!$C:$J,4,FALSE)</f>
        <v>UA</v>
      </c>
      <c r="E87" t="str">
        <f>VLOOKUP(C87,classifications!C:K,9,FALSE)</f>
        <v>Sparse</v>
      </c>
      <c r="F87">
        <f t="shared" si="43"/>
        <v>95.37</v>
      </c>
      <c r="G87" s="15"/>
      <c r="H87" s="41" t="str">
        <f t="shared" si="44"/>
        <v/>
      </c>
      <c r="I87" s="73" t="str">
        <f>IF(H87="","",IF($I$8="A",(RANK(H87,H$11:H$333,1)+COUNTIF(H$11:H87,H87)-1),(RANK(H87,H$11:H$333)+COUNTIF(H$11:H87,H87)-1)))</f>
        <v/>
      </c>
      <c r="J87" s="40"/>
      <c r="K87" s="35">
        <f t="shared" si="51"/>
        <v>77</v>
      </c>
      <c r="L87" t="str">
        <f t="shared" si="45"/>
        <v>Tamworth</v>
      </c>
      <c r="M87" s="109">
        <f t="shared" si="46"/>
        <v>97.54</v>
      </c>
      <c r="N87" s="104">
        <f t="shared" si="31"/>
        <v>97.54</v>
      </c>
      <c r="O87" s="89" t="str">
        <f t="shared" si="32"/>
        <v/>
      </c>
      <c r="P87" s="89">
        <f t="shared" si="33"/>
        <v>97.54</v>
      </c>
      <c r="Q87" s="89" t="str">
        <f t="shared" si="34"/>
        <v/>
      </c>
      <c r="R87" s="85" t="str">
        <f t="shared" si="35"/>
        <v/>
      </c>
      <c r="S87" s="41" t="str">
        <f t="shared" si="36"/>
        <v/>
      </c>
      <c r="T87" s="166">
        <f>IF(L87="","",VLOOKUP(L87,classifications!C:K,9,FALSE))</f>
        <v>0</v>
      </c>
      <c r="U87" s="167" t="str">
        <f t="shared" si="37"/>
        <v/>
      </c>
      <c r="V87" s="173" t="str">
        <f>IF(U87="","",IF($I$8="A",(RANK(U87,U$11:U$333)+COUNTIF(U$11:U87,U87)-1),(RANK(U87,U$11:U$333,1)+COUNTIF(U$11:U87,U87)-1)))</f>
        <v/>
      </c>
      <c r="W87" s="174"/>
      <c r="X87" s="5" t="str">
        <f>IF(L87="","",VLOOKUP($L87,classifications!$C:$J,6,FALSE))</f>
        <v>Predominantly Urban</v>
      </c>
      <c r="Y87" t="str">
        <f t="shared" si="38"/>
        <v/>
      </c>
      <c r="Z87" s="39" t="str">
        <f>IF(Y87="","",IF(I$8="A",(RANK(Y87,Y$11:Y$333,1)+COUNTIF(Y$11:Y87,Y87)-1),(RANK(Y87,Y$11:Y$333)+COUNTIF(Y$11:Y87,Y87)-1)))</f>
        <v/>
      </c>
      <c r="AA87" s="177" t="str">
        <f>IF(L87="","",VLOOKUP($L87,classifications!C:I,7,FALSE))</f>
        <v>Predominantly Urban</v>
      </c>
      <c r="AB87" s="173" t="str">
        <f t="shared" si="39"/>
        <v/>
      </c>
      <c r="AC87" s="173" t="str">
        <f>IF(AB87="","",IF($I$8="A",(RANK(AB87,AB$11:AB$333)+COUNTIF(AB$11:AB87,AB87)-1),(RANK(AB87,AB$11:AB$333,1)+COUNTIF(AB$11:AB87,AB87)-1)))</f>
        <v/>
      </c>
      <c r="AD87" s="173"/>
      <c r="AE87" s="45" t="e">
        <f>IF(I$8="A",(RANK(AG87,AG$11:AG$333,1)+COUNTIF(AG$11:AG87,AG87)-1),(RANK(AG87,AG$11:AG$333)+COUNTIF(AG$11:AG87,AG87)-1))</f>
        <v>#N/A</v>
      </c>
      <c r="AF87" t="str">
        <f>VLOOKUP(Profile!$J$5,Families!$C:$R,2,FALSE)</f>
        <v>North Dorset</v>
      </c>
      <c r="AG87" s="15" t="e">
        <f t="shared" si="52"/>
        <v>#N/A</v>
      </c>
      <c r="AH87" s="46" t="e">
        <f t="shared" si="40"/>
        <v>#N/A</v>
      </c>
      <c r="AI87" s="5" t="str">
        <f>IF(L87="","",VLOOKUP($L87,classifications!$C:$J,8,FALSE))</f>
        <v>Staffordshire</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West Midlands</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95.37</v>
      </c>
    </row>
    <row r="88" spans="1:50">
      <c r="A88" s="55" t="str">
        <f>$D$1&amp;78</f>
        <v>SD78</v>
      </c>
      <c r="B88" s="56">
        <f>IF(ISERROR(VLOOKUP(A88,classifications!A:C,3,FALSE)),0,VLOOKUP(A88,classifications!A:C,3,FALSE))</f>
        <v>0</v>
      </c>
      <c r="C88" t="s">
        <v>202</v>
      </c>
      <c r="D88" t="str">
        <f>VLOOKUP($C88,classifications!$C:$J,4,FALSE)</f>
        <v>L</v>
      </c>
      <c r="E88">
        <f>VLOOKUP(C88,classifications!C:K,9,FALSE)</f>
        <v>0</v>
      </c>
      <c r="F88">
        <f t="shared" si="43"/>
        <v>96.31</v>
      </c>
      <c r="G88" s="15"/>
      <c r="H88" s="41" t="str">
        <f t="shared" si="44"/>
        <v/>
      </c>
      <c r="I88" s="73" t="str">
        <f>IF(H88="","",IF($I$8="A",(RANK(H88,H$11:H$333,1)+COUNTIF(H$11:H88,H88)-1),(RANK(H88,H$11:H$333)+COUNTIF(H$11:H88,H88)-1)))</f>
        <v/>
      </c>
      <c r="J88" s="40"/>
      <c r="K88" s="35">
        <f t="shared" si="51"/>
        <v>78</v>
      </c>
      <c r="L88" t="str">
        <f t="shared" si="45"/>
        <v>Tunbridge Wells</v>
      </c>
      <c r="M88" s="109">
        <f t="shared" si="46"/>
        <v>97.53</v>
      </c>
      <c r="N88" s="104">
        <f t="shared" si="31"/>
        <v>97.53</v>
      </c>
      <c r="O88" s="89" t="str">
        <f t="shared" si="32"/>
        <v/>
      </c>
      <c r="P88" s="89">
        <f t="shared" si="33"/>
        <v>97.53</v>
      </c>
      <c r="Q88" s="89" t="str">
        <f t="shared" si="34"/>
        <v/>
      </c>
      <c r="R88" s="85" t="str">
        <f t="shared" si="35"/>
        <v/>
      </c>
      <c r="S88" s="41" t="str">
        <f t="shared" si="36"/>
        <v/>
      </c>
      <c r="T88" s="166">
        <f>IF(L88="","",VLOOKUP(L88,classifications!C:K,9,FALSE))</f>
        <v>0</v>
      </c>
      <c r="U88" s="167" t="str">
        <f t="shared" si="37"/>
        <v/>
      </c>
      <c r="V88" s="173" t="str">
        <f>IF(U88="","",IF($I$8="A",(RANK(U88,U$11:U$333)+COUNTIF(U$11:U88,U88)-1),(RANK(U88,U$11:U$333,1)+COUNTIF(U$11:U88,U88)-1)))</f>
        <v/>
      </c>
      <c r="W88" s="174"/>
      <c r="X88" s="5" t="str">
        <f>IF(L88="","",VLOOKUP($L88,classifications!$C:$J,6,FALSE))</f>
        <v>Urban with Significant Rural</v>
      </c>
      <c r="Y88" t="str">
        <f t="shared" si="38"/>
        <v/>
      </c>
      <c r="Z88" s="39" t="str">
        <f>IF(Y88="","",IF(I$8="A",(RANK(Y88,Y$11:Y$333,1)+COUNTIF(Y$11:Y88,Y88)-1),(RANK(Y88,Y$11:Y$333)+COUNTIF(Y$11:Y88,Y88)-1)))</f>
        <v/>
      </c>
      <c r="AA88" s="177" t="str">
        <f>IF(L88="","",VLOOKUP($L88,classifications!C:I,7,FALSE))</f>
        <v>Urban with Significant Rural</v>
      </c>
      <c r="AB88" s="173" t="str">
        <f t="shared" si="39"/>
        <v/>
      </c>
      <c r="AC88" s="173" t="str">
        <f>IF(AB88="","",IF($I$8="A",(RANK(AB88,AB$11:AB$333)+COUNTIF(AB$11:AB88,AB88)-1),(RANK(AB88,AB$11:AB$333,1)+COUNTIF(AB$11:AB88,AB88)-1)))</f>
        <v/>
      </c>
      <c r="AD88" s="173"/>
      <c r="AE88" s="45" t="e">
        <f>IF(I$8="A",(RANK(AG88,AG$11:AG$333,1)+COUNTIF(AG$11:AG88,AG88)-1),(RANK(AG88,AG$11:AG$333)+COUNTIF(AG$11:AG88,AG88)-1))</f>
        <v>#N/A</v>
      </c>
      <c r="AF88" t="str">
        <f>VLOOKUP(Profile!$J$5,Families!$C:$R,2,FALSE)</f>
        <v>North Dorset</v>
      </c>
      <c r="AG88" s="15" t="e">
        <f t="shared" si="52"/>
        <v>#N/A</v>
      </c>
      <c r="AH88" s="46" t="e">
        <f t="shared" si="40"/>
        <v>#N/A</v>
      </c>
      <c r="AI88" s="5" t="str">
        <f>IF(L88="","",VLOOKUP($L88,classifications!$C:$J,8,FALSE))</f>
        <v>Kent</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South East</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96.31</v>
      </c>
    </row>
    <row r="89" spans="1:50">
      <c r="A89" s="55" t="str">
        <f>$D$1&amp;79</f>
        <v>SD79</v>
      </c>
      <c r="B89" s="56">
        <f>IF(ISERROR(VLOOKUP(A89,classifications!A:C,3,FALSE)),0,VLOOKUP(A89,classifications!A:C,3,FALSE))</f>
        <v>0</v>
      </c>
      <c r="C89" t="s">
        <v>52</v>
      </c>
      <c r="D89" t="str">
        <f>VLOOKUP($C89,classifications!$C:$J,4,FALSE)</f>
        <v>SD</v>
      </c>
      <c r="E89" t="str">
        <f>VLOOKUP(C89,classifications!C:K,9,FALSE)</f>
        <v>Sparse</v>
      </c>
      <c r="F89">
        <f t="shared" si="43"/>
        <v>97.8</v>
      </c>
      <c r="G89" s="15"/>
      <c r="H89" s="41">
        <f t="shared" si="44"/>
        <v>97.8</v>
      </c>
      <c r="I89" s="73">
        <f>IF(H89="","",IF($I$8="A",(RANK(H89,H$11:H$333,1)+COUNTIF(H$11:H89,H89)-1),(RANK(H89,H$11:H$333)+COUNTIF(H$11:H89,H89)-1)))</f>
        <v>61</v>
      </c>
      <c r="J89" s="40"/>
      <c r="K89" s="35">
        <f t="shared" si="51"/>
        <v>79</v>
      </c>
      <c r="L89" t="str">
        <f t="shared" si="45"/>
        <v>Hinckley &amp; Bosworth</v>
      </c>
      <c r="M89" s="109">
        <f t="shared" si="46"/>
        <v>97.52</v>
      </c>
      <c r="N89" s="104">
        <f t="shared" si="31"/>
        <v>97.52</v>
      </c>
      <c r="O89" s="89" t="str">
        <f t="shared" si="32"/>
        <v/>
      </c>
      <c r="P89" s="89">
        <f t="shared" si="33"/>
        <v>97.52</v>
      </c>
      <c r="Q89" s="89" t="str">
        <f t="shared" si="34"/>
        <v/>
      </c>
      <c r="R89" s="85" t="str">
        <f t="shared" si="35"/>
        <v/>
      </c>
      <c r="S89" s="41" t="str">
        <f t="shared" si="36"/>
        <v/>
      </c>
      <c r="T89" s="166">
        <f>IF(L89="","",VLOOKUP(L89,classifications!C:K,9,FALSE))</f>
        <v>0</v>
      </c>
      <c r="U89" s="167" t="str">
        <f t="shared" si="37"/>
        <v/>
      </c>
      <c r="V89" s="173" t="str">
        <f>IF(U89="","",IF($I$8="A",(RANK(U89,U$11:U$333)+COUNTIF(U$11:U89,U89)-1),(RANK(U89,U$11:U$333,1)+COUNTIF(U$11:U89,U89)-1)))</f>
        <v/>
      </c>
      <c r="W89" s="174"/>
      <c r="X89" s="5" t="str">
        <f>IF(L89="","",VLOOKUP($L89,classifications!$C:$J,6,FALSE))</f>
        <v xml:space="preserve">Predominantly Rural </v>
      </c>
      <c r="Y89">
        <f t="shared" si="38"/>
        <v>97.52</v>
      </c>
      <c r="Z89" s="39">
        <f>IF(Y89="","",IF(I$8="A",(RANK(Y89,Y$11:Y$333,1)+COUNTIF(Y$11:Y89,Y89)-1),(RANK(Y89,Y$11:Y$333)+COUNTIF(Y$11:Y89,Y89)-1)))</f>
        <v>40</v>
      </c>
      <c r="AA89" s="177" t="str">
        <f>IF(L89="","",VLOOKUP($L89,classifications!C:I,7,FALSE))</f>
        <v>Predominantly Rural</v>
      </c>
      <c r="AB89" s="173">
        <f t="shared" si="39"/>
        <v>97.52</v>
      </c>
      <c r="AC89" s="173">
        <f>IF(AB89="","",IF($I$8="A",(RANK(AB89,AB$11:AB$333)+COUNTIF(AB$11:AB89,AB89)-1),(RANK(AB89,AB$11:AB$333,1)+COUNTIF(AB$11:AB89,AB89)-1)))</f>
        <v>20</v>
      </c>
      <c r="AD89" s="173"/>
      <c r="AE89" s="45" t="e">
        <f>IF(I$8="A",(RANK(AG89,AG$11:AG$333,1)+COUNTIF(AG$11:AG89,AG89)-1),(RANK(AG89,AG$11:AG$333)+COUNTIF(AG$11:AG89,AG89)-1))</f>
        <v>#N/A</v>
      </c>
      <c r="AF89" t="str">
        <f>VLOOKUP(Profile!$J$5,Families!$C:$R,2,FALSE)</f>
        <v>North Dorset</v>
      </c>
      <c r="AG89" s="15" t="e">
        <f t="shared" si="52"/>
        <v>#N/A</v>
      </c>
      <c r="AH89" s="46" t="e">
        <f t="shared" si="40"/>
        <v>#N/A</v>
      </c>
      <c r="AI89" s="5" t="str">
        <f>IF(L89="","",VLOOKUP($L89,classifications!$C:$J,8,FALSE))</f>
        <v>Leicestershire</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East Midlands</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97.8</v>
      </c>
    </row>
    <row r="90" spans="1:50">
      <c r="A90" s="55" t="str">
        <f>$D$1&amp;80</f>
        <v>SD80</v>
      </c>
      <c r="B90" s="56">
        <f>IF(ISERROR(VLOOKUP(A90,classifications!A:C,3,FALSE)),0,VLOOKUP(A90,classifications!A:C,3,FALSE))</f>
        <v>0</v>
      </c>
      <c r="C90" t="s">
        <v>53</v>
      </c>
      <c r="D90" t="str">
        <f>VLOOKUP($C90,classifications!$C:$J,4,FALSE)</f>
        <v>SD</v>
      </c>
      <c r="E90" t="str">
        <f>VLOOKUP(C90,classifications!C:K,9,FALSE)</f>
        <v>Sparse</v>
      </c>
      <c r="F90">
        <f t="shared" si="43"/>
        <v>98.64</v>
      </c>
      <c r="G90" s="15"/>
      <c r="H90" s="41">
        <f t="shared" si="44"/>
        <v>98.64</v>
      </c>
      <c r="I90" s="73">
        <f>IF(H90="","",IF($I$8="A",(RANK(H90,H$11:H$333,1)+COUNTIF(H$11:H90,H90)-1),(RANK(H90,H$11:H$333)+COUNTIF(H$11:H90,H90)-1)))</f>
        <v>10</v>
      </c>
      <c r="J90" s="40"/>
      <c r="K90" s="35">
        <f t="shared" si="51"/>
        <v>80</v>
      </c>
      <c r="L90" t="str">
        <f t="shared" si="45"/>
        <v>Castle Point</v>
      </c>
      <c r="M90" s="109">
        <f t="shared" si="46"/>
        <v>97.51</v>
      </c>
      <c r="N90" s="104">
        <f t="shared" si="31"/>
        <v>97.51</v>
      </c>
      <c r="O90" s="89" t="str">
        <f t="shared" si="32"/>
        <v/>
      </c>
      <c r="P90" s="89">
        <f t="shared" si="33"/>
        <v>97.51</v>
      </c>
      <c r="Q90" s="89" t="str">
        <f t="shared" si="34"/>
        <v/>
      </c>
      <c r="R90" s="85" t="str">
        <f t="shared" si="35"/>
        <v/>
      </c>
      <c r="S90" s="41" t="str">
        <f t="shared" si="36"/>
        <v/>
      </c>
      <c r="T90" s="166">
        <f>IF(L90="","",VLOOKUP(L90,classifications!C:K,9,FALSE))</f>
        <v>0</v>
      </c>
      <c r="U90" s="167" t="str">
        <f t="shared" si="37"/>
        <v/>
      </c>
      <c r="V90" s="173" t="str">
        <f>IF(U90="","",IF($I$8="A",(RANK(U90,U$11:U$333)+COUNTIF(U$11:U90,U90)-1),(RANK(U90,U$11:U$333,1)+COUNTIF(U$11:U90,U90)-1)))</f>
        <v/>
      </c>
      <c r="W90" s="174"/>
      <c r="X90" s="5" t="str">
        <f>IF(L90="","",VLOOKUP($L90,classifications!$C:$J,6,FALSE))</f>
        <v>Predominantly Urban</v>
      </c>
      <c r="Y90" t="str">
        <f t="shared" si="38"/>
        <v/>
      </c>
      <c r="Z90" s="39" t="str">
        <f>IF(Y90="","",IF(I$8="A",(RANK(Y90,Y$11:Y$333,1)+COUNTIF(Y$11:Y90,Y90)-1),(RANK(Y90,Y$11:Y$333)+COUNTIF(Y$11:Y90,Y90)-1)))</f>
        <v/>
      </c>
      <c r="AA90" s="177" t="str">
        <f>IF(L90="","",VLOOKUP($L90,classifications!C:I,7,FALSE))</f>
        <v>Predominantly Urban</v>
      </c>
      <c r="AB90" s="173" t="str">
        <f t="shared" si="39"/>
        <v/>
      </c>
      <c r="AC90" s="173" t="str">
        <f>IF(AB90="","",IF($I$8="A",(RANK(AB90,AB$11:AB$333)+COUNTIF(AB$11:AB90,AB90)-1),(RANK(AB90,AB$11:AB$333,1)+COUNTIF(AB$11:AB90,AB90)-1)))</f>
        <v/>
      </c>
      <c r="AD90" s="173"/>
      <c r="AE90" s="45" t="e">
        <f>IF(I$8="A",(RANK(AG90,AG$11:AG$333,1)+COUNTIF(AG$11:AG90,AG90)-1),(RANK(AG90,AG$11:AG$333)+COUNTIF(AG$11:AG90,AG90)-1))</f>
        <v>#N/A</v>
      </c>
      <c r="AF90" t="str">
        <f>VLOOKUP(Profile!$J$5,Families!$C:$R,2,FALSE)</f>
        <v>North Dorset</v>
      </c>
      <c r="AG90" s="15" t="e">
        <f t="shared" si="52"/>
        <v>#N/A</v>
      </c>
      <c r="AH90" s="46" t="e">
        <f t="shared" si="40"/>
        <v>#N/A</v>
      </c>
      <c r="AI90" s="5" t="str">
        <f>IF(L90="","",VLOOKUP($L90,classifications!$C:$J,8,FALSE))</f>
        <v>Essex</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East of England</v>
      </c>
      <c r="AQ90" s="42">
        <f t="shared" si="42"/>
        <v>97.51</v>
      </c>
      <c r="AR90" s="39">
        <f>IF(AQ90="","",IF(I$8="A",(RANK(AQ90,AQ$11:AQ$333,1)+COUNTIF(AQ$11:AQ90,AQ90)-1),(RANK(AQ90,AQ$11:AQ$333)+COUNTIF(AQ$11:AQ90,AQ90)-1)))</f>
        <v>18</v>
      </c>
      <c r="AS90" s="3" t="str">
        <f t="shared" si="54"/>
        <v/>
      </c>
      <c r="AT90" s="39" t="str">
        <f t="shared" si="49"/>
        <v/>
      </c>
      <c r="AU90" s="42" t="str">
        <f t="shared" si="50"/>
        <v/>
      </c>
      <c r="AX90">
        <f>HLOOKUP($AX$9&amp;$AX$10,Data!$A$1:$ZT$1975,(MATCH($C90,Data!$A$1:$A$1975,0)),FALSE)</f>
        <v>98.64</v>
      </c>
    </row>
    <row r="91" spans="1:50">
      <c r="A91" s="55" t="str">
        <f>$D$1&amp;81</f>
        <v>SD81</v>
      </c>
      <c r="B91" s="56">
        <f>IF(ISERROR(VLOOKUP(A91,classifications!A:C,3,FALSE)),0,VLOOKUP(A91,classifications!A:C,3,FALSE))</f>
        <v>0</v>
      </c>
      <c r="C91" t="s">
        <v>55</v>
      </c>
      <c r="D91" t="str">
        <f>VLOOKUP($C91,classifications!$C:$J,4,FALSE)</f>
        <v>SD</v>
      </c>
      <c r="E91">
        <f>VLOOKUP(C91,classifications!C:K,9,FALSE)</f>
        <v>0</v>
      </c>
      <c r="F91">
        <f t="shared" si="43"/>
        <v>98.35</v>
      </c>
      <c r="G91" s="15"/>
      <c r="H91" s="41">
        <f t="shared" si="44"/>
        <v>98.35</v>
      </c>
      <c r="I91" s="73">
        <f>IF(H91="","",IF($I$8="A",(RANK(H91,H$11:H$333,1)+COUNTIF(H$11:H91,H91)-1),(RANK(H91,H$11:H$333)+COUNTIF(H$11:H91,H91)-1)))</f>
        <v>24</v>
      </c>
      <c r="J91" s="40"/>
      <c r="K91" s="35">
        <f t="shared" si="51"/>
        <v>81</v>
      </c>
      <c r="L91" t="str">
        <f t="shared" si="45"/>
        <v>Mid Devon</v>
      </c>
      <c r="M91" s="109">
        <f t="shared" si="46"/>
        <v>97.51</v>
      </c>
      <c r="N91" s="104">
        <f t="shared" si="31"/>
        <v>97.51</v>
      </c>
      <c r="O91" s="89" t="str">
        <f t="shared" si="32"/>
        <v/>
      </c>
      <c r="P91" s="89">
        <f t="shared" si="33"/>
        <v>97.51</v>
      </c>
      <c r="Q91" s="89" t="str">
        <f t="shared" si="34"/>
        <v/>
      </c>
      <c r="R91" s="85" t="str">
        <f t="shared" si="35"/>
        <v/>
      </c>
      <c r="S91" s="41" t="str">
        <f t="shared" si="36"/>
        <v/>
      </c>
      <c r="T91" s="166" t="str">
        <f>IF(L91="","",VLOOKUP(L91,classifications!C:K,9,FALSE))</f>
        <v>Sparse</v>
      </c>
      <c r="U91" s="167">
        <f t="shared" si="37"/>
        <v>97.51</v>
      </c>
      <c r="V91" s="173">
        <f>IF(U91="","",IF($I$8="A",(RANK(U91,U$11:U$333)+COUNTIF(U$11:U91,U91)-1),(RANK(U91,U$11:U$333,1)+COUNTIF(U$11:U91,U91)-1)))</f>
        <v>12</v>
      </c>
      <c r="W91" s="174"/>
      <c r="X91" s="5" t="str">
        <f>IF(L91="","",VLOOKUP($L91,classifications!$C:$J,6,FALSE))</f>
        <v xml:space="preserve">Predominantly Rural </v>
      </c>
      <c r="Y91">
        <f t="shared" si="38"/>
        <v>97.51</v>
      </c>
      <c r="Z91" s="39">
        <f>IF(Y91="","",IF(I$8="A",(RANK(Y91,Y$11:Y$333,1)+COUNTIF(Y$11:Y91,Y91)-1),(RANK(Y91,Y$11:Y$333)+COUNTIF(Y$11:Y91,Y91)-1)))</f>
        <v>41</v>
      </c>
      <c r="AA91" s="177" t="str">
        <f>IF(L91="","",VLOOKUP($L91,classifications!C:I,7,FALSE))</f>
        <v>Predominantly Rural</v>
      </c>
      <c r="AB91" s="173">
        <f t="shared" si="39"/>
        <v>97.51</v>
      </c>
      <c r="AC91" s="173">
        <f>IF(AB91="","",IF($I$8="A",(RANK(AB91,AB$11:AB$333)+COUNTIF(AB$11:AB91,AB91)-1),(RANK(AB91,AB$11:AB$333,1)+COUNTIF(AB$11:AB91,AB91)-1)))</f>
        <v>19</v>
      </c>
      <c r="AD91" s="173"/>
      <c r="AE91" s="45" t="e">
        <f>IF(I$8="A",(RANK(AG91,AG$11:AG$333,1)+COUNTIF(AG$11:AG91,AG91)-1),(RANK(AG91,AG$11:AG$333)+COUNTIF(AG$11:AG91,AG91)-1))</f>
        <v>#N/A</v>
      </c>
      <c r="AF91" t="str">
        <f>VLOOKUP(Profile!$J$5,Families!$C:$R,2,FALSE)</f>
        <v>North Dorset</v>
      </c>
      <c r="AG91" s="15" t="e">
        <f t="shared" si="52"/>
        <v>#N/A</v>
      </c>
      <c r="AH91" s="46" t="e">
        <f t="shared" si="40"/>
        <v>#N/A</v>
      </c>
      <c r="AI91" s="5" t="str">
        <f>IF(L91="","",VLOOKUP($L91,classifications!$C:$J,8,FALSE))</f>
        <v>Devon</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South West</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98.35</v>
      </c>
    </row>
    <row r="92" spans="1:50">
      <c r="A92" s="55" t="str">
        <f>$D$1&amp;82</f>
        <v>SD82</v>
      </c>
      <c r="B92" s="56">
        <f>IF(ISERROR(VLOOKUP(A92,classifications!A:C,3,FALSE)),0,VLOOKUP(A92,classifications!A:C,3,FALSE))</f>
        <v>0</v>
      </c>
      <c r="C92" t="s">
        <v>56</v>
      </c>
      <c r="D92" t="str">
        <f>VLOOKUP($C92,classifications!$C:$J,4,FALSE)</f>
        <v>SD</v>
      </c>
      <c r="E92">
        <f>VLOOKUP(C92,classifications!C:K,9,FALSE)</f>
        <v>0</v>
      </c>
      <c r="F92">
        <f t="shared" si="43"/>
        <v>96.92</v>
      </c>
      <c r="G92" s="15"/>
      <c r="H92" s="41">
        <f t="shared" si="44"/>
        <v>96.92</v>
      </c>
      <c r="I92" s="73">
        <f>IF(H92="","",IF($I$8="A",(RANK(H92,H$11:H$333,1)+COUNTIF(H$11:H92,H92)-1),(RANK(H92,H$11:H$333)+COUNTIF(H$11:H92,H92)-1)))</f>
        <v>103</v>
      </c>
      <c r="J92" s="40"/>
      <c r="K92" s="35">
        <f t="shared" si="51"/>
        <v>82</v>
      </c>
      <c r="L92" t="str">
        <f t="shared" si="45"/>
        <v>Spelthorne</v>
      </c>
      <c r="M92" s="109">
        <f t="shared" si="46"/>
        <v>97.5</v>
      </c>
      <c r="N92" s="104">
        <f t="shared" si="31"/>
        <v>97.5</v>
      </c>
      <c r="O92" s="89" t="str">
        <f t="shared" si="32"/>
        <v/>
      </c>
      <c r="P92" s="89">
        <f t="shared" si="33"/>
        <v>97.5</v>
      </c>
      <c r="Q92" s="89" t="str">
        <f t="shared" si="34"/>
        <v/>
      </c>
      <c r="R92" s="85" t="str">
        <f t="shared" si="35"/>
        <v/>
      </c>
      <c r="S92" s="41" t="str">
        <f t="shared" si="36"/>
        <v/>
      </c>
      <c r="T92" s="166">
        <f>IF(L92="","",VLOOKUP(L92,classifications!C:K,9,FALSE))</f>
        <v>0</v>
      </c>
      <c r="U92" s="167" t="str">
        <f t="shared" si="37"/>
        <v/>
      </c>
      <c r="V92" s="173" t="str">
        <f>IF(U92="","",IF($I$8="A",(RANK(U92,U$11:U$333)+COUNTIF(U$11:U92,U92)-1),(RANK(U92,U$11:U$333,1)+COUNTIF(U$11:U92,U92)-1)))</f>
        <v/>
      </c>
      <c r="W92" s="174"/>
      <c r="X92" s="5" t="str">
        <f>IF(L92="","",VLOOKUP($L92,classifications!$C:$J,6,FALSE))</f>
        <v>Predominantly Urban</v>
      </c>
      <c r="Y92" t="str">
        <f t="shared" si="38"/>
        <v/>
      </c>
      <c r="Z92" s="39" t="str">
        <f>IF(Y92="","",IF(I$8="A",(RANK(Y92,Y$11:Y$333,1)+COUNTIF(Y$11:Y92,Y92)-1),(RANK(Y92,Y$11:Y$333)+COUNTIF(Y$11:Y92,Y92)-1)))</f>
        <v/>
      </c>
      <c r="AA92" s="177" t="str">
        <f>IF(L92="","",VLOOKUP($L92,classifications!C:I,7,FALSE))</f>
        <v>Predominantly Urban</v>
      </c>
      <c r="AB92" s="173" t="str">
        <f t="shared" si="39"/>
        <v/>
      </c>
      <c r="AC92" s="173" t="str">
        <f>IF(AB92="","",IF($I$8="A",(RANK(AB92,AB$11:AB$333)+COUNTIF(AB$11:AB92,AB92)-1),(RANK(AB92,AB$11:AB$333,1)+COUNTIF(AB$11:AB92,AB92)-1)))</f>
        <v/>
      </c>
      <c r="AD92" s="173"/>
      <c r="AE92" s="45" t="e">
        <f>IF(I$8="A",(RANK(AG92,AG$11:AG$333,1)+COUNTIF(AG$11:AG92,AG92)-1),(RANK(AG92,AG$11:AG$333)+COUNTIF(AG$11:AG92,AG92)-1))</f>
        <v>#N/A</v>
      </c>
      <c r="AF92" t="str">
        <f>VLOOKUP(Profile!$J$5,Families!$C:$R,2,FALSE)</f>
        <v>North Dorset</v>
      </c>
      <c r="AG92" s="15" t="e">
        <f t="shared" si="52"/>
        <v>#N/A</v>
      </c>
      <c r="AH92" s="46" t="e">
        <f t="shared" si="40"/>
        <v>#N/A</v>
      </c>
      <c r="AI92" s="5" t="str">
        <f>IF(L92="","",VLOOKUP($L92,classifications!$C:$J,8,FALSE))</f>
        <v>Surrey</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South East</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96.92</v>
      </c>
    </row>
    <row r="93" spans="1:50">
      <c r="A93" s="55" t="str">
        <f>$D$1&amp;83</f>
        <v>SD83</v>
      </c>
      <c r="B93" s="56">
        <f>IF(ISERROR(VLOOKUP(A93,classifications!A:C,3,FALSE)),0,VLOOKUP(A93,classifications!A:C,3,FALSE))</f>
        <v>0</v>
      </c>
      <c r="C93" t="s">
        <v>57</v>
      </c>
      <c r="D93" t="str">
        <f>VLOOKUP($C93,classifications!$C:$J,4,FALSE)</f>
        <v>SD</v>
      </c>
      <c r="E93" t="str">
        <f>VLOOKUP(C93,classifications!C:K,9,FALSE)</f>
        <v>Sparse</v>
      </c>
      <c r="F93">
        <f t="shared" si="43"/>
        <v>95.37</v>
      </c>
      <c r="G93" s="15"/>
      <c r="H93" s="41">
        <f t="shared" si="44"/>
        <v>95.37</v>
      </c>
      <c r="I93" s="73">
        <f>IF(H93="","",IF($I$8="A",(RANK(H93,H$11:H$333,1)+COUNTIF(H$11:H93,H93)-1),(RANK(H93,H$11:H$333)+COUNTIF(H$11:H93,H93)-1)))</f>
        <v>147</v>
      </c>
      <c r="J93" s="40"/>
      <c r="K93" s="35">
        <f t="shared" si="51"/>
        <v>83</v>
      </c>
      <c r="L93" t="str">
        <f t="shared" si="45"/>
        <v>Brentwood</v>
      </c>
      <c r="M93" s="109">
        <f t="shared" si="46"/>
        <v>97.41</v>
      </c>
      <c r="N93" s="104">
        <f t="shared" si="31"/>
        <v>97.41</v>
      </c>
      <c r="O93" s="89" t="str">
        <f t="shared" si="32"/>
        <v/>
      </c>
      <c r="P93" s="89" t="str">
        <f t="shared" si="33"/>
        <v/>
      </c>
      <c r="Q93" s="89">
        <f t="shared" si="34"/>
        <v>97.41</v>
      </c>
      <c r="R93" s="85" t="str">
        <f t="shared" si="35"/>
        <v/>
      </c>
      <c r="S93" s="41" t="str">
        <f t="shared" si="36"/>
        <v/>
      </c>
      <c r="T93" s="166">
        <f>IF(L93="","",VLOOKUP(L93,classifications!C:K,9,FALSE))</f>
        <v>0</v>
      </c>
      <c r="U93" s="167" t="str">
        <f t="shared" si="37"/>
        <v/>
      </c>
      <c r="V93" s="173" t="str">
        <f>IF(U93="","",IF($I$8="A",(RANK(U93,U$11:U$333)+COUNTIF(U$11:U93,U93)-1),(RANK(U93,U$11:U$333,1)+COUNTIF(U$11:U93,U93)-1)))</f>
        <v/>
      </c>
      <c r="W93" s="174"/>
      <c r="X93" s="5" t="str">
        <f>IF(L93="","",VLOOKUP($L93,classifications!$C:$J,6,FALSE))</f>
        <v>Urban with Significant Rural</v>
      </c>
      <c r="Y93" t="str">
        <f t="shared" si="38"/>
        <v/>
      </c>
      <c r="Z93" s="39" t="str">
        <f>IF(Y93="","",IF(I$8="A",(RANK(Y93,Y$11:Y$333,1)+COUNTIF(Y$11:Y93,Y93)-1),(RANK(Y93,Y$11:Y$333)+COUNTIF(Y$11:Y93,Y93)-1)))</f>
        <v/>
      </c>
      <c r="AA93" s="177" t="str">
        <f>IF(L93="","",VLOOKUP($L93,classifications!C:I,7,FALSE))</f>
        <v>Urban with Significant Rural</v>
      </c>
      <c r="AB93" s="173" t="str">
        <f t="shared" si="39"/>
        <v/>
      </c>
      <c r="AC93" s="173" t="str">
        <f>IF(AB93="","",IF($I$8="A",(RANK(AB93,AB$11:AB$333)+COUNTIF(AB$11:AB93,AB93)-1),(RANK(AB93,AB$11:AB$333,1)+COUNTIF(AB$11:AB93,AB93)-1)))</f>
        <v/>
      </c>
      <c r="AD93" s="173"/>
      <c r="AE93" s="45" t="e">
        <f>IF(I$8="A",(RANK(AG93,AG$11:AG$333,1)+COUNTIF(AG$11:AG93,AG93)-1),(RANK(AG93,AG$11:AG$333)+COUNTIF(AG$11:AG93,AG93)-1))</f>
        <v>#N/A</v>
      </c>
      <c r="AF93" t="str">
        <f>VLOOKUP(Profile!$J$5,Families!$C:$R,2,FALSE)</f>
        <v>North Dorset</v>
      </c>
      <c r="AG93" s="15" t="e">
        <f t="shared" si="52"/>
        <v>#N/A</v>
      </c>
      <c r="AH93" s="46" t="e">
        <f t="shared" si="40"/>
        <v>#N/A</v>
      </c>
      <c r="AI93" s="5" t="str">
        <f>IF(L93="","",VLOOKUP($L93,classifications!$C:$J,8,FALSE))</f>
        <v>Essex</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East of England</v>
      </c>
      <c r="AQ93" s="42">
        <f t="shared" si="42"/>
        <v>97.41</v>
      </c>
      <c r="AR93" s="39">
        <f>IF(AQ93="","",IF(I$8="A",(RANK(AQ93,AQ$11:AQ$333,1)+COUNTIF(AQ$11:AQ93,AQ93)-1),(RANK(AQ93,AQ$11:AQ$333)+COUNTIF(AQ$11:AQ93,AQ93)-1)))</f>
        <v>19</v>
      </c>
      <c r="AS93" s="3" t="str">
        <f t="shared" si="54"/>
        <v/>
      </c>
      <c r="AT93" s="39" t="str">
        <f t="shared" si="49"/>
        <v/>
      </c>
      <c r="AU93" s="42" t="str">
        <f t="shared" si="50"/>
        <v/>
      </c>
      <c r="AX93">
        <f>HLOOKUP($AX$9&amp;$AX$10,Data!$A$1:$ZT$1975,(MATCH($C93,Data!$A$1:$A$1975,0)),FALSE)</f>
        <v>95.37</v>
      </c>
    </row>
    <row r="94" spans="1:50">
      <c r="A94" s="55" t="str">
        <f>$D$1&amp;84</f>
        <v>SD84</v>
      </c>
      <c r="B94" s="56">
        <f>IF(ISERROR(VLOOKUP(A94,classifications!A:C,3,FALSE)),0,VLOOKUP(A94,classifications!A:C,3,FALSE))</f>
        <v>0</v>
      </c>
      <c r="C94" t="s">
        <v>267</v>
      </c>
      <c r="D94" t="str">
        <f>VLOOKUP($C94,classifications!$C:$J,4,FALSE)</f>
        <v>UA</v>
      </c>
      <c r="E94" t="str">
        <f>VLOOKUP(C94,classifications!C:K,9,FALSE)</f>
        <v>Sparse</v>
      </c>
      <c r="F94">
        <f t="shared" si="43"/>
        <v>97.03</v>
      </c>
      <c r="G94" s="15"/>
      <c r="H94" s="41" t="str">
        <f t="shared" si="44"/>
        <v/>
      </c>
      <c r="I94" s="73" t="str">
        <f>IF(H94="","",IF($I$8="A",(RANK(H94,H$11:H$333,1)+COUNTIF(H$11:H94,H94)-1),(RANK(H94,H$11:H$333)+COUNTIF(H$11:H94,H94)-1)))</f>
        <v/>
      </c>
      <c r="J94" s="40"/>
      <c r="K94" s="35">
        <f t="shared" si="51"/>
        <v>84</v>
      </c>
      <c r="L94" t="str">
        <f t="shared" si="45"/>
        <v>Blaby</v>
      </c>
      <c r="M94" s="109">
        <f t="shared" si="46"/>
        <v>97.35</v>
      </c>
      <c r="N94" s="104">
        <f t="shared" si="31"/>
        <v>97.35</v>
      </c>
      <c r="O94" s="89" t="str">
        <f t="shared" si="32"/>
        <v/>
      </c>
      <c r="P94" s="89" t="str">
        <f t="shared" si="33"/>
        <v/>
      </c>
      <c r="Q94" s="89">
        <f t="shared" si="34"/>
        <v>97.35</v>
      </c>
      <c r="R94" s="85" t="str">
        <f t="shared" si="35"/>
        <v/>
      </c>
      <c r="S94" s="41" t="str">
        <f t="shared" si="36"/>
        <v/>
      </c>
      <c r="T94" s="166">
        <f>IF(L94="","",VLOOKUP(L94,classifications!C:K,9,FALSE))</f>
        <v>0</v>
      </c>
      <c r="U94" s="167" t="str">
        <f t="shared" si="37"/>
        <v/>
      </c>
      <c r="V94" s="173" t="str">
        <f>IF(U94="","",IF($I$8="A",(RANK(U94,U$11:U$333)+COUNTIF(U$11:U94,U94)-1),(RANK(U94,U$11:U$333,1)+COUNTIF(U$11:U94,U94)-1)))</f>
        <v/>
      </c>
      <c r="W94" s="174"/>
      <c r="X94" s="5" t="str">
        <f>IF(L94="","",VLOOKUP($L94,classifications!$C:$J,6,FALSE))</f>
        <v>Predominantly Urban</v>
      </c>
      <c r="Y94" t="str">
        <f t="shared" si="38"/>
        <v/>
      </c>
      <c r="Z94" s="39" t="str">
        <f>IF(Y94="","",IF(I$8="A",(RANK(Y94,Y$11:Y$333,1)+COUNTIF(Y$11:Y94,Y94)-1),(RANK(Y94,Y$11:Y$333)+COUNTIF(Y$11:Y94,Y94)-1)))</f>
        <v/>
      </c>
      <c r="AA94" s="177" t="str">
        <f>IF(L94="","",VLOOKUP($L94,classifications!C:I,7,FALSE))</f>
        <v>Predominantly Urban</v>
      </c>
      <c r="AB94" s="173" t="str">
        <f t="shared" si="39"/>
        <v/>
      </c>
      <c r="AC94" s="173" t="str">
        <f>IF(AB94="","",IF($I$8="A",(RANK(AB94,AB$11:AB$333)+COUNTIF(AB$11:AB94,AB94)-1),(RANK(AB94,AB$11:AB$333,1)+COUNTIF(AB$11:AB94,AB94)-1)))</f>
        <v/>
      </c>
      <c r="AD94" s="173"/>
      <c r="AE94" s="45" t="e">
        <f>IF(I$8="A",(RANK(AG94,AG$11:AG$333,1)+COUNTIF(AG$11:AG94,AG94)-1),(RANK(AG94,AG$11:AG$333)+COUNTIF(AG$11:AG94,AG94)-1))</f>
        <v>#N/A</v>
      </c>
      <c r="AF94" t="str">
        <f>VLOOKUP(Profile!$J$5,Families!$C:$R,2,FALSE)</f>
        <v>North Dorset</v>
      </c>
      <c r="AG94" s="15" t="e">
        <f t="shared" si="52"/>
        <v>#N/A</v>
      </c>
      <c r="AH94" s="46" t="e">
        <f t="shared" si="40"/>
        <v>#N/A</v>
      </c>
      <c r="AI94" s="5" t="str">
        <f>IF(L94="","",VLOOKUP($L94,classifications!$C:$J,8,FALSE))</f>
        <v>Leicestershire</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East Midlands</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97.03</v>
      </c>
    </row>
    <row r="95" spans="1:50">
      <c r="A95" s="55" t="str">
        <f>$D$1&amp;85</f>
        <v>SD85</v>
      </c>
      <c r="B95" s="56">
        <f>IF(ISERROR(VLOOKUP(A95,classifications!A:C,3,FALSE)),0,VLOOKUP(A95,classifications!A:C,3,FALSE))</f>
        <v>0</v>
      </c>
      <c r="C95" t="s">
        <v>59</v>
      </c>
      <c r="D95" t="str">
        <f>VLOOKUP($C95,classifications!$C:$J,4,FALSE)</f>
        <v>SD</v>
      </c>
      <c r="E95">
        <f>VLOOKUP(C95,classifications!C:K,9,FALSE)</f>
        <v>0</v>
      </c>
      <c r="F95">
        <f t="shared" si="43"/>
        <v>97.55</v>
      </c>
      <c r="G95" s="15"/>
      <c r="H95" s="41">
        <f t="shared" si="44"/>
        <v>97.55</v>
      </c>
      <c r="I95" s="73">
        <f>IF(H95="","",IF($I$8="A",(RANK(H95,H$11:H$333,1)+COUNTIF(H$11:H95,H95)-1),(RANK(H95,H$11:H$333)+COUNTIF(H$11:H95,H95)-1)))</f>
        <v>74</v>
      </c>
      <c r="J95" s="40"/>
      <c r="K95" s="35">
        <f t="shared" si="51"/>
        <v>85</v>
      </c>
      <c r="L95" t="str">
        <f t="shared" si="45"/>
        <v>Arun</v>
      </c>
      <c r="M95" s="109">
        <f t="shared" si="46"/>
        <v>97.32</v>
      </c>
      <c r="N95" s="104">
        <f t="shared" si="31"/>
        <v>97.32</v>
      </c>
      <c r="O95" s="89" t="str">
        <f t="shared" si="32"/>
        <v/>
      </c>
      <c r="P95" s="89" t="str">
        <f t="shared" si="33"/>
        <v/>
      </c>
      <c r="Q95" s="89">
        <f t="shared" si="34"/>
        <v>97.32</v>
      </c>
      <c r="R95" s="85" t="str">
        <f t="shared" si="35"/>
        <v/>
      </c>
      <c r="S95" s="41" t="str">
        <f t="shared" si="36"/>
        <v/>
      </c>
      <c r="T95" s="166">
        <f>IF(L95="","",VLOOKUP(L95,classifications!C:K,9,FALSE))</f>
        <v>0</v>
      </c>
      <c r="U95" s="167" t="str">
        <f t="shared" si="37"/>
        <v/>
      </c>
      <c r="V95" s="173" t="str">
        <f>IF(U95="","",IF($I$8="A",(RANK(U95,U$11:U$333)+COUNTIF(U$11:U95,U95)-1),(RANK(U95,U$11:U$333,1)+COUNTIF(U$11:U95,U95)-1)))</f>
        <v/>
      </c>
      <c r="W95" s="174"/>
      <c r="X95" s="5" t="str">
        <f>IF(L95="","",VLOOKUP($L95,classifications!$C:$J,6,FALSE))</f>
        <v>Predominantly Urban</v>
      </c>
      <c r="Y95" t="str">
        <f t="shared" si="38"/>
        <v/>
      </c>
      <c r="Z95" s="39" t="str">
        <f>IF(Y95="","",IF(I$8="A",(RANK(Y95,Y$11:Y$333,1)+COUNTIF(Y$11:Y95,Y95)-1),(RANK(Y95,Y$11:Y$333)+COUNTIF(Y$11:Y95,Y95)-1)))</f>
        <v/>
      </c>
      <c r="AA95" s="177" t="str">
        <f>IF(L95="","",VLOOKUP($L95,classifications!C:I,7,FALSE))</f>
        <v>Predominantly Urban</v>
      </c>
      <c r="AB95" s="173" t="str">
        <f t="shared" si="39"/>
        <v/>
      </c>
      <c r="AC95" s="173" t="str">
        <f>IF(AB95="","",IF($I$8="A",(RANK(AB95,AB$11:AB$333)+COUNTIF(AB$11:AB95,AB95)-1),(RANK(AB95,AB$11:AB$333,1)+COUNTIF(AB$11:AB95,AB95)-1)))</f>
        <v/>
      </c>
      <c r="AD95" s="173"/>
      <c r="AE95" s="45" t="e">
        <f>IF(I$8="A",(RANK(AG95,AG$11:AG$333,1)+COUNTIF(AG$11:AG95,AG95)-1),(RANK(AG95,AG$11:AG$333)+COUNTIF(AG$11:AG95,AG95)-1))</f>
        <v>#N/A</v>
      </c>
      <c r="AF95" t="str">
        <f>VLOOKUP(Profile!$J$5,Families!$C:$R,2,FALSE)</f>
        <v>North Dorset</v>
      </c>
      <c r="AG95" s="15" t="e">
        <f t="shared" si="52"/>
        <v>#N/A</v>
      </c>
      <c r="AH95" s="46" t="e">
        <f t="shared" si="40"/>
        <v>#N/A</v>
      </c>
      <c r="AI95" s="5" t="str">
        <f>IF(L95="","",VLOOKUP($L95,classifications!$C:$J,8,FALSE))</f>
        <v>West Sussex</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South East</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97.55</v>
      </c>
    </row>
    <row r="96" spans="1:50">
      <c r="A96" s="55" t="str">
        <f>$D$1&amp;86</f>
        <v>SD86</v>
      </c>
      <c r="B96" s="56">
        <f>IF(ISERROR(VLOOKUP(A96,classifications!A:C,3,FALSE)),0,VLOOKUP(A96,classifications!A:C,3,FALSE))</f>
        <v>0</v>
      </c>
      <c r="C96" t="s">
        <v>893</v>
      </c>
      <c r="D96" t="str">
        <f>VLOOKUP($C96,classifications!$C:$J,4,FALSE)</f>
        <v>SD</v>
      </c>
      <c r="E96" t="str">
        <f>VLOOKUP(C96,classifications!C:K,9,FALSE)</f>
        <v>Sparse</v>
      </c>
      <c r="F96">
        <f t="shared" si="43"/>
        <v>97.55</v>
      </c>
      <c r="G96" s="15"/>
      <c r="H96" s="41">
        <f t="shared" si="44"/>
        <v>97.55</v>
      </c>
      <c r="I96" s="73">
        <f>IF(H96="","",IF($I$8="A",(RANK(H96,H$11:H$333,1)+COUNTIF(H$11:H96,H96)-1),(RANK(H96,H$11:H$333)+COUNTIF(H$11:H96,H96)-1)))</f>
        <v>75</v>
      </c>
      <c r="J96" s="40"/>
      <c r="K96" s="35">
        <f t="shared" si="51"/>
        <v>86</v>
      </c>
      <c r="L96" t="str">
        <f t="shared" si="45"/>
        <v>Breckland</v>
      </c>
      <c r="M96" s="109">
        <f t="shared" si="46"/>
        <v>97.25</v>
      </c>
      <c r="N96" s="104">
        <f t="shared" si="31"/>
        <v>97.25</v>
      </c>
      <c r="O96" s="89" t="str">
        <f t="shared" si="32"/>
        <v/>
      </c>
      <c r="P96" s="89" t="str">
        <f t="shared" si="33"/>
        <v/>
      </c>
      <c r="Q96" s="89">
        <f t="shared" si="34"/>
        <v>97.25</v>
      </c>
      <c r="R96" s="85" t="str">
        <f t="shared" si="35"/>
        <v/>
      </c>
      <c r="S96" s="41" t="str">
        <f t="shared" si="36"/>
        <v/>
      </c>
      <c r="T96" s="166">
        <f>IF(L96="","",VLOOKUP(L96,classifications!C:K,9,FALSE))</f>
        <v>0</v>
      </c>
      <c r="U96" s="167" t="str">
        <f t="shared" si="37"/>
        <v/>
      </c>
      <c r="V96" s="173" t="str">
        <f>IF(U96="","",IF($I$8="A",(RANK(U96,U$11:U$333)+COUNTIF(U$11:U96,U96)-1),(RANK(U96,U$11:U$333,1)+COUNTIF(U$11:U96,U96)-1)))</f>
        <v/>
      </c>
      <c r="W96" s="174"/>
      <c r="X96" s="5" t="str">
        <f>IF(L96="","",VLOOKUP($L96,classifications!$C:$J,6,FALSE))</f>
        <v xml:space="preserve">Predominantly Rural </v>
      </c>
      <c r="Y96">
        <f t="shared" si="38"/>
        <v>97.25</v>
      </c>
      <c r="Z96" s="39">
        <f>IF(Y96="","",IF(I$8="A",(RANK(Y96,Y$11:Y$333,1)+COUNTIF(Y$11:Y96,Y96)-1),(RANK(Y96,Y$11:Y$333)+COUNTIF(Y$11:Y96,Y96)-1)))</f>
        <v>42</v>
      </c>
      <c r="AA96" s="177" t="str">
        <f>IF(L96="","",VLOOKUP($L96,classifications!C:I,7,FALSE))</f>
        <v>Predominantly Rural</v>
      </c>
      <c r="AB96" s="173">
        <f t="shared" si="39"/>
        <v>97.25</v>
      </c>
      <c r="AC96" s="173">
        <f>IF(AB96="","",IF($I$8="A",(RANK(AB96,AB$11:AB$333)+COUNTIF(AB$11:AB96,AB96)-1),(RANK(AB96,AB$11:AB$333,1)+COUNTIF(AB$11:AB96,AB96)-1)))</f>
        <v>18</v>
      </c>
      <c r="AD96" s="173"/>
      <c r="AE96" s="45" t="e">
        <f>IF(I$8="A",(RANK(AG96,AG$11:AG$333,1)+COUNTIF(AG$11:AG96,AG96)-1),(RANK(AG96,AG$11:AG$333)+COUNTIF(AG$11:AG96,AG96)-1))</f>
        <v>#N/A</v>
      </c>
      <c r="AF96" t="str">
        <f>VLOOKUP(Profile!$J$5,Families!$C:$R,2,FALSE)</f>
        <v>North Dorset</v>
      </c>
      <c r="AG96" s="15" t="e">
        <f t="shared" si="52"/>
        <v>#N/A</v>
      </c>
      <c r="AH96" s="46" t="e">
        <f t="shared" si="40"/>
        <v>#N/A</v>
      </c>
      <c r="AI96" s="5" t="str">
        <f>IF(L96="","",VLOOKUP($L96,classifications!$C:$J,8,FALSE))</f>
        <v>Norfolk</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East of England</v>
      </c>
      <c r="AQ96" s="42">
        <f t="shared" si="42"/>
        <v>97.25</v>
      </c>
      <c r="AR96" s="39">
        <f>IF(AQ96="","",IF(I$8="A",(RANK(AQ96,AQ$11:AQ$333,1)+COUNTIF(AQ$11:AQ96,AQ96)-1),(RANK(AQ96,AQ$11:AQ$333)+COUNTIF(AQ$11:AQ96,AQ96)-1)))</f>
        <v>20</v>
      </c>
      <c r="AS96" s="3" t="str">
        <f t="shared" si="54"/>
        <v/>
      </c>
      <c r="AT96" s="39" t="str">
        <f t="shared" si="49"/>
        <v/>
      </c>
      <c r="AU96" s="42" t="str">
        <f t="shared" si="50"/>
        <v/>
      </c>
      <c r="AX96">
        <f>HLOOKUP($AX$9&amp;$AX$10,Data!$A$1:$ZT$1975,(MATCH($C96,Data!$A$1:$A$1975,0)),FALSE)</f>
        <v>97.55</v>
      </c>
    </row>
    <row r="97" spans="1:50">
      <c r="A97" s="55" t="str">
        <f>$D$1&amp;87</f>
        <v>SD87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f t="shared" si="51"/>
        <v>87</v>
      </c>
      <c r="L97" t="str">
        <f t="shared" si="45"/>
        <v>Welwyn Hatfield</v>
      </c>
      <c r="M97" s="109">
        <f t="shared" si="46"/>
        <v>97.24</v>
      </c>
      <c r="N97" s="104">
        <f t="shared" si="31"/>
        <v>97.24</v>
      </c>
      <c r="O97" s="89" t="str">
        <f t="shared" si="32"/>
        <v/>
      </c>
      <c r="P97" s="89" t="str">
        <f t="shared" si="33"/>
        <v/>
      </c>
      <c r="Q97" s="89">
        <f t="shared" si="34"/>
        <v>97.24</v>
      </c>
      <c r="R97" s="85" t="str">
        <f t="shared" si="35"/>
        <v/>
      </c>
      <c r="S97" s="41" t="str">
        <f t="shared" si="36"/>
        <v/>
      </c>
      <c r="T97" s="166">
        <f>IF(L97="","",VLOOKUP(L97,classifications!C:K,9,FALSE))</f>
        <v>0</v>
      </c>
      <c r="U97" s="167" t="str">
        <f t="shared" si="37"/>
        <v/>
      </c>
      <c r="V97" s="173" t="str">
        <f>IF(U97="","",IF($I$8="A",(RANK(U97,U$11:U$333)+COUNTIF(U$11:U97,U97)-1),(RANK(U97,U$11:U$333,1)+COUNTIF(U$11:U97,U97)-1)))</f>
        <v/>
      </c>
      <c r="W97" s="174"/>
      <c r="X97" s="5" t="str">
        <f>IF(L97="","",VLOOKUP($L97,classifications!$C:$J,6,FALSE))</f>
        <v>Predominantly Urban</v>
      </c>
      <c r="Y97" t="str">
        <f t="shared" si="38"/>
        <v/>
      </c>
      <c r="Z97" s="39" t="str">
        <f>IF(Y97="","",IF(I$8="A",(RANK(Y97,Y$11:Y$333,1)+COUNTIF(Y$11:Y97,Y97)-1),(RANK(Y97,Y$11:Y$333)+COUNTIF(Y$11:Y97,Y97)-1)))</f>
        <v/>
      </c>
      <c r="AA97" s="177" t="str">
        <f>IF(L97="","",VLOOKUP($L97,classifications!C:I,7,FALSE))</f>
        <v>Predominantly Urban</v>
      </c>
      <c r="AB97" s="173" t="str">
        <f t="shared" si="39"/>
        <v/>
      </c>
      <c r="AC97" s="173" t="str">
        <f>IF(AB97="","",IF($I$8="A",(RANK(AB97,AB$11:AB$333)+COUNTIF(AB$11:AB97,AB97)-1),(RANK(AB97,AB$11:AB$333,1)+COUNTIF(AB$11:AB97,AB97)-1)))</f>
        <v/>
      </c>
      <c r="AD97" s="173"/>
      <c r="AE97" s="45" t="e">
        <f>IF(I$8="A",(RANK(AG97,AG$11:AG$333,1)+COUNTIF(AG$11:AG97,AG97)-1),(RANK(AG97,AG$11:AG$333)+COUNTIF(AG$11:AG97,AG97)-1))</f>
        <v>#N/A</v>
      </c>
      <c r="AF97" t="str">
        <f>VLOOKUP(Profile!$J$5,Families!$C:$R,2,FALSE)</f>
        <v>North Dorset</v>
      </c>
      <c r="AG97" s="15" t="e">
        <f t="shared" si="52"/>
        <v>#N/A</v>
      </c>
      <c r="AH97" s="46" t="e">
        <f t="shared" si="40"/>
        <v>#N/A</v>
      </c>
      <c r="AI97" s="5" t="str">
        <f>IF(L97="","",VLOOKUP($L97,classifications!$C:$J,8,FALSE))</f>
        <v>Hertfordshire</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East of England</v>
      </c>
      <c r="AQ97" s="42">
        <f t="shared" si="42"/>
        <v>97.24</v>
      </c>
      <c r="AR97" s="39">
        <f>IF(AQ97="","",IF(I$8="A",(RANK(AQ97,AQ$11:AQ$333,1)+COUNTIF(AQ$11:AQ97,AQ97)-1),(RANK(AQ97,AQ$11:AQ$333)+COUNTIF(AQ$11:AQ97,AQ97)-1)))</f>
        <v>21</v>
      </c>
      <c r="AS97" s="3" t="str">
        <f t="shared" si="54"/>
        <v/>
      </c>
      <c r="AT97" s="39" t="str">
        <f t="shared" si="49"/>
        <v/>
      </c>
      <c r="AU97" s="42" t="str">
        <f t="shared" si="50"/>
        <v/>
      </c>
      <c r="AX97" t="e">
        <f>HLOOKUP($AX$9&amp;$AX$10,Data!$A$1:$ZT$1975,(MATCH($C97,Data!$A$1:$A$1975,0)),FALSE)</f>
        <v>#N/A</v>
      </c>
    </row>
    <row r="98" spans="1:50">
      <c r="A98" s="55" t="str">
        <f>$D$1&amp;88</f>
        <v>SD88</v>
      </c>
      <c r="B98" s="56">
        <f>IF(ISERROR(VLOOKUP(A98,classifications!A:C,3,FALSE)),0,VLOOKUP(A98,classifications!A:C,3,FALSE))</f>
        <v>0</v>
      </c>
      <c r="C98" t="s">
        <v>60</v>
      </c>
      <c r="D98" t="str">
        <f>VLOOKUP($C98,classifications!$C:$J,4,FALSE)</f>
        <v>SD</v>
      </c>
      <c r="E98">
        <f>VLOOKUP(C98,classifications!C:K,9,FALSE)</f>
        <v>0</v>
      </c>
      <c r="F98">
        <f t="shared" si="43"/>
        <v>95.19</v>
      </c>
      <c r="G98" s="15"/>
      <c r="H98" s="41">
        <f t="shared" si="44"/>
        <v>95.19</v>
      </c>
      <c r="I98" s="73">
        <f>IF(H98="","",IF($I$8="A",(RANK(H98,H$11:H$333,1)+COUNTIF(H$11:H98,H98)-1),(RANK(H98,H$11:H$333)+COUNTIF(H$11:H98,H98)-1)))</f>
        <v>148</v>
      </c>
      <c r="J98" s="40"/>
      <c r="K98" s="35">
        <f t="shared" si="51"/>
        <v>88</v>
      </c>
      <c r="L98" t="str">
        <f t="shared" si="45"/>
        <v>South Norfolk</v>
      </c>
      <c r="M98" s="109">
        <f t="shared" si="46"/>
        <v>97.23</v>
      </c>
      <c r="N98" s="104">
        <f t="shared" si="31"/>
        <v>97.23</v>
      </c>
      <c r="O98" s="89" t="str">
        <f t="shared" si="32"/>
        <v/>
      </c>
      <c r="P98" s="89" t="str">
        <f t="shared" si="33"/>
        <v/>
      </c>
      <c r="Q98" s="89">
        <f t="shared" si="34"/>
        <v>97.23</v>
      </c>
      <c r="R98" s="85" t="str">
        <f t="shared" si="35"/>
        <v/>
      </c>
      <c r="S98" s="41" t="str">
        <f t="shared" si="36"/>
        <v/>
      </c>
      <c r="T98" s="166">
        <f>IF(L98="","",VLOOKUP(L98,classifications!C:K,9,FALSE))</f>
        <v>0</v>
      </c>
      <c r="U98" s="167" t="str">
        <f t="shared" si="37"/>
        <v/>
      </c>
      <c r="V98" s="173" t="str">
        <f>IF(U98="","",IF($I$8="A",(RANK(U98,U$11:U$333)+COUNTIF(U$11:U98,U98)-1),(RANK(U98,U$11:U$333,1)+COUNTIF(U$11:U98,U98)-1)))</f>
        <v/>
      </c>
      <c r="W98" s="174"/>
      <c r="X98" s="5" t="str">
        <f>IF(L98="","",VLOOKUP($L98,classifications!$C:$J,6,FALSE))</f>
        <v xml:space="preserve">Predominantly Rural </v>
      </c>
      <c r="Y98">
        <f t="shared" si="38"/>
        <v>97.23</v>
      </c>
      <c r="Z98" s="39">
        <f>IF(Y98="","",IF(I$8="A",(RANK(Y98,Y$11:Y$333,1)+COUNTIF(Y$11:Y98,Y98)-1),(RANK(Y98,Y$11:Y$333)+COUNTIF(Y$11:Y98,Y98)-1)))</f>
        <v>43</v>
      </c>
      <c r="AA98" s="177" t="str">
        <f>IF(L98="","",VLOOKUP($L98,classifications!C:I,7,FALSE))</f>
        <v>Predominantly Rural</v>
      </c>
      <c r="AB98" s="173">
        <f t="shared" si="39"/>
        <v>97.23</v>
      </c>
      <c r="AC98" s="173">
        <f>IF(AB98="","",IF($I$8="A",(RANK(AB98,AB$11:AB$333)+COUNTIF(AB$11:AB98,AB98)-1),(RANK(AB98,AB$11:AB$333,1)+COUNTIF(AB$11:AB98,AB98)-1)))</f>
        <v>17</v>
      </c>
      <c r="AD98" s="173"/>
      <c r="AE98" s="45" t="e">
        <f>IF(I$8="A",(RANK(AG98,AG$11:AG$333,1)+COUNTIF(AG$11:AG98,AG98)-1),(RANK(AG98,AG$11:AG$333)+COUNTIF(AG$11:AG98,AG98)-1))</f>
        <v>#N/A</v>
      </c>
      <c r="AF98" t="str">
        <f>VLOOKUP(Profile!$J$5,Families!$C:$R,2,FALSE)</f>
        <v>North Dorset</v>
      </c>
      <c r="AG98" s="15" t="e">
        <f t="shared" si="52"/>
        <v>#N/A</v>
      </c>
      <c r="AH98" s="46" t="e">
        <f t="shared" si="40"/>
        <v>#N/A</v>
      </c>
      <c r="AI98" s="5" t="str">
        <f>IF(L98="","",VLOOKUP($L98,classifications!$C:$J,8,FALSE))</f>
        <v>Norfolk</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East of England</v>
      </c>
      <c r="AQ98" s="42">
        <f t="shared" si="42"/>
        <v>97.23</v>
      </c>
      <c r="AR98" s="39">
        <f>IF(AQ98="","",IF(I$8="A",(RANK(AQ98,AQ$11:AQ$333,1)+COUNTIF(AQ$11:AQ98,AQ98)-1),(RANK(AQ98,AQ$11:AQ$333)+COUNTIF(AQ$11:AQ98,AQ98)-1)))</f>
        <v>22</v>
      </c>
      <c r="AS98" s="3" t="str">
        <f t="shared" si="54"/>
        <v/>
      </c>
      <c r="AT98" s="39" t="str">
        <f t="shared" si="49"/>
        <v/>
      </c>
      <c r="AU98" s="42" t="str">
        <f t="shared" si="50"/>
        <v/>
      </c>
      <c r="AX98">
        <f>HLOOKUP($AX$9&amp;$AX$10,Data!$A$1:$ZT$1975,(MATCH($C98,Data!$A$1:$A$1975,0)),FALSE)</f>
        <v>95.19</v>
      </c>
    </row>
    <row r="99" spans="1:50">
      <c r="A99" s="55" t="str">
        <f>$D$1&amp;89</f>
        <v>SD89</v>
      </c>
      <c r="B99" s="56">
        <f>IF(ISERROR(VLOOKUP(A99,classifications!A:C,3,FALSE)),0,VLOOKUP(A99,classifications!A:C,3,FALSE))</f>
        <v>0</v>
      </c>
      <c r="C99" t="s">
        <v>61</v>
      </c>
      <c r="D99" t="str">
        <f>VLOOKUP($C99,classifications!$C:$J,4,FALSE)</f>
        <v>SD</v>
      </c>
      <c r="E99">
        <f>VLOOKUP(C99,classifications!C:K,9,FALSE)</f>
        <v>0</v>
      </c>
      <c r="F99">
        <f t="shared" si="43"/>
        <v>97.01</v>
      </c>
      <c r="G99" s="15"/>
      <c r="H99" s="41">
        <f t="shared" si="44"/>
        <v>97.01</v>
      </c>
      <c r="I99" s="73">
        <f>IF(H99="","",IF($I$8="A",(RANK(H99,H$11:H$333,1)+COUNTIF(H$11:H99,H99)-1),(RANK(H99,H$11:H$333)+COUNTIF(H$11:H99,H99)-1)))</f>
        <v>100</v>
      </c>
      <c r="J99" s="40"/>
      <c r="K99" s="35">
        <f t="shared" si="51"/>
        <v>89</v>
      </c>
      <c r="L99" t="str">
        <f t="shared" si="45"/>
        <v>Wyre Forest</v>
      </c>
      <c r="M99" s="109">
        <f t="shared" si="46"/>
        <v>97.23</v>
      </c>
      <c r="N99" s="104">
        <f t="shared" si="31"/>
        <v>97.23</v>
      </c>
      <c r="O99" s="89" t="str">
        <f t="shared" si="32"/>
        <v/>
      </c>
      <c r="P99" s="89" t="str">
        <f t="shared" si="33"/>
        <v/>
      </c>
      <c r="Q99" s="89">
        <f t="shared" si="34"/>
        <v>97.23</v>
      </c>
      <c r="R99" s="85" t="str">
        <f t="shared" si="35"/>
        <v/>
      </c>
      <c r="S99" s="41" t="str">
        <f t="shared" si="36"/>
        <v/>
      </c>
      <c r="T99" s="166">
        <f>IF(L99="","",VLOOKUP(L99,classifications!C:K,9,FALSE))</f>
        <v>0</v>
      </c>
      <c r="U99" s="167" t="str">
        <f t="shared" si="37"/>
        <v/>
      </c>
      <c r="V99" s="173" t="str">
        <f>IF(U99="","",IF($I$8="A",(RANK(U99,U$11:U$333)+COUNTIF(U$11:U99,U99)-1),(RANK(U99,U$11:U$333,1)+COUNTIF(U$11:U99,U99)-1)))</f>
        <v/>
      </c>
      <c r="W99" s="174"/>
      <c r="X99" s="5" t="str">
        <f>IF(L99="","",VLOOKUP($L99,classifications!$C:$J,6,FALSE))</f>
        <v>Urban with Significant Rural</v>
      </c>
      <c r="Y99" t="str">
        <f t="shared" si="38"/>
        <v/>
      </c>
      <c r="Z99" s="39" t="str">
        <f>IF(Y99="","",IF(I$8="A",(RANK(Y99,Y$11:Y$333,1)+COUNTIF(Y$11:Y99,Y99)-1),(RANK(Y99,Y$11:Y$333)+COUNTIF(Y$11:Y99,Y99)-1)))</f>
        <v/>
      </c>
      <c r="AA99" s="177" t="str">
        <f>IF(L99="","",VLOOKUP($L99,classifications!C:I,7,FALSE))</f>
        <v>Urban with Significant Rural</v>
      </c>
      <c r="AB99" s="173" t="str">
        <f t="shared" si="39"/>
        <v/>
      </c>
      <c r="AC99" s="173" t="str">
        <f>IF(AB99="","",IF($I$8="A",(RANK(AB99,AB$11:AB$333)+COUNTIF(AB$11:AB99,AB99)-1),(RANK(AB99,AB$11:AB$333,1)+COUNTIF(AB$11:AB99,AB99)-1)))</f>
        <v/>
      </c>
      <c r="AD99" s="173"/>
      <c r="AE99" s="45" t="e">
        <f>IF(I$8="A",(RANK(AG99,AG$11:AG$333,1)+COUNTIF(AG$11:AG99,AG99)-1),(RANK(AG99,AG$11:AG$333)+COUNTIF(AG$11:AG99,AG99)-1))</f>
        <v>#N/A</v>
      </c>
      <c r="AF99" t="str">
        <f>VLOOKUP(Profile!$J$5,Families!$C:$R,2,FALSE)</f>
        <v>North Dorset</v>
      </c>
      <c r="AG99" s="15" t="e">
        <f t="shared" si="52"/>
        <v>#N/A</v>
      </c>
      <c r="AH99" s="46" t="e">
        <f t="shared" si="40"/>
        <v>#N/A</v>
      </c>
      <c r="AI99" s="5" t="str">
        <f>IF(L99="","",VLOOKUP($L99,classifications!$C:$J,8,FALSE))</f>
        <v>Worcestershire</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West Midlands</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97.01</v>
      </c>
    </row>
    <row r="100" spans="1:50">
      <c r="A100" s="55" t="str">
        <f>$D$1&amp;90</f>
        <v>SD90</v>
      </c>
      <c r="B100" s="56">
        <f>IF(ISERROR(VLOOKUP(A100,classifications!A:C,3,FALSE)),0,VLOOKUP(A100,classifications!A:C,3,FALSE))</f>
        <v>0</v>
      </c>
      <c r="C100" t="s">
        <v>63</v>
      </c>
      <c r="D100" t="str">
        <f>VLOOKUP($C100,classifications!$C:$J,4,FALSE)</f>
        <v>SD</v>
      </c>
      <c r="E100">
        <f>VLOOKUP(C100,classifications!C:K,9,FALSE)</f>
        <v>0</v>
      </c>
      <c r="F100">
        <f t="shared" si="43"/>
        <v>98.4</v>
      </c>
      <c r="G100" s="15"/>
      <c r="H100" s="41">
        <f t="shared" si="44"/>
        <v>98.4</v>
      </c>
      <c r="I100" s="73">
        <f>IF(H100="","",IF($I$8="A",(RANK(H100,H$11:H$333,1)+COUNTIF(H$11:H100,H100)-1),(RANK(H100,H$11:H$333)+COUNTIF(H$11:H100,H100)-1)))</f>
        <v>20</v>
      </c>
      <c r="J100" s="40"/>
      <c r="K100" s="35">
        <f t="shared" si="51"/>
        <v>90</v>
      </c>
      <c r="L100" t="str">
        <f t="shared" si="45"/>
        <v>Newark &amp; Sherwood</v>
      </c>
      <c r="M100" s="109">
        <f t="shared" si="46"/>
        <v>97.21</v>
      </c>
      <c r="N100" s="104">
        <f t="shared" si="31"/>
        <v>97.21</v>
      </c>
      <c r="O100" s="89" t="str">
        <f t="shared" si="32"/>
        <v/>
      </c>
      <c r="P100" s="89" t="str">
        <f t="shared" si="33"/>
        <v/>
      </c>
      <c r="Q100" s="89">
        <f t="shared" si="34"/>
        <v>97.21</v>
      </c>
      <c r="R100" s="85" t="str">
        <f t="shared" si="35"/>
        <v/>
      </c>
      <c r="S100" s="41" t="str">
        <f t="shared" si="36"/>
        <v/>
      </c>
      <c r="T100" s="166">
        <f>IF(L100="","",VLOOKUP(L100,classifications!C:K,9,FALSE))</f>
        <v>0</v>
      </c>
      <c r="U100" s="167" t="str">
        <f t="shared" si="37"/>
        <v/>
      </c>
      <c r="V100" s="173" t="str">
        <f>IF(U100="","",IF($I$8="A",(RANK(U100,U$11:U$333)+COUNTIF(U$11:U100,U100)-1),(RANK(U100,U$11:U$333,1)+COUNTIF(U$11:U100,U100)-1)))</f>
        <v/>
      </c>
      <c r="W100" s="174"/>
      <c r="X100" s="5" t="str">
        <f>IF(L100="","",VLOOKUP($L100,classifications!$C:$J,6,FALSE))</f>
        <v xml:space="preserve">Predominantly Rural </v>
      </c>
      <c r="Y100">
        <f t="shared" si="38"/>
        <v>97.21</v>
      </c>
      <c r="Z100" s="39">
        <f>IF(Y100="","",IF(I$8="A",(RANK(Y100,Y$11:Y$333,1)+COUNTIF(Y$11:Y100,Y100)-1),(RANK(Y100,Y$11:Y$333)+COUNTIF(Y$11:Y100,Y100)-1)))</f>
        <v>44</v>
      </c>
      <c r="AA100" s="177" t="str">
        <f>IF(L100="","",VLOOKUP($L100,classifications!C:I,7,FALSE))</f>
        <v>Predominantly Rural</v>
      </c>
      <c r="AB100" s="173">
        <f t="shared" si="39"/>
        <v>97.21</v>
      </c>
      <c r="AC100" s="173">
        <f>IF(AB100="","",IF($I$8="A",(RANK(AB100,AB$11:AB$333)+COUNTIF(AB$11:AB100,AB100)-1),(RANK(AB100,AB$11:AB$333,1)+COUNTIF(AB$11:AB100,AB100)-1)))</f>
        <v>16</v>
      </c>
      <c r="AD100" s="173"/>
      <c r="AE100" s="45" t="e">
        <f>IF(I$8="A",(RANK(AG100,AG$11:AG$333,1)+COUNTIF(AG$11:AG100,AG100)-1),(RANK(AG100,AG$11:AG$333)+COUNTIF(AG$11:AG100,AG100)-1))</f>
        <v>#N/A</v>
      </c>
      <c r="AF100" t="str">
        <f>VLOOKUP(Profile!$J$5,Families!$C:$R,2,FALSE)</f>
        <v>North Dorset</v>
      </c>
      <c r="AG100" s="15" t="e">
        <f t="shared" si="52"/>
        <v>#N/A</v>
      </c>
      <c r="AH100" s="46" t="e">
        <f t="shared" si="40"/>
        <v>#N/A</v>
      </c>
      <c r="AI100" s="5" t="str">
        <f>IF(L100="","",VLOOKUP($L100,classifications!$C:$J,8,FALSE))</f>
        <v>Nottinghamshire</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East Midlands</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98.4</v>
      </c>
    </row>
    <row r="101" spans="1:50">
      <c r="A101" s="55" t="str">
        <f>$D$1&amp;91</f>
        <v>SD91</v>
      </c>
      <c r="B101" s="56">
        <f>IF(ISERROR(VLOOKUP(A101,classifications!A:C,3,FALSE)),0,VLOOKUP(A101,classifications!A:C,3,FALSE))</f>
        <v>0</v>
      </c>
      <c r="C101" t="s">
        <v>203</v>
      </c>
      <c r="D101" t="str">
        <f>VLOOKUP($C101,classifications!$C:$J,4,FALSE)</f>
        <v>L</v>
      </c>
      <c r="E101">
        <f>VLOOKUP(C101,classifications!C:K,9,FALSE)</f>
        <v>0</v>
      </c>
      <c r="F101">
        <f t="shared" si="43"/>
        <v>93.56</v>
      </c>
      <c r="G101" s="15"/>
      <c r="H101" s="41" t="str">
        <f t="shared" si="44"/>
        <v/>
      </c>
      <c r="I101" s="73" t="str">
        <f>IF(H101="","",IF($I$8="A",(RANK(H101,H$11:H$333,1)+COUNTIF(H$11:H101,H101)-1),(RANK(H101,H$11:H$333)+COUNTIF(H$11:H101,H101)-1)))</f>
        <v/>
      </c>
      <c r="J101" s="40"/>
      <c r="K101" s="35">
        <f t="shared" si="51"/>
        <v>91</v>
      </c>
      <c r="L101" t="str">
        <f t="shared" si="45"/>
        <v>Tandridge</v>
      </c>
      <c r="M101" s="109">
        <f t="shared" si="46"/>
        <v>97.21</v>
      </c>
      <c r="N101" s="104">
        <f t="shared" si="31"/>
        <v>97.21</v>
      </c>
      <c r="O101" s="89" t="str">
        <f t="shared" si="32"/>
        <v/>
      </c>
      <c r="P101" s="89" t="str">
        <f t="shared" si="33"/>
        <v/>
      </c>
      <c r="Q101" s="89">
        <f t="shared" si="34"/>
        <v>97.21</v>
      </c>
      <c r="R101" s="85" t="str">
        <f t="shared" si="35"/>
        <v/>
      </c>
      <c r="S101" s="41" t="str">
        <f t="shared" si="36"/>
        <v/>
      </c>
      <c r="T101" s="166">
        <f>IF(L101="","",VLOOKUP(L101,classifications!C:K,9,FALSE))</f>
        <v>0</v>
      </c>
      <c r="U101" s="167" t="str">
        <f t="shared" si="37"/>
        <v/>
      </c>
      <c r="V101" s="173" t="str">
        <f>IF(U101="","",IF($I$8="A",(RANK(U101,U$11:U$333)+COUNTIF(U$11:U101,U101)-1),(RANK(U101,U$11:U$333,1)+COUNTIF(U$11:U101,U101)-1)))</f>
        <v/>
      </c>
      <c r="W101" s="174"/>
      <c r="X101" s="5" t="str">
        <f>IF(L101="","",VLOOKUP($L101,classifications!$C:$J,6,FALSE))</f>
        <v>Urban with Significant Rural</v>
      </c>
      <c r="Y101" t="str">
        <f t="shared" si="38"/>
        <v/>
      </c>
      <c r="Z101" s="39" t="str">
        <f>IF(Y101="","",IF(I$8="A",(RANK(Y101,Y$11:Y$333,1)+COUNTIF(Y$11:Y101,Y101)-1),(RANK(Y101,Y$11:Y$333)+COUNTIF(Y$11:Y101,Y101)-1)))</f>
        <v/>
      </c>
      <c r="AA101" s="177" t="str">
        <f>IF(L101="","",VLOOKUP($L101,classifications!C:I,7,FALSE))</f>
        <v>Urban with Significant Rural</v>
      </c>
      <c r="AB101" s="173" t="str">
        <f t="shared" si="39"/>
        <v/>
      </c>
      <c r="AC101" s="173" t="str">
        <f>IF(AB101="","",IF($I$8="A",(RANK(AB101,AB$11:AB$333)+COUNTIF(AB$11:AB101,AB101)-1),(RANK(AB101,AB$11:AB$333,1)+COUNTIF(AB$11:AB101,AB101)-1)))</f>
        <v/>
      </c>
      <c r="AD101" s="173"/>
      <c r="AE101" s="45" t="e">
        <f>IF(I$8="A",(RANK(AG101,AG$11:AG$333,1)+COUNTIF(AG$11:AG101,AG101)-1),(RANK(AG101,AG$11:AG$333)+COUNTIF(AG$11:AG101,AG101)-1))</f>
        <v>#N/A</v>
      </c>
      <c r="AF101" t="str">
        <f>VLOOKUP(Profile!$J$5,Families!$C:$R,2,FALSE)</f>
        <v>North Dorset</v>
      </c>
      <c r="AG101" s="15" t="e">
        <f t="shared" si="52"/>
        <v>#N/A</v>
      </c>
      <c r="AH101" s="46" t="e">
        <f t="shared" si="40"/>
        <v>#N/A</v>
      </c>
      <c r="AI101" s="5" t="str">
        <f>IF(L101="","",VLOOKUP($L101,classifications!$C:$J,8,FALSE))</f>
        <v>Surrey</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South East</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93.56</v>
      </c>
    </row>
    <row r="102" spans="1:50">
      <c r="A102" s="55" t="str">
        <f>$D$1&amp;92</f>
        <v>SD92</v>
      </c>
      <c r="B102" s="56">
        <f>IF(ISERROR(VLOOKUP(A102,classifications!A:C,3,FALSE)),0,VLOOKUP(A102,classifications!A:C,3,FALSE))</f>
        <v>0</v>
      </c>
      <c r="C102" t="s">
        <v>64</v>
      </c>
      <c r="D102" t="str">
        <f>VLOOKUP($C102,classifications!$C:$J,4,FALSE)</f>
        <v>SD</v>
      </c>
      <c r="E102">
        <f>VLOOKUP(C102,classifications!C:K,9,FALSE)</f>
        <v>0</v>
      </c>
      <c r="F102">
        <f t="shared" si="43"/>
        <v>96.94</v>
      </c>
      <c r="G102" s="15"/>
      <c r="H102" s="41">
        <f t="shared" si="44"/>
        <v>96.94</v>
      </c>
      <c r="I102" s="73">
        <f>IF(H102="","",IF($I$8="A",(RANK(H102,H$11:H$333,1)+COUNTIF(H$11:H102,H102)-1),(RANK(H102,H$11:H$333)+COUNTIF(H$11:H102,H102)-1)))</f>
        <v>102</v>
      </c>
      <c r="J102" s="40"/>
      <c r="K102" s="35">
        <f t="shared" si="51"/>
        <v>92</v>
      </c>
      <c r="L102" t="str">
        <f t="shared" si="45"/>
        <v>Wyre</v>
      </c>
      <c r="M102" s="109">
        <f t="shared" si="46"/>
        <v>97.18</v>
      </c>
      <c r="N102" s="104">
        <f t="shared" si="31"/>
        <v>97.18</v>
      </c>
      <c r="O102" s="89" t="str">
        <f t="shared" si="32"/>
        <v/>
      </c>
      <c r="P102" s="89" t="str">
        <f t="shared" si="33"/>
        <v/>
      </c>
      <c r="Q102" s="89">
        <f t="shared" si="34"/>
        <v>97.18</v>
      </c>
      <c r="R102" s="85" t="str">
        <f t="shared" si="35"/>
        <v/>
      </c>
      <c r="S102" s="41" t="str">
        <f t="shared" si="36"/>
        <v/>
      </c>
      <c r="T102" s="166">
        <f>IF(L102="","",VLOOKUP(L102,classifications!C:K,9,FALSE))</f>
        <v>0</v>
      </c>
      <c r="U102" s="167" t="str">
        <f t="shared" si="37"/>
        <v/>
      </c>
      <c r="V102" s="173" t="str">
        <f>IF(U102="","",IF($I$8="A",(RANK(U102,U$11:U$333)+COUNTIF(U$11:U102,U102)-1),(RANK(U102,U$11:U$333,1)+COUNTIF(U$11:U102,U102)-1)))</f>
        <v/>
      </c>
      <c r="W102" s="174"/>
      <c r="X102" s="5" t="str">
        <f>IF(L102="","",VLOOKUP($L102,classifications!$C:$J,6,FALSE))</f>
        <v xml:space="preserve">Predominantly Rural </v>
      </c>
      <c r="Y102">
        <f t="shared" si="38"/>
        <v>97.18</v>
      </c>
      <c r="Z102" s="39">
        <f>IF(Y102="","",IF(I$8="A",(RANK(Y102,Y$11:Y$333,1)+COUNTIF(Y$11:Y102,Y102)-1),(RANK(Y102,Y$11:Y$333)+COUNTIF(Y$11:Y102,Y102)-1)))</f>
        <v>45</v>
      </c>
      <c r="AA102" s="177" t="str">
        <f>IF(L102="","",VLOOKUP($L102,classifications!C:I,7,FALSE))</f>
        <v>Predominantly Rural</v>
      </c>
      <c r="AB102" s="173">
        <f t="shared" si="39"/>
        <v>97.18</v>
      </c>
      <c r="AC102" s="173">
        <f>IF(AB102="","",IF($I$8="A",(RANK(AB102,AB$11:AB$333)+COUNTIF(AB$11:AB102,AB102)-1),(RANK(AB102,AB$11:AB$333,1)+COUNTIF(AB$11:AB102,AB102)-1)))</f>
        <v>15</v>
      </c>
      <c r="AD102" s="173"/>
      <c r="AE102" s="45" t="e">
        <f>IF(I$8="A",(RANK(AG102,AG$11:AG$333,1)+COUNTIF(AG$11:AG102,AG102)-1),(RANK(AG102,AG$11:AG$333)+COUNTIF(AG$11:AG102,AG102)-1))</f>
        <v>#N/A</v>
      </c>
      <c r="AF102" t="str">
        <f>VLOOKUP(Profile!$J$5,Families!$C:$R,2,FALSE)</f>
        <v>North Dorset</v>
      </c>
      <c r="AG102" s="15" t="e">
        <f t="shared" si="52"/>
        <v>#N/A</v>
      </c>
      <c r="AH102" s="46" t="e">
        <f t="shared" si="40"/>
        <v>#N/A</v>
      </c>
      <c r="AI102" s="5" t="str">
        <f>IF(L102="","",VLOOKUP($L102,classifications!$C:$J,8,FALSE))</f>
        <v>Lancashire</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North West</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96.94</v>
      </c>
    </row>
    <row r="103" spans="1:50">
      <c r="A103" s="55" t="str">
        <f>$D$1&amp;93</f>
        <v>SD93</v>
      </c>
      <c r="B103" s="56">
        <f>IF(ISERROR(VLOOKUP(A103,classifications!A:C,3,FALSE)),0,VLOOKUP(A103,classifications!A:C,3,FALSE))</f>
        <v>0</v>
      </c>
      <c r="C103" t="s">
        <v>343</v>
      </c>
      <c r="D103" t="str">
        <f>VLOOKUP($C103,classifications!$C:$J,4,FALSE)</f>
        <v>SD</v>
      </c>
      <c r="E103">
        <f>VLOOKUP(C103,classifications!C:K,9,FALSE)</f>
        <v>0</v>
      </c>
      <c r="F103">
        <f t="shared" si="43"/>
        <v>98.96</v>
      </c>
      <c r="G103" s="15"/>
      <c r="H103" s="41">
        <f t="shared" si="44"/>
        <v>98.96</v>
      </c>
      <c r="I103" s="73">
        <f>IF(H103="","",IF($I$8="A",(RANK(H103,H$11:H$333,1)+COUNTIF(H$11:H103,H103)-1),(RANK(H103,H$11:H$333)+COUNTIF(H$11:H103,H103)-1)))</f>
        <v>6</v>
      </c>
      <c r="J103" s="40"/>
      <c r="K103" s="35">
        <f t="shared" si="51"/>
        <v>93</v>
      </c>
      <c r="L103" t="str">
        <f t="shared" si="45"/>
        <v>North West Leicestershire</v>
      </c>
      <c r="M103" s="109">
        <f t="shared" si="46"/>
        <v>97.17</v>
      </c>
      <c r="N103" s="104">
        <f t="shared" si="31"/>
        <v>97.17</v>
      </c>
      <c r="O103" s="89" t="str">
        <f t="shared" si="32"/>
        <v/>
      </c>
      <c r="P103" s="89" t="str">
        <f t="shared" si="33"/>
        <v/>
      </c>
      <c r="Q103" s="89">
        <f t="shared" si="34"/>
        <v>97.17</v>
      </c>
      <c r="R103" s="85" t="str">
        <f t="shared" si="35"/>
        <v/>
      </c>
      <c r="S103" s="41" t="str">
        <f t="shared" si="36"/>
        <v/>
      </c>
      <c r="T103" s="166">
        <f>IF(L103="","",VLOOKUP(L103,classifications!C:K,9,FALSE))</f>
        <v>0</v>
      </c>
      <c r="U103" s="167" t="str">
        <f t="shared" si="37"/>
        <v/>
      </c>
      <c r="V103" s="173" t="str">
        <f>IF(U103="","",IF($I$8="A",(RANK(U103,U$11:U$333)+COUNTIF(U$11:U103,U103)-1),(RANK(U103,U$11:U$333,1)+COUNTIF(U$11:U103,U103)-1)))</f>
        <v/>
      </c>
      <c r="W103" s="174"/>
      <c r="X103" s="5" t="str">
        <f>IF(L103="","",VLOOKUP($L103,classifications!$C:$J,6,FALSE))</f>
        <v xml:space="preserve">Predominantly Rural </v>
      </c>
      <c r="Y103">
        <f t="shared" si="38"/>
        <v>97.17</v>
      </c>
      <c r="Z103" s="39">
        <f>IF(Y103="","",IF(I$8="A",(RANK(Y103,Y$11:Y$333,1)+COUNTIF(Y$11:Y103,Y103)-1),(RANK(Y103,Y$11:Y$333)+COUNTIF(Y$11:Y103,Y103)-1)))</f>
        <v>46</v>
      </c>
      <c r="AA103" s="177" t="str">
        <f>IF(L103="","",VLOOKUP($L103,classifications!C:I,7,FALSE))</f>
        <v>Predominantly Rural</v>
      </c>
      <c r="AB103" s="173">
        <f t="shared" si="39"/>
        <v>97.17</v>
      </c>
      <c r="AC103" s="173">
        <f>IF(AB103="","",IF($I$8="A",(RANK(AB103,AB$11:AB$333)+COUNTIF(AB$11:AB103,AB103)-1),(RANK(AB103,AB$11:AB$333,1)+COUNTIF(AB$11:AB103,AB103)-1)))</f>
        <v>14</v>
      </c>
      <c r="AD103" s="173"/>
      <c r="AE103" s="45" t="e">
        <f>IF(I$8="A",(RANK(AG103,AG$11:AG$333,1)+COUNTIF(AG$11:AG103,AG103)-1),(RANK(AG103,AG$11:AG$333)+COUNTIF(AG$11:AG103,AG103)-1))</f>
        <v>#N/A</v>
      </c>
      <c r="AF103" t="str">
        <f>VLOOKUP(Profile!$J$5,Families!$C:$R,2,FALSE)</f>
        <v>North Dorset</v>
      </c>
      <c r="AG103" s="15" t="e">
        <f t="shared" si="52"/>
        <v>#N/A</v>
      </c>
      <c r="AH103" s="46" t="e">
        <f t="shared" si="40"/>
        <v>#N/A</v>
      </c>
      <c r="AI103" s="5" t="str">
        <f>IF(L103="","",VLOOKUP($L103,classifications!$C:$J,8,FALSE))</f>
        <v>Leicestershire</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East Midlands</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98.96</v>
      </c>
    </row>
    <row r="104" spans="1:50">
      <c r="A104" s="55" t="str">
        <f>$D$1&amp;94</f>
        <v>SD94</v>
      </c>
      <c r="B104" s="56">
        <f>IF(ISERROR(VLOOKUP(A104,classifications!A:C,3,FALSE)),0,VLOOKUP(A104,classifications!A:C,3,FALSE))</f>
        <v>0</v>
      </c>
      <c r="C104" t="s">
        <v>65</v>
      </c>
      <c r="D104" t="str">
        <f>VLOOKUP($C104,classifications!$C:$J,4,FALSE)</f>
        <v>SD</v>
      </c>
      <c r="E104">
        <f>VLOOKUP(C104,classifications!C:K,9,FALSE)</f>
        <v>0</v>
      </c>
      <c r="F104">
        <f t="shared" si="43"/>
        <v>95.84</v>
      </c>
      <c r="G104" s="15"/>
      <c r="H104" s="41">
        <f t="shared" si="44"/>
        <v>95.84</v>
      </c>
      <c r="I104" s="73">
        <f>IF(H104="","",IF($I$8="A",(RANK(H104,H$11:H$333,1)+COUNTIF(H$11:H104,H104)-1),(RANK(H104,H$11:H$333)+COUNTIF(H$11:H104,H104)-1)))</f>
        <v>139</v>
      </c>
      <c r="J104" s="40"/>
      <c r="K104" s="35">
        <f t="shared" si="51"/>
        <v>94</v>
      </c>
      <c r="L104" t="str">
        <f t="shared" si="45"/>
        <v>King's Lynn &amp; West Norfolk</v>
      </c>
      <c r="M104" s="109">
        <f t="shared" si="46"/>
        <v>97.16</v>
      </c>
      <c r="N104" s="104">
        <f t="shared" si="31"/>
        <v>97.16</v>
      </c>
      <c r="O104" s="89" t="str">
        <f t="shared" si="32"/>
        <v/>
      </c>
      <c r="P104" s="89" t="str">
        <f t="shared" si="33"/>
        <v/>
      </c>
      <c r="Q104" s="89">
        <f t="shared" si="34"/>
        <v>97.16</v>
      </c>
      <c r="R104" s="85" t="str">
        <f t="shared" si="35"/>
        <v/>
      </c>
      <c r="S104" s="41" t="str">
        <f t="shared" si="36"/>
        <v/>
      </c>
      <c r="T104" s="166" t="str">
        <f>IF(L104="","",VLOOKUP(L104,classifications!C:K,9,FALSE))</f>
        <v>Sparse</v>
      </c>
      <c r="U104" s="167">
        <f t="shared" si="37"/>
        <v>97.16</v>
      </c>
      <c r="V104" s="173">
        <f>IF(U104="","",IF($I$8="A",(RANK(U104,U$11:U$333)+COUNTIF(U$11:U104,U104)-1),(RANK(U104,U$11:U$333,1)+COUNTIF(U$11:U104,U104)-1)))</f>
        <v>11</v>
      </c>
      <c r="W104" s="174"/>
      <c r="X104" s="5" t="str">
        <f>IF(L104="","",VLOOKUP($L104,classifications!$C:$J,6,FALSE))</f>
        <v xml:space="preserve">Predominantly Rural </v>
      </c>
      <c r="Y104">
        <f t="shared" si="38"/>
        <v>97.16</v>
      </c>
      <c r="Z104" s="39">
        <f>IF(Y104="","",IF(I$8="A",(RANK(Y104,Y$11:Y$333,1)+COUNTIF(Y$11:Y104,Y104)-1),(RANK(Y104,Y$11:Y$333)+COUNTIF(Y$11:Y104,Y104)-1)))</f>
        <v>47</v>
      </c>
      <c r="AA104" s="177" t="str">
        <f>IF(L104="","",VLOOKUP($L104,classifications!C:I,7,FALSE))</f>
        <v>Predominantly Rural</v>
      </c>
      <c r="AB104" s="173">
        <f t="shared" si="39"/>
        <v>97.16</v>
      </c>
      <c r="AC104" s="173">
        <f>IF(AB104="","",IF($I$8="A",(RANK(AB104,AB$11:AB$333)+COUNTIF(AB$11:AB104,AB104)-1),(RANK(AB104,AB$11:AB$333,1)+COUNTIF(AB$11:AB104,AB104)-1)))</f>
        <v>13</v>
      </c>
      <c r="AD104" s="173"/>
      <c r="AE104" s="45" t="e">
        <f>IF(I$8="A",(RANK(AG104,AG$11:AG$333,1)+COUNTIF(AG$11:AG104,AG104)-1),(RANK(AG104,AG$11:AG$333)+COUNTIF(AG$11:AG104,AG104)-1))</f>
        <v>#N/A</v>
      </c>
      <c r="AF104" t="str">
        <f>VLOOKUP(Profile!$J$5,Families!$C:$R,2,FALSE)</f>
        <v>North Dorset</v>
      </c>
      <c r="AG104" s="15" t="e">
        <f t="shared" si="52"/>
        <v>#N/A</v>
      </c>
      <c r="AH104" s="46" t="e">
        <f t="shared" si="40"/>
        <v>#N/A</v>
      </c>
      <c r="AI104" s="5" t="str">
        <f>IF(L104="","",VLOOKUP($L104,classifications!$C:$J,8,FALSE))</f>
        <v>Norfolk</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East of England</v>
      </c>
      <c r="AQ104" s="42">
        <f t="shared" si="42"/>
        <v>97.16</v>
      </c>
      <c r="AR104" s="39">
        <f>IF(AQ104="","",IF(I$8="A",(RANK(AQ104,AQ$11:AQ$333,1)+COUNTIF(AQ$11:AQ104,AQ104)-1),(RANK(AQ104,AQ$11:AQ$333)+COUNTIF(AQ$11:AQ104,AQ104)-1)))</f>
        <v>23</v>
      </c>
      <c r="AS104" s="3" t="str">
        <f t="shared" si="54"/>
        <v/>
      </c>
      <c r="AT104" s="39" t="str">
        <f t="shared" si="49"/>
        <v/>
      </c>
      <c r="AU104" s="42" t="str">
        <f t="shared" si="50"/>
        <v/>
      </c>
      <c r="AX104">
        <f>HLOOKUP($AX$9&amp;$AX$10,Data!$A$1:$ZT$1975,(MATCH($C104,Data!$A$1:$A$1975,0)),FALSE)</f>
        <v>95.84</v>
      </c>
    </row>
    <row r="105" spans="1:50">
      <c r="A105" s="55" t="str">
        <f>$D$1&amp;95</f>
        <v>SD95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f t="shared" si="51"/>
        <v>95</v>
      </c>
      <c r="L105" t="str">
        <f t="shared" si="45"/>
        <v>Dacorum</v>
      </c>
      <c r="M105" s="109">
        <f t="shared" si="46"/>
        <v>97.14</v>
      </c>
      <c r="N105" s="104">
        <f t="shared" si="31"/>
        <v>97.14</v>
      </c>
      <c r="O105" s="89" t="str">
        <f t="shared" si="32"/>
        <v/>
      </c>
      <c r="P105" s="89" t="str">
        <f t="shared" si="33"/>
        <v/>
      </c>
      <c r="Q105" s="89">
        <f t="shared" si="34"/>
        <v>97.14</v>
      </c>
      <c r="R105" s="85" t="str">
        <f t="shared" si="35"/>
        <v/>
      </c>
      <c r="S105" s="41" t="str">
        <f t="shared" si="36"/>
        <v/>
      </c>
      <c r="T105" s="166">
        <f>IF(L105="","",VLOOKUP(L105,classifications!C:K,9,FALSE))</f>
        <v>0</v>
      </c>
      <c r="U105" s="167" t="str">
        <f t="shared" si="37"/>
        <v/>
      </c>
      <c r="V105" s="173" t="str">
        <f>IF(U105="","",IF($I$8="A",(RANK(U105,U$11:U$333)+COUNTIF(U$11:U105,U105)-1),(RANK(U105,U$11:U$333,1)+COUNTIF(U$11:U105,U105)-1)))</f>
        <v/>
      </c>
      <c r="W105" s="174"/>
      <c r="X105" s="5" t="str">
        <f>IF(L105="","",VLOOKUP($L105,classifications!$C:$J,6,FALSE))</f>
        <v>Urban with Significant Rural</v>
      </c>
      <c r="Y105" t="str">
        <f t="shared" si="38"/>
        <v/>
      </c>
      <c r="Z105" s="39" t="str">
        <f>IF(Y105="","",IF(I$8="A",(RANK(Y105,Y$11:Y$333,1)+COUNTIF(Y$11:Y105,Y105)-1),(RANK(Y105,Y$11:Y$333)+COUNTIF(Y$11:Y105,Y105)-1)))</f>
        <v/>
      </c>
      <c r="AA105" s="177" t="str">
        <f>IF(L105="","",VLOOKUP($L105,classifications!C:I,7,FALSE))</f>
        <v>Urban with Significant Rural</v>
      </c>
      <c r="AB105" s="173" t="str">
        <f t="shared" si="39"/>
        <v/>
      </c>
      <c r="AC105" s="173" t="str">
        <f>IF(AB105="","",IF($I$8="A",(RANK(AB105,AB$11:AB$333)+COUNTIF(AB$11:AB105,AB105)-1),(RANK(AB105,AB$11:AB$333,1)+COUNTIF(AB$11:AB105,AB105)-1)))</f>
        <v/>
      </c>
      <c r="AD105" s="173"/>
      <c r="AE105" s="45" t="e">
        <f>IF(I$8="A",(RANK(AG105,AG$11:AG$333,1)+COUNTIF(AG$11:AG105,AG105)-1),(RANK(AG105,AG$11:AG$333)+COUNTIF(AG$11:AG105,AG105)-1))</f>
        <v>#N/A</v>
      </c>
      <c r="AF105" t="str">
        <f>VLOOKUP(Profile!$J$5,Families!$C:$R,2,FALSE)</f>
        <v>North Dorset</v>
      </c>
      <c r="AG105" s="15" t="e">
        <f t="shared" si="52"/>
        <v>#N/A</v>
      </c>
      <c r="AH105" s="46" t="e">
        <f t="shared" si="40"/>
        <v>#N/A</v>
      </c>
      <c r="AI105" s="5" t="str">
        <f>IF(L105="","",VLOOKUP($L105,classifications!$C:$J,8,FALSE))</f>
        <v>Hertfordshire</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East of England</v>
      </c>
      <c r="AQ105" s="42">
        <f t="shared" si="42"/>
        <v>97.14</v>
      </c>
      <c r="AR105" s="39">
        <f>IF(AQ105="","",IF(I$8="A",(RANK(AQ105,AQ$11:AQ$333,1)+COUNTIF(AQ$11:AQ105,AQ105)-1),(RANK(AQ105,AQ$11:AQ$333)+COUNTIF(AQ$11:AQ105,AQ105)-1)))</f>
        <v>24</v>
      </c>
      <c r="AS105" s="3" t="str">
        <f t="shared" si="54"/>
        <v/>
      </c>
      <c r="AT105" s="39" t="str">
        <f t="shared" si="49"/>
        <v/>
      </c>
      <c r="AU105" s="42" t="str">
        <f t="shared" si="50"/>
        <v/>
      </c>
      <c r="AX105" t="e">
        <f>HLOOKUP($AX$9&amp;$AX$10,Data!$A$1:$ZT$1975,(MATCH($C105,Data!$A$1:$A$1975,0)),FALSE)</f>
        <v>#N/A</v>
      </c>
    </row>
    <row r="106" spans="1:50">
      <c r="A106" s="55" t="str">
        <f>$D$1&amp;96</f>
        <v>SD96</v>
      </c>
      <c r="B106" s="56">
        <f>IF(ISERROR(VLOOKUP(A106,classifications!A:C,3,FALSE)),0,VLOOKUP(A106,classifications!A:C,3,FALSE))</f>
        <v>0</v>
      </c>
      <c r="C106" t="s">
        <v>66</v>
      </c>
      <c r="D106" t="str">
        <f>VLOOKUP($C106,classifications!$C:$J,4,FALSE)</f>
        <v>SD</v>
      </c>
      <c r="E106">
        <f>VLOOKUP(C106,classifications!C:K,9,FALSE)</f>
        <v>0</v>
      </c>
      <c r="F106">
        <f t="shared" si="43"/>
        <v>96.5</v>
      </c>
      <c r="G106" s="15"/>
      <c r="H106" s="41">
        <f t="shared" si="44"/>
        <v>96.5</v>
      </c>
      <c r="I106" s="73">
        <f>IF(H106="","",IF($I$8="A",(RANK(H106,H$11:H$333,1)+COUNTIF(H$11:H106,H106)-1),(RANK(H106,H$11:H$333)+COUNTIF(H$11:H106,H106)-1)))</f>
        <v>121</v>
      </c>
      <c r="J106" s="40"/>
      <c r="K106" s="35">
        <f t="shared" si="51"/>
        <v>96</v>
      </c>
      <c r="L106" t="str">
        <f t="shared" si="45"/>
        <v>West Suffolk</v>
      </c>
      <c r="M106" s="109">
        <f t="shared" si="46"/>
        <v>97.13</v>
      </c>
      <c r="N106" s="104">
        <f t="shared" si="31"/>
        <v>97.13</v>
      </c>
      <c r="O106" s="89" t="str">
        <f t="shared" si="32"/>
        <v/>
      </c>
      <c r="P106" s="89" t="str">
        <f t="shared" si="33"/>
        <v/>
      </c>
      <c r="Q106" s="89">
        <f t="shared" si="34"/>
        <v>97.13</v>
      </c>
      <c r="R106" s="85" t="str">
        <f t="shared" si="35"/>
        <v/>
      </c>
      <c r="S106" s="41" t="str">
        <f t="shared" si="36"/>
        <v/>
      </c>
      <c r="T106" s="166" t="str">
        <f>IF(L106="","",VLOOKUP(L106,classifications!C:K,9,FALSE))</f>
        <v>Sparse</v>
      </c>
      <c r="U106" s="167">
        <f t="shared" si="37"/>
        <v>97.13</v>
      </c>
      <c r="V106" s="173">
        <f>IF(U106="","",IF($I$8="A",(RANK(U106,U$11:U$333)+COUNTIF(U$11:U106,U106)-1),(RANK(U106,U$11:U$333,1)+COUNTIF(U$11:U106,U106)-1)))</f>
        <v>10</v>
      </c>
      <c r="W106" s="174"/>
      <c r="X106" s="5" t="str">
        <f>IF(L106="","",VLOOKUP($L106,classifications!$C:$J,6,FALSE))</f>
        <v xml:space="preserve">Predominantly Rural </v>
      </c>
      <c r="Y106">
        <f t="shared" si="38"/>
        <v>97.13</v>
      </c>
      <c r="Z106" s="39">
        <f>IF(Y106="","",IF(I$8="A",(RANK(Y106,Y$11:Y$333,1)+COUNTIF(Y$11:Y106,Y106)-1),(RANK(Y106,Y$11:Y$333)+COUNTIF(Y$11:Y106,Y106)-1)))</f>
        <v>48</v>
      </c>
      <c r="AA106" s="177" t="str">
        <f>IF(L106="","",VLOOKUP($L106,classifications!C:I,7,FALSE))</f>
        <v>Predominantly Rural</v>
      </c>
      <c r="AB106" s="173">
        <f t="shared" si="39"/>
        <v>97.13</v>
      </c>
      <c r="AC106" s="173">
        <f>IF(AB106="","",IF($I$8="A",(RANK(AB106,AB$11:AB$333)+COUNTIF(AB$11:AB106,AB106)-1),(RANK(AB106,AB$11:AB$333,1)+COUNTIF(AB$11:AB106,AB106)-1)))</f>
        <v>12</v>
      </c>
      <c r="AD106" s="173"/>
      <c r="AE106" s="45" t="e">
        <f>IF(I$8="A",(RANK(AG106,AG$11:AG$333,1)+COUNTIF(AG$11:AG106,AG106)-1),(RANK(AG106,AG$11:AG$333)+COUNTIF(AG$11:AG106,AG106)-1))</f>
        <v>#N/A</v>
      </c>
      <c r="AF106" t="str">
        <f>VLOOKUP(Profile!$J$5,Families!$C:$R,2,FALSE)</f>
        <v>North Dorset</v>
      </c>
      <c r="AG106" s="15" t="e">
        <f t="shared" si="52"/>
        <v>#N/A</v>
      </c>
      <c r="AH106" s="46" t="e">
        <f t="shared" si="40"/>
        <v>#N/A</v>
      </c>
      <c r="AI106" s="5" t="str">
        <f>IF(L106="","",VLOOKUP($L106,classifications!$C:$J,8,FALSE))</f>
        <v>Suffolk</v>
      </c>
      <c r="AJ106" s="42">
        <f t="shared" si="41"/>
        <v>97.13</v>
      </c>
      <c r="AK106" s="39">
        <f>IF(AJ106="","",IF(I$8="A",(RANK(AJ106,AJ$11:AJ$333,1)+COUNTIF(AJ$11:AJ106,AJ106)-1),(RANK(AJ106,AJ$11:AJ$333)+COUNTIF(AJ$11:AJ106,AJ106)-1)))</f>
        <v>4</v>
      </c>
      <c r="AL106" s="3" t="str">
        <f t="shared" si="53"/>
        <v/>
      </c>
      <c r="AM106" t="str">
        <f t="shared" si="47"/>
        <v/>
      </c>
      <c r="AN106" t="str">
        <f t="shared" si="48"/>
        <v/>
      </c>
      <c r="AP106" s="5" t="str">
        <f>IF(L106="","",VLOOKUP($L106,classifications!$C:$E,3,FALSE))</f>
        <v>East of England</v>
      </c>
      <c r="AQ106" s="42">
        <f t="shared" si="42"/>
        <v>97.13</v>
      </c>
      <c r="AR106" s="39">
        <f>IF(AQ106="","",IF(I$8="A",(RANK(AQ106,AQ$11:AQ$333,1)+COUNTIF(AQ$11:AQ106,AQ106)-1),(RANK(AQ106,AQ$11:AQ$333)+COUNTIF(AQ$11:AQ106,AQ106)-1)))</f>
        <v>25</v>
      </c>
      <c r="AS106" s="3" t="str">
        <f t="shared" si="54"/>
        <v/>
      </c>
      <c r="AT106" s="39" t="str">
        <f t="shared" si="49"/>
        <v/>
      </c>
      <c r="AU106" s="42" t="str">
        <f t="shared" si="50"/>
        <v/>
      </c>
      <c r="AX106">
        <f>HLOOKUP($AX$9&amp;$AX$10,Data!$A$1:$ZT$1975,(MATCH($C106,Data!$A$1:$A$1975,0)),FALSE)</f>
        <v>96.5</v>
      </c>
    </row>
    <row r="107" spans="1:50">
      <c r="A107" s="55" t="str">
        <f>$D$1&amp;97</f>
        <v>SD97</v>
      </c>
      <c r="B107" s="56">
        <f>IF(ISERROR(VLOOKUP(A107,classifications!A:C,3,FALSE)),0,VLOOKUP(A107,classifications!A:C,3,FALSE))</f>
        <v>0</v>
      </c>
      <c r="C107" t="s">
        <v>67</v>
      </c>
      <c r="D107" t="str">
        <f>VLOOKUP($C107,classifications!$C:$J,4,FALSE)</f>
        <v>SD</v>
      </c>
      <c r="E107">
        <f>VLOOKUP(C107,classifications!C:K,9,FALSE)</f>
        <v>0</v>
      </c>
      <c r="F107">
        <f t="shared" si="43"/>
        <v>98.08</v>
      </c>
      <c r="G107" s="15"/>
      <c r="H107" s="41">
        <f t="shared" si="44"/>
        <v>98.08</v>
      </c>
      <c r="I107" s="73">
        <f>IF(H107="","",IF($I$8="A",(RANK(H107,H$11:H$333,1)+COUNTIF(H$11:H107,H107)-1),(RANK(H107,H$11:H$333)+COUNTIF(H$11:H107,H107)-1)))</f>
        <v>36</v>
      </c>
      <c r="J107" s="40"/>
      <c r="K107" s="35">
        <f t="shared" si="51"/>
        <v>97</v>
      </c>
      <c r="L107" t="str">
        <f t="shared" si="45"/>
        <v>Crawley</v>
      </c>
      <c r="M107" s="109">
        <f t="shared" si="46"/>
        <v>97.06</v>
      </c>
      <c r="N107" s="104">
        <f t="shared" si="31"/>
        <v>97.06</v>
      </c>
      <c r="O107" s="89" t="str">
        <f t="shared" si="32"/>
        <v/>
      </c>
      <c r="P107" s="89" t="str">
        <f t="shared" si="33"/>
        <v/>
      </c>
      <c r="Q107" s="89">
        <f t="shared" si="34"/>
        <v>97.06</v>
      </c>
      <c r="R107" s="85" t="str">
        <f t="shared" si="35"/>
        <v/>
      </c>
      <c r="S107" s="41" t="str">
        <f t="shared" si="36"/>
        <v/>
      </c>
      <c r="T107" s="166">
        <f>IF(L107="","",VLOOKUP(L107,classifications!C:K,9,FALSE))</f>
        <v>0</v>
      </c>
      <c r="U107" s="167" t="str">
        <f t="shared" si="37"/>
        <v/>
      </c>
      <c r="V107" s="173" t="str">
        <f>IF(U107="","",IF($I$8="A",(RANK(U107,U$11:U$333)+COUNTIF(U$11:U107,U107)-1),(RANK(U107,U$11:U$333,1)+COUNTIF(U$11:U107,U107)-1)))</f>
        <v/>
      </c>
      <c r="W107" s="174"/>
      <c r="X107" s="5" t="str">
        <f>IF(L107="","",VLOOKUP($L107,classifications!$C:$J,6,FALSE))</f>
        <v>Predominantly Urban</v>
      </c>
      <c r="Y107" t="str">
        <f t="shared" si="38"/>
        <v/>
      </c>
      <c r="Z107" s="39" t="str">
        <f>IF(Y107="","",IF(I$8="A",(RANK(Y107,Y$11:Y$333,1)+COUNTIF(Y$11:Y107,Y107)-1),(RANK(Y107,Y$11:Y$333)+COUNTIF(Y$11:Y107,Y107)-1)))</f>
        <v/>
      </c>
      <c r="AA107" s="177" t="str">
        <f>IF(L107="","",VLOOKUP($L107,classifications!C:I,7,FALSE))</f>
        <v>Predominantly Urban</v>
      </c>
      <c r="AB107" s="173" t="str">
        <f t="shared" si="39"/>
        <v/>
      </c>
      <c r="AC107" s="173" t="str">
        <f>IF(AB107="","",IF($I$8="A",(RANK(AB107,AB$11:AB$333)+COUNTIF(AB$11:AB107,AB107)-1),(RANK(AB107,AB$11:AB$333,1)+COUNTIF(AB$11:AB107,AB107)-1)))</f>
        <v/>
      </c>
      <c r="AD107" s="173"/>
      <c r="AE107" s="45" t="e">
        <f>IF(I$8="A",(RANK(AG107,AG$11:AG$333,1)+COUNTIF(AG$11:AG107,AG107)-1),(RANK(AG107,AG$11:AG$333)+COUNTIF(AG$11:AG107,AG107)-1))</f>
        <v>#N/A</v>
      </c>
      <c r="AF107" t="str">
        <f>VLOOKUP(Profile!$J$5,Families!$C:$R,2,FALSE)</f>
        <v>North Dorset</v>
      </c>
      <c r="AG107" s="15" t="e">
        <f t="shared" si="52"/>
        <v>#N/A</v>
      </c>
      <c r="AH107" s="46" t="e">
        <f t="shared" si="40"/>
        <v>#N/A</v>
      </c>
      <c r="AI107" s="5" t="str">
        <f>IF(L107="","",VLOOKUP($L107,classifications!$C:$J,8,FALSE))</f>
        <v>West Sussex</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South East</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98.08</v>
      </c>
    </row>
    <row r="108" spans="1:50">
      <c r="A108" s="55" t="str">
        <f>$D$1&amp;98</f>
        <v>SD98</v>
      </c>
      <c r="B108" s="56">
        <f>IF(ISERROR(VLOOKUP(A108,classifications!A:C,3,FALSE)),0,VLOOKUP(A108,classifications!A:C,3,FALSE))</f>
        <v>0</v>
      </c>
      <c r="C108" t="s">
        <v>68</v>
      </c>
      <c r="D108" t="str">
        <f>VLOOKUP($C108,classifications!$C:$J,4,FALSE)</f>
        <v>SD</v>
      </c>
      <c r="E108">
        <f>VLOOKUP(C108,classifications!C:K,9,FALSE)</f>
        <v>0</v>
      </c>
      <c r="F108">
        <f t="shared" si="43"/>
        <v>96.28</v>
      </c>
      <c r="G108" s="15"/>
      <c r="H108" s="41">
        <f t="shared" si="44"/>
        <v>96.28</v>
      </c>
      <c r="I108" s="73">
        <f>IF(H108="","",IF($I$8="A",(RANK(H108,H$11:H$333,1)+COUNTIF(H$11:H108,H108)-1),(RANK(H108,H$11:H$333)+COUNTIF(H$11:H108,H108)-1)))</f>
        <v>131</v>
      </c>
      <c r="J108" s="40"/>
      <c r="K108" s="35">
        <f t="shared" si="51"/>
        <v>98</v>
      </c>
      <c r="L108" t="str">
        <f t="shared" si="45"/>
        <v>Torridge</v>
      </c>
      <c r="M108" s="109">
        <f t="shared" si="46"/>
        <v>97.06</v>
      </c>
      <c r="N108" s="104">
        <f t="shared" si="31"/>
        <v>97.06</v>
      </c>
      <c r="O108" s="89" t="str">
        <f t="shared" si="32"/>
        <v/>
      </c>
      <c r="P108" s="89" t="str">
        <f t="shared" si="33"/>
        <v/>
      </c>
      <c r="Q108" s="89">
        <f t="shared" si="34"/>
        <v>97.06</v>
      </c>
      <c r="R108" s="85" t="str">
        <f t="shared" si="35"/>
        <v/>
      </c>
      <c r="S108" s="41" t="str">
        <f t="shared" si="36"/>
        <v/>
      </c>
      <c r="T108" s="166" t="str">
        <f>IF(L108="","",VLOOKUP(L108,classifications!C:K,9,FALSE))</f>
        <v>Sparse</v>
      </c>
      <c r="U108" s="167">
        <f t="shared" si="37"/>
        <v>97.06</v>
      </c>
      <c r="V108" s="173">
        <f>IF(U108="","",IF($I$8="A",(RANK(U108,U$11:U$333)+COUNTIF(U$11:U108,U108)-1),(RANK(U108,U$11:U$333,1)+COUNTIF(U$11:U108,U108)-1)))</f>
        <v>9</v>
      </c>
      <c r="W108" s="174"/>
      <c r="X108" s="5" t="str">
        <f>IF(L108="","",VLOOKUP($L108,classifications!$C:$J,6,FALSE))</f>
        <v xml:space="preserve">Predominantly Rural </v>
      </c>
      <c r="Y108">
        <f t="shared" si="38"/>
        <v>97.06</v>
      </c>
      <c r="Z108" s="39">
        <f>IF(Y108="","",IF(I$8="A",(RANK(Y108,Y$11:Y$333,1)+COUNTIF(Y$11:Y108,Y108)-1),(RANK(Y108,Y$11:Y$333)+COUNTIF(Y$11:Y108,Y108)-1)))</f>
        <v>49</v>
      </c>
      <c r="AA108" s="177" t="str">
        <f>IF(L108="","",VLOOKUP($L108,classifications!C:I,7,FALSE))</f>
        <v>Predominantly Rural</v>
      </c>
      <c r="AB108" s="173">
        <f t="shared" si="39"/>
        <v>97.06</v>
      </c>
      <c r="AC108" s="173">
        <f>IF(AB108="","",IF($I$8="A",(RANK(AB108,AB$11:AB$333)+COUNTIF(AB$11:AB108,AB108)-1),(RANK(AB108,AB$11:AB$333,1)+COUNTIF(AB$11:AB108,AB108)-1)))</f>
        <v>11</v>
      </c>
      <c r="AD108" s="173"/>
      <c r="AE108" s="45" t="e">
        <f>IF(I$8="A",(RANK(AG108,AG$11:AG$333,1)+COUNTIF(AG$11:AG108,AG108)-1),(RANK(AG108,AG$11:AG$333)+COUNTIF(AG$11:AG108,AG108)-1))</f>
        <v>#N/A</v>
      </c>
      <c r="AF108" t="str">
        <f>VLOOKUP(Profile!$J$5,Families!$C:$R,2,FALSE)</f>
        <v>North Dorset</v>
      </c>
      <c r="AG108" s="15" t="e">
        <f t="shared" si="52"/>
        <v>#N/A</v>
      </c>
      <c r="AH108" s="46" t="e">
        <f t="shared" si="40"/>
        <v>#N/A</v>
      </c>
      <c r="AI108" s="5" t="str">
        <f>IF(L108="","",VLOOKUP($L108,classifications!$C:$J,8,FALSE))</f>
        <v>Devon</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South West</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96.28</v>
      </c>
    </row>
    <row r="109" spans="1:50">
      <c r="A109" s="55" t="str">
        <f>$D$1&amp;99</f>
        <v>SD99</v>
      </c>
      <c r="B109" s="56">
        <f>IF(ISERROR(VLOOKUP(A109,classifications!A:C,3,FALSE)),0,VLOOKUP(A109,classifications!A:C,3,FALSE))</f>
        <v>0</v>
      </c>
      <c r="C109" t="s">
        <v>889</v>
      </c>
      <c r="D109" t="str">
        <f>VLOOKUP($C109,classifications!$C:$J,4,FALSE)</f>
        <v>SD</v>
      </c>
      <c r="E109">
        <f>VLOOKUP(C109,classifications!C:K,9,FALSE)</f>
        <v>0</v>
      </c>
      <c r="F109">
        <f t="shared" si="43"/>
        <v>96.8</v>
      </c>
      <c r="G109" s="15"/>
      <c r="H109" s="41">
        <f t="shared" si="44"/>
        <v>96.8</v>
      </c>
      <c r="I109" s="73">
        <f>IF(H109="","",IF($I$8="A",(RANK(H109,H$11:H$333,1)+COUNTIF(H$11:H109,H109)-1),(RANK(H109,H$11:H$333)+COUNTIF(H$11:H109,H109)-1)))</f>
        <v>107</v>
      </c>
      <c r="J109" s="40"/>
      <c r="K109" s="35">
        <f t="shared" si="51"/>
        <v>99</v>
      </c>
      <c r="L109" t="str">
        <f t="shared" si="45"/>
        <v>Ashford</v>
      </c>
      <c r="M109" s="109">
        <f t="shared" si="46"/>
        <v>97.05</v>
      </c>
      <c r="N109" s="104">
        <f t="shared" si="31"/>
        <v>97.05</v>
      </c>
      <c r="O109" s="89" t="str">
        <f t="shared" si="32"/>
        <v/>
      </c>
      <c r="P109" s="89" t="str">
        <f t="shared" si="33"/>
        <v/>
      </c>
      <c r="Q109" s="89">
        <f t="shared" si="34"/>
        <v>97.05</v>
      </c>
      <c r="R109" s="85" t="str">
        <f t="shared" si="35"/>
        <v/>
      </c>
      <c r="S109" s="41" t="str">
        <f t="shared" si="36"/>
        <v/>
      </c>
      <c r="T109" s="166">
        <f>IF(L109="","",VLOOKUP(L109,classifications!C:K,9,FALSE))</f>
        <v>0</v>
      </c>
      <c r="U109" s="167" t="str">
        <f t="shared" si="37"/>
        <v/>
      </c>
      <c r="V109" s="173" t="str">
        <f>IF(U109="","",IF($I$8="A",(RANK(U109,U$11:U$333)+COUNTIF(U$11:U109,U109)-1),(RANK(U109,U$11:U$333,1)+COUNTIF(U$11:U109,U109)-1)))</f>
        <v/>
      </c>
      <c r="W109" s="174"/>
      <c r="X109" s="5" t="str">
        <f>IF(L109="","",VLOOKUP($L109,classifications!$C:$J,6,FALSE))</f>
        <v>Urban with Significant Rural</v>
      </c>
      <c r="Y109" t="str">
        <f t="shared" si="38"/>
        <v/>
      </c>
      <c r="Z109" s="39" t="str">
        <f>IF(Y109="","",IF(I$8="A",(RANK(Y109,Y$11:Y$333,1)+COUNTIF(Y$11:Y109,Y109)-1),(RANK(Y109,Y$11:Y$333)+COUNTIF(Y$11:Y109,Y109)-1)))</f>
        <v/>
      </c>
      <c r="AA109" s="177" t="str">
        <f>IF(L109="","",VLOOKUP($L109,classifications!C:I,7,FALSE))</f>
        <v>Urban with Significant Rural</v>
      </c>
      <c r="AB109" s="173" t="str">
        <f t="shared" si="39"/>
        <v/>
      </c>
      <c r="AC109" s="173" t="str">
        <f>IF(AB109="","",IF($I$8="A",(RANK(AB109,AB$11:AB$333)+COUNTIF(AB$11:AB109,AB109)-1),(RANK(AB109,AB$11:AB$333,1)+COUNTIF(AB$11:AB109,AB109)-1)))</f>
        <v/>
      </c>
      <c r="AD109" s="173"/>
      <c r="AE109" s="45" t="e">
        <f>IF(I$8="A",(RANK(AG109,AG$11:AG$333,1)+COUNTIF(AG$11:AG109,AG109)-1),(RANK(AG109,AG$11:AG$333)+COUNTIF(AG$11:AG109,AG109)-1))</f>
        <v>#N/A</v>
      </c>
      <c r="AF109" t="str">
        <f>VLOOKUP(Profile!$J$5,Families!$C:$R,2,FALSE)</f>
        <v>North Dorset</v>
      </c>
      <c r="AG109" s="15" t="e">
        <f t="shared" si="52"/>
        <v>#N/A</v>
      </c>
      <c r="AH109" s="46" t="e">
        <f t="shared" si="40"/>
        <v>#N/A</v>
      </c>
      <c r="AI109" s="5" t="str">
        <f>IF(L109="","",VLOOKUP($L109,classifications!$C:$J,8,FALSE))</f>
        <v>Kent</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South East</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96.8</v>
      </c>
    </row>
    <row r="110" spans="1:50">
      <c r="A110" s="55" t="str">
        <f>$D$1&amp;100</f>
        <v>SD100</v>
      </c>
      <c r="B110" s="56">
        <f>IF(ISERROR(VLOOKUP(A110,classifications!A:C,3,FALSE)),0,VLOOKUP(A110,classifications!A:C,3,FALSE))</f>
        <v>0</v>
      </c>
      <c r="C110" t="s">
        <v>70</v>
      </c>
      <c r="D110" t="str">
        <f>VLOOKUP($C110,classifications!$C:$J,4,FALSE)</f>
        <v>SD</v>
      </c>
      <c r="E110" t="str">
        <f>VLOOKUP(C110,classifications!C:K,9,FALSE)</f>
        <v>Sparse</v>
      </c>
      <c r="F110">
        <f t="shared" si="43"/>
        <v>97.58</v>
      </c>
      <c r="G110" s="15"/>
      <c r="H110" s="41">
        <f t="shared" si="44"/>
        <v>97.58</v>
      </c>
      <c r="I110" s="73">
        <f>IF(H110="","",IF($I$8="A",(RANK(H110,H$11:H$333,1)+COUNTIF(H$11:H110,H110)-1),(RANK(H110,H$11:H$333)+COUNTIF(H$11:H110,H110)-1)))</f>
        <v>73</v>
      </c>
      <c r="J110" s="40"/>
      <c r="K110" s="35">
        <f t="shared" si="51"/>
        <v>100</v>
      </c>
      <c r="L110" t="str">
        <f t="shared" si="45"/>
        <v>Eastleigh</v>
      </c>
      <c r="M110" s="109">
        <f t="shared" si="46"/>
        <v>97.01</v>
      </c>
      <c r="N110" s="104">
        <f t="shared" si="31"/>
        <v>97.01</v>
      </c>
      <c r="O110" s="89" t="str">
        <f t="shared" si="32"/>
        <v/>
      </c>
      <c r="P110" s="89" t="str">
        <f t="shared" si="33"/>
        <v/>
      </c>
      <c r="Q110" s="89">
        <f t="shared" si="34"/>
        <v>97.01</v>
      </c>
      <c r="R110" s="85" t="str">
        <f t="shared" si="35"/>
        <v/>
      </c>
      <c r="S110" s="41" t="str">
        <f t="shared" si="36"/>
        <v/>
      </c>
      <c r="T110" s="166">
        <f>IF(L110="","",VLOOKUP(L110,classifications!C:K,9,FALSE))</f>
        <v>0</v>
      </c>
      <c r="U110" s="167" t="str">
        <f t="shared" si="37"/>
        <v/>
      </c>
      <c r="V110" s="173" t="str">
        <f>IF(U110="","",IF($I$8="A",(RANK(U110,U$11:U$333)+COUNTIF(U$11:U110,U110)-1),(RANK(U110,U$11:U$333,1)+COUNTIF(U$11:U110,U110)-1)))</f>
        <v/>
      </c>
      <c r="W110" s="174"/>
      <c r="X110" s="5" t="str">
        <f>IF(L110="","",VLOOKUP($L110,classifications!$C:$J,6,FALSE))</f>
        <v>Predominantly Urban</v>
      </c>
      <c r="Y110" t="str">
        <f t="shared" si="38"/>
        <v/>
      </c>
      <c r="Z110" s="39" t="str">
        <f>IF(Y110="","",IF(I$8="A",(RANK(Y110,Y$11:Y$333,1)+COUNTIF(Y$11:Y110,Y110)-1),(RANK(Y110,Y$11:Y$333)+COUNTIF(Y$11:Y110,Y110)-1)))</f>
        <v/>
      </c>
      <c r="AA110" s="177" t="str">
        <f>IF(L110="","",VLOOKUP($L110,classifications!C:I,7,FALSE))</f>
        <v>Predominantly Urban</v>
      </c>
      <c r="AB110" s="173" t="str">
        <f t="shared" si="39"/>
        <v/>
      </c>
      <c r="AC110" s="173" t="str">
        <f>IF(AB110="","",IF($I$8="A",(RANK(AB110,AB$11:AB$333)+COUNTIF(AB$11:AB110,AB110)-1),(RANK(AB110,AB$11:AB$333,1)+COUNTIF(AB$11:AB110,AB110)-1)))</f>
        <v/>
      </c>
      <c r="AD110" s="173"/>
      <c r="AE110" s="45" t="e">
        <f>IF(I$8="A",(RANK(AG110,AG$11:AG$333,1)+COUNTIF(AG$11:AG110,AG110)-1),(RANK(AG110,AG$11:AG$333)+COUNTIF(AG$11:AG110,AG110)-1))</f>
        <v>#N/A</v>
      </c>
      <c r="AF110" t="str">
        <f>VLOOKUP(Profile!$J$5,Families!$C:$R,2,FALSE)</f>
        <v>North Dorset</v>
      </c>
      <c r="AG110" s="15" t="e">
        <f t="shared" si="52"/>
        <v>#N/A</v>
      </c>
      <c r="AH110" s="46" t="e">
        <f t="shared" si="40"/>
        <v>#N/A</v>
      </c>
      <c r="AI110" s="5" t="str">
        <f>IF(L110="","",VLOOKUP($L110,classifications!$C:$J,8,FALSE))</f>
        <v>Hampshire</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South East</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97.58</v>
      </c>
    </row>
    <row r="111" spans="1:50">
      <c r="A111" s="55" t="str">
        <f>$D$1&amp;101</f>
        <v>SD101</v>
      </c>
      <c r="B111" s="56">
        <f>IF(ISERROR(VLOOKUP(A111,classifications!A:C,3,FALSE)),0,VLOOKUP(A111,classifications!A:C,3,FALSE))</f>
        <v>0</v>
      </c>
      <c r="C111" t="s">
        <v>71</v>
      </c>
      <c r="D111" t="str">
        <f>VLOOKUP($C111,classifications!$C:$J,4,FALSE)</f>
        <v>SD</v>
      </c>
      <c r="E111">
        <f>VLOOKUP(C111,classifications!C:K,9,FALSE)</f>
        <v>0</v>
      </c>
      <c r="F111">
        <f t="shared" si="43"/>
        <v>96.61</v>
      </c>
      <c r="G111" s="15"/>
      <c r="H111" s="41">
        <f t="shared" si="44"/>
        <v>96.61</v>
      </c>
      <c r="I111" s="73">
        <f>IF(H111="","",IF($I$8="A",(RANK(H111,H$11:H$333,1)+COUNTIF(H$11:H111,H111)-1),(RANK(H111,H$11:H$333)+COUNTIF(H$11:H111,H111)-1)))</f>
        <v>116</v>
      </c>
      <c r="J111" s="40"/>
      <c r="K111" s="35">
        <f t="shared" si="51"/>
        <v>101</v>
      </c>
      <c r="L111" t="str">
        <f t="shared" si="45"/>
        <v>North Devon</v>
      </c>
      <c r="M111" s="109">
        <f t="shared" si="46"/>
        <v>96.98</v>
      </c>
      <c r="N111" s="104">
        <f t="shared" si="31"/>
        <v>96.98</v>
      </c>
      <c r="O111" s="89" t="str">
        <f t="shared" si="32"/>
        <v/>
      </c>
      <c r="P111" s="89" t="str">
        <f t="shared" si="33"/>
        <v/>
      </c>
      <c r="Q111" s="89">
        <f t="shared" si="34"/>
        <v>96.98</v>
      </c>
      <c r="R111" s="85" t="str">
        <f t="shared" si="35"/>
        <v/>
      </c>
      <c r="S111" s="41" t="str">
        <f t="shared" si="36"/>
        <v/>
      </c>
      <c r="T111" s="166" t="str">
        <f>IF(L111="","",VLOOKUP(L111,classifications!C:K,9,FALSE))</f>
        <v>Sparse</v>
      </c>
      <c r="U111" s="167">
        <f t="shared" si="37"/>
        <v>96.98</v>
      </c>
      <c r="V111" s="173">
        <f>IF(U111="","",IF($I$8="A",(RANK(U111,U$11:U$333)+COUNTIF(U$11:U111,U111)-1),(RANK(U111,U$11:U$333,1)+COUNTIF(U$11:U111,U111)-1)))</f>
        <v>8</v>
      </c>
      <c r="W111" s="174"/>
      <c r="X111" s="5" t="str">
        <f>IF(L111="","",VLOOKUP($L111,classifications!$C:$J,6,FALSE))</f>
        <v xml:space="preserve">Predominantly Rural </v>
      </c>
      <c r="Y111">
        <f t="shared" si="38"/>
        <v>96.98</v>
      </c>
      <c r="Z111" s="39">
        <f>IF(Y111="","",IF(I$8="A",(RANK(Y111,Y$11:Y$333,1)+COUNTIF(Y$11:Y111,Y111)-1),(RANK(Y111,Y$11:Y$333)+COUNTIF(Y$11:Y111,Y111)-1)))</f>
        <v>50</v>
      </c>
      <c r="AA111" s="177" t="str">
        <f>IF(L111="","",VLOOKUP($L111,classifications!C:I,7,FALSE))</f>
        <v>Predominantly Rural</v>
      </c>
      <c r="AB111" s="173">
        <f t="shared" si="39"/>
        <v>96.98</v>
      </c>
      <c r="AC111" s="173">
        <f>IF(AB111="","",IF($I$8="A",(RANK(AB111,AB$11:AB$333)+COUNTIF(AB$11:AB111,AB111)-1),(RANK(AB111,AB$11:AB$333,1)+COUNTIF(AB$11:AB111,AB111)-1)))</f>
        <v>10</v>
      </c>
      <c r="AD111" s="173"/>
      <c r="AE111" s="45" t="e">
        <f>IF(I$8="A",(RANK(AG111,AG$11:AG$333,1)+COUNTIF(AG$11:AG111,AG111)-1),(RANK(AG111,AG$11:AG$333)+COUNTIF(AG$11:AG111,AG111)-1))</f>
        <v>#N/A</v>
      </c>
      <c r="AF111" t="str">
        <f>VLOOKUP(Profile!$J$5,Families!$C:$R,2,FALSE)</f>
        <v>North Dorset</v>
      </c>
      <c r="AG111" s="15" t="e">
        <f t="shared" si="52"/>
        <v>#N/A</v>
      </c>
      <c r="AH111" s="46" t="e">
        <f t="shared" si="40"/>
        <v>#N/A</v>
      </c>
      <c r="AI111" s="5" t="str">
        <f>IF(L111="","",VLOOKUP($L111,classifications!$C:$J,8,FALSE))</f>
        <v>Devon</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South West</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96.61</v>
      </c>
    </row>
    <row r="112" spans="1:50">
      <c r="A112" s="55" t="str">
        <f>$D$1&amp;102</f>
        <v>SD102</v>
      </c>
      <c r="B112" s="56">
        <f>IF(ISERROR(VLOOKUP(A112,classifications!A:C,3,FALSE)),0,VLOOKUP(A112,classifications!A:C,3,FALSE))</f>
        <v>0</v>
      </c>
      <c r="C112" t="s">
        <v>231</v>
      </c>
      <c r="D112" t="str">
        <f>VLOOKUP($C112,classifications!$C:$J,4,FALSE)</f>
        <v>MD</v>
      </c>
      <c r="E112">
        <f>VLOOKUP(C112,classifications!C:K,9,FALSE)</f>
        <v>0</v>
      </c>
      <c r="F112">
        <f t="shared" si="43"/>
        <v>93.84</v>
      </c>
      <c r="G112" s="15"/>
      <c r="H112" s="41" t="str">
        <f t="shared" si="44"/>
        <v/>
      </c>
      <c r="I112" s="73" t="str">
        <f>IF(H112="","",IF($I$8="A",(RANK(H112,H$11:H$333,1)+COUNTIF(H$11:H112,H112)-1),(RANK(H112,H$11:H$333)+COUNTIF(H$11:H112,H112)-1)))</f>
        <v/>
      </c>
      <c r="J112" s="40"/>
      <c r="K112" s="35">
        <f t="shared" si="51"/>
        <v>102</v>
      </c>
      <c r="L112" t="str">
        <f t="shared" si="45"/>
        <v>Epping Forest</v>
      </c>
      <c r="M112" s="109">
        <f t="shared" si="46"/>
        <v>96.94</v>
      </c>
      <c r="N112" s="104">
        <f t="shared" si="31"/>
        <v>96.94</v>
      </c>
      <c r="O112" s="89" t="str">
        <f t="shared" si="32"/>
        <v/>
      </c>
      <c r="P112" s="89" t="str">
        <f t="shared" si="33"/>
        <v/>
      </c>
      <c r="Q112" s="89">
        <f t="shared" si="34"/>
        <v>96.94</v>
      </c>
      <c r="R112" s="85" t="str">
        <f t="shared" si="35"/>
        <v/>
      </c>
      <c r="S112" s="41" t="str">
        <f t="shared" si="36"/>
        <v/>
      </c>
      <c r="T112" s="166">
        <f>IF(L112="","",VLOOKUP(L112,classifications!C:K,9,FALSE))</f>
        <v>0</v>
      </c>
      <c r="U112" s="167" t="str">
        <f t="shared" si="37"/>
        <v/>
      </c>
      <c r="V112" s="173" t="str">
        <f>IF(U112="","",IF($I$8="A",(RANK(U112,U$11:U$333)+COUNTIF(U$11:U112,U112)-1),(RANK(U112,U$11:U$333,1)+COUNTIF(U$11:U112,U112)-1)))</f>
        <v/>
      </c>
      <c r="W112" s="174"/>
      <c r="X112" s="5" t="str">
        <f>IF(L112="","",VLOOKUP($L112,classifications!$C:$J,6,FALSE))</f>
        <v>Urban with Significant Rural</v>
      </c>
      <c r="Y112" t="str">
        <f t="shared" si="38"/>
        <v/>
      </c>
      <c r="Z112" s="39" t="str">
        <f>IF(Y112="","",IF(I$8="A",(RANK(Y112,Y$11:Y$333,1)+COUNTIF(Y$11:Y112,Y112)-1),(RANK(Y112,Y$11:Y$333)+COUNTIF(Y$11:Y112,Y112)-1)))</f>
        <v/>
      </c>
      <c r="AA112" s="177" t="str">
        <f>IF(L112="","",VLOOKUP($L112,classifications!C:I,7,FALSE))</f>
        <v>Urban with Significant Rural</v>
      </c>
      <c r="AB112" s="173" t="str">
        <f t="shared" si="39"/>
        <v/>
      </c>
      <c r="AC112" s="173" t="str">
        <f>IF(AB112="","",IF($I$8="A",(RANK(AB112,AB$11:AB$333)+COUNTIF(AB$11:AB112,AB112)-1),(RANK(AB112,AB$11:AB$333,1)+COUNTIF(AB$11:AB112,AB112)-1)))</f>
        <v/>
      </c>
      <c r="AD112" s="173"/>
      <c r="AE112" s="45" t="e">
        <f>IF(I$8="A",(RANK(AG112,AG$11:AG$333,1)+COUNTIF(AG$11:AG112,AG112)-1),(RANK(AG112,AG$11:AG$333)+COUNTIF(AG$11:AG112,AG112)-1))</f>
        <v>#N/A</v>
      </c>
      <c r="AF112" t="str">
        <f>VLOOKUP(Profile!$J$5,Families!$C:$R,2,FALSE)</f>
        <v>North Dorset</v>
      </c>
      <c r="AG112" s="15" t="e">
        <f t="shared" si="52"/>
        <v>#N/A</v>
      </c>
      <c r="AH112" s="46" t="e">
        <f t="shared" si="40"/>
        <v>#N/A</v>
      </c>
      <c r="AI112" s="5" t="str">
        <f>IF(L112="","",VLOOKUP($L112,classifications!$C:$J,8,FALSE))</f>
        <v>Essex</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East of England</v>
      </c>
      <c r="AQ112" s="42">
        <f t="shared" si="42"/>
        <v>96.94</v>
      </c>
      <c r="AR112" s="39">
        <f>IF(AQ112="","",IF(I$8="A",(RANK(AQ112,AQ$11:AQ$333,1)+COUNTIF(AQ$11:AQ112,AQ112)-1),(RANK(AQ112,AQ$11:AQ$333)+COUNTIF(AQ$11:AQ112,AQ112)-1)))</f>
        <v>26</v>
      </c>
      <c r="AS112" s="3" t="str">
        <f t="shared" si="54"/>
        <v/>
      </c>
      <c r="AT112" s="39" t="str">
        <f t="shared" si="49"/>
        <v/>
      </c>
      <c r="AU112" s="42" t="str">
        <f t="shared" si="50"/>
        <v/>
      </c>
      <c r="AX112">
        <f>HLOOKUP($AX$9&amp;$AX$10,Data!$A$1:$ZT$1975,(MATCH($C112,Data!$A$1:$A$1975,0)),FALSE)</f>
        <v>93.84</v>
      </c>
    </row>
    <row r="113" spans="1:50">
      <c r="A113" s="55" t="str">
        <f>$D$1&amp;103</f>
        <v>SD103</v>
      </c>
      <c r="B113" s="56">
        <f>IF(ISERROR(VLOOKUP(A113,classifications!A:C,3,FALSE)),0,VLOOKUP(A113,classifications!A:C,3,FALSE))</f>
        <v>0</v>
      </c>
      <c r="C113" t="s">
        <v>72</v>
      </c>
      <c r="D113" t="str">
        <f>VLOOKUP($C113,classifications!$C:$J,4,FALSE)</f>
        <v>SD</v>
      </c>
      <c r="E113">
        <f>VLOOKUP(C113,classifications!C:K,9,FALSE)</f>
        <v>0</v>
      </c>
      <c r="F113">
        <f t="shared" si="43"/>
        <v>97.63</v>
      </c>
      <c r="G113" s="15"/>
      <c r="H113" s="41">
        <f t="shared" si="44"/>
        <v>97.63</v>
      </c>
      <c r="I113" s="73">
        <f>IF(H113="","",IF($I$8="A",(RANK(H113,H$11:H$333,1)+COUNTIF(H$11:H113,H113)-1),(RANK(H113,H$11:H$333)+COUNTIF(H$11:H113,H113)-1)))</f>
        <v>69</v>
      </c>
      <c r="J113" s="40"/>
      <c r="K113" s="35">
        <f t="shared" si="51"/>
        <v>103</v>
      </c>
      <c r="L113" t="str">
        <f t="shared" si="45"/>
        <v>East Hertfordshire</v>
      </c>
      <c r="M113" s="109">
        <f t="shared" si="46"/>
        <v>96.92</v>
      </c>
      <c r="N113" s="104">
        <f t="shared" si="31"/>
        <v>96.92</v>
      </c>
      <c r="O113" s="89" t="str">
        <f t="shared" si="32"/>
        <v/>
      </c>
      <c r="P113" s="89" t="str">
        <f t="shared" si="33"/>
        <v/>
      </c>
      <c r="Q113" s="89">
        <f t="shared" si="34"/>
        <v>96.92</v>
      </c>
      <c r="R113" s="85" t="str">
        <f t="shared" si="35"/>
        <v/>
      </c>
      <c r="S113" s="41" t="str">
        <f t="shared" si="36"/>
        <v/>
      </c>
      <c r="T113" s="166">
        <f>IF(L113="","",VLOOKUP(L113,classifications!C:K,9,FALSE))</f>
        <v>0</v>
      </c>
      <c r="U113" s="167" t="str">
        <f t="shared" si="37"/>
        <v/>
      </c>
      <c r="V113" s="173" t="str">
        <f>IF(U113="","",IF($I$8="A",(RANK(U113,U$11:U$333)+COUNTIF(U$11:U113,U113)-1),(RANK(U113,U$11:U$333,1)+COUNTIF(U$11:U113,U113)-1)))</f>
        <v/>
      </c>
      <c r="W113" s="174"/>
      <c r="X113" s="5" t="str">
        <f>IF(L113="","",VLOOKUP($L113,classifications!$C:$J,6,FALSE))</f>
        <v>Urban with Significant Rural</v>
      </c>
      <c r="Y113" t="str">
        <f t="shared" si="38"/>
        <v/>
      </c>
      <c r="Z113" s="39" t="str">
        <f>IF(Y113="","",IF(I$8="A",(RANK(Y113,Y$11:Y$333,1)+COUNTIF(Y$11:Y113,Y113)-1),(RANK(Y113,Y$11:Y$333)+COUNTIF(Y$11:Y113,Y113)-1)))</f>
        <v/>
      </c>
      <c r="AA113" s="177" t="str">
        <f>IF(L113="","",VLOOKUP($L113,classifications!C:I,7,FALSE))</f>
        <v>Urban with Significant Rural</v>
      </c>
      <c r="AB113" s="173" t="str">
        <f t="shared" si="39"/>
        <v/>
      </c>
      <c r="AC113" s="173" t="str">
        <f>IF(AB113="","",IF($I$8="A",(RANK(AB113,AB$11:AB$333)+COUNTIF(AB$11:AB113,AB113)-1),(RANK(AB113,AB$11:AB$333,1)+COUNTIF(AB$11:AB113,AB113)-1)))</f>
        <v/>
      </c>
      <c r="AD113" s="173"/>
      <c r="AE113" s="45" t="e">
        <f>IF(I$8="A",(RANK(AG113,AG$11:AG$333,1)+COUNTIF(AG$11:AG113,AG113)-1),(RANK(AG113,AG$11:AG$333)+COUNTIF(AG$11:AG113,AG113)-1))</f>
        <v>#N/A</v>
      </c>
      <c r="AF113" t="str">
        <f>VLOOKUP(Profile!$J$5,Families!$C:$R,2,FALSE)</f>
        <v>North Dorset</v>
      </c>
      <c r="AG113" s="15" t="e">
        <f t="shared" si="52"/>
        <v>#N/A</v>
      </c>
      <c r="AH113" s="46" t="e">
        <f t="shared" si="40"/>
        <v>#N/A</v>
      </c>
      <c r="AI113" s="5" t="str">
        <f>IF(L113="","",VLOOKUP($L113,classifications!$C:$J,8,FALSE))</f>
        <v>Hertfordshire</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East of England</v>
      </c>
      <c r="AQ113" s="42">
        <f t="shared" si="42"/>
        <v>96.92</v>
      </c>
      <c r="AR113" s="39">
        <f>IF(AQ113="","",IF(I$8="A",(RANK(AQ113,AQ$11:AQ$333,1)+COUNTIF(AQ$11:AQ113,AQ113)-1),(RANK(AQ113,AQ$11:AQ$333)+COUNTIF(AQ$11:AQ113,AQ113)-1)))</f>
        <v>27</v>
      </c>
      <c r="AS113" s="3" t="str">
        <f t="shared" si="54"/>
        <v/>
      </c>
      <c r="AT113" s="39" t="str">
        <f t="shared" si="49"/>
        <v/>
      </c>
      <c r="AU113" s="42" t="str">
        <f t="shared" si="50"/>
        <v/>
      </c>
      <c r="AX113">
        <f>HLOOKUP($AX$9&amp;$AX$10,Data!$A$1:$ZT$1975,(MATCH($C113,Data!$A$1:$A$1975,0)),FALSE)</f>
        <v>97.63</v>
      </c>
    </row>
    <row r="114" spans="1:50">
      <c r="A114" s="55" t="str">
        <f>$D$1&amp;104</f>
        <v>SD104</v>
      </c>
      <c r="B114" s="56">
        <f>IF(ISERROR(VLOOKUP(A114,classifications!A:C,3,FALSE)),0,VLOOKUP(A114,classifications!A:C,3,FALSE))</f>
        <v>0</v>
      </c>
      <c r="C114" t="s">
        <v>73</v>
      </c>
      <c r="D114" t="str">
        <f>VLOOKUP($C114,classifications!$C:$J,4,FALSE)</f>
        <v>SD</v>
      </c>
      <c r="E114">
        <f>VLOOKUP(C114,classifications!C:K,9,FALSE)</f>
        <v>0</v>
      </c>
      <c r="F114">
        <f t="shared" si="43"/>
        <v>95.93</v>
      </c>
      <c r="G114" s="15"/>
      <c r="H114" s="41">
        <f t="shared" si="44"/>
        <v>95.93</v>
      </c>
      <c r="I114" s="73">
        <f>IF(H114="","",IF($I$8="A",(RANK(H114,H$11:H$333,1)+COUNTIF(H$11:H114,H114)-1),(RANK(H114,H$11:H$333)+COUNTIF(H$11:H114,H114)-1)))</f>
        <v>138</v>
      </c>
      <c r="J114" s="40"/>
      <c r="K114" s="35">
        <f t="shared" si="51"/>
        <v>104</v>
      </c>
      <c r="L114" t="str">
        <f t="shared" si="45"/>
        <v>Chorley</v>
      </c>
      <c r="M114" s="109">
        <f t="shared" si="46"/>
        <v>96.9</v>
      </c>
      <c r="N114" s="104">
        <f t="shared" si="31"/>
        <v>96.9</v>
      </c>
      <c r="O114" s="89" t="str">
        <f t="shared" si="32"/>
        <v/>
      </c>
      <c r="P114" s="89" t="str">
        <f t="shared" si="33"/>
        <v/>
      </c>
      <c r="Q114" s="89">
        <f t="shared" si="34"/>
        <v>96.9</v>
      </c>
      <c r="R114" s="85" t="str">
        <f t="shared" si="35"/>
        <v/>
      </c>
      <c r="S114" s="41" t="str">
        <f t="shared" si="36"/>
        <v/>
      </c>
      <c r="T114" s="166">
        <f>IF(L114="","",VLOOKUP(L114,classifications!C:K,9,FALSE))</f>
        <v>0</v>
      </c>
      <c r="U114" s="167" t="str">
        <f t="shared" si="37"/>
        <v/>
      </c>
      <c r="V114" s="173" t="str">
        <f>IF(U114="","",IF($I$8="A",(RANK(U114,U$11:U$333)+COUNTIF(U$11:U114,U114)-1),(RANK(U114,U$11:U$333,1)+COUNTIF(U$11:U114,U114)-1)))</f>
        <v/>
      </c>
      <c r="W114" s="174"/>
      <c r="X114" s="5" t="str">
        <f>IF(L114="","",VLOOKUP($L114,classifications!$C:$J,6,FALSE))</f>
        <v>Urban with Significant Rural</v>
      </c>
      <c r="Y114" t="str">
        <f t="shared" si="38"/>
        <v/>
      </c>
      <c r="Z114" s="39" t="str">
        <f>IF(Y114="","",IF(I$8="A",(RANK(Y114,Y$11:Y$333,1)+COUNTIF(Y$11:Y114,Y114)-1),(RANK(Y114,Y$11:Y$333)+COUNTIF(Y$11:Y114,Y114)-1)))</f>
        <v/>
      </c>
      <c r="AA114" s="177" t="str">
        <f>IF(L114="","",VLOOKUP($L114,classifications!C:I,7,FALSE))</f>
        <v>Urban with Significant Rural</v>
      </c>
      <c r="AB114" s="173" t="str">
        <f t="shared" si="39"/>
        <v/>
      </c>
      <c r="AC114" s="173" t="str">
        <f>IF(AB114="","",IF($I$8="A",(RANK(AB114,AB$11:AB$333)+COUNTIF(AB$11:AB114,AB114)-1),(RANK(AB114,AB$11:AB$333,1)+COUNTIF(AB$11:AB114,AB114)-1)))</f>
        <v/>
      </c>
      <c r="AD114" s="173"/>
      <c r="AE114" s="45" t="e">
        <f>IF(I$8="A",(RANK(AG114,AG$11:AG$333,1)+COUNTIF(AG$11:AG114,AG114)-1),(RANK(AG114,AG$11:AG$333)+COUNTIF(AG$11:AG114,AG114)-1))</f>
        <v>#N/A</v>
      </c>
      <c r="AF114" t="str">
        <f>VLOOKUP(Profile!$J$5,Families!$C:$R,2,FALSE)</f>
        <v>North Dorset</v>
      </c>
      <c r="AG114" s="15" t="e">
        <f t="shared" si="52"/>
        <v>#N/A</v>
      </c>
      <c r="AH114" s="46" t="e">
        <f t="shared" si="40"/>
        <v>#N/A</v>
      </c>
      <c r="AI114" s="5" t="str">
        <f>IF(L114="","",VLOOKUP($L114,classifications!$C:$J,8,FALSE))</f>
        <v>Lancashire</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North West</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95.93</v>
      </c>
    </row>
    <row r="115" spans="1:50">
      <c r="A115" s="55" t="str">
        <f>$D$1&amp;105</f>
        <v>SD105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f t="shared" si="51"/>
        <v>105</v>
      </c>
      <c r="L115" t="str">
        <f t="shared" si="45"/>
        <v>Adur</v>
      </c>
      <c r="M115" s="109">
        <f t="shared" si="46"/>
        <v>96.89</v>
      </c>
      <c r="N115" s="104">
        <f t="shared" si="31"/>
        <v>96.89</v>
      </c>
      <c r="O115" s="89" t="str">
        <f t="shared" si="32"/>
        <v/>
      </c>
      <c r="P115" s="89" t="str">
        <f t="shared" si="33"/>
        <v/>
      </c>
      <c r="Q115" s="89">
        <f t="shared" si="34"/>
        <v>96.89</v>
      </c>
      <c r="R115" s="85" t="str">
        <f t="shared" si="35"/>
        <v/>
      </c>
      <c r="S115" s="41" t="str">
        <f t="shared" si="36"/>
        <v/>
      </c>
      <c r="T115" s="166">
        <f>IF(L115="","",VLOOKUP(L115,classifications!C:K,9,FALSE))</f>
        <v>0</v>
      </c>
      <c r="U115" s="167" t="str">
        <f t="shared" si="37"/>
        <v/>
      </c>
      <c r="V115" s="173" t="str">
        <f>IF(U115="","",IF($I$8="A",(RANK(U115,U$11:U$333)+COUNTIF(U$11:U115,U115)-1),(RANK(U115,U$11:U$333,1)+COUNTIF(U$11:U115,U115)-1)))</f>
        <v/>
      </c>
      <c r="W115" s="174"/>
      <c r="X115" s="5" t="str">
        <f>IF(L115="","",VLOOKUP($L115,classifications!$C:$J,6,FALSE))</f>
        <v>Predominantly Urban</v>
      </c>
      <c r="Y115" t="str">
        <f t="shared" si="38"/>
        <v/>
      </c>
      <c r="Z115" s="39" t="str">
        <f>IF(Y115="","",IF(I$8="A",(RANK(Y115,Y$11:Y$333,1)+COUNTIF(Y$11:Y115,Y115)-1),(RANK(Y115,Y$11:Y$333)+COUNTIF(Y$11:Y115,Y115)-1)))</f>
        <v/>
      </c>
      <c r="AA115" s="177" t="str">
        <f>IF(L115="","",VLOOKUP($L115,classifications!C:I,7,FALSE))</f>
        <v>Predominantly Urban</v>
      </c>
      <c r="AB115" s="173" t="str">
        <f t="shared" si="39"/>
        <v/>
      </c>
      <c r="AC115" s="173" t="str">
        <f>IF(AB115="","",IF($I$8="A",(RANK(AB115,AB$11:AB$333)+COUNTIF(AB$11:AB115,AB115)-1),(RANK(AB115,AB$11:AB$333,1)+COUNTIF(AB$11:AB115,AB115)-1)))</f>
        <v/>
      </c>
      <c r="AD115" s="173"/>
      <c r="AE115" s="45" t="e">
        <f>IF(I$8="A",(RANK(AG115,AG$11:AG$333,1)+COUNTIF(AG$11:AG115,AG115)-1),(RANK(AG115,AG$11:AG$333)+COUNTIF(AG$11:AG115,AG115)-1))</f>
        <v>#N/A</v>
      </c>
      <c r="AF115" t="str">
        <f>VLOOKUP(Profile!$J$5,Families!$C:$R,2,FALSE)</f>
        <v>North Dorset</v>
      </c>
      <c r="AG115" s="15" t="e">
        <f t="shared" si="52"/>
        <v>#N/A</v>
      </c>
      <c r="AH115" s="46" t="e">
        <f t="shared" si="40"/>
        <v>#N/A</v>
      </c>
      <c r="AI115" s="5" t="str">
        <f>IF(L115="","",VLOOKUP($L115,classifications!$C:$J,8,FALSE))</f>
        <v>West Sussex</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South East</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SD106</v>
      </c>
      <c r="B116" s="56">
        <f>IF(ISERROR(VLOOKUP(A116,classifications!A:C,3,FALSE)),0,VLOOKUP(A116,classifications!A:C,3,FALSE))</f>
        <v>0</v>
      </c>
      <c r="C116" t="s">
        <v>74</v>
      </c>
      <c r="D116" t="str">
        <f>VLOOKUP($C116,classifications!$C:$J,4,FALSE)</f>
        <v>SD</v>
      </c>
      <c r="E116">
        <f>VLOOKUP(C116,classifications!C:K,9,FALSE)</f>
        <v>0</v>
      </c>
      <c r="F116">
        <f t="shared" si="43"/>
        <v>93.63</v>
      </c>
      <c r="G116" s="15"/>
      <c r="H116" s="41">
        <f t="shared" si="44"/>
        <v>93.63</v>
      </c>
      <c r="I116" s="73">
        <f>IF(H116="","",IF($I$8="A",(RANK(H116,H$11:H$333,1)+COUNTIF(H$11:H116,H116)-1),(RANK(H116,H$11:H$333)+COUNTIF(H$11:H116,H116)-1)))</f>
        <v>161</v>
      </c>
      <c r="J116" s="40"/>
      <c r="K116" s="35">
        <f t="shared" si="51"/>
        <v>106</v>
      </c>
      <c r="L116" t="str">
        <f t="shared" si="45"/>
        <v>Broxbourne</v>
      </c>
      <c r="M116" s="109">
        <f t="shared" si="46"/>
        <v>96.87</v>
      </c>
      <c r="N116" s="104">
        <f t="shared" si="31"/>
        <v>96.87</v>
      </c>
      <c r="O116" s="89" t="str">
        <f t="shared" si="32"/>
        <v/>
      </c>
      <c r="P116" s="89" t="str">
        <f t="shared" si="33"/>
        <v/>
      </c>
      <c r="Q116" s="89">
        <f t="shared" si="34"/>
        <v>96.87</v>
      </c>
      <c r="R116" s="85" t="str">
        <f t="shared" si="35"/>
        <v/>
      </c>
      <c r="S116" s="41" t="str">
        <f t="shared" si="36"/>
        <v/>
      </c>
      <c r="T116" s="166">
        <f>IF(L116="","",VLOOKUP(L116,classifications!C:K,9,FALSE))</f>
        <v>0</v>
      </c>
      <c r="U116" s="167" t="str">
        <f t="shared" si="37"/>
        <v/>
      </c>
      <c r="V116" s="173" t="str">
        <f>IF(U116="","",IF($I$8="A",(RANK(U116,U$11:U$333)+COUNTIF(U$11:U116,U116)-1),(RANK(U116,U$11:U$333,1)+COUNTIF(U$11:U116,U116)-1)))</f>
        <v/>
      </c>
      <c r="W116" s="174"/>
      <c r="X116" s="5" t="str">
        <f>IF(L116="","",VLOOKUP($L116,classifications!$C:$J,6,FALSE))</f>
        <v>Predominantly Urban</v>
      </c>
      <c r="Y116" t="str">
        <f t="shared" si="38"/>
        <v/>
      </c>
      <c r="Z116" s="39" t="str">
        <f>IF(Y116="","",IF(I$8="A",(RANK(Y116,Y$11:Y$333,1)+COUNTIF(Y$11:Y116,Y116)-1),(RANK(Y116,Y$11:Y$333)+COUNTIF(Y$11:Y116,Y116)-1)))</f>
        <v/>
      </c>
      <c r="AA116" s="177" t="str">
        <f>IF(L116="","",VLOOKUP($L116,classifications!C:I,7,FALSE))</f>
        <v>Predominantly Urban</v>
      </c>
      <c r="AB116" s="173" t="str">
        <f t="shared" si="39"/>
        <v/>
      </c>
      <c r="AC116" s="173" t="str">
        <f>IF(AB116="","",IF($I$8="A",(RANK(AB116,AB$11:AB$333)+COUNTIF(AB$11:AB116,AB116)-1),(RANK(AB116,AB$11:AB$333,1)+COUNTIF(AB$11:AB116,AB116)-1)))</f>
        <v/>
      </c>
      <c r="AD116" s="173"/>
      <c r="AE116" s="45" t="e">
        <f>IF(I$8="A",(RANK(AG116,AG$11:AG$333,1)+COUNTIF(AG$11:AG116,AG116)-1),(RANK(AG116,AG$11:AG$333)+COUNTIF(AG$11:AG116,AG116)-1))</f>
        <v>#N/A</v>
      </c>
      <c r="AF116" t="str">
        <f>VLOOKUP(Profile!$J$5,Families!$C:$R,2,FALSE)</f>
        <v>North Dorset</v>
      </c>
      <c r="AG116" s="15" t="e">
        <f t="shared" si="52"/>
        <v>#N/A</v>
      </c>
      <c r="AH116" s="46" t="e">
        <f t="shared" si="40"/>
        <v>#N/A</v>
      </c>
      <c r="AI116" s="5" t="str">
        <f>IF(L116="","",VLOOKUP($L116,classifications!$C:$J,8,FALSE))</f>
        <v>Hertfordshire</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East of England</v>
      </c>
      <c r="AQ116" s="42">
        <f t="shared" si="42"/>
        <v>96.87</v>
      </c>
      <c r="AR116" s="39">
        <f>IF(AQ116="","",IF(I$8="A",(RANK(AQ116,AQ$11:AQ$333,1)+COUNTIF(AQ$11:AQ116,AQ116)-1),(RANK(AQ116,AQ$11:AQ$333)+COUNTIF(AQ$11:AQ116,AQ116)-1)))</f>
        <v>28</v>
      </c>
      <c r="AS116" s="3" t="str">
        <f t="shared" si="54"/>
        <v/>
      </c>
      <c r="AT116" s="39" t="str">
        <f t="shared" si="49"/>
        <v/>
      </c>
      <c r="AU116" s="42" t="str">
        <f t="shared" si="50"/>
        <v/>
      </c>
      <c r="AX116">
        <f>HLOOKUP($AX$9&amp;$AX$10,Data!$A$1:$ZT$1975,(MATCH($C116,Data!$A$1:$A$1975,0)),FALSE)</f>
        <v>93.63</v>
      </c>
    </row>
    <row r="117" spans="1:50">
      <c r="A117" s="55" t="str">
        <f>$D$1&amp;107</f>
        <v>SD107</v>
      </c>
      <c r="B117" s="56">
        <f>IF(ISERROR(VLOOKUP(A117,classifications!A:C,3,FALSE)),0,VLOOKUP(A117,classifications!A:C,3,FALSE))</f>
        <v>0</v>
      </c>
      <c r="C117" t="s">
        <v>75</v>
      </c>
      <c r="D117" t="str">
        <f>VLOOKUP($C117,classifications!$C:$J,4,FALSE)</f>
        <v>SD</v>
      </c>
      <c r="E117">
        <f>VLOOKUP(C117,classifications!C:K,9,FALSE)</f>
        <v>0</v>
      </c>
      <c r="F117">
        <f t="shared" si="43"/>
        <v>95.15</v>
      </c>
      <c r="G117" s="15"/>
      <c r="H117" s="41">
        <f t="shared" si="44"/>
        <v>95.15</v>
      </c>
      <c r="I117" s="73">
        <f>IF(H117="","",IF($I$8="A",(RANK(H117,H$11:H$333,1)+COUNTIF(H$11:H117,H117)-1),(RANK(H117,H$11:H$333)+COUNTIF(H$11:H117,H117)-1)))</f>
        <v>149</v>
      </c>
      <c r="J117" s="40"/>
      <c r="K117" s="35">
        <f t="shared" si="51"/>
        <v>107</v>
      </c>
      <c r="L117" t="str">
        <f t="shared" si="45"/>
        <v>Folkestone &amp; Hythe</v>
      </c>
      <c r="M117" s="109">
        <f t="shared" si="46"/>
        <v>96.8</v>
      </c>
      <c r="N117" s="104">
        <f t="shared" si="31"/>
        <v>96.8</v>
      </c>
      <c r="O117" s="89" t="str">
        <f t="shared" si="32"/>
        <v/>
      </c>
      <c r="P117" s="89" t="str">
        <f t="shared" si="33"/>
        <v/>
      </c>
      <c r="Q117" s="89">
        <f t="shared" si="34"/>
        <v>96.8</v>
      </c>
      <c r="R117" s="85" t="str">
        <f t="shared" si="35"/>
        <v/>
      </c>
      <c r="S117" s="41" t="str">
        <f t="shared" si="36"/>
        <v/>
      </c>
      <c r="T117" s="166">
        <f>IF(L117="","",VLOOKUP(L117,classifications!C:K,9,FALSE))</f>
        <v>0</v>
      </c>
      <c r="U117" s="167" t="str">
        <f t="shared" si="37"/>
        <v/>
      </c>
      <c r="V117" s="173" t="str">
        <f>IF(U117="","",IF($I$8="A",(RANK(U117,U$11:U$333)+COUNTIF(U$11:U117,U117)-1),(RANK(U117,U$11:U$333,1)+COUNTIF(U$11:U117,U117)-1)))</f>
        <v/>
      </c>
      <c r="W117" s="174"/>
      <c r="X117" s="5" t="str">
        <f>IF(L117="","",VLOOKUP($L117,classifications!$C:$J,6,FALSE))</f>
        <v>Urban with Significant Rural</v>
      </c>
      <c r="Y117" t="str">
        <f t="shared" si="38"/>
        <v/>
      </c>
      <c r="Z117" s="39" t="str">
        <f>IF(Y117="","",IF(I$8="A",(RANK(Y117,Y$11:Y$333,1)+COUNTIF(Y$11:Y117,Y117)-1),(RANK(Y117,Y$11:Y$333)+COUNTIF(Y$11:Y117,Y117)-1)))</f>
        <v/>
      </c>
      <c r="AA117" s="177" t="str">
        <f>IF(L117="","",VLOOKUP($L117,classifications!C:I,7,FALSE))</f>
        <v>Urban with Significant Rural</v>
      </c>
      <c r="AB117" s="173" t="str">
        <f t="shared" si="39"/>
        <v/>
      </c>
      <c r="AC117" s="173" t="str">
        <f>IF(AB117="","",IF($I$8="A",(RANK(AB117,AB$11:AB$333)+COUNTIF(AB$11:AB117,AB117)-1),(RANK(AB117,AB$11:AB$333,1)+COUNTIF(AB$11:AB117,AB117)-1)))</f>
        <v/>
      </c>
      <c r="AD117" s="173"/>
      <c r="AE117" s="45" t="e">
        <f>IF(I$8="A",(RANK(AG117,AG$11:AG$333,1)+COUNTIF(AG$11:AG117,AG117)-1),(RANK(AG117,AG$11:AG$333)+COUNTIF(AG$11:AG117,AG117)-1))</f>
        <v>#N/A</v>
      </c>
      <c r="AF117" t="str">
        <f>VLOOKUP(Profile!$J$5,Families!$C:$R,2,FALSE)</f>
        <v>North Dorset</v>
      </c>
      <c r="AG117" s="15" t="e">
        <f t="shared" si="52"/>
        <v>#N/A</v>
      </c>
      <c r="AH117" s="46" t="e">
        <f t="shared" si="40"/>
        <v>#N/A</v>
      </c>
      <c r="AI117" s="5" t="str">
        <f>IF(L117="","",VLOOKUP($L117,classifications!$C:$J,8,FALSE))</f>
        <v>Kent</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South East</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95.15</v>
      </c>
    </row>
    <row r="118" spans="1:50">
      <c r="A118" s="55" t="str">
        <f>$D$1&amp;108</f>
        <v>SD108</v>
      </c>
      <c r="B118" s="56">
        <f>IF(ISERROR(VLOOKUP(A118,classifications!A:C,3,FALSE)),0,VLOOKUP(A118,classifications!A:C,3,FALSE))</f>
        <v>0</v>
      </c>
      <c r="C118" t="s">
        <v>76</v>
      </c>
      <c r="D118" t="str">
        <f>VLOOKUP($C118,classifications!$C:$J,4,FALSE)</f>
        <v>SD</v>
      </c>
      <c r="E118">
        <f>VLOOKUP(C118,classifications!C:K,9,FALSE)</f>
        <v>0</v>
      </c>
      <c r="F118">
        <f t="shared" si="43"/>
        <v>95.66</v>
      </c>
      <c r="G118" s="15"/>
      <c r="H118" s="41">
        <f t="shared" si="44"/>
        <v>95.66</v>
      </c>
      <c r="I118" s="73">
        <f>IF(H118="","",IF($I$8="A",(RANK(H118,H$11:H$333,1)+COUNTIF(H$11:H118,H118)-1),(RANK(H118,H$11:H$333)+COUNTIF(H$11:H118,H118)-1)))</f>
        <v>141</v>
      </c>
      <c r="J118" s="40"/>
      <c r="K118" s="35">
        <f t="shared" si="51"/>
        <v>108</v>
      </c>
      <c r="L118" t="str">
        <f t="shared" si="45"/>
        <v>Cannock Chase</v>
      </c>
      <c r="M118" s="109">
        <f t="shared" si="46"/>
        <v>96.76</v>
      </c>
      <c r="N118" s="104">
        <f t="shared" si="31"/>
        <v>96.76</v>
      </c>
      <c r="O118" s="89" t="str">
        <f t="shared" si="32"/>
        <v/>
      </c>
      <c r="P118" s="89" t="str">
        <f t="shared" si="33"/>
        <v/>
      </c>
      <c r="Q118" s="89">
        <f t="shared" si="34"/>
        <v>96.76</v>
      </c>
      <c r="R118" s="85" t="str">
        <f t="shared" si="35"/>
        <v/>
      </c>
      <c r="S118" s="41" t="str">
        <f t="shared" si="36"/>
        <v/>
      </c>
      <c r="T118" s="166">
        <f>IF(L118="","",VLOOKUP(L118,classifications!C:K,9,FALSE))</f>
        <v>0</v>
      </c>
      <c r="U118" s="167" t="str">
        <f t="shared" si="37"/>
        <v/>
      </c>
      <c r="V118" s="173" t="str">
        <f>IF(U118="","",IF($I$8="A",(RANK(U118,U$11:U$333)+COUNTIF(U$11:U118,U118)-1),(RANK(U118,U$11:U$333,1)+COUNTIF(U$11:U118,U118)-1)))</f>
        <v/>
      </c>
      <c r="W118" s="174"/>
      <c r="X118" s="5" t="str">
        <f>IF(L118="","",VLOOKUP($L118,classifications!$C:$J,6,FALSE))</f>
        <v>Urban with Significant Rural</v>
      </c>
      <c r="Y118" t="str">
        <f t="shared" si="38"/>
        <v/>
      </c>
      <c r="Z118" s="39" t="str">
        <f>IF(Y118="","",IF(I$8="A",(RANK(Y118,Y$11:Y$333,1)+COUNTIF(Y$11:Y118,Y118)-1),(RANK(Y118,Y$11:Y$333)+COUNTIF(Y$11:Y118,Y118)-1)))</f>
        <v/>
      </c>
      <c r="AA118" s="177" t="str">
        <f>IF(L118="","",VLOOKUP($L118,classifications!C:I,7,FALSE))</f>
        <v>Urban with Significant Rural</v>
      </c>
      <c r="AB118" s="173" t="str">
        <f t="shared" si="39"/>
        <v/>
      </c>
      <c r="AC118" s="173" t="str">
        <f>IF(AB118="","",IF($I$8="A",(RANK(AB118,AB$11:AB$333)+COUNTIF(AB$11:AB118,AB118)-1),(RANK(AB118,AB$11:AB$333,1)+COUNTIF(AB$11:AB118,AB118)-1)))</f>
        <v/>
      </c>
      <c r="AD118" s="173"/>
      <c r="AE118" s="45" t="e">
        <f>IF(I$8="A",(RANK(AG118,AG$11:AG$333,1)+COUNTIF(AG$11:AG118,AG118)-1),(RANK(AG118,AG$11:AG$333)+COUNTIF(AG$11:AG118,AG118)-1))</f>
        <v>#N/A</v>
      </c>
      <c r="AF118" t="str">
        <f>VLOOKUP(Profile!$J$5,Families!$C:$R,2,FALSE)</f>
        <v>North Dorset</v>
      </c>
      <c r="AG118" s="15" t="e">
        <f t="shared" si="52"/>
        <v>#N/A</v>
      </c>
      <c r="AH118" s="46" t="e">
        <f t="shared" si="40"/>
        <v>#N/A</v>
      </c>
      <c r="AI118" s="5" t="str">
        <f>IF(L118="","",VLOOKUP($L118,classifications!$C:$J,8,FALSE))</f>
        <v>Staffordshire</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West Midlands</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95.66</v>
      </c>
    </row>
    <row r="119" spans="1:50">
      <c r="A119" s="55" t="str">
        <f>$D$1&amp;109</f>
        <v>SD109</v>
      </c>
      <c r="B119" s="56">
        <f>IF(ISERROR(VLOOKUP(A119,classifications!A:C,3,FALSE)),0,VLOOKUP(A119,classifications!A:C,3,FALSE))</f>
        <v>0</v>
      </c>
      <c r="C119" t="s">
        <v>204</v>
      </c>
      <c r="D119" t="str">
        <f>VLOOKUP($C119,classifications!$C:$J,4,FALSE)</f>
        <v>L</v>
      </c>
      <c r="E119">
        <f>VLOOKUP(C119,classifications!C:K,9,FALSE)</f>
        <v>0</v>
      </c>
      <c r="F119">
        <f t="shared" si="43"/>
        <v>94</v>
      </c>
      <c r="G119" s="15"/>
      <c r="H119" s="41" t="str">
        <f t="shared" si="44"/>
        <v/>
      </c>
      <c r="I119" s="73" t="str">
        <f>IF(H119="","",IF($I$8="A",(RANK(H119,H$11:H$333,1)+COUNTIF(H$11:H119,H119)-1),(RANK(H119,H$11:H$333)+COUNTIF(H$11:H119,H119)-1)))</f>
        <v/>
      </c>
      <c r="J119" s="40"/>
      <c r="K119" s="35">
        <f t="shared" si="51"/>
        <v>109</v>
      </c>
      <c r="L119" t="str">
        <f t="shared" si="45"/>
        <v>Charnwood</v>
      </c>
      <c r="M119" s="109">
        <f t="shared" si="46"/>
        <v>96.76</v>
      </c>
      <c r="N119" s="104">
        <f t="shared" si="31"/>
        <v>96.76</v>
      </c>
      <c r="O119" s="89" t="str">
        <f t="shared" si="32"/>
        <v/>
      </c>
      <c r="P119" s="89" t="str">
        <f t="shared" si="33"/>
        <v/>
      </c>
      <c r="Q119" s="89">
        <f t="shared" si="34"/>
        <v>96.76</v>
      </c>
      <c r="R119" s="85" t="str">
        <f t="shared" si="35"/>
        <v/>
      </c>
      <c r="S119" s="41" t="str">
        <f t="shared" si="36"/>
        <v/>
      </c>
      <c r="T119" s="166">
        <f>IF(L119="","",VLOOKUP(L119,classifications!C:K,9,FALSE))</f>
        <v>0</v>
      </c>
      <c r="U119" s="167" t="str">
        <f t="shared" si="37"/>
        <v/>
      </c>
      <c r="V119" s="173" t="str">
        <f>IF(U119="","",IF($I$8="A",(RANK(U119,U$11:U$333)+COUNTIF(U$11:U119,U119)-1),(RANK(U119,U$11:U$333,1)+COUNTIF(U$11:U119,U119)-1)))</f>
        <v/>
      </c>
      <c r="W119" s="174"/>
      <c r="X119" s="5" t="str">
        <f>IF(L119="","",VLOOKUP($L119,classifications!$C:$J,6,FALSE))</f>
        <v>Predominantly Urban</v>
      </c>
      <c r="Y119" t="str">
        <f t="shared" si="38"/>
        <v/>
      </c>
      <c r="Z119" s="39" t="str">
        <f>IF(Y119="","",IF(I$8="A",(RANK(Y119,Y$11:Y$333,1)+COUNTIF(Y$11:Y119,Y119)-1),(RANK(Y119,Y$11:Y$333)+COUNTIF(Y$11:Y119,Y119)-1)))</f>
        <v/>
      </c>
      <c r="AA119" s="177" t="str">
        <f>IF(L119="","",VLOOKUP($L119,classifications!C:I,7,FALSE))</f>
        <v>Predominantly Urban</v>
      </c>
      <c r="AB119" s="173" t="str">
        <f t="shared" si="39"/>
        <v/>
      </c>
      <c r="AC119" s="173" t="str">
        <f>IF(AB119="","",IF($I$8="A",(RANK(AB119,AB$11:AB$333)+COUNTIF(AB$11:AB119,AB119)-1),(RANK(AB119,AB$11:AB$333,1)+COUNTIF(AB$11:AB119,AB119)-1)))</f>
        <v/>
      </c>
      <c r="AD119" s="173"/>
      <c r="AE119" s="45" t="e">
        <f>IF(I$8="A",(RANK(AG119,AG$11:AG$333,1)+COUNTIF(AG$11:AG119,AG119)-1),(RANK(AG119,AG$11:AG$333)+COUNTIF(AG$11:AG119,AG119)-1))</f>
        <v>#N/A</v>
      </c>
      <c r="AF119" t="str">
        <f>VLOOKUP(Profile!$J$5,Families!$C:$R,2,FALSE)</f>
        <v>North Dorset</v>
      </c>
      <c r="AG119" s="15" t="e">
        <f t="shared" si="52"/>
        <v>#N/A</v>
      </c>
      <c r="AH119" s="46" t="e">
        <f t="shared" si="40"/>
        <v>#N/A</v>
      </c>
      <c r="AI119" s="5" t="str">
        <f>IF(L119="","",VLOOKUP($L119,classifications!$C:$J,8,FALSE))</f>
        <v>Leicestershire</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East Midlands</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94</v>
      </c>
    </row>
    <row r="120" spans="1:50">
      <c r="A120" s="55" t="str">
        <f>$D$1&amp;110</f>
        <v>SD110</v>
      </c>
      <c r="B120" s="56">
        <f>IF(ISERROR(VLOOKUP(A120,classifications!A:C,3,FALSE)),0,VLOOKUP(A120,classifications!A:C,3,FALSE))</f>
        <v>0</v>
      </c>
      <c r="C120" t="s">
        <v>77</v>
      </c>
      <c r="D120" t="str">
        <f>VLOOKUP($C120,classifications!$C:$J,4,FALSE)</f>
        <v>SD</v>
      </c>
      <c r="E120">
        <f>VLOOKUP(C120,classifications!C:K,9,FALSE)</f>
        <v>0</v>
      </c>
      <c r="F120">
        <f t="shared" si="43"/>
        <v>97.81</v>
      </c>
      <c r="G120" s="15"/>
      <c r="H120" s="41">
        <f t="shared" si="44"/>
        <v>97.81</v>
      </c>
      <c r="I120" s="73">
        <f>IF(H120="","",IF($I$8="A",(RANK(H120,H$11:H$333,1)+COUNTIF(H$11:H120,H120)-1),(RANK(H120,H$11:H$333)+COUNTIF(H$11:H120,H120)-1)))</f>
        <v>58</v>
      </c>
      <c r="J120" s="40"/>
      <c r="K120" s="35">
        <f t="shared" si="51"/>
        <v>110</v>
      </c>
      <c r="L120" t="str">
        <f t="shared" si="45"/>
        <v>Lewes</v>
      </c>
      <c r="M120" s="109">
        <f t="shared" si="46"/>
        <v>96.76</v>
      </c>
      <c r="N120" s="104">
        <f t="shared" si="31"/>
        <v>96.76</v>
      </c>
      <c r="O120" s="89" t="str">
        <f t="shared" si="32"/>
        <v/>
      </c>
      <c r="P120" s="89" t="str">
        <f t="shared" si="33"/>
        <v/>
      </c>
      <c r="Q120" s="89">
        <f t="shared" si="34"/>
        <v>96.76</v>
      </c>
      <c r="R120" s="85" t="str">
        <f t="shared" si="35"/>
        <v/>
      </c>
      <c r="S120" s="41" t="str">
        <f t="shared" si="36"/>
        <v/>
      </c>
      <c r="T120" s="166" t="str">
        <f>IF(L120="","",VLOOKUP(L120,classifications!C:K,9,FALSE))</f>
        <v>Sparse</v>
      </c>
      <c r="U120" s="167">
        <f t="shared" si="37"/>
        <v>96.76</v>
      </c>
      <c r="V120" s="173">
        <f>IF(U120="","",IF($I$8="A",(RANK(U120,U$11:U$333)+COUNTIF(U$11:U120,U120)-1),(RANK(U120,U$11:U$333,1)+COUNTIF(U$11:U120,U120)-1)))</f>
        <v>7</v>
      </c>
      <c r="W120" s="174"/>
      <c r="X120" s="5" t="str">
        <f>IF(L120="","",VLOOKUP($L120,classifications!$C:$J,6,FALSE))</f>
        <v>Urban with Significant Rural</v>
      </c>
      <c r="Y120" t="str">
        <f t="shared" si="38"/>
        <v/>
      </c>
      <c r="Z120" s="39" t="str">
        <f>IF(Y120="","",IF(I$8="A",(RANK(Y120,Y$11:Y$333,1)+COUNTIF(Y$11:Y120,Y120)-1),(RANK(Y120,Y$11:Y$333)+COUNTIF(Y$11:Y120,Y120)-1)))</f>
        <v/>
      </c>
      <c r="AA120" s="177" t="str">
        <f>IF(L120="","",VLOOKUP($L120,classifications!C:I,7,FALSE))</f>
        <v>Urban with Significant Rural</v>
      </c>
      <c r="AB120" s="173" t="str">
        <f t="shared" si="39"/>
        <v/>
      </c>
      <c r="AC120" s="173" t="str">
        <f>IF(AB120="","",IF($I$8="A",(RANK(AB120,AB$11:AB$333)+COUNTIF(AB$11:AB120,AB120)-1),(RANK(AB120,AB$11:AB$333,1)+COUNTIF(AB$11:AB120,AB120)-1)))</f>
        <v/>
      </c>
      <c r="AD120" s="173"/>
      <c r="AE120" s="45" t="e">
        <f>IF(I$8="A",(RANK(AG120,AG$11:AG$333,1)+COUNTIF(AG$11:AG120,AG120)-1),(RANK(AG120,AG$11:AG$333)+COUNTIF(AG$11:AG120,AG120)-1))</f>
        <v>#N/A</v>
      </c>
      <c r="AF120" t="str">
        <f>VLOOKUP(Profile!$J$5,Families!$C:$R,2,FALSE)</f>
        <v>North Dorset</v>
      </c>
      <c r="AG120" s="15" t="e">
        <f t="shared" si="52"/>
        <v>#N/A</v>
      </c>
      <c r="AH120" s="46" t="e">
        <f t="shared" si="40"/>
        <v>#N/A</v>
      </c>
      <c r="AI120" s="5" t="str">
        <f>IF(L120="","",VLOOKUP($L120,classifications!$C:$J,8,FALSE))</f>
        <v>East Sussex</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South East</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97.81</v>
      </c>
    </row>
    <row r="121" spans="1:50">
      <c r="A121" s="55" t="str">
        <f>$D$1&amp;111</f>
        <v>SD111</v>
      </c>
      <c r="B121" s="56">
        <f>IF(ISERROR(VLOOKUP(A121,classifications!A:C,3,FALSE)),0,VLOOKUP(A121,classifications!A:C,3,FALSE))</f>
        <v>0</v>
      </c>
      <c r="C121" t="s">
        <v>205</v>
      </c>
      <c r="D121" t="str">
        <f>VLOOKUP($C121,classifications!$C:$J,4,FALSE)</f>
        <v>L</v>
      </c>
      <c r="E121">
        <f>VLOOKUP(C121,classifications!C:K,9,FALSE)</f>
        <v>0</v>
      </c>
      <c r="F121">
        <f t="shared" si="43"/>
        <v>88.81</v>
      </c>
      <c r="G121" s="15"/>
      <c r="H121" s="41" t="str">
        <f t="shared" si="44"/>
        <v/>
      </c>
      <c r="I121" s="73" t="str">
        <f>IF(H121="","",IF($I$8="A",(RANK(H121,H$11:H$333,1)+COUNTIF(H$11:H121,H121)-1),(RANK(H121,H$11:H$333)+COUNTIF(H$11:H121,H121)-1)))</f>
        <v/>
      </c>
      <c r="J121" s="40"/>
      <c r="K121" s="35">
        <f t="shared" si="51"/>
        <v>111</v>
      </c>
      <c r="L121" t="str">
        <f t="shared" si="45"/>
        <v>Wychavon</v>
      </c>
      <c r="M121" s="109">
        <f t="shared" si="46"/>
        <v>96.71</v>
      </c>
      <c r="N121" s="104">
        <f t="shared" si="31"/>
        <v>96.71</v>
      </c>
      <c r="O121" s="89" t="str">
        <f t="shared" si="32"/>
        <v/>
      </c>
      <c r="P121" s="89" t="str">
        <f t="shared" si="33"/>
        <v/>
      </c>
      <c r="Q121" s="89">
        <f t="shared" si="34"/>
        <v>96.71</v>
      </c>
      <c r="R121" s="85" t="str">
        <f t="shared" si="35"/>
        <v/>
      </c>
      <c r="S121" s="41" t="str">
        <f t="shared" si="36"/>
        <v/>
      </c>
      <c r="T121" s="166" t="str">
        <f>IF(L121="","",VLOOKUP(L121,classifications!C:K,9,FALSE))</f>
        <v>Sparse</v>
      </c>
      <c r="U121" s="167">
        <f t="shared" si="37"/>
        <v>96.71</v>
      </c>
      <c r="V121" s="173">
        <f>IF(U121="","",IF($I$8="A",(RANK(U121,U$11:U$333)+COUNTIF(U$11:U121,U121)-1),(RANK(U121,U$11:U$333,1)+COUNTIF(U$11:U121,U121)-1)))</f>
        <v>6</v>
      </c>
      <c r="W121" s="174"/>
      <c r="X121" s="5" t="str">
        <f>IF(L121="","",VLOOKUP($L121,classifications!$C:$J,6,FALSE))</f>
        <v xml:space="preserve">Predominantly Rural </v>
      </c>
      <c r="Y121">
        <f t="shared" si="38"/>
        <v>96.71</v>
      </c>
      <c r="Z121" s="39">
        <f>IF(Y121="","",IF(I$8="A",(RANK(Y121,Y$11:Y$333,1)+COUNTIF(Y$11:Y121,Y121)-1),(RANK(Y121,Y$11:Y$333)+COUNTIF(Y$11:Y121,Y121)-1)))</f>
        <v>51</v>
      </c>
      <c r="AA121" s="177" t="str">
        <f>IF(L121="","",VLOOKUP($L121,classifications!C:I,7,FALSE))</f>
        <v>Predominantly Rural</v>
      </c>
      <c r="AB121" s="173">
        <f t="shared" si="39"/>
        <v>96.71</v>
      </c>
      <c r="AC121" s="173">
        <f>IF(AB121="","",IF($I$8="A",(RANK(AB121,AB$11:AB$333)+COUNTIF(AB$11:AB121,AB121)-1),(RANK(AB121,AB$11:AB$333,1)+COUNTIF(AB$11:AB121,AB121)-1)))</f>
        <v>9</v>
      </c>
      <c r="AD121" s="173"/>
      <c r="AE121" s="45" t="e">
        <f>IF(I$8="A",(RANK(AG121,AG$11:AG$333,1)+COUNTIF(AG$11:AG121,AG121)-1),(RANK(AG121,AG$11:AG$333)+COUNTIF(AG$11:AG121,AG121)-1))</f>
        <v>#N/A</v>
      </c>
      <c r="AF121" t="str">
        <f>VLOOKUP(Profile!$J$5,Families!$C:$R,2,FALSE)</f>
        <v>North Dorset</v>
      </c>
      <c r="AG121" s="15" t="e">
        <f t="shared" si="52"/>
        <v>#N/A</v>
      </c>
      <c r="AH121" s="46" t="e">
        <f t="shared" si="40"/>
        <v>#N/A</v>
      </c>
      <c r="AI121" s="5" t="str">
        <f>IF(L121="","",VLOOKUP($L121,classifications!$C:$J,8,FALSE))</f>
        <v>Worcestershire</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West Midlands</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88.81</v>
      </c>
    </row>
    <row r="122" spans="1:50">
      <c r="A122" s="55" t="str">
        <f>$D$1&amp;112</f>
        <v>SD112</v>
      </c>
      <c r="B122" s="56">
        <f>IF(ISERROR(VLOOKUP(A122,classifications!A:C,3,FALSE)),0,VLOOKUP(A122,classifications!A:C,3,FALSE))</f>
        <v>0</v>
      </c>
      <c r="C122" t="s">
        <v>268</v>
      </c>
      <c r="D122" t="str">
        <f>VLOOKUP($C122,classifications!$C:$J,4,FALSE)</f>
        <v>UA</v>
      </c>
      <c r="E122">
        <f>VLOOKUP(C122,classifications!C:K,9,FALSE)</f>
        <v>0</v>
      </c>
      <c r="F122">
        <f t="shared" si="43"/>
        <v>93.78</v>
      </c>
      <c r="G122" s="15"/>
      <c r="H122" s="41" t="str">
        <f t="shared" si="44"/>
        <v/>
      </c>
      <c r="I122" s="73" t="str">
        <f>IF(H122="","",IF($I$8="A",(RANK(H122,H$11:H$333,1)+COUNTIF(H$11:H122,H122)-1),(RANK(H122,H$11:H$333)+COUNTIF(H$11:H122,H122)-1)))</f>
        <v/>
      </c>
      <c r="J122" s="40"/>
      <c r="K122" s="35">
        <f t="shared" si="51"/>
        <v>112</v>
      </c>
      <c r="L122" t="str">
        <f t="shared" si="45"/>
        <v>Malvern Hills</v>
      </c>
      <c r="M122" s="109">
        <f t="shared" si="46"/>
        <v>96.67</v>
      </c>
      <c r="N122" s="104">
        <f t="shared" ref="N122:N185" si="55">IF(L122="","",IF($H$8="%%",M122*100,M122))</f>
        <v>96.67</v>
      </c>
      <c r="O122" s="89" t="str">
        <f t="shared" ref="O122:O185" si="56">IF(I$8="A",IF(N122&gt;=$P$7,IF(N122&lt;=$O$10,N122,""),""),IF(N122&lt;=$P$7,IF(N122&gt;=$O$10,N122,""),""))</f>
        <v/>
      </c>
      <c r="P122" s="89" t="str">
        <f t="shared" ref="P122:P185" si="57">IF(I$8="A",IF(N122&gt;$O$10,IF(N122&lt;=$P$10,N122,""),""),IF(N122&lt;$O$10,IF(N122&gt;=$P$10,N122,""),""))</f>
        <v/>
      </c>
      <c r="Q122" s="89">
        <f t="shared" ref="Q122:Q185" si="58">IF(I$8="A",IF(N122&gt;$P$10,IF(N122&lt;=$Q$10,N122,""),""),IF(N122&lt;$P$10,IF(N122&gt;=$Q$10,N122,""),""))</f>
        <v>96.67</v>
      </c>
      <c r="R122" s="85" t="str">
        <f t="shared" ref="R122:R185" si="59">IF(I$8="A",IF(N122&gt;$Q$10,N122,""),IF(N122&lt;$Q$10,N122,""))</f>
        <v/>
      </c>
      <c r="S122" s="41" t="str">
        <f t="shared" ref="S122:S185" si="60">IF(L122=D$3,"u","")</f>
        <v/>
      </c>
      <c r="T122" s="166" t="str">
        <f>IF(L122="","",VLOOKUP(L122,classifications!C:K,9,FALSE))</f>
        <v>Sparse</v>
      </c>
      <c r="U122" s="167">
        <f t="shared" ref="U122:U185" si="61">IF(T122="Sparse",M122,"")</f>
        <v>96.67</v>
      </c>
      <c r="V122" s="173">
        <f>IF(U122="","",IF($I$8="A",(RANK(U122,U$11:U$333)+COUNTIF(U$11:U122,U122)-1),(RANK(U122,U$11:U$333,1)+COUNTIF(U$11:U122,U122)-1)))</f>
        <v>5</v>
      </c>
      <c r="W122" s="174"/>
      <c r="X122" s="5" t="str">
        <f>IF(L122="","",VLOOKUP($L122,classifications!$C:$J,6,FALSE))</f>
        <v xml:space="preserve">Predominantly Rural </v>
      </c>
      <c r="Y122">
        <f t="shared" ref="Y122:Y185" si="62">IF($D$1="UA",IF(X122="Predominantly Rural ",M122,IF(X122="Predominantly Rural ",M122,IF(X122="Urban with Significant Rural",M122,""))),IF($D$1="SD",IF(X122=$H$3,M122,"")))</f>
        <v>96.67</v>
      </c>
      <c r="Z122" s="39">
        <f>IF(Y122="","",IF(I$8="A",(RANK(Y122,Y$11:Y$333,1)+COUNTIF(Y$11:Y122,Y122)-1),(RANK(Y122,Y$11:Y$333)+COUNTIF(Y$11:Y122,Y122)-1)))</f>
        <v>52</v>
      </c>
      <c r="AA122" s="177" t="str">
        <f>IF(L122="","",VLOOKUP($L122,classifications!C:I,7,FALSE))</f>
        <v>Predominantly Rural</v>
      </c>
      <c r="AB122" s="173">
        <f t="shared" ref="AB122:AB185" si="63">IF(AA122=$J$3,M122,"")</f>
        <v>96.67</v>
      </c>
      <c r="AC122" s="173">
        <f>IF(AB122="","",IF($I$8="A",(RANK(AB122,AB$11:AB$333)+COUNTIF(AB$11:AB122,AB122)-1),(RANK(AB122,AB$11:AB$333,1)+COUNTIF(AB$11:AB122,AB122)-1)))</f>
        <v>8</v>
      </c>
      <c r="AD122" s="173"/>
      <c r="AE122" s="45" t="e">
        <f>IF(I$8="A",(RANK(AG122,AG$11:AG$333,1)+COUNTIF(AG$11:AG122,AG122)-1),(RANK(AG122,AG$11:AG$333)+COUNTIF(AG$11:AG122,AG122)-1))</f>
        <v>#N/A</v>
      </c>
      <c r="AF122" t="str">
        <f>VLOOKUP(Profile!$J$5,Families!$C:$R,2,FALSE)</f>
        <v>North Dorset</v>
      </c>
      <c r="AG122" s="15" t="e">
        <f t="shared" si="52"/>
        <v>#N/A</v>
      </c>
      <c r="AH122" s="46" t="e">
        <f t="shared" ref="AH122:AH185" si="64">AE122</f>
        <v>#N/A</v>
      </c>
      <c r="AI122" s="5" t="str">
        <f>IF(L122="","",VLOOKUP($L122,classifications!$C:$J,8,FALSE))</f>
        <v>Worcestershire</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West Midlands</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93.78</v>
      </c>
    </row>
    <row r="123" spans="1:50">
      <c r="A123" s="55" t="str">
        <f>$D$1&amp;113</f>
        <v>SD113</v>
      </c>
      <c r="B123" s="56">
        <f>IF(ISERROR(VLOOKUP(A123,classifications!A:C,3,FALSE)),0,VLOOKUP(A123,classifications!A:C,3,FALSE))</f>
        <v>0</v>
      </c>
      <c r="C123" t="s">
        <v>336</v>
      </c>
      <c r="D123" t="str">
        <f>VLOOKUP($C123,classifications!$C:$J,4,FALSE)</f>
        <v>L</v>
      </c>
      <c r="E123">
        <f>VLOOKUP(C123,classifications!C:K,9,FALSE)</f>
        <v>0</v>
      </c>
      <c r="F123">
        <f t="shared" si="43"/>
        <v>93.66</v>
      </c>
      <c r="G123" s="15"/>
      <c r="H123" s="41" t="str">
        <f t="shared" si="44"/>
        <v/>
      </c>
      <c r="I123" s="73" t="str">
        <f>IF(H123="","",IF($I$8="A",(RANK(H123,H$11:H$333,1)+COUNTIF(H$11:H123,H123)-1),(RANK(H123,H$11:H$333)+COUNTIF(H$11:H123,H123)-1)))</f>
        <v/>
      </c>
      <c r="J123" s="40"/>
      <c r="K123" s="35">
        <f t="shared" si="51"/>
        <v>113</v>
      </c>
      <c r="L123" t="str">
        <f t="shared" si="45"/>
        <v>Maidstone</v>
      </c>
      <c r="M123" s="109">
        <f t="shared" si="46"/>
        <v>96.66</v>
      </c>
      <c r="N123" s="104">
        <f t="shared" si="55"/>
        <v>96.66</v>
      </c>
      <c r="O123" s="89" t="str">
        <f t="shared" si="56"/>
        <v/>
      </c>
      <c r="P123" s="89" t="str">
        <f t="shared" si="57"/>
        <v/>
      </c>
      <c r="Q123" s="89">
        <f t="shared" si="58"/>
        <v>96.66</v>
      </c>
      <c r="R123" s="85" t="str">
        <f t="shared" si="59"/>
        <v/>
      </c>
      <c r="S123" s="41" t="str">
        <f t="shared" si="60"/>
        <v/>
      </c>
      <c r="T123" s="166">
        <f>IF(L123="","",VLOOKUP(L123,classifications!C:K,9,FALSE))</f>
        <v>0</v>
      </c>
      <c r="U123" s="167" t="str">
        <f t="shared" si="61"/>
        <v/>
      </c>
      <c r="V123" s="173" t="str">
        <f>IF(U123="","",IF($I$8="A",(RANK(U123,U$11:U$333)+COUNTIF(U$11:U123,U123)-1),(RANK(U123,U$11:U$333,1)+COUNTIF(U$11:U123,U123)-1)))</f>
        <v/>
      </c>
      <c r="W123" s="174"/>
      <c r="X123" s="5" t="str">
        <f>IF(L123="","",VLOOKUP($L123,classifications!$C:$J,6,FALSE))</f>
        <v>Urban with Significant Rural</v>
      </c>
      <c r="Y123" t="str">
        <f t="shared" si="62"/>
        <v/>
      </c>
      <c r="Z123" s="39" t="str">
        <f>IF(Y123="","",IF(I$8="A",(RANK(Y123,Y$11:Y$333,1)+COUNTIF(Y$11:Y123,Y123)-1),(RANK(Y123,Y$11:Y$333)+COUNTIF(Y$11:Y123,Y123)-1)))</f>
        <v/>
      </c>
      <c r="AA123" s="177" t="str">
        <f>IF(L123="","",VLOOKUP($L123,classifications!C:I,7,FALSE))</f>
        <v>Urban with Significant Rural</v>
      </c>
      <c r="AB123" s="173" t="str">
        <f t="shared" si="63"/>
        <v/>
      </c>
      <c r="AC123" s="173" t="str">
        <f>IF(AB123="","",IF($I$8="A",(RANK(AB123,AB$11:AB$333)+COUNTIF(AB$11:AB123,AB123)-1),(RANK(AB123,AB$11:AB$333,1)+COUNTIF(AB$11:AB123,AB123)-1)))</f>
        <v/>
      </c>
      <c r="AD123" s="173"/>
      <c r="AE123" s="45" t="e">
        <f>IF(I$8="A",(RANK(AG123,AG$11:AG$333,1)+COUNTIF(AG$11:AG123,AG123)-1),(RANK(AG123,AG$11:AG$333)+COUNTIF(AG$11:AG123,AG123)-1))</f>
        <v>#N/A</v>
      </c>
      <c r="AF123" t="str">
        <f>VLOOKUP(Profile!$J$5,Families!$C:$R,2,FALSE)</f>
        <v>North Dorset</v>
      </c>
      <c r="AG123" s="15" t="e">
        <f t="shared" si="52"/>
        <v>#N/A</v>
      </c>
      <c r="AH123" s="46" t="e">
        <f t="shared" si="64"/>
        <v>#N/A</v>
      </c>
      <c r="AI123" s="5" t="str">
        <f>IF(L123="","",VLOOKUP($L123,classifications!$C:$J,8,FALSE))</f>
        <v>Kent</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South East</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93.66</v>
      </c>
    </row>
    <row r="124" spans="1:50">
      <c r="A124" s="55" t="str">
        <f>$D$1&amp;114</f>
        <v>SD114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f t="shared" si="51"/>
        <v>114</v>
      </c>
      <c r="L124" t="str">
        <f t="shared" si="45"/>
        <v>Bolsover</v>
      </c>
      <c r="M124" s="109">
        <f t="shared" si="46"/>
        <v>96.65</v>
      </c>
      <c r="N124" s="104">
        <f t="shared" si="55"/>
        <v>96.65</v>
      </c>
      <c r="O124" s="89" t="str">
        <f t="shared" si="56"/>
        <v/>
      </c>
      <c r="P124" s="89" t="str">
        <f t="shared" si="57"/>
        <v/>
      </c>
      <c r="Q124" s="89">
        <f t="shared" si="58"/>
        <v>96.65</v>
      </c>
      <c r="R124" s="85" t="str">
        <f t="shared" si="59"/>
        <v/>
      </c>
      <c r="S124" s="41" t="str">
        <f t="shared" si="60"/>
        <v/>
      </c>
      <c r="T124" s="166">
        <f>IF(L124="","",VLOOKUP(L124,classifications!C:K,9,FALSE))</f>
        <v>0</v>
      </c>
      <c r="U124" s="167" t="str">
        <f t="shared" si="61"/>
        <v/>
      </c>
      <c r="V124" s="173" t="str">
        <f>IF(U124="","",IF($I$8="A",(RANK(U124,U$11:U$333)+COUNTIF(U$11:U124,U124)-1),(RANK(U124,U$11:U$333,1)+COUNTIF(U$11:U124,U124)-1)))</f>
        <v/>
      </c>
      <c r="W124" s="174"/>
      <c r="X124" s="5" t="str">
        <f>IF(L124="","",VLOOKUP($L124,classifications!$C:$J,6,FALSE))</f>
        <v>Urban with Significant Rural</v>
      </c>
      <c r="Y124" t="str">
        <f t="shared" si="62"/>
        <v/>
      </c>
      <c r="Z124" s="39" t="str">
        <f>IF(Y124="","",IF(I$8="A",(RANK(Y124,Y$11:Y$333,1)+COUNTIF(Y$11:Y124,Y124)-1),(RANK(Y124,Y$11:Y$333)+COUNTIF(Y$11:Y124,Y124)-1)))</f>
        <v/>
      </c>
      <c r="AA124" s="177" t="str">
        <f>IF(L124="","",VLOOKUP($L124,classifications!C:I,7,FALSE))</f>
        <v>Urban with Significant Rural</v>
      </c>
      <c r="AB124" s="173" t="str">
        <f t="shared" si="63"/>
        <v/>
      </c>
      <c r="AC124" s="173" t="str">
        <f>IF(AB124="","",IF($I$8="A",(RANK(AB124,AB$11:AB$333)+COUNTIF(AB$11:AB124,AB124)-1),(RANK(AB124,AB$11:AB$333,1)+COUNTIF(AB$11:AB124,AB124)-1)))</f>
        <v/>
      </c>
      <c r="AD124" s="173"/>
      <c r="AE124" s="45" t="e">
        <f>IF(I$8="A",(RANK(AG124,AG$11:AG$333,1)+COUNTIF(AG$11:AG124,AG124)-1),(RANK(AG124,AG$11:AG$333)+COUNTIF(AG$11:AG124,AG124)-1))</f>
        <v>#N/A</v>
      </c>
      <c r="AF124" t="str">
        <f>VLOOKUP(Profile!$J$5,Families!$C:$R,2,FALSE)</f>
        <v>North Dorset</v>
      </c>
      <c r="AG124" s="15" t="e">
        <f t="shared" si="52"/>
        <v>#N/A</v>
      </c>
      <c r="AH124" s="46" t="e">
        <f t="shared" si="64"/>
        <v>#N/A</v>
      </c>
      <c r="AI124" s="5" t="str">
        <f>IF(L124="","",VLOOKUP($L124,classifications!$C:$J,8,FALSE))</f>
        <v>Derbyshire</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East Midlands</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SD115</v>
      </c>
      <c r="B125" s="56">
        <f>IF(ISERROR(VLOOKUP(A125,classifications!A:C,3,FALSE)),0,VLOOKUP(A125,classifications!A:C,3,FALSE))</f>
        <v>0</v>
      </c>
      <c r="C125" t="s">
        <v>79</v>
      </c>
      <c r="D125" t="str">
        <f>VLOOKUP($C125,classifications!$C:$J,4,FALSE)</f>
        <v>SD</v>
      </c>
      <c r="E125" t="str">
        <f>VLOOKUP(C125,classifications!C:K,9,FALSE)</f>
        <v>Sparse</v>
      </c>
      <c r="F125">
        <f t="shared" si="43"/>
        <v>98.01</v>
      </c>
      <c r="G125" s="15"/>
      <c r="H125" s="41">
        <f t="shared" si="44"/>
        <v>98.01</v>
      </c>
      <c r="I125" s="73">
        <f>IF(H125="","",IF($I$8="A",(RANK(H125,H$11:H$333,1)+COUNTIF(H$11:H125,H125)-1),(RANK(H125,H$11:H$333)+COUNTIF(H$11:H125,H125)-1)))</f>
        <v>42</v>
      </c>
      <c r="J125" s="40"/>
      <c r="K125" s="35">
        <f t="shared" si="51"/>
        <v>115</v>
      </c>
      <c r="L125" t="str">
        <f t="shared" si="45"/>
        <v>North East Derbyshire</v>
      </c>
      <c r="M125" s="109">
        <f t="shared" si="46"/>
        <v>96.64</v>
      </c>
      <c r="N125" s="104">
        <f t="shared" si="55"/>
        <v>96.64</v>
      </c>
      <c r="O125" s="89" t="str">
        <f t="shared" si="56"/>
        <v/>
      </c>
      <c r="P125" s="89" t="str">
        <f t="shared" si="57"/>
        <v/>
      </c>
      <c r="Q125" s="89">
        <f t="shared" si="58"/>
        <v>96.64</v>
      </c>
      <c r="R125" s="85" t="str">
        <f t="shared" si="59"/>
        <v/>
      </c>
      <c r="S125" s="41" t="str">
        <f t="shared" si="60"/>
        <v/>
      </c>
      <c r="T125" s="166">
        <f>IF(L125="","",VLOOKUP(L125,classifications!C:K,9,FALSE))</f>
        <v>0</v>
      </c>
      <c r="U125" s="167" t="str">
        <f t="shared" si="61"/>
        <v/>
      </c>
      <c r="V125" s="173" t="str">
        <f>IF(U125="","",IF($I$8="A",(RANK(U125,U$11:U$333)+COUNTIF(U$11:U125,U125)-1),(RANK(U125,U$11:U$333,1)+COUNTIF(U$11:U125,U125)-1)))</f>
        <v/>
      </c>
      <c r="W125" s="174"/>
      <c r="X125" s="5" t="str">
        <f>IF(L125="","",VLOOKUP($L125,classifications!$C:$J,6,FALSE))</f>
        <v>Predominantly Urban</v>
      </c>
      <c r="Y125" t="str">
        <f t="shared" si="62"/>
        <v/>
      </c>
      <c r="Z125" s="39" t="str">
        <f>IF(Y125="","",IF(I$8="A",(RANK(Y125,Y$11:Y$333,1)+COUNTIF(Y$11:Y125,Y125)-1),(RANK(Y125,Y$11:Y$333)+COUNTIF(Y$11:Y125,Y125)-1)))</f>
        <v/>
      </c>
      <c r="AA125" s="177" t="str">
        <f>IF(L125="","",VLOOKUP($L125,classifications!C:I,7,FALSE))</f>
        <v>Predominantly Urban</v>
      </c>
      <c r="AB125" s="173" t="str">
        <f t="shared" si="63"/>
        <v/>
      </c>
      <c r="AC125" s="173" t="str">
        <f>IF(AB125="","",IF($I$8="A",(RANK(AB125,AB$11:AB$333)+COUNTIF(AB$11:AB125,AB125)-1),(RANK(AB125,AB$11:AB$333,1)+COUNTIF(AB$11:AB125,AB125)-1)))</f>
        <v/>
      </c>
      <c r="AD125" s="173"/>
      <c r="AE125" s="45" t="e">
        <f>IF(I$8="A",(RANK(AG125,AG$11:AG$333,1)+COUNTIF(AG$11:AG125,AG125)-1),(RANK(AG125,AG$11:AG$333)+COUNTIF(AG$11:AG125,AG125)-1))</f>
        <v>#N/A</v>
      </c>
      <c r="AF125" t="str">
        <f>VLOOKUP(Profile!$J$5,Families!$C:$R,2,FALSE)</f>
        <v>North Dorset</v>
      </c>
      <c r="AG125" s="15" t="e">
        <f t="shared" si="52"/>
        <v>#N/A</v>
      </c>
      <c r="AH125" s="46" t="e">
        <f t="shared" si="64"/>
        <v>#N/A</v>
      </c>
      <c r="AI125" s="5" t="str">
        <f>IF(L125="","",VLOOKUP($L125,classifications!$C:$J,8,FALSE))</f>
        <v>Derbyshire</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East Midlands</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98.01</v>
      </c>
    </row>
    <row r="126" spans="1:50">
      <c r="A126" s="55" t="str">
        <f>$D$1&amp;116</f>
        <v>SD116</v>
      </c>
      <c r="B126" s="56">
        <f>IF(ISERROR(VLOOKUP(A126,classifications!A:C,3,FALSE)),0,VLOOKUP(A126,classifications!A:C,3,FALSE))</f>
        <v>0</v>
      </c>
      <c r="C126" t="s">
        <v>206</v>
      </c>
      <c r="D126" t="str">
        <f>VLOOKUP($C126,classifications!$C:$J,4,FALSE)</f>
        <v>L</v>
      </c>
      <c r="E126">
        <f>VLOOKUP(C126,classifications!C:K,9,FALSE)</f>
        <v>0</v>
      </c>
      <c r="F126">
        <f t="shared" si="43"/>
        <v>95.17</v>
      </c>
      <c r="G126" s="15"/>
      <c r="H126" s="41" t="str">
        <f t="shared" si="44"/>
        <v/>
      </c>
      <c r="I126" s="73" t="str">
        <f>IF(H126="","",IF($I$8="A",(RANK(H126,H$11:H$333,1)+COUNTIF(H$11:H126,H126)-1),(RANK(H126,H$11:H$333)+COUNTIF(H$11:H126,H126)-1)))</f>
        <v/>
      </c>
      <c r="J126" s="40"/>
      <c r="K126" s="35">
        <f t="shared" si="51"/>
        <v>116</v>
      </c>
      <c r="L126" t="str">
        <f t="shared" si="45"/>
        <v>Fylde</v>
      </c>
      <c r="M126" s="109">
        <f t="shared" si="46"/>
        <v>96.61</v>
      </c>
      <c r="N126" s="104">
        <f t="shared" si="55"/>
        <v>96.61</v>
      </c>
      <c r="O126" s="89" t="str">
        <f t="shared" si="56"/>
        <v/>
      </c>
      <c r="P126" s="89" t="str">
        <f t="shared" si="57"/>
        <v/>
      </c>
      <c r="Q126" s="89">
        <f t="shared" si="58"/>
        <v>96.61</v>
      </c>
      <c r="R126" s="85" t="str">
        <f t="shared" si="59"/>
        <v/>
      </c>
      <c r="S126" s="41" t="str">
        <f t="shared" si="60"/>
        <v/>
      </c>
      <c r="T126" s="166">
        <f>IF(L126="","",VLOOKUP(L126,classifications!C:K,9,FALSE))</f>
        <v>0</v>
      </c>
      <c r="U126" s="167" t="str">
        <f t="shared" si="61"/>
        <v/>
      </c>
      <c r="V126" s="173" t="str">
        <f>IF(U126="","",IF($I$8="A",(RANK(U126,U$11:U$333)+COUNTIF(U$11:U126,U126)-1),(RANK(U126,U$11:U$333,1)+COUNTIF(U$11:U126,U126)-1)))</f>
        <v/>
      </c>
      <c r="W126" s="174"/>
      <c r="X126" s="5" t="str">
        <f>IF(L126="","",VLOOKUP($L126,classifications!$C:$J,6,FALSE))</f>
        <v>Predominantly Urban</v>
      </c>
      <c r="Y126" t="str">
        <f t="shared" si="62"/>
        <v/>
      </c>
      <c r="Z126" s="39" t="str">
        <f>IF(Y126="","",IF(I$8="A",(RANK(Y126,Y$11:Y$333,1)+COUNTIF(Y$11:Y126,Y126)-1),(RANK(Y126,Y$11:Y$333)+COUNTIF(Y$11:Y126,Y126)-1)))</f>
        <v/>
      </c>
      <c r="AA126" s="177" t="str">
        <f>IF(L126="","",VLOOKUP($L126,classifications!C:I,7,FALSE))</f>
        <v>Predominantly Urban</v>
      </c>
      <c r="AB126" s="173" t="str">
        <f t="shared" si="63"/>
        <v/>
      </c>
      <c r="AC126" s="173" t="str">
        <f>IF(AB126="","",IF($I$8="A",(RANK(AB126,AB$11:AB$333)+COUNTIF(AB$11:AB126,AB126)-1),(RANK(AB126,AB$11:AB$333,1)+COUNTIF(AB$11:AB126,AB126)-1)))</f>
        <v/>
      </c>
      <c r="AD126" s="173"/>
      <c r="AE126" s="45" t="e">
        <f>IF(I$8="A",(RANK(AG126,AG$11:AG$333,1)+COUNTIF(AG$11:AG126,AG126)-1),(RANK(AG126,AG$11:AG$333)+COUNTIF(AG$11:AG126,AG126)-1))</f>
        <v>#N/A</v>
      </c>
      <c r="AF126" t="str">
        <f>VLOOKUP(Profile!$J$5,Families!$C:$R,2,FALSE)</f>
        <v>North Dorset</v>
      </c>
      <c r="AG126" s="15" t="e">
        <f t="shared" si="52"/>
        <v>#N/A</v>
      </c>
      <c r="AH126" s="46" t="e">
        <f t="shared" si="64"/>
        <v>#N/A</v>
      </c>
      <c r="AI126" s="5" t="str">
        <f>IF(L126="","",VLOOKUP($L126,classifications!$C:$J,8,FALSE))</f>
        <v>Lancashire</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North West</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95.17</v>
      </c>
    </row>
    <row r="127" spans="1:50">
      <c r="A127" s="55" t="str">
        <f>$D$1&amp;117</f>
        <v>SD117</v>
      </c>
      <c r="B127" s="56">
        <f>IF(ISERROR(VLOOKUP(A127,classifications!A:C,3,FALSE)),0,VLOOKUP(A127,classifications!A:C,3,FALSE))</f>
        <v>0</v>
      </c>
      <c r="C127" t="s">
        <v>80</v>
      </c>
      <c r="D127" t="str">
        <f>VLOOKUP($C127,classifications!$C:$J,4,FALSE)</f>
        <v>SD</v>
      </c>
      <c r="E127">
        <f>VLOOKUP(C127,classifications!C:K,9,FALSE)</f>
        <v>0</v>
      </c>
      <c r="F127">
        <f t="shared" si="43"/>
        <v>94.55</v>
      </c>
      <c r="G127" s="15"/>
      <c r="H127" s="41">
        <f t="shared" si="44"/>
        <v>94.55</v>
      </c>
      <c r="I127" s="73">
        <f>IF(H127="","",IF($I$8="A",(RANK(H127,H$11:H$333,1)+COUNTIF(H$11:H127,H127)-1),(RANK(H127,H$11:H$333)+COUNTIF(H$11:H127,H127)-1)))</f>
        <v>152</v>
      </c>
      <c r="J127" s="40"/>
      <c r="K127" s="35">
        <f t="shared" si="51"/>
        <v>117</v>
      </c>
      <c r="L127" t="str">
        <f t="shared" si="45"/>
        <v>Nuneaton &amp; Bedworth</v>
      </c>
      <c r="M127" s="109">
        <f t="shared" si="46"/>
        <v>96.61</v>
      </c>
      <c r="N127" s="104">
        <f t="shared" si="55"/>
        <v>96.61</v>
      </c>
      <c r="O127" s="89" t="str">
        <f t="shared" si="56"/>
        <v/>
      </c>
      <c r="P127" s="89" t="str">
        <f t="shared" si="57"/>
        <v/>
      </c>
      <c r="Q127" s="89">
        <f t="shared" si="58"/>
        <v>96.61</v>
      </c>
      <c r="R127" s="85" t="str">
        <f t="shared" si="59"/>
        <v/>
      </c>
      <c r="S127" s="41" t="str">
        <f t="shared" si="60"/>
        <v/>
      </c>
      <c r="T127" s="166">
        <f>IF(L127="","",VLOOKUP(L127,classifications!C:K,9,FALSE))</f>
        <v>0</v>
      </c>
      <c r="U127" s="167" t="str">
        <f t="shared" si="61"/>
        <v/>
      </c>
      <c r="V127" s="173" t="str">
        <f>IF(U127="","",IF($I$8="A",(RANK(U127,U$11:U$333)+COUNTIF(U$11:U127,U127)-1),(RANK(U127,U$11:U$333,1)+COUNTIF(U$11:U127,U127)-1)))</f>
        <v/>
      </c>
      <c r="W127" s="174"/>
      <c r="X127" s="5" t="str">
        <f>IF(L127="","",VLOOKUP($L127,classifications!$C:$J,6,FALSE))</f>
        <v>Predominantly Urban</v>
      </c>
      <c r="Y127" t="str">
        <f t="shared" si="62"/>
        <v/>
      </c>
      <c r="Z127" s="39" t="str">
        <f>IF(Y127="","",IF(I$8="A",(RANK(Y127,Y$11:Y$333,1)+COUNTIF(Y$11:Y127,Y127)-1),(RANK(Y127,Y$11:Y$333)+COUNTIF(Y$11:Y127,Y127)-1)))</f>
        <v/>
      </c>
      <c r="AA127" s="177" t="str">
        <f>IF(L127="","",VLOOKUP($L127,classifications!C:I,7,FALSE))</f>
        <v>Predominantly Urban</v>
      </c>
      <c r="AB127" s="173" t="str">
        <f t="shared" si="63"/>
        <v/>
      </c>
      <c r="AC127" s="173" t="str">
        <f>IF(AB127="","",IF($I$8="A",(RANK(AB127,AB$11:AB$333)+COUNTIF(AB$11:AB127,AB127)-1),(RANK(AB127,AB$11:AB$333,1)+COUNTIF(AB$11:AB127,AB127)-1)))</f>
        <v/>
      </c>
      <c r="AD127" s="173"/>
      <c r="AE127" s="45" t="e">
        <f>IF(I$8="A",(RANK(AG127,AG$11:AG$333,1)+COUNTIF(AG$11:AG127,AG127)-1),(RANK(AG127,AG$11:AG$333)+COUNTIF(AG$11:AG127,AG127)-1))</f>
        <v>#N/A</v>
      </c>
      <c r="AF127" t="str">
        <f>VLOOKUP(Profile!$J$5,Families!$C:$R,2,FALSE)</f>
        <v>North Dorset</v>
      </c>
      <c r="AG127" s="15" t="e">
        <f t="shared" si="52"/>
        <v>#N/A</v>
      </c>
      <c r="AH127" s="46" t="e">
        <f t="shared" si="64"/>
        <v>#N/A</v>
      </c>
      <c r="AI127" s="5" t="str">
        <f>IF(L127="","",VLOOKUP($L127,classifications!$C:$J,8,FALSE))</f>
        <v>Warwickshire</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West Midlands</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94.55</v>
      </c>
    </row>
    <row r="128" spans="1:50">
      <c r="A128" s="55" t="str">
        <f>$D$1&amp;118</f>
        <v>SD118</v>
      </c>
      <c r="B128" s="56">
        <f>IF(ISERROR(VLOOKUP(A128,classifications!A:C,3,FALSE)),0,VLOOKUP(A128,classifications!A:C,3,FALSE))</f>
        <v>0</v>
      </c>
      <c r="C128" t="s">
        <v>207</v>
      </c>
      <c r="D128" t="str">
        <f>VLOOKUP($C128,classifications!$C:$J,4,FALSE)</f>
        <v>L</v>
      </c>
      <c r="E128">
        <f>VLOOKUP(C128,classifications!C:K,9,FALSE)</f>
        <v>0</v>
      </c>
      <c r="F128">
        <f t="shared" si="43"/>
        <v>96.69</v>
      </c>
      <c r="G128" s="15"/>
      <c r="H128" s="41" t="str">
        <f t="shared" si="44"/>
        <v/>
      </c>
      <c r="I128" s="73" t="str">
        <f>IF(H128="","",IF($I$8="A",(RANK(H128,H$11:H$333,1)+COUNTIF(H$11:H128,H128)-1),(RANK(H128,H$11:H$333)+COUNTIF(H$11:H128,H128)-1)))</f>
        <v/>
      </c>
      <c r="J128" s="40"/>
      <c r="K128" s="35">
        <f t="shared" si="51"/>
        <v>118</v>
      </c>
      <c r="L128" t="str">
        <f t="shared" si="45"/>
        <v>Chelmsford</v>
      </c>
      <c r="M128" s="109">
        <f t="shared" si="46"/>
        <v>96.59</v>
      </c>
      <c r="N128" s="104">
        <f t="shared" si="55"/>
        <v>96.59</v>
      </c>
      <c r="O128" s="89" t="str">
        <f t="shared" si="56"/>
        <v/>
      </c>
      <c r="P128" s="89" t="str">
        <f t="shared" si="57"/>
        <v/>
      </c>
      <c r="Q128" s="89">
        <f t="shared" si="58"/>
        <v>96.59</v>
      </c>
      <c r="R128" s="85" t="str">
        <f t="shared" si="59"/>
        <v/>
      </c>
      <c r="S128" s="41" t="str">
        <f t="shared" si="60"/>
        <v/>
      </c>
      <c r="T128" s="166">
        <f>IF(L128="","",VLOOKUP(L128,classifications!C:K,9,FALSE))</f>
        <v>0</v>
      </c>
      <c r="U128" s="167" t="str">
        <f t="shared" si="61"/>
        <v/>
      </c>
      <c r="V128" s="173" t="str">
        <f>IF(U128="","",IF($I$8="A",(RANK(U128,U$11:U$333)+COUNTIF(U$11:U128,U128)-1),(RANK(U128,U$11:U$333,1)+COUNTIF(U$11:U128,U128)-1)))</f>
        <v/>
      </c>
      <c r="W128" s="174"/>
      <c r="X128" s="5" t="str">
        <f>IF(L128="","",VLOOKUP($L128,classifications!$C:$J,6,FALSE))</f>
        <v>Predominantly Urban</v>
      </c>
      <c r="Y128" t="str">
        <f t="shared" si="62"/>
        <v/>
      </c>
      <c r="Z128" s="39" t="str">
        <f>IF(Y128="","",IF(I$8="A",(RANK(Y128,Y$11:Y$333,1)+COUNTIF(Y$11:Y128,Y128)-1),(RANK(Y128,Y$11:Y$333)+COUNTIF(Y$11:Y128,Y128)-1)))</f>
        <v/>
      </c>
      <c r="AA128" s="177" t="str">
        <f>IF(L128="","",VLOOKUP($L128,classifications!C:I,7,FALSE))</f>
        <v>Predominantly Urban</v>
      </c>
      <c r="AB128" s="173" t="str">
        <f t="shared" si="63"/>
        <v/>
      </c>
      <c r="AC128" s="173" t="str">
        <f>IF(AB128="","",IF($I$8="A",(RANK(AB128,AB$11:AB$333)+COUNTIF(AB$11:AB128,AB128)-1),(RANK(AB128,AB$11:AB$333,1)+COUNTIF(AB$11:AB128,AB128)-1)))</f>
        <v/>
      </c>
      <c r="AD128" s="173"/>
      <c r="AE128" s="45" t="e">
        <f>IF(I$8="A",(RANK(AG128,AG$11:AG$333,1)+COUNTIF(AG$11:AG128,AG128)-1),(RANK(AG128,AG$11:AG$333)+COUNTIF(AG$11:AG128,AG128)-1))</f>
        <v>#N/A</v>
      </c>
      <c r="AF128" t="str">
        <f>VLOOKUP(Profile!$J$5,Families!$C:$R,2,FALSE)</f>
        <v>North Dorset</v>
      </c>
      <c r="AG128" s="15" t="e">
        <f t="shared" si="52"/>
        <v>#N/A</v>
      </c>
      <c r="AH128" s="46" t="e">
        <f t="shared" si="64"/>
        <v>#N/A</v>
      </c>
      <c r="AI128" s="5" t="str">
        <f>IF(L128="","",VLOOKUP($L128,classifications!$C:$J,8,FALSE))</f>
        <v>Essex</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East of England</v>
      </c>
      <c r="AQ128" s="42">
        <f t="shared" si="66"/>
        <v>96.59</v>
      </c>
      <c r="AR128" s="39">
        <f>IF(AQ128="","",IF(I$8="A",(RANK(AQ128,AQ$11:AQ$333,1)+COUNTIF(AQ$11:AQ128,AQ128)-1),(RANK(AQ128,AQ$11:AQ$333)+COUNTIF(AQ$11:AQ128,AQ128)-1)))</f>
        <v>29</v>
      </c>
      <c r="AS128" s="3" t="str">
        <f t="shared" si="54"/>
        <v/>
      </c>
      <c r="AT128" s="39" t="str">
        <f t="shared" si="49"/>
        <v/>
      </c>
      <c r="AU128" s="42" t="str">
        <f t="shared" si="50"/>
        <v/>
      </c>
      <c r="AX128">
        <f>HLOOKUP($AX$9&amp;$AX$10,Data!$A$1:$ZT$1975,(MATCH($C128,Data!$A$1:$A$1975,0)),FALSE)</f>
        <v>96.69</v>
      </c>
    </row>
    <row r="129" spans="1:50">
      <c r="A129" s="55" t="str">
        <f>$D$1&amp;119</f>
        <v>SD119</v>
      </c>
      <c r="B129" s="56">
        <f>IF(ISERROR(VLOOKUP(A129,classifications!A:C,3,FALSE)),0,VLOOKUP(A129,classifications!A:C,3,FALSE))</f>
        <v>0</v>
      </c>
      <c r="C129" t="s">
        <v>82</v>
      </c>
      <c r="D129" t="str">
        <f>VLOOKUP($C129,classifications!$C:$J,4,FALSE)</f>
        <v>SD</v>
      </c>
      <c r="E129">
        <f>VLOOKUP(C129,classifications!C:K,9,FALSE)</f>
        <v>0</v>
      </c>
      <c r="F129">
        <f t="shared" si="43"/>
        <v>98.48</v>
      </c>
      <c r="G129" s="15"/>
      <c r="H129" s="41">
        <f t="shared" si="44"/>
        <v>98.48</v>
      </c>
      <c r="I129" s="73">
        <f>IF(H129="","",IF($I$8="A",(RANK(H129,H$11:H$333,1)+COUNTIF(H$11:H129,H129)-1),(RANK(H129,H$11:H$333)+COUNTIF(H$11:H129,H129)-1)))</f>
        <v>16</v>
      </c>
      <c r="J129" s="40"/>
      <c r="K129" s="35">
        <f t="shared" si="51"/>
        <v>119</v>
      </c>
      <c r="L129" t="str">
        <f t="shared" si="45"/>
        <v>Worthing</v>
      </c>
      <c r="M129" s="109">
        <f t="shared" si="46"/>
        <v>96.59</v>
      </c>
      <c r="N129" s="104">
        <f t="shared" si="55"/>
        <v>96.59</v>
      </c>
      <c r="O129" s="89" t="str">
        <f t="shared" si="56"/>
        <v/>
      </c>
      <c r="P129" s="89" t="str">
        <f t="shared" si="57"/>
        <v/>
      </c>
      <c r="Q129" s="89">
        <f t="shared" si="58"/>
        <v>96.59</v>
      </c>
      <c r="R129" s="85" t="str">
        <f t="shared" si="59"/>
        <v/>
      </c>
      <c r="S129" s="41" t="str">
        <f t="shared" si="60"/>
        <v/>
      </c>
      <c r="T129" s="166">
        <f>IF(L129="","",VLOOKUP(L129,classifications!C:K,9,FALSE))</f>
        <v>0</v>
      </c>
      <c r="U129" s="167" t="str">
        <f t="shared" si="61"/>
        <v/>
      </c>
      <c r="V129" s="173" t="str">
        <f>IF(U129="","",IF($I$8="A",(RANK(U129,U$11:U$333)+COUNTIF(U$11:U129,U129)-1),(RANK(U129,U$11:U$333,1)+COUNTIF(U$11:U129,U129)-1)))</f>
        <v/>
      </c>
      <c r="W129" s="174"/>
      <c r="X129" s="5" t="str">
        <f>IF(L129="","",VLOOKUP($L129,classifications!$C:$J,6,FALSE))</f>
        <v>Predominantly Urban</v>
      </c>
      <c r="Y129" t="str">
        <f t="shared" si="62"/>
        <v/>
      </c>
      <c r="Z129" s="39" t="str">
        <f>IF(Y129="","",IF(I$8="A",(RANK(Y129,Y$11:Y$333,1)+COUNTIF(Y$11:Y129,Y129)-1),(RANK(Y129,Y$11:Y$333)+COUNTIF(Y$11:Y129,Y129)-1)))</f>
        <v/>
      </c>
      <c r="AA129" s="177" t="str">
        <f>IF(L129="","",VLOOKUP($L129,classifications!C:I,7,FALSE))</f>
        <v>Predominantly Urban</v>
      </c>
      <c r="AB129" s="173" t="str">
        <f t="shared" si="63"/>
        <v/>
      </c>
      <c r="AC129" s="173" t="str">
        <f>IF(AB129="","",IF($I$8="A",(RANK(AB129,AB$11:AB$333)+COUNTIF(AB$11:AB129,AB129)-1),(RANK(AB129,AB$11:AB$333,1)+COUNTIF(AB$11:AB129,AB129)-1)))</f>
        <v/>
      </c>
      <c r="AD129" s="173"/>
      <c r="AE129" s="45" t="e">
        <f>IF(I$8="A",(RANK(AG129,AG$11:AG$333,1)+COUNTIF(AG$11:AG129,AG129)-1),(RANK(AG129,AG$11:AG$333)+COUNTIF(AG$11:AG129,AG129)-1))</f>
        <v>#N/A</v>
      </c>
      <c r="AF129" t="str">
        <f>VLOOKUP(Profile!$J$5,Families!$C:$R,2,FALSE)</f>
        <v>North Dorset</v>
      </c>
      <c r="AG129" s="15" t="e">
        <f t="shared" si="52"/>
        <v>#N/A</v>
      </c>
      <c r="AH129" s="46" t="e">
        <f t="shared" si="64"/>
        <v>#N/A</v>
      </c>
      <c r="AI129" s="5" t="str">
        <f>IF(L129="","",VLOOKUP($L129,classifications!$C:$J,8,FALSE))</f>
        <v>West Sussex</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South East</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98.48</v>
      </c>
    </row>
    <row r="130" spans="1:50">
      <c r="A130" s="55" t="str">
        <f>$D$1&amp;120</f>
        <v>SD120</v>
      </c>
      <c r="B130" s="56">
        <f>IF(ISERROR(VLOOKUP(A130,classifications!A:C,3,FALSE)),0,VLOOKUP(A130,classifications!A:C,3,FALSE))</f>
        <v>0</v>
      </c>
      <c r="C130" t="s">
        <v>269</v>
      </c>
      <c r="D130" t="str">
        <f>VLOOKUP($C130,classifications!$C:$J,4,FALSE)</f>
        <v>UA</v>
      </c>
      <c r="E130">
        <f>VLOOKUP(C130,classifications!C:K,9,FALSE)</f>
        <v>0</v>
      </c>
      <c r="F130">
        <f t="shared" si="43"/>
        <v>92.48</v>
      </c>
      <c r="G130" s="15"/>
      <c r="H130" s="41" t="str">
        <f t="shared" si="44"/>
        <v/>
      </c>
      <c r="I130" s="73" t="str">
        <f>IF(H130="","",IF($I$8="A",(RANK(H130,H$11:H$333,1)+COUNTIF(H$11:H130,H130)-1),(RANK(H130,H$11:H$333)+COUNTIF(H$11:H130,H130)-1)))</f>
        <v/>
      </c>
      <c r="J130" s="40"/>
      <c r="K130" s="35">
        <f t="shared" si="51"/>
        <v>120</v>
      </c>
      <c r="L130" t="str">
        <f t="shared" si="45"/>
        <v>Canterbury</v>
      </c>
      <c r="M130" s="109">
        <f t="shared" si="46"/>
        <v>96.51</v>
      </c>
      <c r="N130" s="104">
        <f t="shared" si="55"/>
        <v>96.51</v>
      </c>
      <c r="O130" s="89" t="str">
        <f t="shared" si="56"/>
        <v/>
      </c>
      <c r="P130" s="89" t="str">
        <f t="shared" si="57"/>
        <v/>
      </c>
      <c r="Q130" s="89">
        <f t="shared" si="58"/>
        <v>96.51</v>
      </c>
      <c r="R130" s="85" t="str">
        <f t="shared" si="59"/>
        <v/>
      </c>
      <c r="S130" s="41" t="str">
        <f t="shared" si="60"/>
        <v/>
      </c>
      <c r="T130" s="166">
        <f>IF(L130="","",VLOOKUP(L130,classifications!C:K,9,FALSE))</f>
        <v>0</v>
      </c>
      <c r="U130" s="167" t="str">
        <f t="shared" si="61"/>
        <v/>
      </c>
      <c r="V130" s="173" t="str">
        <f>IF(U130="","",IF($I$8="A",(RANK(U130,U$11:U$333)+COUNTIF(U$11:U130,U130)-1),(RANK(U130,U$11:U$333,1)+COUNTIF(U$11:U130,U130)-1)))</f>
        <v/>
      </c>
      <c r="W130" s="174"/>
      <c r="X130" s="5" t="str">
        <f>IF(L130="","",VLOOKUP($L130,classifications!$C:$J,6,FALSE))</f>
        <v>Predominantly Urban</v>
      </c>
      <c r="Y130" t="str">
        <f t="shared" si="62"/>
        <v/>
      </c>
      <c r="Z130" s="39" t="str">
        <f>IF(Y130="","",IF(I$8="A",(RANK(Y130,Y$11:Y$333,1)+COUNTIF(Y$11:Y130,Y130)-1),(RANK(Y130,Y$11:Y$333)+COUNTIF(Y$11:Y130,Y130)-1)))</f>
        <v/>
      </c>
      <c r="AA130" s="177" t="str">
        <f>IF(L130="","",VLOOKUP($L130,classifications!C:I,7,FALSE))</f>
        <v>Predominantly Urban</v>
      </c>
      <c r="AB130" s="173" t="str">
        <f t="shared" si="63"/>
        <v/>
      </c>
      <c r="AC130" s="173" t="str">
        <f>IF(AB130="","",IF($I$8="A",(RANK(AB130,AB$11:AB$333)+COUNTIF(AB$11:AB130,AB130)-1),(RANK(AB130,AB$11:AB$333,1)+COUNTIF(AB$11:AB130,AB130)-1)))</f>
        <v/>
      </c>
      <c r="AD130" s="173"/>
      <c r="AE130" s="45" t="e">
        <f>IF(I$8="A",(RANK(AG130,AG$11:AG$333,1)+COUNTIF(AG$11:AG130,AG130)-1),(RANK(AG130,AG$11:AG$333)+COUNTIF(AG$11:AG130,AG130)-1))</f>
        <v>#N/A</v>
      </c>
      <c r="AF130" t="str">
        <f>VLOOKUP(Profile!$J$5,Families!$C:$R,2,FALSE)</f>
        <v>North Dorset</v>
      </c>
      <c r="AG130" s="15" t="e">
        <f t="shared" si="52"/>
        <v>#N/A</v>
      </c>
      <c r="AH130" s="46" t="e">
        <f t="shared" si="64"/>
        <v>#N/A</v>
      </c>
      <c r="AI130" s="5" t="str">
        <f>IF(L130="","",VLOOKUP($L130,classifications!$C:$J,8,FALSE))</f>
        <v>Kent</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South East</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92.48</v>
      </c>
    </row>
    <row r="131" spans="1:50">
      <c r="A131" s="55" t="str">
        <f>$D$1&amp;121</f>
        <v>SD121</v>
      </c>
      <c r="B131" s="56">
        <f>IF(ISERROR(VLOOKUP(A131,classifications!A:C,3,FALSE)),0,VLOOKUP(A131,classifications!A:C,3,FALSE))</f>
        <v>0</v>
      </c>
      <c r="C131" t="s">
        <v>83</v>
      </c>
      <c r="D131" t="str">
        <f>VLOOKUP($C131,classifications!$C:$J,4,FALSE)</f>
        <v>SD</v>
      </c>
      <c r="E131">
        <f>VLOOKUP(C131,classifications!C:K,9,FALSE)</f>
        <v>0</v>
      </c>
      <c r="F131">
        <f t="shared" si="43"/>
        <v>94.41</v>
      </c>
      <c r="G131" s="15"/>
      <c r="H131" s="41">
        <f t="shared" si="44"/>
        <v>94.41</v>
      </c>
      <c r="I131" s="73">
        <f>IF(H131="","",IF($I$8="A",(RANK(H131,H$11:H$333,1)+COUNTIF(H$11:H131,H131)-1),(RANK(H131,H$11:H$333)+COUNTIF(H$11:H131,H131)-1)))</f>
        <v>153</v>
      </c>
      <c r="J131" s="40"/>
      <c r="K131" s="35">
        <f t="shared" si="51"/>
        <v>121</v>
      </c>
      <c r="L131" t="str">
        <f t="shared" si="45"/>
        <v>Exeter</v>
      </c>
      <c r="M131" s="109">
        <f t="shared" si="46"/>
        <v>96.5</v>
      </c>
      <c r="N131" s="104">
        <f t="shared" si="55"/>
        <v>96.5</v>
      </c>
      <c r="O131" s="89" t="str">
        <f t="shared" si="56"/>
        <v/>
      </c>
      <c r="P131" s="89" t="str">
        <f t="shared" si="57"/>
        <v/>
      </c>
      <c r="Q131" s="89">
        <f t="shared" si="58"/>
        <v>96.5</v>
      </c>
      <c r="R131" s="85" t="str">
        <f t="shared" si="59"/>
        <v/>
      </c>
      <c r="S131" s="41" t="str">
        <f t="shared" si="60"/>
        <v/>
      </c>
      <c r="T131" s="166">
        <f>IF(L131="","",VLOOKUP(L131,classifications!C:K,9,FALSE))</f>
        <v>0</v>
      </c>
      <c r="U131" s="167" t="str">
        <f t="shared" si="61"/>
        <v/>
      </c>
      <c r="V131" s="173" t="str">
        <f>IF(U131="","",IF($I$8="A",(RANK(U131,U$11:U$333)+COUNTIF(U$11:U131,U131)-1),(RANK(U131,U$11:U$333,1)+COUNTIF(U$11:U131,U131)-1)))</f>
        <v/>
      </c>
      <c r="W131" s="174"/>
      <c r="X131" s="5" t="str">
        <f>IF(L131="","",VLOOKUP($L131,classifications!$C:$J,6,FALSE))</f>
        <v>Predominantly Urban</v>
      </c>
      <c r="Y131" t="str">
        <f t="shared" si="62"/>
        <v/>
      </c>
      <c r="Z131" s="39" t="str">
        <f>IF(Y131="","",IF(I$8="A",(RANK(Y131,Y$11:Y$333,1)+COUNTIF(Y$11:Y131,Y131)-1),(RANK(Y131,Y$11:Y$333)+COUNTIF(Y$11:Y131,Y131)-1)))</f>
        <v/>
      </c>
      <c r="AA131" s="177" t="str">
        <f>IF(L131="","",VLOOKUP($L131,classifications!C:I,7,FALSE))</f>
        <v>Predominantly Urban</v>
      </c>
      <c r="AB131" s="173" t="str">
        <f t="shared" si="63"/>
        <v/>
      </c>
      <c r="AC131" s="173" t="str">
        <f>IF(AB131="","",IF($I$8="A",(RANK(AB131,AB$11:AB$333)+COUNTIF(AB$11:AB131,AB131)-1),(RANK(AB131,AB$11:AB$333,1)+COUNTIF(AB$11:AB131,AB131)-1)))</f>
        <v/>
      </c>
      <c r="AD131" s="173"/>
      <c r="AE131" s="45" t="e">
        <f>IF(I$8="A",(RANK(AG131,AG$11:AG$333,1)+COUNTIF(AG$11:AG131,AG131)-1),(RANK(AG131,AG$11:AG$333)+COUNTIF(AG$11:AG131,AG131)-1))</f>
        <v>#N/A</v>
      </c>
      <c r="AF131" t="str">
        <f>VLOOKUP(Profile!$J$5,Families!$C:$R,2,FALSE)</f>
        <v>North Dorset</v>
      </c>
      <c r="AG131" s="15" t="e">
        <f t="shared" si="52"/>
        <v>#N/A</v>
      </c>
      <c r="AH131" s="46" t="e">
        <f t="shared" si="64"/>
        <v>#N/A</v>
      </c>
      <c r="AI131" s="5" t="str">
        <f>IF(L131="","",VLOOKUP($L131,classifications!$C:$J,8,FALSE))</f>
        <v>Devon</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South West</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94.41</v>
      </c>
    </row>
    <row r="132" spans="1:50">
      <c r="A132" s="55" t="str">
        <f>$D$1&amp;122</f>
        <v>SD122</v>
      </c>
      <c r="B132" s="56">
        <f>IF(ISERROR(VLOOKUP(A132,classifications!A:C,3,FALSE)),0,VLOOKUP(A132,classifications!A:C,3,FALSE))</f>
        <v>0</v>
      </c>
      <c r="C132" t="s">
        <v>84</v>
      </c>
      <c r="D132" t="str">
        <f>VLOOKUP($C132,classifications!$C:$J,4,FALSE)</f>
        <v>SD</v>
      </c>
      <c r="E132">
        <f>VLOOKUP(C132,classifications!C:K,9,FALSE)</f>
        <v>0</v>
      </c>
      <c r="F132">
        <f t="shared" si="43"/>
        <v>96.28</v>
      </c>
      <c r="G132" s="15"/>
      <c r="H132" s="41">
        <f t="shared" si="44"/>
        <v>96.28</v>
      </c>
      <c r="I132" s="73">
        <f>IF(H132="","",IF($I$8="A",(RANK(H132,H$11:H$333,1)+COUNTIF(H$11:H132,H132)-1),(RANK(H132,H$11:H$333)+COUNTIF(H$11:H132,H132)-1)))</f>
        <v>132</v>
      </c>
      <c r="J132" s="40"/>
      <c r="K132" s="35">
        <f t="shared" si="51"/>
        <v>122</v>
      </c>
      <c r="L132" t="str">
        <f t="shared" si="45"/>
        <v>Dover</v>
      </c>
      <c r="M132" s="109">
        <f t="shared" si="46"/>
        <v>96.48</v>
      </c>
      <c r="N132" s="104">
        <f t="shared" si="55"/>
        <v>96.48</v>
      </c>
      <c r="O132" s="89" t="str">
        <f t="shared" si="56"/>
        <v/>
      </c>
      <c r="P132" s="89" t="str">
        <f t="shared" si="57"/>
        <v/>
      </c>
      <c r="Q132" s="89">
        <f t="shared" si="58"/>
        <v>96.48</v>
      </c>
      <c r="R132" s="85" t="str">
        <f t="shared" si="59"/>
        <v/>
      </c>
      <c r="S132" s="41" t="str">
        <f t="shared" si="60"/>
        <v/>
      </c>
      <c r="T132" s="166">
        <f>IF(L132="","",VLOOKUP(L132,classifications!C:K,9,FALSE))</f>
        <v>0</v>
      </c>
      <c r="U132" s="167" t="str">
        <f t="shared" si="61"/>
        <v/>
      </c>
      <c r="V132" s="173" t="str">
        <f>IF(U132="","",IF($I$8="A",(RANK(U132,U$11:U$333)+COUNTIF(U$11:U132,U132)-1),(RANK(U132,U$11:U$333,1)+COUNTIF(U$11:U132,U132)-1)))</f>
        <v/>
      </c>
      <c r="W132" s="174"/>
      <c r="X132" s="5" t="str">
        <f>IF(L132="","",VLOOKUP($L132,classifications!$C:$J,6,FALSE))</f>
        <v>Urban with Significant Rural</v>
      </c>
      <c r="Y132" t="str">
        <f t="shared" si="62"/>
        <v/>
      </c>
      <c r="Z132" s="39" t="str">
        <f>IF(Y132="","",IF(I$8="A",(RANK(Y132,Y$11:Y$333,1)+COUNTIF(Y$11:Y132,Y132)-1),(RANK(Y132,Y$11:Y$333)+COUNTIF(Y$11:Y132,Y132)-1)))</f>
        <v/>
      </c>
      <c r="AA132" s="177" t="str">
        <f>IF(L132="","",VLOOKUP($L132,classifications!C:I,7,FALSE))</f>
        <v>Urban with Significant Rural</v>
      </c>
      <c r="AB132" s="173" t="str">
        <f t="shared" si="63"/>
        <v/>
      </c>
      <c r="AC132" s="173" t="str">
        <f>IF(AB132="","",IF($I$8="A",(RANK(AB132,AB$11:AB$333)+COUNTIF(AB$11:AB132,AB132)-1),(RANK(AB132,AB$11:AB$333,1)+COUNTIF(AB$11:AB132,AB132)-1)))</f>
        <v/>
      </c>
      <c r="AD132" s="173"/>
      <c r="AE132" s="45" t="e">
        <f>IF(I$8="A",(RANK(AG132,AG$11:AG$333,1)+COUNTIF(AG$11:AG132,AG132)-1),(RANK(AG132,AG$11:AG$333)+COUNTIF(AG$11:AG132,AG132)-1))</f>
        <v>#N/A</v>
      </c>
      <c r="AF132" t="str">
        <f>VLOOKUP(Profile!$J$5,Families!$C:$R,2,FALSE)</f>
        <v>North Dorset</v>
      </c>
      <c r="AG132" s="15" t="e">
        <f t="shared" si="52"/>
        <v>#N/A</v>
      </c>
      <c r="AH132" s="46" t="e">
        <f t="shared" si="64"/>
        <v>#N/A</v>
      </c>
      <c r="AI132" s="5" t="str">
        <f>IF(L132="","",VLOOKUP($L132,classifications!$C:$J,8,FALSE))</f>
        <v>Kent</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South East</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96.28</v>
      </c>
    </row>
    <row r="133" spans="1:50">
      <c r="A133" s="55" t="str">
        <f>$D$1&amp;123</f>
        <v>SD123</v>
      </c>
      <c r="B133" s="56">
        <f>IF(ISERROR(VLOOKUP(A133,classifications!A:C,3,FALSE)),0,VLOOKUP(A133,classifications!A:C,3,FALSE))</f>
        <v>0</v>
      </c>
      <c r="C133" t="s">
        <v>208</v>
      </c>
      <c r="D133" t="str">
        <f>VLOOKUP($C133,classifications!$C:$J,4,FALSE)</f>
        <v>L</v>
      </c>
      <c r="E133">
        <f>VLOOKUP(C133,classifications!C:K,9,FALSE)</f>
        <v>0</v>
      </c>
      <c r="F133">
        <f t="shared" si="43"/>
        <v>96.28</v>
      </c>
      <c r="G133" s="15"/>
      <c r="H133" s="41" t="str">
        <f t="shared" si="44"/>
        <v/>
      </c>
      <c r="I133" s="73" t="str">
        <f>IF(H133="","",IF($I$8="A",(RANK(H133,H$11:H$333,1)+COUNTIF(H$11:H133,H133)-1),(RANK(H133,H$11:H$333)+COUNTIF(H$11:H133,H133)-1)))</f>
        <v/>
      </c>
      <c r="J133" s="40"/>
      <c r="K133" s="35">
        <f t="shared" si="51"/>
        <v>123</v>
      </c>
      <c r="L133" t="str">
        <f t="shared" si="45"/>
        <v>Basildon</v>
      </c>
      <c r="M133" s="109">
        <f t="shared" si="46"/>
        <v>96.47</v>
      </c>
      <c r="N133" s="104">
        <f t="shared" si="55"/>
        <v>96.47</v>
      </c>
      <c r="O133" s="89" t="str">
        <f t="shared" si="56"/>
        <v/>
      </c>
      <c r="P133" s="89" t="str">
        <f t="shared" si="57"/>
        <v/>
      </c>
      <c r="Q133" s="89">
        <f t="shared" si="58"/>
        <v>96.47</v>
      </c>
      <c r="R133" s="85" t="str">
        <f t="shared" si="59"/>
        <v/>
      </c>
      <c r="S133" s="41" t="str">
        <f t="shared" si="60"/>
        <v/>
      </c>
      <c r="T133" s="166">
        <f>IF(L133="","",VLOOKUP(L133,classifications!C:K,9,FALSE))</f>
        <v>0</v>
      </c>
      <c r="U133" s="167" t="str">
        <f t="shared" si="61"/>
        <v/>
      </c>
      <c r="V133" s="173" t="str">
        <f>IF(U133="","",IF($I$8="A",(RANK(U133,U$11:U$333)+COUNTIF(U$11:U133,U133)-1),(RANK(U133,U$11:U$333,1)+COUNTIF(U$11:U133,U133)-1)))</f>
        <v/>
      </c>
      <c r="W133" s="174"/>
      <c r="X133" s="5" t="str">
        <f>IF(L133="","",VLOOKUP($L133,classifications!$C:$J,6,FALSE))</f>
        <v>Predominantly Urban</v>
      </c>
      <c r="Y133" t="str">
        <f t="shared" si="62"/>
        <v/>
      </c>
      <c r="Z133" s="39" t="str">
        <f>IF(Y133="","",IF(I$8="A",(RANK(Y133,Y$11:Y$333,1)+COUNTIF(Y$11:Y133,Y133)-1),(RANK(Y133,Y$11:Y$333)+COUNTIF(Y$11:Y133,Y133)-1)))</f>
        <v/>
      </c>
      <c r="AA133" s="177" t="str">
        <f>IF(L133="","",VLOOKUP($L133,classifications!C:I,7,FALSE))</f>
        <v>Predominantly Urban</v>
      </c>
      <c r="AB133" s="173" t="str">
        <f t="shared" si="63"/>
        <v/>
      </c>
      <c r="AC133" s="173" t="str">
        <f>IF(AB133="","",IF($I$8="A",(RANK(AB133,AB$11:AB$333)+COUNTIF(AB$11:AB133,AB133)-1),(RANK(AB133,AB$11:AB$333,1)+COUNTIF(AB$11:AB133,AB133)-1)))</f>
        <v/>
      </c>
      <c r="AD133" s="173"/>
      <c r="AE133" s="45" t="e">
        <f>IF(I$8="A",(RANK(AG133,AG$11:AG$333,1)+COUNTIF(AG$11:AG133,AG133)-1),(RANK(AG133,AG$11:AG$333)+COUNTIF(AG$11:AG133,AG133)-1))</f>
        <v>#N/A</v>
      </c>
      <c r="AF133" t="str">
        <f>VLOOKUP(Profile!$J$5,Families!$C:$R,2,FALSE)</f>
        <v>North Dorset</v>
      </c>
      <c r="AG133" s="15" t="e">
        <f t="shared" si="52"/>
        <v>#N/A</v>
      </c>
      <c r="AH133" s="46" t="e">
        <f t="shared" si="64"/>
        <v>#N/A</v>
      </c>
      <c r="AI133" s="5" t="str">
        <f>IF(L133="","",VLOOKUP($L133,classifications!$C:$J,8,FALSE))</f>
        <v>Essex</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East of England</v>
      </c>
      <c r="AQ133" s="42">
        <f t="shared" si="66"/>
        <v>96.47</v>
      </c>
      <c r="AR133" s="39">
        <f>IF(AQ133="","",IF(I$8="A",(RANK(AQ133,AQ$11:AQ$333,1)+COUNTIF(AQ$11:AQ133,AQ133)-1),(RANK(AQ133,AQ$11:AQ$333)+COUNTIF(AQ$11:AQ133,AQ133)-1)))</f>
        <v>30</v>
      </c>
      <c r="AS133" s="3" t="str">
        <f t="shared" si="54"/>
        <v/>
      </c>
      <c r="AT133" s="39" t="str">
        <f t="shared" si="49"/>
        <v/>
      </c>
      <c r="AU133" s="42" t="str">
        <f t="shared" si="50"/>
        <v/>
      </c>
      <c r="AX133">
        <f>HLOOKUP($AX$9&amp;$AX$10,Data!$A$1:$ZT$1975,(MATCH($C133,Data!$A$1:$A$1975,0)),FALSE)</f>
        <v>96.28</v>
      </c>
    </row>
    <row r="134" spans="1:50">
      <c r="A134" s="55" t="str">
        <f>$D$1&amp;124</f>
        <v>SD124</v>
      </c>
      <c r="B134" s="56">
        <f>IF(ISERROR(VLOOKUP(A134,classifications!A:C,3,FALSE)),0,VLOOKUP(A134,classifications!A:C,3,FALSE))</f>
        <v>0</v>
      </c>
      <c r="C134" t="s">
        <v>817</v>
      </c>
      <c r="D134" t="str">
        <f>VLOOKUP($C134,classifications!$C:$J,4,FALSE)</f>
        <v>UA</v>
      </c>
      <c r="E134" t="str">
        <f>VLOOKUP(C134,classifications!C:K,9,FALSE)</f>
        <v>Sparse</v>
      </c>
      <c r="F134">
        <f t="shared" si="43"/>
        <v>97.41</v>
      </c>
      <c r="G134" s="15"/>
      <c r="H134" s="41" t="str">
        <f t="shared" si="44"/>
        <v/>
      </c>
      <c r="I134" s="73" t="str">
        <f>IF(H134="","",IF($I$8="A",(RANK(H134,H$11:H$333,1)+COUNTIF(H$11:H134,H134)-1),(RANK(H134,H$11:H$333)+COUNTIF(H$11:H134,H134)-1)))</f>
        <v/>
      </c>
      <c r="J134" s="40"/>
      <c r="K134" s="35">
        <f t="shared" si="51"/>
        <v>124</v>
      </c>
      <c r="L134" t="str">
        <f t="shared" si="45"/>
        <v>Oadby &amp; Wigston</v>
      </c>
      <c r="M134" s="109">
        <f t="shared" si="46"/>
        <v>96.39</v>
      </c>
      <c r="N134" s="104">
        <f t="shared" si="55"/>
        <v>96.39</v>
      </c>
      <c r="O134" s="89" t="str">
        <f t="shared" si="56"/>
        <v/>
      </c>
      <c r="P134" s="89" t="str">
        <f t="shared" si="57"/>
        <v/>
      </c>
      <c r="Q134" s="89" t="str">
        <f t="shared" si="58"/>
        <v/>
      </c>
      <c r="R134" s="85">
        <f t="shared" si="59"/>
        <v>96.39</v>
      </c>
      <c r="S134" s="41" t="str">
        <f t="shared" si="60"/>
        <v/>
      </c>
      <c r="T134" s="166">
        <f>IF(L134="","",VLOOKUP(L134,classifications!C:K,9,FALSE))</f>
        <v>0</v>
      </c>
      <c r="U134" s="167" t="str">
        <f t="shared" si="61"/>
        <v/>
      </c>
      <c r="V134" s="173" t="str">
        <f>IF(U134="","",IF($I$8="A",(RANK(U134,U$11:U$333)+COUNTIF(U$11:U134,U134)-1),(RANK(U134,U$11:U$333,1)+COUNTIF(U$11:U134,U134)-1)))</f>
        <v/>
      </c>
      <c r="W134" s="174"/>
      <c r="X134" s="5" t="str">
        <f>IF(L134="","",VLOOKUP($L134,classifications!$C:$J,6,FALSE))</f>
        <v>Predominantly Urban</v>
      </c>
      <c r="Y134" t="str">
        <f t="shared" si="62"/>
        <v/>
      </c>
      <c r="Z134" s="39" t="str">
        <f>IF(Y134="","",IF(I$8="A",(RANK(Y134,Y$11:Y$333,1)+COUNTIF(Y$11:Y134,Y134)-1),(RANK(Y134,Y$11:Y$333)+COUNTIF(Y$11:Y134,Y134)-1)))</f>
        <v/>
      </c>
      <c r="AA134" s="177" t="str">
        <f>IF(L134="","",VLOOKUP($L134,classifications!C:I,7,FALSE))</f>
        <v>Predominantly Urban</v>
      </c>
      <c r="AB134" s="173" t="str">
        <f t="shared" si="63"/>
        <v/>
      </c>
      <c r="AC134" s="173" t="str">
        <f>IF(AB134="","",IF($I$8="A",(RANK(AB134,AB$11:AB$333)+COUNTIF(AB$11:AB134,AB134)-1),(RANK(AB134,AB$11:AB$333,1)+COUNTIF(AB$11:AB134,AB134)-1)))</f>
        <v/>
      </c>
      <c r="AD134" s="173"/>
      <c r="AE134" s="45" t="e">
        <f>IF(I$8="A",(RANK(AG134,AG$11:AG$333,1)+COUNTIF(AG$11:AG134,AG134)-1),(RANK(AG134,AG$11:AG$333)+COUNTIF(AG$11:AG134,AG134)-1))</f>
        <v>#N/A</v>
      </c>
      <c r="AF134" t="str">
        <f>VLOOKUP(Profile!$J$5,Families!$C:$R,2,FALSE)</f>
        <v>North Dorset</v>
      </c>
      <c r="AG134" s="15" t="e">
        <f t="shared" si="52"/>
        <v>#N/A</v>
      </c>
      <c r="AH134" s="46" t="e">
        <f t="shared" si="64"/>
        <v>#N/A</v>
      </c>
      <c r="AI134" s="5" t="str">
        <f>IF(L134="","",VLOOKUP($L134,classifications!$C:$J,8,FALSE))</f>
        <v>Leicestershire</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East Midlands</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97.41</v>
      </c>
    </row>
    <row r="135" spans="1:50">
      <c r="A135" s="55" t="str">
        <f>$D$1&amp;125</f>
        <v>SD125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f t="shared" si="51"/>
        <v>125</v>
      </c>
      <c r="L135" t="str">
        <f t="shared" si="45"/>
        <v>Watford</v>
      </c>
      <c r="M135" s="109">
        <f t="shared" si="46"/>
        <v>96.39</v>
      </c>
      <c r="N135" s="104">
        <f t="shared" si="55"/>
        <v>96.39</v>
      </c>
      <c r="O135" s="89" t="str">
        <f t="shared" si="56"/>
        <v/>
      </c>
      <c r="P135" s="89" t="str">
        <f t="shared" si="57"/>
        <v/>
      </c>
      <c r="Q135" s="89" t="str">
        <f t="shared" si="58"/>
        <v/>
      </c>
      <c r="R135" s="85">
        <f t="shared" si="59"/>
        <v>96.39</v>
      </c>
      <c r="S135" s="41" t="str">
        <f t="shared" si="60"/>
        <v/>
      </c>
      <c r="T135" s="166">
        <f>IF(L135="","",VLOOKUP(L135,classifications!C:K,9,FALSE))</f>
        <v>0</v>
      </c>
      <c r="U135" s="167" t="str">
        <f t="shared" si="61"/>
        <v/>
      </c>
      <c r="V135" s="173" t="str">
        <f>IF(U135="","",IF($I$8="A",(RANK(U135,U$11:U$333)+COUNTIF(U$11:U135,U135)-1),(RANK(U135,U$11:U$333,1)+COUNTIF(U$11:U135,U135)-1)))</f>
        <v/>
      </c>
      <c r="W135" s="174"/>
      <c r="X135" s="5" t="str">
        <f>IF(L135="","",VLOOKUP($L135,classifications!$C:$J,6,FALSE))</f>
        <v>Predominantly Urban</v>
      </c>
      <c r="Y135" t="str">
        <f t="shared" si="62"/>
        <v/>
      </c>
      <c r="Z135" s="39" t="str">
        <f>IF(Y135="","",IF(I$8="A",(RANK(Y135,Y$11:Y$333,1)+COUNTIF(Y$11:Y135,Y135)-1),(RANK(Y135,Y$11:Y$333)+COUNTIF(Y$11:Y135,Y135)-1)))</f>
        <v/>
      </c>
      <c r="AA135" s="177" t="str">
        <f>IF(L135="","",VLOOKUP($L135,classifications!C:I,7,FALSE))</f>
        <v>Predominantly Urban</v>
      </c>
      <c r="AB135" s="173" t="str">
        <f t="shared" si="63"/>
        <v/>
      </c>
      <c r="AC135" s="173" t="str">
        <f>IF(AB135="","",IF($I$8="A",(RANK(AB135,AB$11:AB$333)+COUNTIF(AB$11:AB135,AB135)-1),(RANK(AB135,AB$11:AB$333,1)+COUNTIF(AB$11:AB135,AB135)-1)))</f>
        <v/>
      </c>
      <c r="AD135" s="173"/>
      <c r="AE135" s="45" t="e">
        <f>IF(I$8="A",(RANK(AG135,AG$11:AG$333,1)+COUNTIF(AG$11:AG135,AG135)-1),(RANK(AG135,AG$11:AG$333)+COUNTIF(AG$11:AG135,AG135)-1))</f>
        <v>#N/A</v>
      </c>
      <c r="AF135" t="str">
        <f>VLOOKUP(Profile!$J$5,Families!$C:$R,2,FALSE)</f>
        <v>North Dorset</v>
      </c>
      <c r="AG135" s="15" t="e">
        <f t="shared" si="52"/>
        <v>#N/A</v>
      </c>
      <c r="AH135" s="46" t="e">
        <f t="shared" si="64"/>
        <v>#N/A</v>
      </c>
      <c r="AI135" s="5" t="str">
        <f>IF(L135="","",VLOOKUP($L135,classifications!$C:$J,8,FALSE))</f>
        <v>Hertfordshire</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East of England</v>
      </c>
      <c r="AQ135" s="42">
        <f t="shared" si="66"/>
        <v>96.39</v>
      </c>
      <c r="AR135" s="39">
        <f>IF(AQ135="","",IF(I$8="A",(RANK(AQ135,AQ$11:AQ$333,1)+COUNTIF(AQ$11:AQ135,AQ135)-1),(RANK(AQ135,AQ$11:AQ$333)+COUNTIF(AQ$11:AQ135,AQ135)-1)))</f>
        <v>31</v>
      </c>
      <c r="AS135" s="3" t="str">
        <f t="shared" si="54"/>
        <v/>
      </c>
      <c r="AT135" s="39" t="str">
        <f t="shared" si="49"/>
        <v/>
      </c>
      <c r="AU135" s="42" t="str">
        <f t="shared" si="50"/>
        <v/>
      </c>
      <c r="AX135" t="e">
        <f>HLOOKUP($AX$9&amp;$AX$10,Data!$A$1:$ZT$1975,(MATCH($C135,Data!$A$1:$A$1975,0)),FALSE)</f>
        <v>#N/A</v>
      </c>
    </row>
    <row r="136" spans="1:50">
      <c r="A136" s="55" t="str">
        <f>$D$1&amp;126</f>
        <v>SD126</v>
      </c>
      <c r="B136" s="56">
        <f>IF(ISERROR(VLOOKUP(A136,classifications!A:C,3,FALSE)),0,VLOOKUP(A136,classifications!A:C,3,FALSE))</f>
        <v>0</v>
      </c>
      <c r="C136" t="s">
        <v>85</v>
      </c>
      <c r="D136" t="str">
        <f>VLOOKUP($C136,classifications!$C:$J,4,FALSE)</f>
        <v>SD</v>
      </c>
      <c r="E136">
        <f>VLOOKUP(C136,classifications!C:K,9,FALSE)</f>
        <v>0</v>
      </c>
      <c r="F136">
        <f t="shared" si="43"/>
        <v>96.09</v>
      </c>
      <c r="G136" s="15"/>
      <c r="H136" s="41">
        <f t="shared" si="44"/>
        <v>96.09</v>
      </c>
      <c r="I136" s="73">
        <f>IF(H136="","",IF($I$8="A",(RANK(H136,H$11:H$333,1)+COUNTIF(H$11:H136,H136)-1),(RANK(H136,H$11:H$333)+COUNTIF(H$11:H136,H136)-1)))</f>
        <v>136</v>
      </c>
      <c r="J136" s="40"/>
      <c r="K136" s="35">
        <f t="shared" si="51"/>
        <v>126</v>
      </c>
      <c r="L136" t="str">
        <f t="shared" si="45"/>
        <v>South Ribble</v>
      </c>
      <c r="M136" s="109">
        <f t="shared" si="46"/>
        <v>96.37</v>
      </c>
      <c r="N136" s="104">
        <f t="shared" si="55"/>
        <v>96.37</v>
      </c>
      <c r="O136" s="89" t="str">
        <f t="shared" si="56"/>
        <v/>
      </c>
      <c r="P136" s="89" t="str">
        <f t="shared" si="57"/>
        <v/>
      </c>
      <c r="Q136" s="89" t="str">
        <f t="shared" si="58"/>
        <v/>
      </c>
      <c r="R136" s="85">
        <f t="shared" si="59"/>
        <v>96.37</v>
      </c>
      <c r="S136" s="41" t="str">
        <f t="shared" si="60"/>
        <v/>
      </c>
      <c r="T136" s="166">
        <f>IF(L136="","",VLOOKUP(L136,classifications!C:K,9,FALSE))</f>
        <v>0</v>
      </c>
      <c r="U136" s="167" t="str">
        <f t="shared" si="61"/>
        <v/>
      </c>
      <c r="V136" s="173" t="str">
        <f>IF(U136="","",IF($I$8="A",(RANK(U136,U$11:U$333)+COUNTIF(U$11:U136,U136)-1),(RANK(U136,U$11:U$333,1)+COUNTIF(U$11:U136,U136)-1)))</f>
        <v/>
      </c>
      <c r="W136" s="174"/>
      <c r="X136" s="5" t="str">
        <f>IF(L136="","",VLOOKUP($L136,classifications!$C:$J,6,FALSE))</f>
        <v>Predominantly Urban</v>
      </c>
      <c r="Y136" t="str">
        <f t="shared" si="62"/>
        <v/>
      </c>
      <c r="Z136" s="39" t="str">
        <f>IF(Y136="","",IF(I$8="A",(RANK(Y136,Y$11:Y$333,1)+COUNTIF(Y$11:Y136,Y136)-1),(RANK(Y136,Y$11:Y$333)+COUNTIF(Y$11:Y136,Y136)-1)))</f>
        <v/>
      </c>
      <c r="AA136" s="177" t="str">
        <f>IF(L136="","",VLOOKUP($L136,classifications!C:I,7,FALSE))</f>
        <v>Predominantly Urban</v>
      </c>
      <c r="AB136" s="173" t="str">
        <f t="shared" si="63"/>
        <v/>
      </c>
      <c r="AC136" s="173" t="str">
        <f>IF(AB136="","",IF($I$8="A",(RANK(AB136,AB$11:AB$333)+COUNTIF(AB$11:AB136,AB136)-1),(RANK(AB136,AB$11:AB$333,1)+COUNTIF(AB$11:AB136,AB136)-1)))</f>
        <v/>
      </c>
      <c r="AD136" s="173"/>
      <c r="AE136" s="45" t="e">
        <f>IF(I$8="A",(RANK(AG136,AG$11:AG$333,1)+COUNTIF(AG$11:AG136,AG136)-1),(RANK(AG136,AG$11:AG$333)+COUNTIF(AG$11:AG136,AG136)-1))</f>
        <v>#N/A</v>
      </c>
      <c r="AF136" t="str">
        <f>VLOOKUP(Profile!$J$5,Families!$C:$R,2,FALSE)</f>
        <v>North Dorset</v>
      </c>
      <c r="AG136" s="15" t="e">
        <f t="shared" si="52"/>
        <v>#N/A</v>
      </c>
      <c r="AH136" s="46" t="e">
        <f t="shared" si="64"/>
        <v>#N/A</v>
      </c>
      <c r="AI136" s="5" t="str">
        <f>IF(L136="","",VLOOKUP($L136,classifications!$C:$J,8,FALSE))</f>
        <v>Lancashire</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North West</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96.09</v>
      </c>
    </row>
    <row r="137" spans="1:50">
      <c r="A137" s="55" t="str">
        <f>$D$1&amp;127</f>
        <v>SD127</v>
      </c>
      <c r="B137" s="56">
        <f>IF(ISERROR(VLOOKUP(A137,classifications!A:C,3,FALSE)),0,VLOOKUP(A137,classifications!A:C,3,FALSE))</f>
        <v>0</v>
      </c>
      <c r="C137" t="s">
        <v>86</v>
      </c>
      <c r="D137" t="str">
        <f>VLOOKUP($C137,classifications!$C:$J,4,FALSE)</f>
        <v>SD</v>
      </c>
      <c r="E137">
        <f>VLOOKUP(C137,classifications!C:K,9,FALSE)</f>
        <v>0</v>
      </c>
      <c r="F137">
        <f t="shared" si="43"/>
        <v>98.28</v>
      </c>
      <c r="G137" s="15"/>
      <c r="H137" s="41">
        <f t="shared" si="44"/>
        <v>98.28</v>
      </c>
      <c r="I137" s="73">
        <f>IF(H137="","",IF($I$8="A",(RANK(H137,H$11:H$333,1)+COUNTIF(H$11:H137,H137)-1),(RANK(H137,H$11:H$333)+COUNTIF(H$11:H137,H137)-1)))</f>
        <v>31</v>
      </c>
      <c r="J137" s="40"/>
      <c r="K137" s="35">
        <f t="shared" si="51"/>
        <v>127</v>
      </c>
      <c r="L137" t="str">
        <f t="shared" si="45"/>
        <v>Oxford</v>
      </c>
      <c r="M137" s="109">
        <f t="shared" si="46"/>
        <v>96.33</v>
      </c>
      <c r="N137" s="104">
        <f t="shared" si="55"/>
        <v>96.33</v>
      </c>
      <c r="O137" s="89" t="str">
        <f t="shared" si="56"/>
        <v/>
      </c>
      <c r="P137" s="89" t="str">
        <f t="shared" si="57"/>
        <v/>
      </c>
      <c r="Q137" s="89" t="str">
        <f t="shared" si="58"/>
        <v/>
      </c>
      <c r="R137" s="85">
        <f t="shared" si="59"/>
        <v>96.33</v>
      </c>
      <c r="S137" s="41" t="str">
        <f t="shared" si="60"/>
        <v/>
      </c>
      <c r="T137" s="166">
        <f>IF(L137="","",VLOOKUP(L137,classifications!C:K,9,FALSE))</f>
        <v>0</v>
      </c>
      <c r="U137" s="167" t="str">
        <f t="shared" si="61"/>
        <v/>
      </c>
      <c r="V137" s="173" t="str">
        <f>IF(U137="","",IF($I$8="A",(RANK(U137,U$11:U$333)+COUNTIF(U$11:U137,U137)-1),(RANK(U137,U$11:U$333,1)+COUNTIF(U$11:U137,U137)-1)))</f>
        <v/>
      </c>
      <c r="W137" s="174"/>
      <c r="X137" s="5" t="str">
        <f>IF(L137="","",VLOOKUP($L137,classifications!$C:$J,6,FALSE))</f>
        <v>Predominantly Urban</v>
      </c>
      <c r="Y137" t="str">
        <f t="shared" si="62"/>
        <v/>
      </c>
      <c r="Z137" s="39" t="str">
        <f>IF(Y137="","",IF(I$8="A",(RANK(Y137,Y$11:Y$333,1)+COUNTIF(Y$11:Y137,Y137)-1),(RANK(Y137,Y$11:Y$333)+COUNTIF(Y$11:Y137,Y137)-1)))</f>
        <v/>
      </c>
      <c r="AA137" s="177" t="str">
        <f>IF(L137="","",VLOOKUP($L137,classifications!C:I,7,FALSE))</f>
        <v>Predominantly Urban</v>
      </c>
      <c r="AB137" s="173" t="str">
        <f t="shared" si="63"/>
        <v/>
      </c>
      <c r="AC137" s="173" t="str">
        <f>IF(AB137="","",IF($I$8="A",(RANK(AB137,AB$11:AB$333)+COUNTIF(AB$11:AB137,AB137)-1),(RANK(AB137,AB$11:AB$333,1)+COUNTIF(AB$11:AB137,AB137)-1)))</f>
        <v/>
      </c>
      <c r="AD137" s="173"/>
      <c r="AE137" s="45" t="e">
        <f>IF(I$8="A",(RANK(AG137,AG$11:AG$333,1)+COUNTIF(AG$11:AG137,AG137)-1),(RANK(AG137,AG$11:AG$333)+COUNTIF(AG$11:AG137,AG137)-1))</f>
        <v>#N/A</v>
      </c>
      <c r="AF137" t="str">
        <f>VLOOKUP(Profile!$J$5,Families!$C:$R,2,FALSE)</f>
        <v>North Dorset</v>
      </c>
      <c r="AG137" s="15" t="e">
        <f t="shared" si="52"/>
        <v>#N/A</v>
      </c>
      <c r="AH137" s="46" t="e">
        <f t="shared" si="64"/>
        <v>#N/A</v>
      </c>
      <c r="AI137" s="5" t="str">
        <f>IF(L137="","",VLOOKUP($L137,classifications!$C:$J,8,FALSE))</f>
        <v>Oxfordshire</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South East</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98.28</v>
      </c>
    </row>
    <row r="138" spans="1:50">
      <c r="A138" s="55" t="str">
        <f>$D$1&amp;128</f>
        <v>SD128</v>
      </c>
      <c r="B138" s="56">
        <f>IF(ISERROR(VLOOKUP(A138,classifications!A:C,3,FALSE)),0,VLOOKUP(A138,classifications!A:C,3,FALSE))</f>
        <v>0</v>
      </c>
      <c r="C138" t="s">
        <v>209</v>
      </c>
      <c r="D138" t="str">
        <f>VLOOKUP($C138,classifications!$C:$J,4,FALSE)</f>
        <v>L</v>
      </c>
      <c r="E138">
        <f>VLOOKUP(C138,classifications!C:K,9,FALSE)</f>
        <v>0</v>
      </c>
      <c r="F138">
        <f t="shared" si="43"/>
        <v>96.3</v>
      </c>
      <c r="G138" s="15"/>
      <c r="H138" s="41" t="str">
        <f t="shared" si="44"/>
        <v/>
      </c>
      <c r="I138" s="73" t="str">
        <f>IF(H138="","",IF($I$8="A",(RANK(H138,H$11:H$333,1)+COUNTIF(H$11:H138,H138)-1),(RANK(H138,H$11:H$333)+COUNTIF(H$11:H138,H138)-1)))</f>
        <v/>
      </c>
      <c r="J138" s="40"/>
      <c r="K138" s="35">
        <f t="shared" si="51"/>
        <v>128</v>
      </c>
      <c r="L138" t="str">
        <f t="shared" si="45"/>
        <v>Chesterfield</v>
      </c>
      <c r="M138" s="109">
        <f t="shared" si="46"/>
        <v>96.31</v>
      </c>
      <c r="N138" s="104">
        <f t="shared" si="55"/>
        <v>96.31</v>
      </c>
      <c r="O138" s="89" t="str">
        <f t="shared" si="56"/>
        <v/>
      </c>
      <c r="P138" s="89" t="str">
        <f t="shared" si="57"/>
        <v/>
      </c>
      <c r="Q138" s="89" t="str">
        <f t="shared" si="58"/>
        <v/>
      </c>
      <c r="R138" s="85">
        <f t="shared" si="59"/>
        <v>96.31</v>
      </c>
      <c r="S138" s="41" t="str">
        <f t="shared" si="60"/>
        <v/>
      </c>
      <c r="T138" s="166">
        <f>IF(L138="","",VLOOKUP(L138,classifications!C:K,9,FALSE))</f>
        <v>0</v>
      </c>
      <c r="U138" s="167" t="str">
        <f t="shared" si="61"/>
        <v/>
      </c>
      <c r="V138" s="173" t="str">
        <f>IF(U138="","",IF($I$8="A",(RANK(U138,U$11:U$333)+COUNTIF(U$11:U138,U138)-1),(RANK(U138,U$11:U$333,1)+COUNTIF(U$11:U138,U138)-1)))</f>
        <v/>
      </c>
      <c r="W138" s="174"/>
      <c r="X138" s="5" t="str">
        <f>IF(L138="","",VLOOKUP($L138,classifications!$C:$J,6,FALSE))</f>
        <v>Predominantly Urban</v>
      </c>
      <c r="Y138" t="str">
        <f t="shared" si="62"/>
        <v/>
      </c>
      <c r="Z138" s="39" t="str">
        <f>IF(Y138="","",IF(I$8="A",(RANK(Y138,Y$11:Y$333,1)+COUNTIF(Y$11:Y138,Y138)-1),(RANK(Y138,Y$11:Y$333)+COUNTIF(Y$11:Y138,Y138)-1)))</f>
        <v/>
      </c>
      <c r="AA138" s="177" t="str">
        <f>IF(L138="","",VLOOKUP($L138,classifications!C:I,7,FALSE))</f>
        <v>Predominantly Urban</v>
      </c>
      <c r="AB138" s="173" t="str">
        <f t="shared" si="63"/>
        <v/>
      </c>
      <c r="AC138" s="173" t="str">
        <f>IF(AB138="","",IF($I$8="A",(RANK(AB138,AB$11:AB$333)+COUNTIF(AB$11:AB138,AB138)-1),(RANK(AB138,AB$11:AB$333,1)+COUNTIF(AB$11:AB138,AB138)-1)))</f>
        <v/>
      </c>
      <c r="AD138" s="173"/>
      <c r="AE138" s="45" t="e">
        <f>IF(I$8="A",(RANK(AG138,AG$11:AG$333,1)+COUNTIF(AG$11:AG138,AG138)-1),(RANK(AG138,AG$11:AG$333)+COUNTIF(AG$11:AG138,AG138)-1))</f>
        <v>#N/A</v>
      </c>
      <c r="AF138" t="str">
        <f>VLOOKUP(Profile!$J$5,Families!$C:$R,2,FALSE)</f>
        <v>North Dorset</v>
      </c>
      <c r="AG138" s="15" t="e">
        <f t="shared" si="52"/>
        <v>#N/A</v>
      </c>
      <c r="AH138" s="46" t="e">
        <f t="shared" si="64"/>
        <v>#N/A</v>
      </c>
      <c r="AI138" s="5" t="str">
        <f>IF(L138="","",VLOOKUP($L138,classifications!$C:$J,8,FALSE))</f>
        <v>Derbyshire</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East Midlands</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96.3</v>
      </c>
    </row>
    <row r="139" spans="1:50">
      <c r="A139" s="55" t="str">
        <f>$D$1&amp;129</f>
        <v>SD129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97.52</v>
      </c>
      <c r="G139" s="15"/>
      <c r="H139" s="41">
        <f t="shared" ref="H139:H202" si="68">IF(D139=$D$1,HLOOKUP($D$6,$AX$10:$ZZ$337,ROW()-9,FALSE),"")</f>
        <v>97.52</v>
      </c>
      <c r="I139" s="73">
        <f>IF(H139="","",IF($I$8="A",(RANK(H139,H$11:H$333,1)+COUNTIF(H$11:H139,H139)-1),(RANK(H139,H$11:H$333)+COUNTIF(H$11:H139,H139)-1)))</f>
        <v>79</v>
      </c>
      <c r="J139" s="40"/>
      <c r="K139" s="35">
        <f t="shared" si="51"/>
        <v>129</v>
      </c>
      <c r="L139" t="str">
        <f t="shared" ref="L139:L202" si="69">IF(K139="","",INDEX(C$11:C$327,MATCH(K139,I$11:I$333,0)))</f>
        <v>Mansfield</v>
      </c>
      <c r="M139" s="109">
        <f t="shared" ref="M139:M202" si="70">IF(L139="","",IF(VLOOKUP(L139,C:D,2,FALSE)=$F$3,VLOOKUP(L139,C:H,6,FALSE),""))</f>
        <v>96.31</v>
      </c>
      <c r="N139" s="104">
        <f t="shared" si="55"/>
        <v>96.31</v>
      </c>
      <c r="O139" s="89" t="str">
        <f t="shared" si="56"/>
        <v/>
      </c>
      <c r="P139" s="89" t="str">
        <f t="shared" si="57"/>
        <v/>
      </c>
      <c r="Q139" s="89" t="str">
        <f t="shared" si="58"/>
        <v/>
      </c>
      <c r="R139" s="85">
        <f t="shared" si="59"/>
        <v>96.31</v>
      </c>
      <c r="S139" s="41" t="str">
        <f t="shared" si="60"/>
        <v/>
      </c>
      <c r="T139" s="166">
        <f>IF(L139="","",VLOOKUP(L139,classifications!C:K,9,FALSE))</f>
        <v>0</v>
      </c>
      <c r="U139" s="167" t="str">
        <f t="shared" si="61"/>
        <v/>
      </c>
      <c r="V139" s="173" t="str">
        <f>IF(U139="","",IF($I$8="A",(RANK(U139,U$11:U$333)+COUNTIF(U$11:U139,U139)-1),(RANK(U139,U$11:U$333,1)+COUNTIF(U$11:U139,U139)-1)))</f>
        <v/>
      </c>
      <c r="W139" s="174"/>
      <c r="X139" s="5" t="str">
        <f>IF(L139="","",VLOOKUP($L139,classifications!$C:$J,6,FALSE))</f>
        <v>Predominantly Urban</v>
      </c>
      <c r="Y139" t="str">
        <f t="shared" si="62"/>
        <v/>
      </c>
      <c r="Z139" s="39" t="str">
        <f>IF(Y139="","",IF(I$8="A",(RANK(Y139,Y$11:Y$333,1)+COUNTIF(Y$11:Y139,Y139)-1),(RANK(Y139,Y$11:Y$333)+COUNTIF(Y$11:Y139,Y139)-1)))</f>
        <v/>
      </c>
      <c r="AA139" s="177" t="str">
        <f>IF(L139="","",VLOOKUP($L139,classifications!C:I,7,FALSE))</f>
        <v>Predominantly Urban</v>
      </c>
      <c r="AB139" s="173" t="str">
        <f t="shared" si="63"/>
        <v/>
      </c>
      <c r="AC139" s="173" t="str">
        <f>IF(AB139="","",IF($I$8="A",(RANK(AB139,AB$11:AB$333)+COUNTIF(AB$11:AB139,AB139)-1),(RANK(AB139,AB$11:AB$333,1)+COUNTIF(AB$11:AB139,AB139)-1)))</f>
        <v/>
      </c>
      <c r="AD139" s="173"/>
      <c r="AE139" s="45" t="e">
        <f>IF(I$8="A",(RANK(AG139,AG$11:AG$333,1)+COUNTIF(AG$11:AG139,AG139)-1),(RANK(AG139,AG$11:AG$333)+COUNTIF(AG$11:AG139,AG139)-1))</f>
        <v>#N/A</v>
      </c>
      <c r="AF139" t="str">
        <f>VLOOKUP(Profile!$J$5,Families!$C:$R,2,FALSE)</f>
        <v>North Dorset</v>
      </c>
      <c r="AG139" s="15" t="e">
        <f t="shared" si="52"/>
        <v>#N/A</v>
      </c>
      <c r="AH139" s="46" t="e">
        <f t="shared" si="64"/>
        <v>#N/A</v>
      </c>
      <c r="AI139" s="5" t="str">
        <f>IF(L139="","",VLOOKUP($L139,classifications!$C:$J,8,FALSE))</f>
        <v>Nottinghamshire</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East Midlands</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97.52</v>
      </c>
    </row>
    <row r="140" spans="1:50">
      <c r="A140" s="55" t="str">
        <f>$D$1&amp;130</f>
        <v>SD130</v>
      </c>
      <c r="B140" s="56">
        <f>IF(ISERROR(VLOOKUP(A140,classifications!A:C,3,FALSE)),0,VLOOKUP(A140,classifications!A:C,3,FALSE))</f>
        <v>0</v>
      </c>
      <c r="C140" t="s">
        <v>87</v>
      </c>
      <c r="D140" t="str">
        <f>VLOOKUP($C140,classifications!$C:$J,4,FALSE)</f>
        <v>SD</v>
      </c>
      <c r="E140">
        <f>VLOOKUP(C140,classifications!C:K,9,FALSE)</f>
        <v>0</v>
      </c>
      <c r="F140">
        <f t="shared" si="67"/>
        <v>98.36</v>
      </c>
      <c r="G140" s="15"/>
      <c r="H140" s="41">
        <f t="shared" si="68"/>
        <v>98.36</v>
      </c>
      <c r="I140" s="73">
        <f>IF(H140="","",IF($I$8="A",(RANK(H140,H$11:H$333,1)+COUNTIF(H$11:H140,H140)-1),(RANK(H140,H$11:H$333)+COUNTIF(H$11:H140,H140)-1)))</f>
        <v>23</v>
      </c>
      <c r="J140" s="40"/>
      <c r="K140" s="35">
        <f t="shared" ref="K140:K203" si="75">IF(K139="","",IF(K139+1&gt;(COUNT(H$11:H$333)),"",K139+1))</f>
        <v>130</v>
      </c>
      <c r="L140" t="str">
        <f t="shared" si="69"/>
        <v>Ashfield</v>
      </c>
      <c r="M140" s="109">
        <f t="shared" si="70"/>
        <v>96.3</v>
      </c>
      <c r="N140" s="104">
        <f t="shared" si="55"/>
        <v>96.3</v>
      </c>
      <c r="O140" s="89" t="str">
        <f t="shared" si="56"/>
        <v/>
      </c>
      <c r="P140" s="89" t="str">
        <f t="shared" si="57"/>
        <v/>
      </c>
      <c r="Q140" s="89" t="str">
        <f t="shared" si="58"/>
        <v/>
      </c>
      <c r="R140" s="85">
        <f t="shared" si="59"/>
        <v>96.3</v>
      </c>
      <c r="S140" s="41" t="str">
        <f t="shared" si="60"/>
        <v/>
      </c>
      <c r="T140" s="166">
        <f>IF(L140="","",VLOOKUP(L140,classifications!C:K,9,FALSE))</f>
        <v>0</v>
      </c>
      <c r="U140" s="167" t="str">
        <f t="shared" si="61"/>
        <v/>
      </c>
      <c r="V140" s="173" t="str">
        <f>IF(U140="","",IF($I$8="A",(RANK(U140,U$11:U$333)+COUNTIF(U$11:U140,U140)-1),(RANK(U140,U$11:U$333,1)+COUNTIF(U$11:U140,U140)-1)))</f>
        <v/>
      </c>
      <c r="W140" s="174"/>
      <c r="X140" s="5" t="str">
        <f>IF(L140="","",VLOOKUP($L140,classifications!$C:$J,6,FALSE))</f>
        <v>Predominantly Urban</v>
      </c>
      <c r="Y140" t="str">
        <f t="shared" si="62"/>
        <v/>
      </c>
      <c r="Z140" s="39" t="str">
        <f>IF(Y140="","",IF(I$8="A",(RANK(Y140,Y$11:Y$333,1)+COUNTIF(Y$11:Y140,Y140)-1),(RANK(Y140,Y$11:Y$333)+COUNTIF(Y$11:Y140,Y140)-1)))</f>
        <v/>
      </c>
      <c r="AA140" s="177" t="str">
        <f>IF(L140="","",VLOOKUP($L140,classifications!C:I,7,FALSE))</f>
        <v>Predominantly Urban</v>
      </c>
      <c r="AB140" s="173" t="str">
        <f t="shared" si="63"/>
        <v/>
      </c>
      <c r="AC140" s="173" t="str">
        <f>IF(AB140="","",IF($I$8="A",(RANK(AB140,AB$11:AB$333)+COUNTIF(AB$11:AB140,AB140)-1),(RANK(AB140,AB$11:AB$333,1)+COUNTIF(AB$11:AB140,AB140)-1)))</f>
        <v/>
      </c>
      <c r="AD140" s="173"/>
      <c r="AE140" s="45" t="e">
        <f>IF(I$8="A",(RANK(AG140,AG$11:AG$333,1)+COUNTIF(AG$11:AG140,AG140)-1),(RANK(AG140,AG$11:AG$333)+COUNTIF(AG$11:AG140,AG140)-1))</f>
        <v>#N/A</v>
      </c>
      <c r="AF140" t="str">
        <f>VLOOKUP(Profile!$J$5,Families!$C:$R,2,FALSE)</f>
        <v>North Dorset</v>
      </c>
      <c r="AG140" s="15" t="e">
        <f t="shared" ref="AG140:AG203" si="76">VLOOKUP(AF140,$C$11:$H$333,4,FALSE)</f>
        <v>#N/A</v>
      </c>
      <c r="AH140" s="46" t="e">
        <f t="shared" si="64"/>
        <v>#N/A</v>
      </c>
      <c r="AI140" s="5" t="str">
        <f>IF(L140="","",VLOOKUP($L140,classifications!$C:$J,8,FALSE))</f>
        <v>Nottinghamshire</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East Midlands</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98.36</v>
      </c>
    </row>
    <row r="141" spans="1:50">
      <c r="A141" s="55" t="str">
        <f>$D$1&amp;131</f>
        <v>SD131</v>
      </c>
      <c r="B141" s="56">
        <f>IF(ISERROR(VLOOKUP(A141,classifications!A:C,3,FALSE)),0,VLOOKUP(A141,classifications!A:C,3,FALSE))</f>
        <v>0</v>
      </c>
      <c r="C141" t="s">
        <v>210</v>
      </c>
      <c r="D141" t="str">
        <f>VLOOKUP($C141,classifications!$C:$J,4,FALSE)</f>
        <v>L</v>
      </c>
      <c r="E141">
        <f>VLOOKUP(C141,classifications!C:K,9,FALSE)</f>
        <v>0</v>
      </c>
      <c r="F141">
        <f t="shared" si="67"/>
        <v>97.27</v>
      </c>
      <c r="G141" s="15"/>
      <c r="H141" s="41" t="str">
        <f t="shared" si="68"/>
        <v/>
      </c>
      <c r="I141" s="73" t="str">
        <f>IF(H141="","",IF($I$8="A",(RANK(H141,H$11:H$333,1)+COUNTIF(H$11:H141,H141)-1),(RANK(H141,H$11:H$333)+COUNTIF(H$11:H141,H141)-1)))</f>
        <v/>
      </c>
      <c r="J141" s="40"/>
      <c r="K141" s="35">
        <f t="shared" si="75"/>
        <v>131</v>
      </c>
      <c r="L141" t="str">
        <f t="shared" si="69"/>
        <v>Fenland</v>
      </c>
      <c r="M141" s="109">
        <f t="shared" si="70"/>
        <v>96.28</v>
      </c>
      <c r="N141" s="104">
        <f t="shared" si="55"/>
        <v>96.28</v>
      </c>
      <c r="O141" s="89" t="str">
        <f t="shared" si="56"/>
        <v/>
      </c>
      <c r="P141" s="89" t="str">
        <f t="shared" si="57"/>
        <v/>
      </c>
      <c r="Q141" s="89" t="str">
        <f t="shared" si="58"/>
        <v/>
      </c>
      <c r="R141" s="85">
        <f t="shared" si="59"/>
        <v>96.28</v>
      </c>
      <c r="S141" s="41" t="str">
        <f t="shared" si="60"/>
        <v/>
      </c>
      <c r="T141" s="166">
        <f>IF(L141="","",VLOOKUP(L141,classifications!C:K,9,FALSE))</f>
        <v>0</v>
      </c>
      <c r="U141" s="167" t="str">
        <f t="shared" si="61"/>
        <v/>
      </c>
      <c r="V141" s="173" t="str">
        <f>IF(U141="","",IF($I$8="A",(RANK(U141,U$11:U$333)+COUNTIF(U$11:U141,U141)-1),(RANK(U141,U$11:U$333,1)+COUNTIF(U$11:U141,U141)-1)))</f>
        <v/>
      </c>
      <c r="W141" s="174"/>
      <c r="X141" s="5" t="str">
        <f>IF(L141="","",VLOOKUP($L141,classifications!$C:$J,6,FALSE))</f>
        <v xml:space="preserve">Predominantly Rural </v>
      </c>
      <c r="Y141">
        <f t="shared" si="62"/>
        <v>96.28</v>
      </c>
      <c r="Z141" s="39">
        <f>IF(Y141="","",IF(I$8="A",(RANK(Y141,Y$11:Y$333,1)+COUNTIF(Y$11:Y141,Y141)-1),(RANK(Y141,Y$11:Y$333)+COUNTIF(Y$11:Y141,Y141)-1)))</f>
        <v>53</v>
      </c>
      <c r="AA141" s="177" t="str">
        <f>IF(L141="","",VLOOKUP($L141,classifications!C:I,7,FALSE))</f>
        <v>Predominantly Rural</v>
      </c>
      <c r="AB141" s="173">
        <f t="shared" si="63"/>
        <v>96.28</v>
      </c>
      <c r="AC141" s="173">
        <f>IF(AB141="","",IF($I$8="A",(RANK(AB141,AB$11:AB$333)+COUNTIF(AB$11:AB141,AB141)-1),(RANK(AB141,AB$11:AB$333,1)+COUNTIF(AB$11:AB141,AB141)-1)))</f>
        <v>7</v>
      </c>
      <c r="AD141" s="173"/>
      <c r="AE141" s="45" t="e">
        <f>IF(I$8="A",(RANK(AG141,AG$11:AG$333,1)+COUNTIF(AG$11:AG141,AG141)-1),(RANK(AG141,AG$11:AG$333)+COUNTIF(AG$11:AG141,AG141)-1))</f>
        <v>#N/A</v>
      </c>
      <c r="AF141" t="str">
        <f>VLOOKUP(Profile!$J$5,Families!$C:$R,2,FALSE)</f>
        <v>North Dorset</v>
      </c>
      <c r="AG141" s="15" t="e">
        <f t="shared" si="76"/>
        <v>#N/A</v>
      </c>
      <c r="AH141" s="46" t="e">
        <f t="shared" si="64"/>
        <v>#N/A</v>
      </c>
      <c r="AI141" s="5" t="str">
        <f>IF(L141="","",VLOOKUP($L141,classifications!$C:$J,8,FALSE))</f>
        <v>Cambridgeshire</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East of England</v>
      </c>
      <c r="AQ141" s="42">
        <f t="shared" si="66"/>
        <v>96.28</v>
      </c>
      <c r="AR141" s="39">
        <f>IF(AQ141="","",IF(I$8="A",(RANK(AQ141,AQ$11:AQ$333,1)+COUNTIF(AQ$11:AQ141,AQ141)-1),(RANK(AQ141,AQ$11:AQ$333)+COUNTIF(AQ$11:AQ141,AQ141)-1)))</f>
        <v>32</v>
      </c>
      <c r="AS141" s="3" t="str">
        <f t="shared" si="78"/>
        <v/>
      </c>
      <c r="AT141" s="39" t="str">
        <f t="shared" si="73"/>
        <v/>
      </c>
      <c r="AU141" s="42" t="str">
        <f t="shared" si="74"/>
        <v/>
      </c>
      <c r="AX141">
        <f>HLOOKUP($AX$9&amp;$AX$10,Data!$A$1:$ZT$1975,(MATCH($C141,Data!$A$1:$A$1975,0)),FALSE)</f>
        <v>97.27</v>
      </c>
    </row>
    <row r="142" spans="1:50">
      <c r="A142" s="55" t="str">
        <f>$D$1&amp;132</f>
        <v>SD132</v>
      </c>
      <c r="B142" s="56">
        <f>IF(ISERROR(VLOOKUP(A142,classifications!A:C,3,FALSE)),0,VLOOKUP(A142,classifications!A:C,3,FALSE))</f>
        <v>0</v>
      </c>
      <c r="C142" t="s">
        <v>88</v>
      </c>
      <c r="D142" t="str">
        <f>VLOOKUP($C142,classifications!$C:$J,4,FALSE)</f>
        <v>SD</v>
      </c>
      <c r="E142">
        <f>VLOOKUP(C142,classifications!C:K,9,FALSE)</f>
        <v>0</v>
      </c>
      <c r="F142">
        <f t="shared" si="67"/>
        <v>97.8</v>
      </c>
      <c r="G142" s="15"/>
      <c r="H142" s="41">
        <f t="shared" si="68"/>
        <v>97.8</v>
      </c>
      <c r="I142" s="73">
        <f>IF(H142="","",IF($I$8="A",(RANK(H142,H$11:H$333,1)+COUNTIF(H$11:H142,H142)-1),(RANK(H142,H$11:H$333)+COUNTIF(H$11:H142,H142)-1)))</f>
        <v>62</v>
      </c>
      <c r="J142" s="40"/>
      <c r="K142" s="35">
        <f t="shared" si="75"/>
        <v>132</v>
      </c>
      <c r="L142" t="str">
        <f t="shared" si="69"/>
        <v>Havant</v>
      </c>
      <c r="M142" s="109">
        <f t="shared" si="70"/>
        <v>96.28</v>
      </c>
      <c r="N142" s="104">
        <f t="shared" si="55"/>
        <v>96.28</v>
      </c>
      <c r="O142" s="89" t="str">
        <f t="shared" si="56"/>
        <v/>
      </c>
      <c r="P142" s="89" t="str">
        <f t="shared" si="57"/>
        <v/>
      </c>
      <c r="Q142" s="89" t="str">
        <f t="shared" si="58"/>
        <v/>
      </c>
      <c r="R142" s="85">
        <f t="shared" si="59"/>
        <v>96.28</v>
      </c>
      <c r="S142" s="41" t="str">
        <f t="shared" si="60"/>
        <v/>
      </c>
      <c r="T142" s="166">
        <f>IF(L142="","",VLOOKUP(L142,classifications!C:K,9,FALSE))</f>
        <v>0</v>
      </c>
      <c r="U142" s="167" t="str">
        <f t="shared" si="61"/>
        <v/>
      </c>
      <c r="V142" s="173" t="str">
        <f>IF(U142="","",IF($I$8="A",(RANK(U142,U$11:U$333)+COUNTIF(U$11:U142,U142)-1),(RANK(U142,U$11:U$333,1)+COUNTIF(U$11:U142,U142)-1)))</f>
        <v/>
      </c>
      <c r="W142" s="174"/>
      <c r="X142" s="5" t="str">
        <f>IF(L142="","",VLOOKUP($L142,classifications!$C:$J,6,FALSE))</f>
        <v>Predominantly Urban</v>
      </c>
      <c r="Y142" t="str">
        <f t="shared" si="62"/>
        <v/>
      </c>
      <c r="Z142" s="39" t="str">
        <f>IF(Y142="","",IF(I$8="A",(RANK(Y142,Y$11:Y$333,1)+COUNTIF(Y$11:Y142,Y142)-1),(RANK(Y142,Y$11:Y$333)+COUNTIF(Y$11:Y142,Y142)-1)))</f>
        <v/>
      </c>
      <c r="AA142" s="177" t="str">
        <f>IF(L142="","",VLOOKUP($L142,classifications!C:I,7,FALSE))</f>
        <v>Predominantly Urban</v>
      </c>
      <c r="AB142" s="173" t="str">
        <f t="shared" si="63"/>
        <v/>
      </c>
      <c r="AC142" s="173" t="str">
        <f>IF(AB142="","",IF($I$8="A",(RANK(AB142,AB$11:AB$333)+COUNTIF(AB$11:AB142,AB142)-1),(RANK(AB142,AB$11:AB$333,1)+COUNTIF(AB$11:AB142,AB142)-1)))</f>
        <v/>
      </c>
      <c r="AD142" s="173"/>
      <c r="AE142" s="45" t="e">
        <f>IF(I$8="A",(RANK(AG142,AG$11:AG$333,1)+COUNTIF(AG$11:AG142,AG142)-1),(RANK(AG142,AG$11:AG$333)+COUNTIF(AG$11:AG142,AG142)-1))</f>
        <v>#N/A</v>
      </c>
      <c r="AF142" t="str">
        <f>VLOOKUP(Profile!$J$5,Families!$C:$R,2,FALSE)</f>
        <v>North Dorset</v>
      </c>
      <c r="AG142" s="15" t="e">
        <f t="shared" si="76"/>
        <v>#N/A</v>
      </c>
      <c r="AH142" s="46" t="e">
        <f t="shared" si="64"/>
        <v>#N/A</v>
      </c>
      <c r="AI142" s="5" t="str">
        <f>IF(L142="","",VLOOKUP($L142,classifications!$C:$J,8,FALSE))</f>
        <v>Hampshire</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South East</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97.8</v>
      </c>
    </row>
    <row r="143" spans="1:50">
      <c r="A143" s="55" t="str">
        <f>$D$1&amp;133</f>
        <v>SD133</v>
      </c>
      <c r="B143" s="56">
        <f>IF(ISERROR(VLOOKUP(A143,classifications!A:C,3,FALSE)),0,VLOOKUP(A143,classifications!A:C,3,FALSE))</f>
        <v>0</v>
      </c>
      <c r="C143" t="s">
        <v>89</v>
      </c>
      <c r="D143" t="str">
        <f>VLOOKUP($C143,classifications!$C:$J,4,FALSE)</f>
        <v>SD</v>
      </c>
      <c r="E143">
        <f>VLOOKUP(C143,classifications!C:K,9,FALSE)</f>
        <v>0</v>
      </c>
      <c r="F143">
        <f t="shared" si="67"/>
        <v>94.37</v>
      </c>
      <c r="G143" s="15"/>
      <c r="H143" s="41">
        <f t="shared" si="68"/>
        <v>94.37</v>
      </c>
      <c r="I143" s="73">
        <f>IF(H143="","",IF($I$8="A",(RANK(H143,H$11:H$333,1)+COUNTIF(H$11:H143,H143)-1),(RANK(H143,H$11:H$333)+COUNTIF(H$11:H143,H143)-1)))</f>
        <v>155</v>
      </c>
      <c r="J143" s="40"/>
      <c r="K143" s="35">
        <f t="shared" si="75"/>
        <v>133</v>
      </c>
      <c r="L143" t="str">
        <f t="shared" si="69"/>
        <v>North Warwickshire</v>
      </c>
      <c r="M143" s="109">
        <f t="shared" si="70"/>
        <v>96.26</v>
      </c>
      <c r="N143" s="104">
        <f t="shared" si="55"/>
        <v>96.26</v>
      </c>
      <c r="O143" s="89" t="str">
        <f t="shared" si="56"/>
        <v/>
      </c>
      <c r="P143" s="89" t="str">
        <f t="shared" si="57"/>
        <v/>
      </c>
      <c r="Q143" s="89" t="str">
        <f t="shared" si="58"/>
        <v/>
      </c>
      <c r="R143" s="85">
        <f t="shared" si="59"/>
        <v>96.26</v>
      </c>
      <c r="S143" s="41" t="str">
        <f t="shared" si="60"/>
        <v/>
      </c>
      <c r="T143" s="166">
        <f>IF(L143="","",VLOOKUP(L143,classifications!C:K,9,FALSE))</f>
        <v>0</v>
      </c>
      <c r="U143" s="167" t="str">
        <f t="shared" si="61"/>
        <v/>
      </c>
      <c r="V143" s="173" t="str">
        <f>IF(U143="","",IF($I$8="A",(RANK(U143,U$11:U$333)+COUNTIF(U$11:U143,U143)-1),(RANK(U143,U$11:U$333,1)+COUNTIF(U$11:U143,U143)-1)))</f>
        <v/>
      </c>
      <c r="W143" s="174"/>
      <c r="X143" s="5" t="str">
        <f>IF(L143="","",VLOOKUP($L143,classifications!$C:$J,6,FALSE))</f>
        <v xml:space="preserve">Predominantly Rural </v>
      </c>
      <c r="Y143">
        <f t="shared" si="62"/>
        <v>96.26</v>
      </c>
      <c r="Z143" s="39">
        <f>IF(Y143="","",IF(I$8="A",(RANK(Y143,Y$11:Y$333,1)+COUNTIF(Y$11:Y143,Y143)-1),(RANK(Y143,Y$11:Y$333)+COUNTIF(Y$11:Y143,Y143)-1)))</f>
        <v>54</v>
      </c>
      <c r="AA143" s="177" t="str">
        <f>IF(L143="","",VLOOKUP($L143,classifications!C:I,7,FALSE))</f>
        <v>Predominantly Rural</v>
      </c>
      <c r="AB143" s="173">
        <f t="shared" si="63"/>
        <v>96.26</v>
      </c>
      <c r="AC143" s="173">
        <f>IF(AB143="","",IF($I$8="A",(RANK(AB143,AB$11:AB$333)+COUNTIF(AB$11:AB143,AB143)-1),(RANK(AB143,AB$11:AB$333,1)+COUNTIF(AB$11:AB143,AB143)-1)))</f>
        <v>6</v>
      </c>
      <c r="AD143" s="173"/>
      <c r="AE143" s="45" t="e">
        <f>IF(I$8="A",(RANK(AG143,AG$11:AG$333,1)+COUNTIF(AG$11:AG143,AG143)-1),(RANK(AG143,AG$11:AG$333)+COUNTIF(AG$11:AG143,AG143)-1))</f>
        <v>#N/A</v>
      </c>
      <c r="AF143" t="str">
        <f>VLOOKUP(Profile!$J$5,Families!$C:$R,2,FALSE)</f>
        <v>North Dorset</v>
      </c>
      <c r="AG143" s="15" t="e">
        <f t="shared" si="76"/>
        <v>#N/A</v>
      </c>
      <c r="AH143" s="46" t="e">
        <f t="shared" si="64"/>
        <v>#N/A</v>
      </c>
      <c r="AI143" s="5" t="str">
        <f>IF(L143="","",VLOOKUP($L143,classifications!$C:$J,8,FALSE))</f>
        <v>Warwickshire</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West Midlands</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94.37</v>
      </c>
    </row>
    <row r="144" spans="1:50">
      <c r="A144" s="55" t="str">
        <f>$D$1&amp;134</f>
        <v>SD134</v>
      </c>
      <c r="B144" s="56">
        <f>IF(ISERROR(VLOOKUP(A144,classifications!A:C,3,FALSE)),0,VLOOKUP(A144,classifications!A:C,3,FALSE))</f>
        <v>0</v>
      </c>
      <c r="C144" t="s">
        <v>90</v>
      </c>
      <c r="D144" t="str">
        <f>VLOOKUP($C144,classifications!$C:$J,4,FALSE)</f>
        <v>SD</v>
      </c>
      <c r="E144">
        <f>VLOOKUP(C144,classifications!C:K,9,FALSE)</f>
        <v>0</v>
      </c>
      <c r="F144">
        <f t="shared" si="67"/>
        <v>95.44</v>
      </c>
      <c r="G144" s="15"/>
      <c r="H144" s="41">
        <f t="shared" si="68"/>
        <v>95.44</v>
      </c>
      <c r="I144" s="73">
        <f>IF(H144="","",IF($I$8="A",(RANK(H144,H$11:H$333,1)+COUNTIF(H$11:H144,H144)-1),(RANK(H144,H$11:H$333)+COUNTIF(H$11:H144,H144)-1)))</f>
        <v>145</v>
      </c>
      <c r="J144" s="40"/>
      <c r="K144" s="35">
        <f t="shared" si="75"/>
        <v>134</v>
      </c>
      <c r="L144" t="str">
        <f t="shared" si="69"/>
        <v>Dartford</v>
      </c>
      <c r="M144" s="109">
        <f t="shared" si="70"/>
        <v>96.23</v>
      </c>
      <c r="N144" s="104">
        <f t="shared" si="55"/>
        <v>96.23</v>
      </c>
      <c r="O144" s="89" t="str">
        <f t="shared" si="56"/>
        <v/>
      </c>
      <c r="P144" s="89" t="str">
        <f t="shared" si="57"/>
        <v/>
      </c>
      <c r="Q144" s="89" t="str">
        <f t="shared" si="58"/>
        <v/>
      </c>
      <c r="R144" s="85">
        <f t="shared" si="59"/>
        <v>96.23</v>
      </c>
      <c r="S144" s="41" t="str">
        <f t="shared" si="60"/>
        <v/>
      </c>
      <c r="T144" s="166">
        <f>IF(L144="","",VLOOKUP(L144,classifications!C:K,9,FALSE))</f>
        <v>0</v>
      </c>
      <c r="U144" s="167" t="str">
        <f t="shared" si="61"/>
        <v/>
      </c>
      <c r="V144" s="173" t="str">
        <f>IF(U144="","",IF($I$8="A",(RANK(U144,U$11:U$333)+COUNTIF(U$11:U144,U144)-1),(RANK(U144,U$11:U$333,1)+COUNTIF(U$11:U144,U144)-1)))</f>
        <v/>
      </c>
      <c r="W144" s="174"/>
      <c r="X144" s="5" t="str">
        <f>IF(L144="","",VLOOKUP($L144,classifications!$C:$J,6,FALSE))</f>
        <v>Predominantly Urban</v>
      </c>
      <c r="Y144" t="str">
        <f t="shared" si="62"/>
        <v/>
      </c>
      <c r="Z144" s="39" t="str">
        <f>IF(Y144="","",IF(I$8="A",(RANK(Y144,Y$11:Y$333,1)+COUNTIF(Y$11:Y144,Y144)-1),(RANK(Y144,Y$11:Y$333)+COUNTIF(Y$11:Y144,Y144)-1)))</f>
        <v/>
      </c>
      <c r="AA144" s="177" t="str">
        <f>IF(L144="","",VLOOKUP($L144,classifications!C:I,7,FALSE))</f>
        <v>Predominantly Urban</v>
      </c>
      <c r="AB144" s="173" t="str">
        <f t="shared" si="63"/>
        <v/>
      </c>
      <c r="AC144" s="173" t="str">
        <f>IF(AB144="","",IF($I$8="A",(RANK(AB144,AB$11:AB$333)+COUNTIF(AB$11:AB144,AB144)-1),(RANK(AB144,AB$11:AB$333,1)+COUNTIF(AB$11:AB144,AB144)-1)))</f>
        <v/>
      </c>
      <c r="AD144" s="173"/>
      <c r="AE144" s="45" t="e">
        <f>IF(I$8="A",(RANK(AG144,AG$11:AG$333,1)+COUNTIF(AG$11:AG144,AG144)-1),(RANK(AG144,AG$11:AG$333)+COUNTIF(AG$11:AG144,AG144)-1))</f>
        <v>#N/A</v>
      </c>
      <c r="AF144" t="str">
        <f>VLOOKUP(Profile!$J$5,Families!$C:$R,2,FALSE)</f>
        <v>North Dorset</v>
      </c>
      <c r="AG144" s="15" t="e">
        <f t="shared" si="76"/>
        <v>#N/A</v>
      </c>
      <c r="AH144" s="46" t="e">
        <f t="shared" si="64"/>
        <v>#N/A</v>
      </c>
      <c r="AI144" s="5" t="str">
        <f>IF(L144="","",VLOOKUP($L144,classifications!$C:$J,8,FALSE))</f>
        <v>Kent</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South East</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95.44</v>
      </c>
    </row>
    <row r="145" spans="1:50">
      <c r="A145" s="55" t="str">
        <f>$D$1&amp;135</f>
        <v>SD135</v>
      </c>
      <c r="B145" s="56">
        <f>IF(ISERROR(VLOOKUP(A145,classifications!A:C,3,FALSE)),0,VLOOKUP(A145,classifications!A:C,3,FALSE))</f>
        <v>0</v>
      </c>
      <c r="C145" t="s">
        <v>810</v>
      </c>
      <c r="D145" t="str">
        <f>VLOOKUP($C145,classifications!$C:$J,4,FALSE)</f>
        <v>UA</v>
      </c>
      <c r="E145" t="str">
        <f>VLOOKUP(C145,classifications!C:K,9,FALSE)</f>
        <v>Sparse</v>
      </c>
      <c r="F145">
        <f t="shared" si="67"/>
        <v>95.71</v>
      </c>
      <c r="G145" s="15"/>
      <c r="H145" s="41" t="str">
        <f t="shared" si="68"/>
        <v/>
      </c>
      <c r="I145" s="73" t="str">
        <f>IF(H145="","",IF($I$8="A",(RANK(H145,H$11:H$333,1)+COUNTIF(H$11:H145,H145)-1),(RANK(H145,H$11:H$333)+COUNTIF(H$11:H145,H145)-1)))</f>
        <v/>
      </c>
      <c r="J145" s="40"/>
      <c r="K145" s="35">
        <f t="shared" si="75"/>
        <v>135</v>
      </c>
      <c r="L145" t="str">
        <f t="shared" si="69"/>
        <v>South Holland</v>
      </c>
      <c r="M145" s="109">
        <f t="shared" si="70"/>
        <v>96.19</v>
      </c>
      <c r="N145" s="104">
        <f t="shared" si="55"/>
        <v>96.19</v>
      </c>
      <c r="O145" s="89" t="str">
        <f t="shared" si="56"/>
        <v/>
      </c>
      <c r="P145" s="89" t="str">
        <f t="shared" si="57"/>
        <v/>
      </c>
      <c r="Q145" s="89" t="str">
        <f t="shared" si="58"/>
        <v/>
      </c>
      <c r="R145" s="85">
        <f t="shared" si="59"/>
        <v>96.19</v>
      </c>
      <c r="S145" s="41" t="str">
        <f t="shared" si="60"/>
        <v/>
      </c>
      <c r="T145" s="166" t="str">
        <f>IF(L145="","",VLOOKUP(L145,classifications!C:K,9,FALSE))</f>
        <v>Sparse</v>
      </c>
      <c r="U145" s="167">
        <f t="shared" si="61"/>
        <v>96.19</v>
      </c>
      <c r="V145" s="173">
        <f>IF(U145="","",IF($I$8="A",(RANK(U145,U$11:U$333)+COUNTIF(U$11:U145,U145)-1),(RANK(U145,U$11:U$333,1)+COUNTIF(U$11:U145,U145)-1)))</f>
        <v>4</v>
      </c>
      <c r="W145" s="174"/>
      <c r="X145" s="5" t="str">
        <f>IF(L145="","",VLOOKUP($L145,classifications!$C:$J,6,FALSE))</f>
        <v xml:space="preserve">Predominantly Rural </v>
      </c>
      <c r="Y145">
        <f t="shared" si="62"/>
        <v>96.19</v>
      </c>
      <c r="Z145" s="39">
        <f>IF(Y145="","",IF(I$8="A",(RANK(Y145,Y$11:Y$333,1)+COUNTIF(Y$11:Y145,Y145)-1),(RANK(Y145,Y$11:Y$333)+COUNTIF(Y$11:Y145,Y145)-1)))</f>
        <v>55</v>
      </c>
      <c r="AA145" s="177" t="str">
        <f>IF(L145="","",VLOOKUP($L145,classifications!C:I,7,FALSE))</f>
        <v>Predominantly Rural</v>
      </c>
      <c r="AB145" s="173">
        <f t="shared" si="63"/>
        <v>96.19</v>
      </c>
      <c r="AC145" s="173">
        <f>IF(AB145="","",IF($I$8="A",(RANK(AB145,AB$11:AB$333)+COUNTIF(AB$11:AB145,AB145)-1),(RANK(AB145,AB$11:AB$333,1)+COUNTIF(AB$11:AB145,AB145)-1)))</f>
        <v>5</v>
      </c>
      <c r="AD145" s="173"/>
      <c r="AE145" s="45" t="e">
        <f>IF(I$8="A",(RANK(AG145,AG$11:AG$333,1)+COUNTIF(AG$11:AG145,AG145)-1),(RANK(AG145,AG$11:AG$333)+COUNTIF(AG$11:AG145,AG145)-1))</f>
        <v>#N/A</v>
      </c>
      <c r="AF145" t="str">
        <f>VLOOKUP(Profile!$J$5,Families!$C:$R,2,FALSE)</f>
        <v>North Dorset</v>
      </c>
      <c r="AG145" s="15" t="e">
        <f t="shared" si="76"/>
        <v>#N/A</v>
      </c>
      <c r="AH145" s="46" t="e">
        <f t="shared" si="64"/>
        <v>#N/A</v>
      </c>
      <c r="AI145" s="5" t="str">
        <f>IF(L145="","",VLOOKUP($L145,classifications!$C:$J,8,FALSE))</f>
        <v>Lincolnshire</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East Midlands</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95.71</v>
      </c>
    </row>
    <row r="146" spans="1:50">
      <c r="A146" s="55" t="str">
        <f>$D$1&amp;136</f>
        <v>SD136</v>
      </c>
      <c r="B146" s="56">
        <f>IF(ISERROR(VLOOKUP(A146,classifications!A:C,3,FALSE)),0,VLOOKUP(A146,classifications!A:C,3,FALSE))</f>
        <v>0</v>
      </c>
      <c r="C146" t="s">
        <v>2</v>
      </c>
      <c r="D146">
        <f>VLOOKUP($C146,classifications!$C:$J,4,FALSE)</f>
        <v>0</v>
      </c>
      <c r="E146">
        <f>VLOOKUP(C146,classifications!C:K,9,FALSE)</f>
        <v>0</v>
      </c>
      <c r="F146">
        <f t="shared" si="67"/>
        <v>97.15</v>
      </c>
      <c r="G146" s="15"/>
      <c r="H146" s="41" t="str">
        <f t="shared" si="68"/>
        <v/>
      </c>
      <c r="I146" s="73" t="str">
        <f>IF(H146="","",IF($I$8="A",(RANK(H146,H$11:H$333,1)+COUNTIF(H$11:H146,H146)-1),(RANK(H146,H$11:H$333)+COUNTIF(H$11:H146,H146)-1)))</f>
        <v/>
      </c>
      <c r="J146" s="40"/>
      <c r="K146" s="35">
        <f t="shared" si="75"/>
        <v>136</v>
      </c>
      <c r="L146" t="str">
        <f t="shared" si="69"/>
        <v>Hertsmere</v>
      </c>
      <c r="M146" s="109">
        <f t="shared" si="70"/>
        <v>96.09</v>
      </c>
      <c r="N146" s="104">
        <f t="shared" si="55"/>
        <v>96.09</v>
      </c>
      <c r="O146" s="89" t="str">
        <f t="shared" si="56"/>
        <v/>
      </c>
      <c r="P146" s="89" t="str">
        <f t="shared" si="57"/>
        <v/>
      </c>
      <c r="Q146" s="89" t="str">
        <f t="shared" si="58"/>
        <v/>
      </c>
      <c r="R146" s="85">
        <f t="shared" si="59"/>
        <v>96.09</v>
      </c>
      <c r="S146" s="41" t="str">
        <f t="shared" si="60"/>
        <v/>
      </c>
      <c r="T146" s="166">
        <f>IF(L146="","",VLOOKUP(L146,classifications!C:K,9,FALSE))</f>
        <v>0</v>
      </c>
      <c r="U146" s="167" t="str">
        <f t="shared" si="61"/>
        <v/>
      </c>
      <c r="V146" s="173" t="str">
        <f>IF(U146="","",IF($I$8="A",(RANK(U146,U$11:U$333)+COUNTIF(U$11:U146,U146)-1),(RANK(U146,U$11:U$333,1)+COUNTIF(U$11:U146,U146)-1)))</f>
        <v/>
      </c>
      <c r="W146" s="174"/>
      <c r="X146" s="5" t="str">
        <f>IF(L146="","",VLOOKUP($L146,classifications!$C:$J,6,FALSE))</f>
        <v>Predominantly Urban</v>
      </c>
      <c r="Y146" t="str">
        <f t="shared" si="62"/>
        <v/>
      </c>
      <c r="Z146" s="39" t="str">
        <f>IF(Y146="","",IF(I$8="A",(RANK(Y146,Y$11:Y$333,1)+COUNTIF(Y$11:Y146,Y146)-1),(RANK(Y146,Y$11:Y$333)+COUNTIF(Y$11:Y146,Y146)-1)))</f>
        <v/>
      </c>
      <c r="AA146" s="177" t="str">
        <f>IF(L146="","",VLOOKUP($L146,classifications!C:I,7,FALSE))</f>
        <v>Predominantly Urban</v>
      </c>
      <c r="AB146" s="173" t="str">
        <f t="shared" si="63"/>
        <v/>
      </c>
      <c r="AC146" s="173" t="str">
        <f>IF(AB146="","",IF($I$8="A",(RANK(AB146,AB$11:AB$333)+COUNTIF(AB$11:AB146,AB146)-1),(RANK(AB146,AB$11:AB$333,1)+COUNTIF(AB$11:AB146,AB146)-1)))</f>
        <v/>
      </c>
      <c r="AD146" s="173"/>
      <c r="AE146" s="45" t="e">
        <f>IF(I$8="A",(RANK(AG146,AG$11:AG$333,1)+COUNTIF(AG$11:AG146,AG146)-1),(RANK(AG146,AG$11:AG$333)+COUNTIF(AG$11:AG146,AG146)-1))</f>
        <v>#N/A</v>
      </c>
      <c r="AF146" t="str">
        <f>VLOOKUP(Profile!$J$5,Families!$C:$R,2,FALSE)</f>
        <v>North Dorset</v>
      </c>
      <c r="AG146" s="15" t="e">
        <f t="shared" si="76"/>
        <v>#N/A</v>
      </c>
      <c r="AH146" s="46" t="e">
        <f t="shared" si="64"/>
        <v>#N/A</v>
      </c>
      <c r="AI146" s="5" t="str">
        <f>IF(L146="","",VLOOKUP($L146,classifications!$C:$J,8,FALSE))</f>
        <v>Hertfordshire</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East of England</v>
      </c>
      <c r="AQ146" s="42">
        <f t="shared" si="66"/>
        <v>96.09</v>
      </c>
      <c r="AR146" s="39">
        <f>IF(AQ146="","",IF(I$8="A",(RANK(AQ146,AQ$11:AQ$333,1)+COUNTIF(AQ$11:AQ146,AQ146)-1),(RANK(AQ146,AQ$11:AQ$333)+COUNTIF(AQ$11:AQ146,AQ146)-1)))</f>
        <v>33</v>
      </c>
      <c r="AS146" s="3" t="str">
        <f t="shared" si="78"/>
        <v/>
      </c>
      <c r="AT146" s="39" t="str">
        <f t="shared" si="73"/>
        <v/>
      </c>
      <c r="AU146" s="42" t="str">
        <f t="shared" si="74"/>
        <v/>
      </c>
      <c r="AX146">
        <f>HLOOKUP($AX$9&amp;$AX$10,Data!$A$1:$ZT$1975,(MATCH($C146,Data!$A$1:$A$1975,0)),FALSE)</f>
        <v>97.15</v>
      </c>
    </row>
    <row r="147" spans="1:50">
      <c r="A147" s="55" t="str">
        <f>$D$1&amp;137</f>
        <v>SD137</v>
      </c>
      <c r="B147" s="56">
        <f>IF(ISERROR(VLOOKUP(A147,classifications!A:C,3,FALSE)),0,VLOOKUP(A147,classifications!A:C,3,FALSE))</f>
        <v>0</v>
      </c>
      <c r="C147" t="s">
        <v>211</v>
      </c>
      <c r="D147" t="str">
        <f>VLOOKUP($C147,classifications!$C:$J,4,FALSE)</f>
        <v>L</v>
      </c>
      <c r="E147">
        <f>VLOOKUP(C147,classifications!C:K,9,FALSE)</f>
        <v>0</v>
      </c>
      <c r="F147">
        <f t="shared" si="67"/>
        <v>94.32</v>
      </c>
      <c r="G147" s="15"/>
      <c r="H147" s="41" t="str">
        <f t="shared" si="68"/>
        <v/>
      </c>
      <c r="I147" s="73" t="str">
        <f>IF(H147="","",IF($I$8="A",(RANK(H147,H$11:H$333,1)+COUNTIF(H$11:H147,H147)-1),(RANK(H147,H$11:H$333)+COUNTIF(H$11:H147,H147)-1)))</f>
        <v/>
      </c>
      <c r="J147" s="40"/>
      <c r="K147" s="35">
        <f t="shared" si="75"/>
        <v>137</v>
      </c>
      <c r="L147" t="str">
        <f t="shared" si="69"/>
        <v>Redditch</v>
      </c>
      <c r="M147" s="109">
        <f t="shared" si="70"/>
        <v>96.05</v>
      </c>
      <c r="N147" s="104">
        <f t="shared" si="55"/>
        <v>96.05</v>
      </c>
      <c r="O147" s="89" t="str">
        <f t="shared" si="56"/>
        <v/>
      </c>
      <c r="P147" s="89" t="str">
        <f t="shared" si="57"/>
        <v/>
      </c>
      <c r="Q147" s="89" t="str">
        <f t="shared" si="58"/>
        <v/>
      </c>
      <c r="R147" s="85">
        <f t="shared" si="59"/>
        <v>96.05</v>
      </c>
      <c r="S147" s="41" t="str">
        <f t="shared" si="60"/>
        <v/>
      </c>
      <c r="T147" s="166">
        <f>IF(L147="","",VLOOKUP(L147,classifications!C:K,9,FALSE))</f>
        <v>0</v>
      </c>
      <c r="U147" s="167" t="str">
        <f t="shared" si="61"/>
        <v/>
      </c>
      <c r="V147" s="173" t="str">
        <f>IF(U147="","",IF($I$8="A",(RANK(U147,U$11:U$333)+COUNTIF(U$11:U147,U147)-1),(RANK(U147,U$11:U$333,1)+COUNTIF(U$11:U147,U147)-1)))</f>
        <v/>
      </c>
      <c r="W147" s="174"/>
      <c r="X147" s="5" t="str">
        <f>IF(L147="","",VLOOKUP($L147,classifications!$C:$J,6,FALSE))</f>
        <v>Predominantly Urban</v>
      </c>
      <c r="Y147" t="str">
        <f t="shared" si="62"/>
        <v/>
      </c>
      <c r="Z147" s="39" t="str">
        <f>IF(Y147="","",IF(I$8="A",(RANK(Y147,Y$11:Y$333,1)+COUNTIF(Y$11:Y147,Y147)-1),(RANK(Y147,Y$11:Y$333)+COUNTIF(Y$11:Y147,Y147)-1)))</f>
        <v/>
      </c>
      <c r="AA147" s="177" t="str">
        <f>IF(L147="","",VLOOKUP($L147,classifications!C:I,7,FALSE))</f>
        <v>Predominantly Urban</v>
      </c>
      <c r="AB147" s="173" t="str">
        <f t="shared" si="63"/>
        <v/>
      </c>
      <c r="AC147" s="173" t="str">
        <f>IF(AB147="","",IF($I$8="A",(RANK(AB147,AB$11:AB$333)+COUNTIF(AB$11:AB147,AB147)-1),(RANK(AB147,AB$11:AB$333,1)+COUNTIF(AB$11:AB147,AB147)-1)))</f>
        <v/>
      </c>
      <c r="AD147" s="173"/>
      <c r="AE147" s="45" t="e">
        <f>IF(I$8="A",(RANK(AG147,AG$11:AG$333,1)+COUNTIF(AG$11:AG147,AG147)-1),(RANK(AG147,AG$11:AG$333)+COUNTIF(AG$11:AG147,AG147)-1))</f>
        <v>#N/A</v>
      </c>
      <c r="AF147" t="str">
        <f>VLOOKUP(Profile!$J$5,Families!$C:$R,2,FALSE)</f>
        <v>North Dorset</v>
      </c>
      <c r="AG147" s="15" t="e">
        <f t="shared" si="76"/>
        <v>#N/A</v>
      </c>
      <c r="AH147" s="46" t="e">
        <f t="shared" si="64"/>
        <v>#N/A</v>
      </c>
      <c r="AI147" s="5" t="str">
        <f>IF(L147="","",VLOOKUP($L147,classifications!$C:$J,8,FALSE))</f>
        <v>Worcestershire</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West Midlands</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94.32</v>
      </c>
    </row>
    <row r="148" spans="1:50">
      <c r="A148" s="55" t="str">
        <f>$D$1&amp;138</f>
        <v>SD138</v>
      </c>
      <c r="B148" s="56">
        <f>IF(ISERROR(VLOOKUP(A148,classifications!A:C,3,FALSE)),0,VLOOKUP(A148,classifications!A:C,3,FALSE))</f>
        <v>0</v>
      </c>
      <c r="C148" t="s">
        <v>337</v>
      </c>
      <c r="D148" t="str">
        <f>VLOOKUP($C148,classifications!$C:$J,4,FALSE)</f>
        <v>L</v>
      </c>
      <c r="E148">
        <f>VLOOKUP(C148,classifications!C:K,9,FALSE)</f>
        <v>0</v>
      </c>
      <c r="F148">
        <f t="shared" si="67"/>
        <v>97.35</v>
      </c>
      <c r="G148" s="15"/>
      <c r="H148" s="41" t="str">
        <f t="shared" si="68"/>
        <v/>
      </c>
      <c r="I148" s="73" t="str">
        <f>IF(H148="","",IF($I$8="A",(RANK(H148,H$11:H$333,1)+COUNTIF(H$11:H148,H148)-1),(RANK(H148,H$11:H$333)+COUNTIF(H$11:H148,H148)-1)))</f>
        <v/>
      </c>
      <c r="J148" s="40"/>
      <c r="K148" s="35">
        <f t="shared" si="75"/>
        <v>138</v>
      </c>
      <c r="L148" t="str">
        <f t="shared" si="69"/>
        <v>Gloucester</v>
      </c>
      <c r="M148" s="109">
        <f t="shared" si="70"/>
        <v>95.93</v>
      </c>
      <c r="N148" s="104">
        <f t="shared" si="55"/>
        <v>95.93</v>
      </c>
      <c r="O148" s="89" t="str">
        <f t="shared" si="56"/>
        <v/>
      </c>
      <c r="P148" s="89" t="str">
        <f t="shared" si="57"/>
        <v/>
      </c>
      <c r="Q148" s="89" t="str">
        <f t="shared" si="58"/>
        <v/>
      </c>
      <c r="R148" s="85">
        <f t="shared" si="59"/>
        <v>95.93</v>
      </c>
      <c r="S148" s="41" t="str">
        <f t="shared" si="60"/>
        <v/>
      </c>
      <c r="T148" s="166">
        <f>IF(L148="","",VLOOKUP(L148,classifications!C:K,9,FALSE))</f>
        <v>0</v>
      </c>
      <c r="U148" s="167" t="str">
        <f t="shared" si="61"/>
        <v/>
      </c>
      <c r="V148" s="173" t="str">
        <f>IF(U148="","",IF($I$8="A",(RANK(U148,U$11:U$333)+COUNTIF(U$11:U148,U148)-1),(RANK(U148,U$11:U$333,1)+COUNTIF(U$11:U148,U148)-1)))</f>
        <v/>
      </c>
      <c r="W148" s="174"/>
      <c r="X148" s="5" t="str">
        <f>IF(L148="","",VLOOKUP($L148,classifications!$C:$J,6,FALSE))</f>
        <v>Predominantly Urban</v>
      </c>
      <c r="Y148" t="str">
        <f t="shared" si="62"/>
        <v/>
      </c>
      <c r="Z148" s="39" t="str">
        <f>IF(Y148="","",IF(I$8="A",(RANK(Y148,Y$11:Y$333,1)+COUNTIF(Y$11:Y148,Y148)-1),(RANK(Y148,Y$11:Y$333)+COUNTIF(Y$11:Y148,Y148)-1)))</f>
        <v/>
      </c>
      <c r="AA148" s="177" t="str">
        <f>IF(L148="","",VLOOKUP($L148,classifications!C:I,7,FALSE))</f>
        <v>Predominantly Urban</v>
      </c>
      <c r="AB148" s="173" t="str">
        <f t="shared" si="63"/>
        <v/>
      </c>
      <c r="AC148" s="173" t="str">
        <f>IF(AB148="","",IF($I$8="A",(RANK(AB148,AB$11:AB$333)+COUNTIF(AB$11:AB148,AB148)-1),(RANK(AB148,AB$11:AB$333,1)+COUNTIF(AB$11:AB148,AB148)-1)))</f>
        <v/>
      </c>
      <c r="AD148" s="173"/>
      <c r="AE148" s="45" t="e">
        <f>IF(I$8="A",(RANK(AG148,AG$11:AG$333,1)+COUNTIF(AG$11:AG148,AG148)-1),(RANK(AG148,AG$11:AG$333)+COUNTIF(AG$11:AG148,AG148)-1))</f>
        <v>#N/A</v>
      </c>
      <c r="AF148" t="str">
        <f>VLOOKUP(Profile!$J$5,Families!$C:$R,2,FALSE)</f>
        <v>North Dorset</v>
      </c>
      <c r="AG148" s="15" t="e">
        <f t="shared" si="76"/>
        <v>#N/A</v>
      </c>
      <c r="AH148" s="46" t="e">
        <f t="shared" si="64"/>
        <v>#N/A</v>
      </c>
      <c r="AI148" s="5" t="str">
        <f>IF(L148="","",VLOOKUP($L148,classifications!$C:$J,8,FALSE))</f>
        <v>Gloucestershire</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South West</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97.35</v>
      </c>
    </row>
    <row r="149" spans="1:50">
      <c r="A149" s="55" t="str">
        <f>$D$1&amp;139</f>
        <v>SD139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f t="shared" si="75"/>
        <v>139</v>
      </c>
      <c r="L149" t="str">
        <f t="shared" si="69"/>
        <v>Erewash</v>
      </c>
      <c r="M149" s="109">
        <f t="shared" si="70"/>
        <v>95.84</v>
      </c>
      <c r="N149" s="104">
        <f t="shared" si="55"/>
        <v>95.84</v>
      </c>
      <c r="O149" s="89" t="str">
        <f t="shared" si="56"/>
        <v/>
      </c>
      <c r="P149" s="89" t="str">
        <f t="shared" si="57"/>
        <v/>
      </c>
      <c r="Q149" s="89" t="str">
        <f t="shared" si="58"/>
        <v/>
      </c>
      <c r="R149" s="85">
        <f t="shared" si="59"/>
        <v>95.84</v>
      </c>
      <c r="S149" s="41" t="str">
        <f t="shared" si="60"/>
        <v/>
      </c>
      <c r="T149" s="166">
        <f>IF(L149="","",VLOOKUP(L149,classifications!C:K,9,FALSE))</f>
        <v>0</v>
      </c>
      <c r="U149" s="167" t="str">
        <f t="shared" si="61"/>
        <v/>
      </c>
      <c r="V149" s="173" t="str">
        <f>IF(U149="","",IF($I$8="A",(RANK(U149,U$11:U$333)+COUNTIF(U$11:U149,U149)-1),(RANK(U149,U$11:U$333,1)+COUNTIF(U$11:U149,U149)-1)))</f>
        <v/>
      </c>
      <c r="W149" s="174"/>
      <c r="X149" s="5" t="str">
        <f>IF(L149="","",VLOOKUP($L149,classifications!$C:$J,6,FALSE))</f>
        <v>Predominantly Urban</v>
      </c>
      <c r="Y149" t="str">
        <f t="shared" si="62"/>
        <v/>
      </c>
      <c r="Z149" s="39" t="str">
        <f>IF(Y149="","",IF(I$8="A",(RANK(Y149,Y$11:Y$333,1)+COUNTIF(Y$11:Y149,Y149)-1),(RANK(Y149,Y$11:Y$333)+COUNTIF(Y$11:Y149,Y149)-1)))</f>
        <v/>
      </c>
      <c r="AA149" s="177" t="str">
        <f>IF(L149="","",VLOOKUP($L149,classifications!C:I,7,FALSE))</f>
        <v>Predominantly Urban</v>
      </c>
      <c r="AB149" s="173" t="str">
        <f t="shared" si="63"/>
        <v/>
      </c>
      <c r="AC149" s="173" t="str">
        <f>IF(AB149="","",IF($I$8="A",(RANK(AB149,AB$11:AB$333)+COUNTIF(AB$11:AB149,AB149)-1),(RANK(AB149,AB$11:AB$333,1)+COUNTIF(AB$11:AB149,AB149)-1)))</f>
        <v/>
      </c>
      <c r="AD149" s="173"/>
      <c r="AE149" s="45" t="e">
        <f>IF(I$8="A",(RANK(AG149,AG$11:AG$333,1)+COUNTIF(AG$11:AG149,AG149)-1),(RANK(AG149,AG$11:AG$333)+COUNTIF(AG$11:AG149,AG149)-1))</f>
        <v>#N/A</v>
      </c>
      <c r="AF149" t="str">
        <f>VLOOKUP(Profile!$J$5,Families!$C:$R,2,FALSE)</f>
        <v>North Dorset</v>
      </c>
      <c r="AG149" s="15" t="e">
        <f t="shared" si="76"/>
        <v>#N/A</v>
      </c>
      <c r="AH149" s="46" t="e">
        <f t="shared" si="64"/>
        <v>#N/A</v>
      </c>
      <c r="AI149" s="5" t="str">
        <f>IF(L149="","",VLOOKUP($L149,classifications!$C:$J,8,FALSE))</f>
        <v>Derbyshire</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East Midlands</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SD140</v>
      </c>
      <c r="B150" s="56">
        <f>IF(ISERROR(VLOOKUP(A150,classifications!A:C,3,FALSE)),0,VLOOKUP(A150,classifications!A:C,3,FALSE))</f>
        <v>0</v>
      </c>
      <c r="C150" t="s">
        <v>375</v>
      </c>
      <c r="D150" t="str">
        <f>VLOOKUP($C150,classifications!$C:$J,4,FALSE)</f>
        <v>SD</v>
      </c>
      <c r="E150" t="str">
        <f>VLOOKUP(C150,classifications!C:K,9,FALSE)</f>
        <v>Sparse</v>
      </c>
      <c r="F150">
        <f t="shared" si="67"/>
        <v>97.16</v>
      </c>
      <c r="G150" s="15"/>
      <c r="H150" s="41">
        <f t="shared" si="68"/>
        <v>97.16</v>
      </c>
      <c r="I150" s="73">
        <f>IF(H150="","",IF($I$8="A",(RANK(H150,H$11:H$333,1)+COUNTIF(H$11:H150,H150)-1),(RANK(H150,H$11:H$333)+COUNTIF(H$11:H150,H150)-1)))</f>
        <v>94</v>
      </c>
      <c r="J150" s="40"/>
      <c r="K150" s="35">
        <f t="shared" si="75"/>
        <v>140</v>
      </c>
      <c r="L150" t="str">
        <f t="shared" si="69"/>
        <v>Rossendale</v>
      </c>
      <c r="M150" s="109">
        <f t="shared" si="70"/>
        <v>95.75</v>
      </c>
      <c r="N150" s="104">
        <f t="shared" si="55"/>
        <v>95.75</v>
      </c>
      <c r="O150" s="89" t="str">
        <f t="shared" si="56"/>
        <v/>
      </c>
      <c r="P150" s="89" t="str">
        <f t="shared" si="57"/>
        <v/>
      </c>
      <c r="Q150" s="89" t="str">
        <f t="shared" si="58"/>
        <v/>
      </c>
      <c r="R150" s="85">
        <f t="shared" si="59"/>
        <v>95.75</v>
      </c>
      <c r="S150" s="41" t="str">
        <f t="shared" si="60"/>
        <v/>
      </c>
      <c r="T150" s="166">
        <f>IF(L150="","",VLOOKUP(L150,classifications!C:K,9,FALSE))</f>
        <v>0</v>
      </c>
      <c r="U150" s="167" t="str">
        <f t="shared" si="61"/>
        <v/>
      </c>
      <c r="V150" s="173" t="str">
        <f>IF(U150="","",IF($I$8="A",(RANK(U150,U$11:U$333)+COUNTIF(U$11:U150,U150)-1),(RANK(U150,U$11:U$333,1)+COUNTIF(U$11:U150,U150)-1)))</f>
        <v/>
      </c>
      <c r="W150" s="174"/>
      <c r="X150" s="5" t="str">
        <f>IF(L150="","",VLOOKUP($L150,classifications!$C:$J,6,FALSE))</f>
        <v>Predominantly Urban</v>
      </c>
      <c r="Y150" t="str">
        <f t="shared" si="62"/>
        <v/>
      </c>
      <c r="Z150" s="39" t="str">
        <f>IF(Y150="","",IF(I$8="A",(RANK(Y150,Y$11:Y$333,1)+COUNTIF(Y$11:Y150,Y150)-1),(RANK(Y150,Y$11:Y$333)+COUNTIF(Y$11:Y150,Y150)-1)))</f>
        <v/>
      </c>
      <c r="AA150" s="177" t="str">
        <f>IF(L150="","",VLOOKUP($L150,classifications!C:I,7,FALSE))</f>
        <v>Predominantly Urban</v>
      </c>
      <c r="AB150" s="173" t="str">
        <f t="shared" si="63"/>
        <v/>
      </c>
      <c r="AC150" s="173" t="str">
        <f>IF(AB150="","",IF($I$8="A",(RANK(AB150,AB$11:AB$333)+COUNTIF(AB$11:AB150,AB150)-1),(RANK(AB150,AB$11:AB$333,1)+COUNTIF(AB$11:AB150,AB150)-1)))</f>
        <v/>
      </c>
      <c r="AD150" s="173"/>
      <c r="AE150" s="45" t="e">
        <f>IF(I$8="A",(RANK(AG150,AG$11:AG$333,1)+COUNTIF(AG$11:AG150,AG150)-1),(RANK(AG150,AG$11:AG$333)+COUNTIF(AG$11:AG150,AG150)-1))</f>
        <v>#N/A</v>
      </c>
      <c r="AF150" t="str">
        <f>VLOOKUP(Profile!$J$5,Families!$C:$R,2,FALSE)</f>
        <v>North Dorset</v>
      </c>
      <c r="AG150" s="15" t="e">
        <f t="shared" si="76"/>
        <v>#N/A</v>
      </c>
      <c r="AH150" s="46" t="e">
        <f t="shared" si="64"/>
        <v>#N/A</v>
      </c>
      <c r="AI150" s="5" t="str">
        <f>IF(L150="","",VLOOKUP($L150,classifications!$C:$J,8,FALSE))</f>
        <v>Lancashire</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North West</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97.16</v>
      </c>
    </row>
    <row r="151" spans="1:50">
      <c r="A151" s="55" t="str">
        <f>$D$1&amp;141</f>
        <v>SD141</v>
      </c>
      <c r="B151" s="56">
        <f>IF(ISERROR(VLOOKUP(A151,classifications!A:C,3,FALSE)),0,VLOOKUP(A151,classifications!A:C,3,FALSE))</f>
        <v>0</v>
      </c>
      <c r="C151" t="s">
        <v>818</v>
      </c>
      <c r="D151" t="str">
        <f>VLOOKUP($C151,classifications!$C:$J,4,FALSE)</f>
        <v>UA</v>
      </c>
      <c r="E151">
        <f>VLOOKUP(C151,classifications!C:K,9,FALSE)</f>
        <v>0</v>
      </c>
      <c r="F151">
        <f t="shared" si="67"/>
        <v>92.43</v>
      </c>
      <c r="G151" s="15"/>
      <c r="H151" s="41" t="str">
        <f t="shared" si="68"/>
        <v/>
      </c>
      <c r="I151" s="73" t="str">
        <f>IF(H151="","",IF($I$8="A",(RANK(H151,H$11:H$333,1)+COUNTIF(H$11:H151,H151)-1),(RANK(H151,H$11:H$333)+COUNTIF(H$11:H151,H151)-1)))</f>
        <v/>
      </c>
      <c r="J151" s="40"/>
      <c r="K151" s="35">
        <f t="shared" si="75"/>
        <v>141</v>
      </c>
      <c r="L151" t="str">
        <f t="shared" si="69"/>
        <v>Great Yarmouth</v>
      </c>
      <c r="M151" s="109">
        <f t="shared" si="70"/>
        <v>95.66</v>
      </c>
      <c r="N151" s="104">
        <f t="shared" si="55"/>
        <v>95.66</v>
      </c>
      <c r="O151" s="89" t="str">
        <f t="shared" si="56"/>
        <v/>
      </c>
      <c r="P151" s="89" t="str">
        <f t="shared" si="57"/>
        <v/>
      </c>
      <c r="Q151" s="89" t="str">
        <f t="shared" si="58"/>
        <v/>
      </c>
      <c r="R151" s="85">
        <f t="shared" si="59"/>
        <v>95.66</v>
      </c>
      <c r="S151" s="41" t="str">
        <f t="shared" si="60"/>
        <v/>
      </c>
      <c r="T151" s="166">
        <f>IF(L151="","",VLOOKUP(L151,classifications!C:K,9,FALSE))</f>
        <v>0</v>
      </c>
      <c r="U151" s="167" t="str">
        <f t="shared" si="61"/>
        <v/>
      </c>
      <c r="V151" s="173" t="str">
        <f>IF(U151="","",IF($I$8="A",(RANK(U151,U$11:U$333)+COUNTIF(U$11:U151,U151)-1),(RANK(U151,U$11:U$333,1)+COUNTIF(U$11:U151,U151)-1)))</f>
        <v/>
      </c>
      <c r="W151" s="174"/>
      <c r="X151" s="5" t="str">
        <f>IF(L151="","",VLOOKUP($L151,classifications!$C:$J,6,FALSE))</f>
        <v>Urban with Significant Rural</v>
      </c>
      <c r="Y151" t="str">
        <f t="shared" si="62"/>
        <v/>
      </c>
      <c r="Z151" s="39" t="str">
        <f>IF(Y151="","",IF(I$8="A",(RANK(Y151,Y$11:Y$333,1)+COUNTIF(Y$11:Y151,Y151)-1),(RANK(Y151,Y$11:Y$333)+COUNTIF(Y$11:Y151,Y151)-1)))</f>
        <v/>
      </c>
      <c r="AA151" s="177" t="str">
        <f>IF(L151="","",VLOOKUP($L151,classifications!C:I,7,FALSE))</f>
        <v>Urban with Significant Rural</v>
      </c>
      <c r="AB151" s="173" t="str">
        <f t="shared" si="63"/>
        <v/>
      </c>
      <c r="AC151" s="173" t="str">
        <f>IF(AB151="","",IF($I$8="A",(RANK(AB151,AB$11:AB$333)+COUNTIF(AB$11:AB151,AB151)-1),(RANK(AB151,AB$11:AB$333,1)+COUNTIF(AB$11:AB151,AB151)-1)))</f>
        <v/>
      </c>
      <c r="AD151" s="173"/>
      <c r="AE151" s="45" t="e">
        <f>IF(I$8="A",(RANK(AG151,AG$11:AG$333,1)+COUNTIF(AG$11:AG151,AG151)-1),(RANK(AG151,AG$11:AG$333)+COUNTIF(AG$11:AG151,AG151)-1))</f>
        <v>#N/A</v>
      </c>
      <c r="AF151" t="str">
        <f>VLOOKUP(Profile!$J$5,Families!$C:$R,2,FALSE)</f>
        <v>North Dorset</v>
      </c>
      <c r="AG151" s="15" t="e">
        <f t="shared" si="76"/>
        <v>#N/A</v>
      </c>
      <c r="AH151" s="46" t="e">
        <f t="shared" si="64"/>
        <v>#N/A</v>
      </c>
      <c r="AI151" s="5" t="str">
        <f>IF(L151="","",VLOOKUP($L151,classifications!$C:$J,8,FALSE))</f>
        <v>Norfolk</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East of England</v>
      </c>
      <c r="AQ151" s="42">
        <f t="shared" si="66"/>
        <v>95.66</v>
      </c>
      <c r="AR151" s="39">
        <f>IF(AQ151="","",IF(I$8="A",(RANK(AQ151,AQ$11:AQ$333,1)+COUNTIF(AQ$11:AQ151,AQ151)-1),(RANK(AQ151,AQ$11:AQ$333)+COUNTIF(AQ$11:AQ151,AQ151)-1)))</f>
        <v>34</v>
      </c>
      <c r="AS151" s="3" t="str">
        <f t="shared" si="78"/>
        <v/>
      </c>
      <c r="AT151" s="39" t="str">
        <f t="shared" si="73"/>
        <v/>
      </c>
      <c r="AU151" s="42" t="str">
        <f t="shared" si="74"/>
        <v/>
      </c>
      <c r="AX151">
        <f>HLOOKUP($AX$9&amp;$AX$10,Data!$A$1:$ZT$1975,(MATCH($C151,Data!$A$1:$A$1975,0)),FALSE)</f>
        <v>92.43</v>
      </c>
    </row>
    <row r="152" spans="1:50">
      <c r="A152" s="55" t="str">
        <f>$D$1&amp;142</f>
        <v>SD142</v>
      </c>
      <c r="B152" s="56">
        <f>IF(ISERROR(VLOOKUP(A152,classifications!A:C,3,FALSE)),0,VLOOKUP(A152,classifications!A:C,3,FALSE))</f>
        <v>0</v>
      </c>
      <c r="C152" t="s">
        <v>391</v>
      </c>
      <c r="D152" t="str">
        <f>VLOOKUP($C152,classifications!$C:$J,4,FALSE)</f>
        <v>L</v>
      </c>
      <c r="E152">
        <f>VLOOKUP(C152,classifications!C:K,9,FALSE)</f>
        <v>0</v>
      </c>
      <c r="F152">
        <f t="shared" si="67"/>
        <v>98.57</v>
      </c>
      <c r="G152" s="15"/>
      <c r="H152" s="41" t="str">
        <f t="shared" si="68"/>
        <v/>
      </c>
      <c r="I152" s="73" t="str">
        <f>IF(H152="","",IF($I$8="A",(RANK(H152,H$11:H$333,1)+COUNTIF(H$11:H152,H152)-1),(RANK(H152,H$11:H$333)+COUNTIF(H$11:H152,H152)-1)))</f>
        <v/>
      </c>
      <c r="J152" s="40"/>
      <c r="K152" s="35">
        <f t="shared" si="75"/>
        <v>142</v>
      </c>
      <c r="L152" t="str">
        <f t="shared" si="69"/>
        <v>Pendle</v>
      </c>
      <c r="M152" s="109">
        <f t="shared" si="70"/>
        <v>95.64</v>
      </c>
      <c r="N152" s="104">
        <f t="shared" si="55"/>
        <v>95.64</v>
      </c>
      <c r="O152" s="89" t="str">
        <f t="shared" si="56"/>
        <v/>
      </c>
      <c r="P152" s="89" t="str">
        <f t="shared" si="57"/>
        <v/>
      </c>
      <c r="Q152" s="89" t="str">
        <f t="shared" si="58"/>
        <v/>
      </c>
      <c r="R152" s="85">
        <f t="shared" si="59"/>
        <v>95.64</v>
      </c>
      <c r="S152" s="41" t="str">
        <f t="shared" si="60"/>
        <v/>
      </c>
      <c r="T152" s="166">
        <f>IF(L152="","",VLOOKUP(L152,classifications!C:K,9,FALSE))</f>
        <v>0</v>
      </c>
      <c r="U152" s="167" t="str">
        <f t="shared" si="61"/>
        <v/>
      </c>
      <c r="V152" s="173" t="str">
        <f>IF(U152="","",IF($I$8="A",(RANK(U152,U$11:U$333)+COUNTIF(U$11:U152,U152)-1),(RANK(U152,U$11:U$333,1)+COUNTIF(U$11:U152,U152)-1)))</f>
        <v/>
      </c>
      <c r="W152" s="174"/>
      <c r="X152" s="5" t="str">
        <f>IF(L152="","",VLOOKUP($L152,classifications!$C:$J,6,FALSE))</f>
        <v>Predominantly Urban</v>
      </c>
      <c r="Y152" t="str">
        <f t="shared" si="62"/>
        <v/>
      </c>
      <c r="Z152" s="39" t="str">
        <f>IF(Y152="","",IF(I$8="A",(RANK(Y152,Y$11:Y$333,1)+COUNTIF(Y$11:Y152,Y152)-1),(RANK(Y152,Y$11:Y$333)+COUNTIF(Y$11:Y152,Y152)-1)))</f>
        <v/>
      </c>
      <c r="AA152" s="177" t="str">
        <f>IF(L152="","",VLOOKUP($L152,classifications!C:I,7,FALSE))</f>
        <v>Predominantly Urban</v>
      </c>
      <c r="AB152" s="173" t="str">
        <f t="shared" si="63"/>
        <v/>
      </c>
      <c r="AC152" s="173" t="str">
        <f>IF(AB152="","",IF($I$8="A",(RANK(AB152,AB$11:AB$333)+COUNTIF(AB$11:AB152,AB152)-1),(RANK(AB152,AB$11:AB$333,1)+COUNTIF(AB$11:AB152,AB152)-1)))</f>
        <v/>
      </c>
      <c r="AD152" s="173"/>
      <c r="AE152" s="45" t="e">
        <f>IF(I$8="A",(RANK(AG152,AG$11:AG$333,1)+COUNTIF(AG$11:AG152,AG152)-1),(RANK(AG152,AG$11:AG$333)+COUNTIF(AG$11:AG152,AG152)-1))</f>
        <v>#N/A</v>
      </c>
      <c r="AF152" t="str">
        <f>VLOOKUP(Profile!$J$5,Families!$C:$R,2,FALSE)</f>
        <v>North Dorset</v>
      </c>
      <c r="AG152" s="15" t="e">
        <f t="shared" si="76"/>
        <v>#N/A</v>
      </c>
      <c r="AH152" s="46" t="e">
        <f t="shared" si="64"/>
        <v>#N/A</v>
      </c>
      <c r="AI152" s="5" t="str">
        <f>IF(L152="","",VLOOKUP($L152,classifications!$C:$J,8,FALSE))</f>
        <v>Lancashire</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North West</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98.57</v>
      </c>
    </row>
    <row r="153" spans="1:50">
      <c r="A153" s="55" t="str">
        <f>$D$1&amp;143</f>
        <v>SD143</v>
      </c>
      <c r="B153" s="56">
        <f>IF(ISERROR(VLOOKUP(A153,classifications!A:C,3,FALSE)),0,VLOOKUP(A153,classifications!A:C,3,FALSE))</f>
        <v>0</v>
      </c>
      <c r="C153" t="s">
        <v>232</v>
      </c>
      <c r="D153" t="str">
        <f>VLOOKUP($C153,classifications!$C:$J,4,FALSE)</f>
        <v>MD</v>
      </c>
      <c r="E153">
        <f>VLOOKUP(C153,classifications!C:K,9,FALSE)</f>
        <v>0</v>
      </c>
      <c r="F153">
        <f t="shared" si="67"/>
        <v>95.22</v>
      </c>
      <c r="G153" s="15"/>
      <c r="H153" s="41" t="str">
        <f t="shared" si="68"/>
        <v/>
      </c>
      <c r="I153" s="73" t="str">
        <f>IF(H153="","",IF($I$8="A",(RANK(H153,H$11:H$333,1)+COUNTIF(H$11:H153,H153)-1),(RANK(H153,H$11:H$333)+COUNTIF(H$11:H153,H153)-1)))</f>
        <v/>
      </c>
      <c r="J153" s="40"/>
      <c r="K153" s="35">
        <f t="shared" si="75"/>
        <v>143</v>
      </c>
      <c r="L153" t="str">
        <f t="shared" si="69"/>
        <v>Rugby</v>
      </c>
      <c r="M153" s="109">
        <f t="shared" si="70"/>
        <v>95.57</v>
      </c>
      <c r="N153" s="104">
        <f t="shared" si="55"/>
        <v>95.57</v>
      </c>
      <c r="O153" s="89" t="str">
        <f t="shared" si="56"/>
        <v/>
      </c>
      <c r="P153" s="89" t="str">
        <f t="shared" si="57"/>
        <v/>
      </c>
      <c r="Q153" s="89" t="str">
        <f t="shared" si="58"/>
        <v/>
      </c>
      <c r="R153" s="85">
        <f t="shared" si="59"/>
        <v>95.57</v>
      </c>
      <c r="S153" s="41" t="str">
        <f t="shared" si="60"/>
        <v/>
      </c>
      <c r="T153" s="166" t="str">
        <f>IF(L153="","",VLOOKUP(L153,classifications!C:K,9,FALSE))</f>
        <v>Sparse</v>
      </c>
      <c r="U153" s="167">
        <f t="shared" si="61"/>
        <v>95.57</v>
      </c>
      <c r="V153" s="173">
        <f>IF(U153="","",IF($I$8="A",(RANK(U153,U$11:U$333)+COUNTIF(U$11:U153,U153)-1),(RANK(U153,U$11:U$333,1)+COUNTIF(U$11:U153,U153)-1)))</f>
        <v>3</v>
      </c>
      <c r="W153" s="174"/>
      <c r="X153" s="5" t="str">
        <f>IF(L153="","",VLOOKUP($L153,classifications!$C:$J,6,FALSE))</f>
        <v>Predominantly Urban</v>
      </c>
      <c r="Y153" t="str">
        <f t="shared" si="62"/>
        <v/>
      </c>
      <c r="Z153" s="39" t="str">
        <f>IF(Y153="","",IF(I$8="A",(RANK(Y153,Y$11:Y$333,1)+COUNTIF(Y$11:Y153,Y153)-1),(RANK(Y153,Y$11:Y$333)+COUNTIF(Y$11:Y153,Y153)-1)))</f>
        <v/>
      </c>
      <c r="AA153" s="177" t="str">
        <f>IF(L153="","",VLOOKUP($L153,classifications!C:I,7,FALSE))</f>
        <v>Predominantly Urban</v>
      </c>
      <c r="AB153" s="173" t="str">
        <f t="shared" si="63"/>
        <v/>
      </c>
      <c r="AC153" s="173" t="str">
        <f>IF(AB153="","",IF($I$8="A",(RANK(AB153,AB$11:AB$333)+COUNTIF(AB$11:AB153,AB153)-1),(RANK(AB153,AB$11:AB$333,1)+COUNTIF(AB$11:AB153,AB153)-1)))</f>
        <v/>
      </c>
      <c r="AD153" s="173"/>
      <c r="AE153" s="45" t="e">
        <f>IF(I$8="A",(RANK(AG153,AG$11:AG$333,1)+COUNTIF(AG$11:AG153,AG153)-1),(RANK(AG153,AG$11:AG$333)+COUNTIF(AG$11:AG153,AG153)-1))</f>
        <v>#N/A</v>
      </c>
      <c r="AF153" t="str">
        <f>VLOOKUP(Profile!$J$5,Families!$C:$R,2,FALSE)</f>
        <v>North Dorset</v>
      </c>
      <c r="AG153" s="15" t="e">
        <f t="shared" si="76"/>
        <v>#N/A</v>
      </c>
      <c r="AH153" s="46" t="e">
        <f t="shared" si="64"/>
        <v>#N/A</v>
      </c>
      <c r="AI153" s="5" t="str">
        <f>IF(L153="","",VLOOKUP($L153,classifications!$C:$J,8,FALSE))</f>
        <v>Warwickshire</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West Midlands</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95.22</v>
      </c>
    </row>
    <row r="154" spans="1:50">
      <c r="A154" s="55" t="str">
        <f>$D$1&amp;144</f>
        <v>SD144</v>
      </c>
      <c r="B154" s="56">
        <f>IF(ISERROR(VLOOKUP(A154,classifications!A:C,3,FALSE)),0,VLOOKUP(A154,classifications!A:C,3,FALSE))</f>
        <v>0</v>
      </c>
      <c r="C154" t="s">
        <v>233</v>
      </c>
      <c r="D154" t="str">
        <f>VLOOKUP($C154,classifications!$C:$J,4,FALSE)</f>
        <v>MD</v>
      </c>
      <c r="E154">
        <f>VLOOKUP(C154,classifications!C:K,9,FALSE)</f>
        <v>0</v>
      </c>
      <c r="F154">
        <f t="shared" si="67"/>
        <v>86.99</v>
      </c>
      <c r="G154" s="15"/>
      <c r="H154" s="41" t="str">
        <f t="shared" si="68"/>
        <v/>
      </c>
      <c r="I154" s="73" t="str">
        <f>IF(H154="","",IF($I$8="A",(RANK(H154,H$11:H$333,1)+COUNTIF(H$11:H154,H154)-1),(RANK(H154,H$11:H$333)+COUNTIF(H$11:H154,H154)-1)))</f>
        <v/>
      </c>
      <c r="J154" s="40"/>
      <c r="K154" s="35">
        <f t="shared" si="75"/>
        <v>144</v>
      </c>
      <c r="L154" t="str">
        <f t="shared" si="69"/>
        <v>Bassetlaw</v>
      </c>
      <c r="M154" s="109">
        <f t="shared" si="70"/>
        <v>95.5</v>
      </c>
      <c r="N154" s="104">
        <f t="shared" si="55"/>
        <v>95.5</v>
      </c>
      <c r="O154" s="89" t="str">
        <f t="shared" si="56"/>
        <v/>
      </c>
      <c r="P154" s="89" t="str">
        <f t="shared" si="57"/>
        <v/>
      </c>
      <c r="Q154" s="89" t="str">
        <f t="shared" si="58"/>
        <v/>
      </c>
      <c r="R154" s="85">
        <f t="shared" si="59"/>
        <v>95.5</v>
      </c>
      <c r="S154" s="41" t="str">
        <f t="shared" si="60"/>
        <v/>
      </c>
      <c r="T154" s="166">
        <f>IF(L154="","",VLOOKUP(L154,classifications!C:K,9,FALSE))</f>
        <v>0</v>
      </c>
      <c r="U154" s="167" t="str">
        <f t="shared" si="61"/>
        <v/>
      </c>
      <c r="V154" s="173" t="str">
        <f>IF(U154="","",IF($I$8="A",(RANK(U154,U$11:U$333)+COUNTIF(U$11:U154,U154)-1),(RANK(U154,U$11:U$333,1)+COUNTIF(U$11:U154,U154)-1)))</f>
        <v/>
      </c>
      <c r="W154" s="174"/>
      <c r="X154" s="5" t="str">
        <f>IF(L154="","",VLOOKUP($L154,classifications!$C:$J,6,FALSE))</f>
        <v xml:space="preserve">Predominantly Rural </v>
      </c>
      <c r="Y154">
        <f t="shared" si="62"/>
        <v>95.5</v>
      </c>
      <c r="Z154" s="39">
        <f>IF(Y154="","",IF(I$8="A",(RANK(Y154,Y$11:Y$333,1)+COUNTIF(Y$11:Y154,Y154)-1),(RANK(Y154,Y$11:Y$333)+COUNTIF(Y$11:Y154,Y154)-1)))</f>
        <v>56</v>
      </c>
      <c r="AA154" s="177" t="str">
        <f>IF(L154="","",VLOOKUP($L154,classifications!C:I,7,FALSE))</f>
        <v>Predominantly Rural</v>
      </c>
      <c r="AB154" s="173">
        <f t="shared" si="63"/>
        <v>95.5</v>
      </c>
      <c r="AC154" s="173">
        <f>IF(AB154="","",IF($I$8="A",(RANK(AB154,AB$11:AB$333)+COUNTIF(AB$11:AB154,AB154)-1),(RANK(AB154,AB$11:AB$333,1)+COUNTIF(AB$11:AB154,AB154)-1)))</f>
        <v>4</v>
      </c>
      <c r="AD154" s="173"/>
      <c r="AE154" s="45" t="e">
        <f>IF(I$8="A",(RANK(AG154,AG$11:AG$333,1)+COUNTIF(AG$11:AG154,AG154)-1),(RANK(AG154,AG$11:AG$333)+COUNTIF(AG$11:AG154,AG154)-1))</f>
        <v>#N/A</v>
      </c>
      <c r="AF154" t="str">
        <f>VLOOKUP(Profile!$J$5,Families!$C:$R,2,FALSE)</f>
        <v>North Dorset</v>
      </c>
      <c r="AG154" s="15" t="e">
        <f t="shared" si="76"/>
        <v>#N/A</v>
      </c>
      <c r="AH154" s="46" t="e">
        <f t="shared" si="64"/>
        <v>#N/A</v>
      </c>
      <c r="AI154" s="5" t="str">
        <f>IF(L154="","",VLOOKUP($L154,classifications!$C:$J,8,FALSE))</f>
        <v>Nottinghamshire</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East Midlands</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86.99</v>
      </c>
    </row>
    <row r="155" spans="1:50">
      <c r="A155" s="55" t="str">
        <f>$D$1&amp;145</f>
        <v>SD145</v>
      </c>
      <c r="B155" s="56">
        <f>IF(ISERROR(VLOOKUP(A155,classifications!A:C,3,FALSE)),0,VLOOKUP(A155,classifications!A:C,3,FALSE))</f>
        <v>0</v>
      </c>
      <c r="C155" t="s">
        <v>212</v>
      </c>
      <c r="D155" t="str">
        <f>VLOOKUP($C155,classifications!$C:$J,4,FALSE)</f>
        <v>L</v>
      </c>
      <c r="E155">
        <f>VLOOKUP(C155,classifications!C:K,9,FALSE)</f>
        <v>0</v>
      </c>
      <c r="F155">
        <f t="shared" si="67"/>
        <v>93.73</v>
      </c>
      <c r="G155" s="15"/>
      <c r="H155" s="41" t="str">
        <f t="shared" si="68"/>
        <v/>
      </c>
      <c r="I155" s="73" t="str">
        <f>IF(H155="","",IF($I$8="A",(RANK(H155,H$11:H$333,1)+COUNTIF(H$11:H155,H155)-1),(RANK(H155,H$11:H$333)+COUNTIF(H$11:H155,H155)-1)))</f>
        <v/>
      </c>
      <c r="J155" s="40"/>
      <c r="K155" s="35">
        <f t="shared" si="75"/>
        <v>145</v>
      </c>
      <c r="L155" t="str">
        <f t="shared" si="69"/>
        <v>Ipswich</v>
      </c>
      <c r="M155" s="109">
        <f t="shared" si="70"/>
        <v>95.44</v>
      </c>
      <c r="N155" s="104">
        <f t="shared" si="55"/>
        <v>95.44</v>
      </c>
      <c r="O155" s="89" t="str">
        <f t="shared" si="56"/>
        <v/>
      </c>
      <c r="P155" s="89" t="str">
        <f t="shared" si="57"/>
        <v/>
      </c>
      <c r="Q155" s="89" t="str">
        <f t="shared" si="58"/>
        <v/>
      </c>
      <c r="R155" s="85">
        <f t="shared" si="59"/>
        <v>95.44</v>
      </c>
      <c r="S155" s="41" t="str">
        <f t="shared" si="60"/>
        <v/>
      </c>
      <c r="T155" s="166">
        <f>IF(L155="","",VLOOKUP(L155,classifications!C:K,9,FALSE))</f>
        <v>0</v>
      </c>
      <c r="U155" s="167" t="str">
        <f t="shared" si="61"/>
        <v/>
      </c>
      <c r="V155" s="173" t="str">
        <f>IF(U155="","",IF($I$8="A",(RANK(U155,U$11:U$333)+COUNTIF(U$11:U155,U155)-1),(RANK(U155,U$11:U$333,1)+COUNTIF(U$11:U155,U155)-1)))</f>
        <v/>
      </c>
      <c r="W155" s="174"/>
      <c r="X155" s="5" t="str">
        <f>IF(L155="","",VLOOKUP($L155,classifications!$C:$J,6,FALSE))</f>
        <v>Predominantly Urban</v>
      </c>
      <c r="Y155" t="str">
        <f t="shared" si="62"/>
        <v/>
      </c>
      <c r="Z155" s="39" t="str">
        <f>IF(Y155="","",IF(I$8="A",(RANK(Y155,Y$11:Y$333,1)+COUNTIF(Y$11:Y155,Y155)-1),(RANK(Y155,Y$11:Y$333)+COUNTIF(Y$11:Y155,Y155)-1)))</f>
        <v/>
      </c>
      <c r="AA155" s="177" t="str">
        <f>IF(L155="","",VLOOKUP($L155,classifications!C:I,7,FALSE))</f>
        <v>Predominantly Urban</v>
      </c>
      <c r="AB155" s="173" t="str">
        <f t="shared" si="63"/>
        <v/>
      </c>
      <c r="AC155" s="173" t="str">
        <f>IF(AB155="","",IF($I$8="A",(RANK(AB155,AB$11:AB$333)+COUNTIF(AB$11:AB155,AB155)-1),(RANK(AB155,AB$11:AB$333,1)+COUNTIF(AB$11:AB155,AB155)-1)))</f>
        <v/>
      </c>
      <c r="AD155" s="173"/>
      <c r="AE155" s="45" t="e">
        <f>IF(I$8="A",(RANK(AG155,AG$11:AG$333,1)+COUNTIF(AG$11:AG155,AG155)-1),(RANK(AG155,AG$11:AG$333)+COUNTIF(AG$11:AG155,AG155)-1))</f>
        <v>#N/A</v>
      </c>
      <c r="AF155" t="str">
        <f>VLOOKUP(Profile!$J$5,Families!$C:$R,2,FALSE)</f>
        <v>North Dorset</v>
      </c>
      <c r="AG155" s="15" t="e">
        <f t="shared" si="76"/>
        <v>#N/A</v>
      </c>
      <c r="AH155" s="46" t="e">
        <f t="shared" si="64"/>
        <v>#N/A</v>
      </c>
      <c r="AI155" s="5" t="str">
        <f>IF(L155="","",VLOOKUP($L155,classifications!$C:$J,8,FALSE))</f>
        <v>Suffolk</v>
      </c>
      <c r="AJ155" s="42">
        <f t="shared" si="65"/>
        <v>95.44</v>
      </c>
      <c r="AK155" s="39">
        <f>IF(AJ155="","",IF(I$8="A",(RANK(AJ155,AJ$11:AJ$333,1)+COUNTIF(AJ$11:AJ155,AJ155)-1),(RANK(AJ155,AJ$11:AJ$333)+COUNTIF(AJ$11:AJ155,AJ155)-1)))</f>
        <v>5</v>
      </c>
      <c r="AL155" s="3" t="str">
        <f t="shared" si="77"/>
        <v/>
      </c>
      <c r="AM155" t="str">
        <f t="shared" si="71"/>
        <v/>
      </c>
      <c r="AN155" t="str">
        <f t="shared" si="72"/>
        <v/>
      </c>
      <c r="AP155" s="5" t="str">
        <f>IF(L155="","",VLOOKUP($L155,classifications!$C:$E,3,FALSE))</f>
        <v>East of England</v>
      </c>
      <c r="AQ155" s="42">
        <f t="shared" si="66"/>
        <v>95.44</v>
      </c>
      <c r="AR155" s="39">
        <f>IF(AQ155="","",IF(I$8="A",(RANK(AQ155,AQ$11:AQ$333,1)+COUNTIF(AQ$11:AQ155,AQ155)-1),(RANK(AQ155,AQ$11:AQ$333)+COUNTIF(AQ$11:AQ155,AQ155)-1)))</f>
        <v>35</v>
      </c>
      <c r="AS155" s="3" t="str">
        <f t="shared" si="78"/>
        <v/>
      </c>
      <c r="AT155" s="39" t="str">
        <f t="shared" si="73"/>
        <v/>
      </c>
      <c r="AU155" s="42" t="str">
        <f t="shared" si="74"/>
        <v/>
      </c>
      <c r="AX155">
        <f>HLOOKUP($AX$9&amp;$AX$10,Data!$A$1:$ZT$1975,(MATCH($C155,Data!$A$1:$A$1975,0)),FALSE)</f>
        <v>93.73</v>
      </c>
    </row>
    <row r="156" spans="1:50">
      <c r="A156" s="55" t="str">
        <f>$D$1&amp;146</f>
        <v>SD146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f t="shared" si="75"/>
        <v>146</v>
      </c>
      <c r="L156" t="str">
        <f t="shared" si="69"/>
        <v>Swale</v>
      </c>
      <c r="M156" s="109">
        <f t="shared" si="70"/>
        <v>95.41</v>
      </c>
      <c r="N156" s="104">
        <f t="shared" si="55"/>
        <v>95.41</v>
      </c>
      <c r="O156" s="89" t="str">
        <f t="shared" si="56"/>
        <v/>
      </c>
      <c r="P156" s="89" t="str">
        <f t="shared" si="57"/>
        <v/>
      </c>
      <c r="Q156" s="89" t="str">
        <f t="shared" si="58"/>
        <v/>
      </c>
      <c r="R156" s="85">
        <f t="shared" si="59"/>
        <v>95.41</v>
      </c>
      <c r="S156" s="41" t="str">
        <f t="shared" si="60"/>
        <v/>
      </c>
      <c r="T156" s="166">
        <f>IF(L156="","",VLOOKUP(L156,classifications!C:K,9,FALSE))</f>
        <v>0</v>
      </c>
      <c r="U156" s="167" t="str">
        <f t="shared" si="61"/>
        <v/>
      </c>
      <c r="V156" s="173" t="str">
        <f>IF(U156="","",IF($I$8="A",(RANK(U156,U$11:U$333)+COUNTIF(U$11:U156,U156)-1),(RANK(U156,U$11:U$333,1)+COUNTIF(U$11:U156,U156)-1)))</f>
        <v/>
      </c>
      <c r="W156" s="174"/>
      <c r="X156" s="5" t="str">
        <f>IF(L156="","",VLOOKUP($L156,classifications!$C:$J,6,FALSE))</f>
        <v xml:space="preserve">Predominantly Rural </v>
      </c>
      <c r="Y156">
        <f t="shared" si="62"/>
        <v>95.41</v>
      </c>
      <c r="Z156" s="39">
        <f>IF(Y156="","",IF(I$8="A",(RANK(Y156,Y$11:Y$333,1)+COUNTIF(Y$11:Y156,Y156)-1),(RANK(Y156,Y$11:Y$333)+COUNTIF(Y$11:Y156,Y156)-1)))</f>
        <v>57</v>
      </c>
      <c r="AA156" s="177" t="str">
        <f>IF(L156="","",VLOOKUP($L156,classifications!C:I,7,FALSE))</f>
        <v>Predominantly Rural</v>
      </c>
      <c r="AB156" s="173">
        <f t="shared" si="63"/>
        <v>95.41</v>
      </c>
      <c r="AC156" s="173">
        <f>IF(AB156="","",IF($I$8="A",(RANK(AB156,AB$11:AB$333)+COUNTIF(AB$11:AB156,AB156)-1),(RANK(AB156,AB$11:AB$333,1)+COUNTIF(AB$11:AB156,AB156)-1)))</f>
        <v>3</v>
      </c>
      <c r="AD156" s="173"/>
      <c r="AE156" s="45" t="e">
        <f>IF(I$8="A",(RANK(AG156,AG$11:AG$333,1)+COUNTIF(AG$11:AG156,AG156)-1),(RANK(AG156,AG$11:AG$333)+COUNTIF(AG$11:AG156,AG156)-1))</f>
        <v>#N/A</v>
      </c>
      <c r="AF156" t="str">
        <f>VLOOKUP(Profile!$J$5,Families!$C:$R,2,FALSE)</f>
        <v>North Dorset</v>
      </c>
      <c r="AG156" s="15" t="e">
        <f t="shared" si="76"/>
        <v>#N/A</v>
      </c>
      <c r="AH156" s="46" t="e">
        <f t="shared" si="64"/>
        <v>#N/A</v>
      </c>
      <c r="AI156" s="5" t="str">
        <f>IF(L156="","",VLOOKUP($L156,classifications!$C:$J,8,FALSE))</f>
        <v>Kent</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South East</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SD147</v>
      </c>
      <c r="B157" s="56">
        <f>IF(ISERROR(VLOOKUP(A157,classifications!A:C,3,FALSE)),0,VLOOKUP(A157,classifications!A:C,3,FALSE))</f>
        <v>0</v>
      </c>
      <c r="C157" t="s">
        <v>92</v>
      </c>
      <c r="D157" t="str">
        <f>VLOOKUP($C157,classifications!$C:$J,4,FALSE)</f>
        <v>SD</v>
      </c>
      <c r="E157">
        <f>VLOOKUP(C157,classifications!C:K,9,FALSE)</f>
        <v>0</v>
      </c>
      <c r="F157">
        <f t="shared" si="67"/>
        <v>94.41</v>
      </c>
      <c r="G157" s="15"/>
      <c r="H157" s="41">
        <f t="shared" si="68"/>
        <v>94.41</v>
      </c>
      <c r="I157" s="73">
        <f>IF(H157="","",IF($I$8="A",(RANK(H157,H$11:H$333,1)+COUNTIF(H$11:H157,H157)-1),(RANK(H157,H$11:H$333)+COUNTIF(H$11:H157,H157)-1)))</f>
        <v>154</v>
      </c>
      <c r="J157" s="40"/>
      <c r="K157" s="35">
        <f t="shared" si="75"/>
        <v>147</v>
      </c>
      <c r="L157" t="str">
        <f t="shared" si="69"/>
        <v>East Lindsey</v>
      </c>
      <c r="M157" s="109">
        <f t="shared" si="70"/>
        <v>95.37</v>
      </c>
      <c r="N157" s="104">
        <f t="shared" si="55"/>
        <v>95.37</v>
      </c>
      <c r="O157" s="89" t="str">
        <f t="shared" si="56"/>
        <v/>
      </c>
      <c r="P157" s="89" t="str">
        <f t="shared" si="57"/>
        <v/>
      </c>
      <c r="Q157" s="89" t="str">
        <f t="shared" si="58"/>
        <v/>
      </c>
      <c r="R157" s="85">
        <f t="shared" si="59"/>
        <v>95.37</v>
      </c>
      <c r="S157" s="41" t="str">
        <f t="shared" si="60"/>
        <v/>
      </c>
      <c r="T157" s="166" t="str">
        <f>IF(L157="","",VLOOKUP(L157,classifications!C:K,9,FALSE))</f>
        <v>Sparse</v>
      </c>
      <c r="U157" s="167">
        <f t="shared" si="61"/>
        <v>95.37</v>
      </c>
      <c r="V157" s="173">
        <f>IF(U157="","",IF($I$8="A",(RANK(U157,U$11:U$333)+COUNTIF(U$11:U157,U157)-1),(RANK(U157,U$11:U$333,1)+COUNTIF(U$11:U157,U157)-1)))</f>
        <v>2</v>
      </c>
      <c r="W157" s="174"/>
      <c r="X157" s="5" t="str">
        <f>IF(L157="","",VLOOKUP($L157,classifications!$C:$J,6,FALSE))</f>
        <v xml:space="preserve">Predominantly Rural </v>
      </c>
      <c r="Y157">
        <f t="shared" si="62"/>
        <v>95.37</v>
      </c>
      <c r="Z157" s="39">
        <f>IF(Y157="","",IF(I$8="A",(RANK(Y157,Y$11:Y$333,1)+COUNTIF(Y$11:Y157,Y157)-1),(RANK(Y157,Y$11:Y$333)+COUNTIF(Y$11:Y157,Y157)-1)))</f>
        <v>58</v>
      </c>
      <c r="AA157" s="177" t="str">
        <f>IF(L157="","",VLOOKUP($L157,classifications!C:I,7,FALSE))</f>
        <v>Predominantly Rural</v>
      </c>
      <c r="AB157" s="173">
        <f t="shared" si="63"/>
        <v>95.37</v>
      </c>
      <c r="AC157" s="173">
        <f>IF(AB157="","",IF($I$8="A",(RANK(AB157,AB$11:AB$333)+COUNTIF(AB$11:AB157,AB157)-1),(RANK(AB157,AB$11:AB$333,1)+COUNTIF(AB$11:AB157,AB157)-1)))</f>
        <v>2</v>
      </c>
      <c r="AD157" s="173"/>
      <c r="AE157" s="45" t="e">
        <f>IF(I$8="A",(RANK(AG157,AG$11:AG$333,1)+COUNTIF(AG$11:AG157,AG157)-1),(RANK(AG157,AG$11:AG$333)+COUNTIF(AG$11:AG157,AG157)-1))</f>
        <v>#N/A</v>
      </c>
      <c r="AF157" t="str">
        <f>VLOOKUP(Profile!$J$5,Families!$C:$R,2,FALSE)</f>
        <v>North Dorset</v>
      </c>
      <c r="AG157" s="15" t="e">
        <f t="shared" si="76"/>
        <v>#N/A</v>
      </c>
      <c r="AH157" s="46" t="e">
        <f t="shared" si="64"/>
        <v>#N/A</v>
      </c>
      <c r="AI157" s="5" t="str">
        <f>IF(L157="","",VLOOKUP($L157,classifications!$C:$J,8,FALSE))</f>
        <v>Lincolnshire</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East Midlands</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94.41</v>
      </c>
    </row>
    <row r="158" spans="1:50">
      <c r="A158" s="55" t="str">
        <f>$D$1&amp;148</f>
        <v>SD148</v>
      </c>
      <c r="B158" s="56">
        <f>IF(ISERROR(VLOOKUP(A158,classifications!A:C,3,FALSE)),0,VLOOKUP(A158,classifications!A:C,3,FALSE))</f>
        <v>0</v>
      </c>
      <c r="C158" t="s">
        <v>234</v>
      </c>
      <c r="D158" t="str">
        <f>VLOOKUP($C158,classifications!$C:$J,4,FALSE)</f>
        <v>MD</v>
      </c>
      <c r="E158">
        <f>VLOOKUP(C158,classifications!C:K,9,FALSE)</f>
        <v>0</v>
      </c>
      <c r="F158">
        <f t="shared" si="67"/>
        <v>94.01</v>
      </c>
      <c r="G158" s="15"/>
      <c r="H158" s="41" t="str">
        <f t="shared" si="68"/>
        <v/>
      </c>
      <c r="I158" s="73" t="str">
        <f>IF(H158="","",IF($I$8="A",(RANK(H158,H$11:H$333,1)+COUNTIF(H$11:H158,H158)-1),(RANK(H158,H$11:H$333)+COUNTIF(H$11:H158,H158)-1)))</f>
        <v/>
      </c>
      <c r="J158" s="40"/>
      <c r="K158" s="35">
        <f t="shared" si="75"/>
        <v>148</v>
      </c>
      <c r="L158" t="str">
        <f t="shared" si="69"/>
        <v>Eastbourne</v>
      </c>
      <c r="M158" s="109">
        <f t="shared" si="70"/>
        <v>95.19</v>
      </c>
      <c r="N158" s="104">
        <f t="shared" si="55"/>
        <v>95.19</v>
      </c>
      <c r="O158" s="89" t="str">
        <f t="shared" si="56"/>
        <v/>
      </c>
      <c r="P158" s="89" t="str">
        <f t="shared" si="57"/>
        <v/>
      </c>
      <c r="Q158" s="89" t="str">
        <f t="shared" si="58"/>
        <v/>
      </c>
      <c r="R158" s="85">
        <f t="shared" si="59"/>
        <v>95.19</v>
      </c>
      <c r="S158" s="41" t="str">
        <f t="shared" si="60"/>
        <v/>
      </c>
      <c r="T158" s="166">
        <f>IF(L158="","",VLOOKUP(L158,classifications!C:K,9,FALSE))</f>
        <v>0</v>
      </c>
      <c r="U158" s="167" t="str">
        <f t="shared" si="61"/>
        <v/>
      </c>
      <c r="V158" s="173" t="str">
        <f>IF(U158="","",IF($I$8="A",(RANK(U158,U$11:U$333)+COUNTIF(U$11:U158,U158)-1),(RANK(U158,U$11:U$333,1)+COUNTIF(U$11:U158,U158)-1)))</f>
        <v/>
      </c>
      <c r="W158" s="174"/>
      <c r="X158" s="5" t="str">
        <f>IF(L158="","",VLOOKUP($L158,classifications!$C:$J,6,FALSE))</f>
        <v>Predominantly Urban</v>
      </c>
      <c r="Y158" t="str">
        <f t="shared" si="62"/>
        <v/>
      </c>
      <c r="Z158" s="39" t="str">
        <f>IF(Y158="","",IF(I$8="A",(RANK(Y158,Y$11:Y$333,1)+COUNTIF(Y$11:Y158,Y158)-1),(RANK(Y158,Y$11:Y$333)+COUNTIF(Y$11:Y158,Y158)-1)))</f>
        <v/>
      </c>
      <c r="AA158" s="177" t="str">
        <f>IF(L158="","",VLOOKUP($L158,classifications!C:I,7,FALSE))</f>
        <v>Predominantly Urban</v>
      </c>
      <c r="AB158" s="173" t="str">
        <f t="shared" si="63"/>
        <v/>
      </c>
      <c r="AC158" s="173" t="str">
        <f>IF(AB158="","",IF($I$8="A",(RANK(AB158,AB$11:AB$333)+COUNTIF(AB$11:AB158,AB158)-1),(RANK(AB158,AB$11:AB$333,1)+COUNTIF(AB$11:AB158,AB158)-1)))</f>
        <v/>
      </c>
      <c r="AD158" s="173"/>
      <c r="AE158" s="45" t="e">
        <f>IF(I$8="A",(RANK(AG158,AG$11:AG$333,1)+COUNTIF(AG$11:AG158,AG158)-1),(RANK(AG158,AG$11:AG$333)+COUNTIF(AG$11:AG158,AG158)-1))</f>
        <v>#N/A</v>
      </c>
      <c r="AF158" t="str">
        <f>VLOOKUP(Profile!$J$5,Families!$C:$R,2,FALSE)</f>
        <v>North Dorset</v>
      </c>
      <c r="AG158" s="15" t="e">
        <f t="shared" si="76"/>
        <v>#N/A</v>
      </c>
      <c r="AH158" s="46" t="e">
        <f t="shared" si="64"/>
        <v>#N/A</v>
      </c>
      <c r="AI158" s="5" t="str">
        <f>IF(L158="","",VLOOKUP($L158,classifications!$C:$J,8,FALSE))</f>
        <v>East Sussex</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South East</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94.01</v>
      </c>
    </row>
    <row r="159" spans="1:50">
      <c r="A159" s="55" t="str">
        <f>$D$1&amp;149</f>
        <v>SD149</v>
      </c>
      <c r="B159" s="56">
        <f>IF(ISERROR(VLOOKUP(A159,classifications!A:C,3,FALSE)),0,VLOOKUP(A159,classifications!A:C,3,FALSE))</f>
        <v>0</v>
      </c>
      <c r="C159" t="s">
        <v>271</v>
      </c>
      <c r="D159" t="str">
        <f>VLOOKUP($C159,classifications!$C:$J,4,FALSE)</f>
        <v>UA</v>
      </c>
      <c r="E159">
        <f>VLOOKUP(C159,classifications!C:K,9,FALSE)</f>
        <v>0</v>
      </c>
      <c r="F159">
        <f t="shared" si="67"/>
        <v>92.6</v>
      </c>
      <c r="G159" s="15"/>
      <c r="H159" s="41" t="str">
        <f t="shared" si="68"/>
        <v/>
      </c>
      <c r="I159" s="73" t="str">
        <f>IF(H159="","",IF($I$8="A",(RANK(H159,H$11:H$333,1)+COUNTIF(H$11:H159,H159)-1),(RANK(H159,H$11:H$333)+COUNTIF(H$11:H159,H159)-1)))</f>
        <v/>
      </c>
      <c r="J159" s="40"/>
      <c r="K159" s="35">
        <f t="shared" si="75"/>
        <v>149</v>
      </c>
      <c r="L159" t="str">
        <f t="shared" si="69"/>
        <v>Gravesham</v>
      </c>
      <c r="M159" s="109">
        <f t="shared" si="70"/>
        <v>95.15</v>
      </c>
      <c r="N159" s="104">
        <f t="shared" si="55"/>
        <v>95.15</v>
      </c>
      <c r="O159" s="89" t="str">
        <f t="shared" si="56"/>
        <v/>
      </c>
      <c r="P159" s="89" t="str">
        <f t="shared" si="57"/>
        <v/>
      </c>
      <c r="Q159" s="89" t="str">
        <f t="shared" si="58"/>
        <v/>
      </c>
      <c r="R159" s="85">
        <f t="shared" si="59"/>
        <v>95.15</v>
      </c>
      <c r="S159" s="41" t="str">
        <f t="shared" si="60"/>
        <v/>
      </c>
      <c r="T159" s="166">
        <f>IF(L159="","",VLOOKUP(L159,classifications!C:K,9,FALSE))</f>
        <v>0</v>
      </c>
      <c r="U159" s="167" t="str">
        <f t="shared" si="61"/>
        <v/>
      </c>
      <c r="V159" s="173" t="str">
        <f>IF(U159="","",IF($I$8="A",(RANK(U159,U$11:U$333)+COUNTIF(U$11:U159,U159)-1),(RANK(U159,U$11:U$333,1)+COUNTIF(U$11:U159,U159)-1)))</f>
        <v/>
      </c>
      <c r="W159" s="174"/>
      <c r="X159" s="5" t="str">
        <f>IF(L159="","",VLOOKUP($L159,classifications!$C:$J,6,FALSE))</f>
        <v>Predominantly Urban</v>
      </c>
      <c r="Y159" t="str">
        <f t="shared" si="62"/>
        <v/>
      </c>
      <c r="Z159" s="39" t="str">
        <f>IF(Y159="","",IF(I$8="A",(RANK(Y159,Y$11:Y$333,1)+COUNTIF(Y$11:Y159,Y159)-1),(RANK(Y159,Y$11:Y$333)+COUNTIF(Y$11:Y159,Y159)-1)))</f>
        <v/>
      </c>
      <c r="AA159" s="177" t="str">
        <f>IF(L159="","",VLOOKUP($L159,classifications!C:I,7,FALSE))</f>
        <v>Predominantly Urban</v>
      </c>
      <c r="AB159" s="173" t="str">
        <f t="shared" si="63"/>
        <v/>
      </c>
      <c r="AC159" s="173" t="str">
        <f>IF(AB159="","",IF($I$8="A",(RANK(AB159,AB$11:AB$333)+COUNTIF(AB$11:AB159,AB159)-1),(RANK(AB159,AB$11:AB$333,1)+COUNTIF(AB$11:AB159,AB159)-1)))</f>
        <v/>
      </c>
      <c r="AD159" s="173"/>
      <c r="AE159" s="45" t="e">
        <f>IF(I$8="A",(RANK(AG159,AG$11:AG$333,1)+COUNTIF(AG$11:AG159,AG159)-1),(RANK(AG159,AG$11:AG$333)+COUNTIF(AG$11:AG159,AG159)-1))</f>
        <v>#N/A</v>
      </c>
      <c r="AF159" t="str">
        <f>VLOOKUP(Profile!$J$5,Families!$C:$R,2,FALSE)</f>
        <v>North Dorset</v>
      </c>
      <c r="AG159" s="15" t="e">
        <f t="shared" si="76"/>
        <v>#N/A</v>
      </c>
      <c r="AH159" s="46" t="e">
        <f t="shared" si="64"/>
        <v>#N/A</v>
      </c>
      <c r="AI159" s="5" t="str">
        <f>IF(L159="","",VLOOKUP($L159,classifications!$C:$J,8,FALSE))</f>
        <v>Kent</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South East</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92.6</v>
      </c>
    </row>
    <row r="160" spans="1:50">
      <c r="A160" s="55" t="str">
        <f>$D$1&amp;150</f>
        <v>SD150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f t="shared" si="75"/>
        <v>150</v>
      </c>
      <c r="L160" t="str">
        <f t="shared" si="69"/>
        <v>Thanet</v>
      </c>
      <c r="M160" s="109">
        <f t="shared" si="70"/>
        <v>94.73</v>
      </c>
      <c r="N160" s="104">
        <f t="shared" si="55"/>
        <v>94.73</v>
      </c>
      <c r="O160" s="89" t="str">
        <f t="shared" si="56"/>
        <v/>
      </c>
      <c r="P160" s="89" t="str">
        <f t="shared" si="57"/>
        <v/>
      </c>
      <c r="Q160" s="89" t="str">
        <f t="shared" si="58"/>
        <v/>
      </c>
      <c r="R160" s="85">
        <f t="shared" si="59"/>
        <v>94.73</v>
      </c>
      <c r="S160" s="41" t="str">
        <f t="shared" si="60"/>
        <v/>
      </c>
      <c r="T160" s="166">
        <f>IF(L160="","",VLOOKUP(L160,classifications!C:K,9,FALSE))</f>
        <v>0</v>
      </c>
      <c r="U160" s="167" t="str">
        <f t="shared" si="61"/>
        <v/>
      </c>
      <c r="V160" s="173" t="str">
        <f>IF(U160="","",IF($I$8="A",(RANK(U160,U$11:U$333)+COUNTIF(U$11:U160,U160)-1),(RANK(U160,U$11:U$333,1)+COUNTIF(U$11:U160,U160)-1)))</f>
        <v/>
      </c>
      <c r="W160" s="174"/>
      <c r="X160" s="5" t="str">
        <f>IF(L160="","",VLOOKUP($L160,classifications!$C:$J,6,FALSE))</f>
        <v>Predominantly Urban</v>
      </c>
      <c r="Y160" t="str">
        <f t="shared" si="62"/>
        <v/>
      </c>
      <c r="Z160" s="39" t="str">
        <f>IF(Y160="","",IF(I$8="A",(RANK(Y160,Y$11:Y$333,1)+COUNTIF(Y$11:Y160,Y160)-1),(RANK(Y160,Y$11:Y$333)+COUNTIF(Y$11:Y160,Y160)-1)))</f>
        <v/>
      </c>
      <c r="AA160" s="177" t="str">
        <f>IF(L160="","",VLOOKUP($L160,classifications!C:I,7,FALSE))</f>
        <v>Predominantly Urban</v>
      </c>
      <c r="AB160" s="173" t="str">
        <f t="shared" si="63"/>
        <v/>
      </c>
      <c r="AC160" s="173" t="str">
        <f>IF(AB160="","",IF($I$8="A",(RANK(AB160,AB$11:AB$333)+COUNTIF(AB$11:AB160,AB160)-1),(RANK(AB160,AB$11:AB$333,1)+COUNTIF(AB$11:AB160,AB160)-1)))</f>
        <v/>
      </c>
      <c r="AD160" s="173"/>
      <c r="AE160" s="45" t="e">
        <f>IF(I$8="A",(RANK(AG160,AG$11:AG$333,1)+COUNTIF(AG$11:AG160,AG160)-1),(RANK(AG160,AG$11:AG$333)+COUNTIF(AG$11:AG160,AG160)-1))</f>
        <v>#N/A</v>
      </c>
      <c r="AF160" t="str">
        <f>VLOOKUP(Profile!$J$5,Families!$C:$R,2,FALSE)</f>
        <v>North Dorset</v>
      </c>
      <c r="AG160" s="15" t="e">
        <f t="shared" si="76"/>
        <v>#N/A</v>
      </c>
      <c r="AH160" s="46" t="e">
        <f t="shared" si="64"/>
        <v>#N/A</v>
      </c>
      <c r="AI160" s="5" t="str">
        <f>IF(L160="","",VLOOKUP($L160,classifications!$C:$J,8,FALSE))</f>
        <v>Kent</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South East</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SD151</v>
      </c>
      <c r="B161" s="56">
        <f>IF(ISERROR(VLOOKUP(A161,classifications!A:C,3,FALSE)),0,VLOOKUP(A161,classifications!A:C,3,FALSE))</f>
        <v>0</v>
      </c>
      <c r="C161" t="s">
        <v>93</v>
      </c>
      <c r="D161" t="str">
        <f>VLOOKUP($C161,classifications!$C:$J,4,FALSE)</f>
        <v>SD</v>
      </c>
      <c r="E161" t="str">
        <f>VLOOKUP(C161,classifications!C:K,9,FALSE)</f>
        <v>Sparse</v>
      </c>
      <c r="F161">
        <f t="shared" si="67"/>
        <v>96.76</v>
      </c>
      <c r="G161" s="15"/>
      <c r="H161" s="41">
        <f t="shared" si="68"/>
        <v>96.76</v>
      </c>
      <c r="I161" s="73">
        <f>IF(H161="","",IF($I$8="A",(RANK(H161,H$11:H$333,1)+COUNTIF(H$11:H161,H161)-1),(RANK(H161,H$11:H$333)+COUNTIF(H$11:H161,H161)-1)))</f>
        <v>110</v>
      </c>
      <c r="J161" s="40"/>
      <c r="K161" s="35">
        <f t="shared" si="75"/>
        <v>151</v>
      </c>
      <c r="L161" t="str">
        <f t="shared" si="69"/>
        <v>Worcester</v>
      </c>
      <c r="M161" s="109">
        <f t="shared" si="70"/>
        <v>94.73</v>
      </c>
      <c r="N161" s="104">
        <f t="shared" si="55"/>
        <v>94.73</v>
      </c>
      <c r="O161" s="89" t="str">
        <f t="shared" si="56"/>
        <v/>
      </c>
      <c r="P161" s="89" t="str">
        <f t="shared" si="57"/>
        <v/>
      </c>
      <c r="Q161" s="89" t="str">
        <f t="shared" si="58"/>
        <v/>
      </c>
      <c r="R161" s="85">
        <f t="shared" si="59"/>
        <v>94.73</v>
      </c>
      <c r="S161" s="41" t="str">
        <f t="shared" si="60"/>
        <v/>
      </c>
      <c r="T161" s="166">
        <f>IF(L161="","",VLOOKUP(L161,classifications!C:K,9,FALSE))</f>
        <v>0</v>
      </c>
      <c r="U161" s="167" t="str">
        <f t="shared" si="61"/>
        <v/>
      </c>
      <c r="V161" s="173" t="str">
        <f>IF(U161="","",IF($I$8="A",(RANK(U161,U$11:U$333)+COUNTIF(U$11:U161,U161)-1),(RANK(U161,U$11:U$333,1)+COUNTIF(U$11:U161,U161)-1)))</f>
        <v/>
      </c>
      <c r="W161" s="174"/>
      <c r="X161" s="5" t="str">
        <f>IF(L161="","",VLOOKUP($L161,classifications!$C:$J,6,FALSE))</f>
        <v>Predominantly Urban</v>
      </c>
      <c r="Y161" t="str">
        <f t="shared" si="62"/>
        <v/>
      </c>
      <c r="Z161" s="39" t="str">
        <f>IF(Y161="","",IF(I$8="A",(RANK(Y161,Y$11:Y$333,1)+COUNTIF(Y$11:Y161,Y161)-1),(RANK(Y161,Y$11:Y$333)+COUNTIF(Y$11:Y161,Y161)-1)))</f>
        <v/>
      </c>
      <c r="AA161" s="177" t="str">
        <f>IF(L161="","",VLOOKUP($L161,classifications!C:I,7,FALSE))</f>
        <v>Predominantly Urban</v>
      </c>
      <c r="AB161" s="173" t="str">
        <f t="shared" si="63"/>
        <v/>
      </c>
      <c r="AC161" s="173" t="str">
        <f>IF(AB161="","",IF($I$8="A",(RANK(AB161,AB$11:AB$333)+COUNTIF(AB$11:AB161,AB161)-1),(RANK(AB161,AB$11:AB$333,1)+COUNTIF(AB$11:AB161,AB161)-1)))</f>
        <v/>
      </c>
      <c r="AD161" s="173"/>
      <c r="AE161" s="45" t="e">
        <f>IF(I$8="A",(RANK(AG161,AG$11:AG$333,1)+COUNTIF(AG$11:AG161,AG161)-1),(RANK(AG161,AG$11:AG$333)+COUNTIF(AG$11:AG161,AG161)-1))</f>
        <v>#N/A</v>
      </c>
      <c r="AF161" t="str">
        <f>VLOOKUP(Profile!$J$5,Families!$C:$R,2,FALSE)</f>
        <v>North Dorset</v>
      </c>
      <c r="AG161" s="15" t="e">
        <f t="shared" si="76"/>
        <v>#N/A</v>
      </c>
      <c r="AH161" s="46" t="e">
        <f t="shared" si="64"/>
        <v>#N/A</v>
      </c>
      <c r="AI161" s="5" t="str">
        <f>IF(L161="","",VLOOKUP($L161,classifications!$C:$J,8,FALSE))</f>
        <v>Worcestershire</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West Midlands</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96.76</v>
      </c>
    </row>
    <row r="162" spans="1:50">
      <c r="A162" s="55" t="str">
        <f>$D$1&amp;152</f>
        <v>SD152</v>
      </c>
      <c r="B162" s="56">
        <f>IF(ISERROR(VLOOKUP(A162,classifications!A:C,3,FALSE)),0,VLOOKUP(A162,classifications!A:C,3,FALSE))</f>
        <v>0</v>
      </c>
      <c r="C162" t="s">
        <v>213</v>
      </c>
      <c r="D162" t="str">
        <f>VLOOKUP($C162,classifications!$C:$J,4,FALSE)</f>
        <v>L</v>
      </c>
      <c r="E162">
        <f>VLOOKUP(C162,classifications!C:K,9,FALSE)</f>
        <v>0</v>
      </c>
      <c r="F162">
        <f t="shared" si="67"/>
        <v>92.18</v>
      </c>
      <c r="G162" s="15"/>
      <c r="H162" s="41" t="str">
        <f t="shared" si="68"/>
        <v/>
      </c>
      <c r="I162" s="73" t="str">
        <f>IF(H162="","",IF($I$8="A",(RANK(H162,H$11:H$333,1)+COUNTIF(H$11:H162,H162)-1),(RANK(H162,H$11:H$333)+COUNTIF(H$11:H162,H162)-1)))</f>
        <v/>
      </c>
      <c r="J162" s="40"/>
      <c r="K162" s="35">
        <f t="shared" si="75"/>
        <v>152</v>
      </c>
      <c r="L162" t="str">
        <f t="shared" si="69"/>
        <v>Harlow</v>
      </c>
      <c r="M162" s="109">
        <f t="shared" si="70"/>
        <v>94.55</v>
      </c>
      <c r="N162" s="104">
        <f t="shared" si="55"/>
        <v>94.55</v>
      </c>
      <c r="O162" s="89" t="str">
        <f t="shared" si="56"/>
        <v/>
      </c>
      <c r="P162" s="89" t="str">
        <f t="shared" si="57"/>
        <v/>
      </c>
      <c r="Q162" s="89" t="str">
        <f t="shared" si="58"/>
        <v/>
      </c>
      <c r="R162" s="85">
        <f t="shared" si="59"/>
        <v>94.55</v>
      </c>
      <c r="S162" s="41" t="str">
        <f t="shared" si="60"/>
        <v/>
      </c>
      <c r="T162" s="166">
        <f>IF(L162="","",VLOOKUP(L162,classifications!C:K,9,FALSE))</f>
        <v>0</v>
      </c>
      <c r="U162" s="167" t="str">
        <f t="shared" si="61"/>
        <v/>
      </c>
      <c r="V162" s="173" t="str">
        <f>IF(U162="","",IF($I$8="A",(RANK(U162,U$11:U$333)+COUNTIF(U$11:U162,U162)-1),(RANK(U162,U$11:U$333,1)+COUNTIF(U$11:U162,U162)-1)))</f>
        <v/>
      </c>
      <c r="W162" s="174"/>
      <c r="X162" s="5" t="str">
        <f>IF(L162="","",VLOOKUP($L162,classifications!$C:$J,6,FALSE))</f>
        <v>Predominantly Urban</v>
      </c>
      <c r="Y162" t="str">
        <f t="shared" si="62"/>
        <v/>
      </c>
      <c r="Z162" s="39" t="str">
        <f>IF(Y162="","",IF(I$8="A",(RANK(Y162,Y$11:Y$333,1)+COUNTIF(Y$11:Y162,Y162)-1),(RANK(Y162,Y$11:Y$333)+COUNTIF(Y$11:Y162,Y162)-1)))</f>
        <v/>
      </c>
      <c r="AA162" s="177" t="str">
        <f>IF(L162="","",VLOOKUP($L162,classifications!C:I,7,FALSE))</f>
        <v>Predominantly Urban</v>
      </c>
      <c r="AB162" s="173" t="str">
        <f t="shared" si="63"/>
        <v/>
      </c>
      <c r="AC162" s="173" t="str">
        <f>IF(AB162="","",IF($I$8="A",(RANK(AB162,AB$11:AB$333)+COUNTIF(AB$11:AB162,AB162)-1),(RANK(AB162,AB$11:AB$333,1)+COUNTIF(AB$11:AB162,AB162)-1)))</f>
        <v/>
      </c>
      <c r="AD162" s="173"/>
      <c r="AE162" s="45" t="e">
        <f>IF(I$8="A",(RANK(AG162,AG$11:AG$333,1)+COUNTIF(AG$11:AG162,AG162)-1),(RANK(AG162,AG$11:AG$333)+COUNTIF(AG$11:AG162,AG162)-1))</f>
        <v>#N/A</v>
      </c>
      <c r="AF162" t="str">
        <f>VLOOKUP(Profile!$J$5,Families!$C:$R,2,FALSE)</f>
        <v>North Dorset</v>
      </c>
      <c r="AG162" s="15" t="e">
        <f t="shared" si="76"/>
        <v>#N/A</v>
      </c>
      <c r="AH162" s="46" t="e">
        <f t="shared" si="64"/>
        <v>#N/A</v>
      </c>
      <c r="AI162" s="5" t="str">
        <f>IF(L162="","",VLOOKUP($L162,classifications!$C:$J,8,FALSE))</f>
        <v>Essex</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East of England</v>
      </c>
      <c r="AQ162" s="42">
        <f t="shared" si="66"/>
        <v>94.55</v>
      </c>
      <c r="AR162" s="39">
        <f>IF(AQ162="","",IF(I$8="A",(RANK(AQ162,AQ$11:AQ$333,1)+COUNTIF(AQ$11:AQ162,AQ162)-1),(RANK(AQ162,AQ$11:AQ$333)+COUNTIF(AQ$11:AQ162,AQ162)-1)))</f>
        <v>36</v>
      </c>
      <c r="AS162" s="3" t="str">
        <f t="shared" si="78"/>
        <v/>
      </c>
      <c r="AT162" s="39" t="str">
        <f t="shared" si="73"/>
        <v/>
      </c>
      <c r="AU162" s="42" t="str">
        <f t="shared" si="74"/>
        <v/>
      </c>
      <c r="AX162">
        <f>HLOOKUP($AX$9&amp;$AX$10,Data!$A$1:$ZT$1975,(MATCH($C162,Data!$A$1:$A$1975,0)),FALSE)</f>
        <v>92.18</v>
      </c>
    </row>
    <row r="163" spans="1:50">
      <c r="A163" s="55" t="str">
        <f>$D$1&amp;153</f>
        <v>SD153</v>
      </c>
      <c r="B163" s="56">
        <f>IF(ISERROR(VLOOKUP(A163,classifications!A:C,3,FALSE)),0,VLOOKUP(A163,classifications!A:C,3,FALSE))</f>
        <v>0</v>
      </c>
      <c r="C163" t="s">
        <v>94</v>
      </c>
      <c r="D163" t="str">
        <f>VLOOKUP($C163,classifications!$C:$J,4,FALSE)</f>
        <v>SD</v>
      </c>
      <c r="E163" t="str">
        <f>VLOOKUP(C163,classifications!C:K,9,FALSE)</f>
        <v>Sparse</v>
      </c>
      <c r="F163">
        <f t="shared" si="67"/>
        <v>98.41</v>
      </c>
      <c r="G163" s="15"/>
      <c r="H163" s="41">
        <f t="shared" si="68"/>
        <v>98.41</v>
      </c>
      <c r="I163" s="73">
        <f>IF(H163="","",IF($I$8="A",(RANK(H163,H$11:H$333,1)+COUNTIF(H$11:H163,H163)-1),(RANK(H163,H$11:H$333)+COUNTIF(H$11:H163,H163)-1)))</f>
        <v>19</v>
      </c>
      <c r="J163" s="40"/>
      <c r="K163" s="35">
        <f t="shared" si="75"/>
        <v>153</v>
      </c>
      <c r="L163" t="str">
        <f t="shared" si="69"/>
        <v>Hastings</v>
      </c>
      <c r="M163" s="109">
        <f t="shared" si="70"/>
        <v>94.41</v>
      </c>
      <c r="N163" s="104">
        <f t="shared" si="55"/>
        <v>94.41</v>
      </c>
      <c r="O163" s="89" t="str">
        <f t="shared" si="56"/>
        <v/>
      </c>
      <c r="P163" s="89" t="str">
        <f t="shared" si="57"/>
        <v/>
      </c>
      <c r="Q163" s="89" t="str">
        <f t="shared" si="58"/>
        <v/>
      </c>
      <c r="R163" s="85">
        <f t="shared" si="59"/>
        <v>94.41</v>
      </c>
      <c r="S163" s="41" t="str">
        <f t="shared" si="60"/>
        <v/>
      </c>
      <c r="T163" s="166">
        <f>IF(L163="","",VLOOKUP(L163,classifications!C:K,9,FALSE))</f>
        <v>0</v>
      </c>
      <c r="U163" s="167" t="str">
        <f t="shared" si="61"/>
        <v/>
      </c>
      <c r="V163" s="173" t="str">
        <f>IF(U163="","",IF($I$8="A",(RANK(U163,U$11:U$333)+COUNTIF(U$11:U163,U163)-1),(RANK(U163,U$11:U$333,1)+COUNTIF(U$11:U163,U163)-1)))</f>
        <v/>
      </c>
      <c r="W163" s="174"/>
      <c r="X163" s="5" t="str">
        <f>IF(L163="","",VLOOKUP($L163,classifications!$C:$J,6,FALSE))</f>
        <v>Predominantly Urban</v>
      </c>
      <c r="Y163" t="str">
        <f t="shared" si="62"/>
        <v/>
      </c>
      <c r="Z163" s="39" t="str">
        <f>IF(Y163="","",IF(I$8="A",(RANK(Y163,Y$11:Y$333,1)+COUNTIF(Y$11:Y163,Y163)-1),(RANK(Y163,Y$11:Y$333)+COUNTIF(Y$11:Y163,Y163)-1)))</f>
        <v/>
      </c>
      <c r="AA163" s="177" t="str">
        <f>IF(L163="","",VLOOKUP($L163,classifications!C:I,7,FALSE))</f>
        <v>Predominantly Urban</v>
      </c>
      <c r="AB163" s="173" t="str">
        <f t="shared" si="63"/>
        <v/>
      </c>
      <c r="AC163" s="173" t="str">
        <f>IF(AB163="","",IF($I$8="A",(RANK(AB163,AB$11:AB$333)+COUNTIF(AB$11:AB163,AB163)-1),(RANK(AB163,AB$11:AB$333,1)+COUNTIF(AB$11:AB163,AB163)-1)))</f>
        <v/>
      </c>
      <c r="AD163" s="173"/>
      <c r="AE163" s="45" t="e">
        <f>IF(I$8="A",(RANK(AG163,AG$11:AG$333,1)+COUNTIF(AG$11:AG163,AG163)-1),(RANK(AG163,AG$11:AG$333)+COUNTIF(AG$11:AG163,AG163)-1))</f>
        <v>#N/A</v>
      </c>
      <c r="AF163" t="str">
        <f>VLOOKUP(Profile!$J$5,Families!$C:$R,2,FALSE)</f>
        <v>North Dorset</v>
      </c>
      <c r="AG163" s="15" t="e">
        <f t="shared" si="76"/>
        <v>#N/A</v>
      </c>
      <c r="AH163" s="46" t="e">
        <f t="shared" si="64"/>
        <v>#N/A</v>
      </c>
      <c r="AI163" s="5" t="str">
        <f>IF(L163="","",VLOOKUP($L163,classifications!$C:$J,8,FALSE))</f>
        <v>East Sussex</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South East</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98.41</v>
      </c>
    </row>
    <row r="164" spans="1:50">
      <c r="A164" s="55" t="str">
        <f>$D$1&amp;154</f>
        <v>SD154</v>
      </c>
      <c r="B164" s="56">
        <f>IF(ISERROR(VLOOKUP(A164,classifications!A:C,3,FALSE)),0,VLOOKUP(A164,classifications!A:C,3,FALSE))</f>
        <v>0</v>
      </c>
      <c r="C164" t="s">
        <v>95</v>
      </c>
      <c r="D164" t="str">
        <f>VLOOKUP($C164,classifications!$C:$J,4,FALSE)</f>
        <v>SD</v>
      </c>
      <c r="E164">
        <f>VLOOKUP(C164,classifications!C:K,9,FALSE)</f>
        <v>0</v>
      </c>
      <c r="F164">
        <f t="shared" si="67"/>
        <v>94.04</v>
      </c>
      <c r="G164" s="15"/>
      <c r="H164" s="41">
        <f t="shared" si="68"/>
        <v>94.04</v>
      </c>
      <c r="I164" s="73">
        <f>IF(H164="","",IF($I$8="A",(RANK(H164,H$11:H$333,1)+COUNTIF(H$11:H164,H164)-1),(RANK(H164,H$11:H$333)+COUNTIF(H$11:H164,H164)-1)))</f>
        <v>157</v>
      </c>
      <c r="J164" s="40"/>
      <c r="K164" s="35">
        <f t="shared" si="75"/>
        <v>154</v>
      </c>
      <c r="L164" t="str">
        <f t="shared" si="69"/>
        <v>Lancaster</v>
      </c>
      <c r="M164" s="109">
        <f t="shared" si="70"/>
        <v>94.41</v>
      </c>
      <c r="N164" s="104">
        <f t="shared" si="55"/>
        <v>94.41</v>
      </c>
      <c r="O164" s="89" t="str">
        <f t="shared" si="56"/>
        <v/>
      </c>
      <c r="P164" s="89" t="str">
        <f t="shared" si="57"/>
        <v/>
      </c>
      <c r="Q164" s="89" t="str">
        <f t="shared" si="58"/>
        <v/>
      </c>
      <c r="R164" s="85">
        <f t="shared" si="59"/>
        <v>94.41</v>
      </c>
      <c r="S164" s="41" t="str">
        <f t="shared" si="60"/>
        <v/>
      </c>
      <c r="T164" s="166">
        <f>IF(L164="","",VLOOKUP(L164,classifications!C:K,9,FALSE))</f>
        <v>0</v>
      </c>
      <c r="U164" s="167" t="str">
        <f t="shared" si="61"/>
        <v/>
      </c>
      <c r="V164" s="173" t="str">
        <f>IF(U164="","",IF($I$8="A",(RANK(U164,U$11:U$333)+COUNTIF(U$11:U164,U164)-1),(RANK(U164,U$11:U$333,1)+COUNTIF(U$11:U164,U164)-1)))</f>
        <v/>
      </c>
      <c r="W164" s="174"/>
      <c r="X164" s="5" t="str">
        <f>IF(L164="","",VLOOKUP($L164,classifications!$C:$J,6,FALSE))</f>
        <v>Urban with Significant Rural</v>
      </c>
      <c r="Y164" t="str">
        <f t="shared" si="62"/>
        <v/>
      </c>
      <c r="Z164" s="39" t="str">
        <f>IF(Y164="","",IF(I$8="A",(RANK(Y164,Y$11:Y$333,1)+COUNTIF(Y$11:Y164,Y164)-1),(RANK(Y164,Y$11:Y$333)+COUNTIF(Y$11:Y164,Y164)-1)))</f>
        <v/>
      </c>
      <c r="AA164" s="177" t="str">
        <f>IF(L164="","",VLOOKUP($L164,classifications!C:I,7,FALSE))</f>
        <v>Urban with Significant Rural</v>
      </c>
      <c r="AB164" s="173" t="str">
        <f t="shared" si="63"/>
        <v/>
      </c>
      <c r="AC164" s="173" t="str">
        <f>IF(AB164="","",IF($I$8="A",(RANK(AB164,AB$11:AB$333)+COUNTIF(AB$11:AB164,AB164)-1),(RANK(AB164,AB$11:AB$333,1)+COUNTIF(AB$11:AB164,AB164)-1)))</f>
        <v/>
      </c>
      <c r="AD164" s="173"/>
      <c r="AE164" s="45" t="e">
        <f>IF(I$8="A",(RANK(AG164,AG$11:AG$333,1)+COUNTIF(AG$11:AG164,AG164)-1),(RANK(AG164,AG$11:AG$333)+COUNTIF(AG$11:AG164,AG164)-1))</f>
        <v>#N/A</v>
      </c>
      <c r="AF164" t="str">
        <f>VLOOKUP(Profile!$J$5,Families!$C:$R,2,FALSE)</f>
        <v>North Dorset</v>
      </c>
      <c r="AG164" s="15" t="e">
        <f t="shared" si="76"/>
        <v>#N/A</v>
      </c>
      <c r="AH164" s="46" t="e">
        <f t="shared" si="64"/>
        <v>#N/A</v>
      </c>
      <c r="AI164" s="5" t="str">
        <f>IF(L164="","",VLOOKUP($L164,classifications!$C:$J,8,FALSE))</f>
        <v>Lancashire</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North West</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94.04</v>
      </c>
    </row>
    <row r="165" spans="1:50">
      <c r="A165" s="55" t="str">
        <f>$D$1&amp;155</f>
        <v>SD155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f t="shared" si="75"/>
        <v>155</v>
      </c>
      <c r="L165" t="str">
        <f t="shared" si="69"/>
        <v>Hyndburn</v>
      </c>
      <c r="M165" s="109">
        <f t="shared" si="70"/>
        <v>94.37</v>
      </c>
      <c r="N165" s="104">
        <f t="shared" si="55"/>
        <v>94.37</v>
      </c>
      <c r="O165" s="89" t="str">
        <f t="shared" si="56"/>
        <v/>
      </c>
      <c r="P165" s="89" t="str">
        <f t="shared" si="57"/>
        <v/>
      </c>
      <c r="Q165" s="89" t="str">
        <f t="shared" si="58"/>
        <v/>
      </c>
      <c r="R165" s="85">
        <f t="shared" si="59"/>
        <v>94.37</v>
      </c>
      <c r="S165" s="41" t="str">
        <f t="shared" si="60"/>
        <v/>
      </c>
      <c r="T165" s="166">
        <f>IF(L165="","",VLOOKUP(L165,classifications!C:K,9,FALSE))</f>
        <v>0</v>
      </c>
      <c r="U165" s="167" t="str">
        <f t="shared" si="61"/>
        <v/>
      </c>
      <c r="V165" s="173" t="str">
        <f>IF(U165="","",IF($I$8="A",(RANK(U165,U$11:U$333)+COUNTIF(U$11:U165,U165)-1),(RANK(U165,U$11:U$333,1)+COUNTIF(U$11:U165,U165)-1)))</f>
        <v/>
      </c>
      <c r="W165" s="174"/>
      <c r="X165" s="5" t="str">
        <f>IF(L165="","",VLOOKUP($L165,classifications!$C:$J,6,FALSE))</f>
        <v>Predominantly Urban</v>
      </c>
      <c r="Y165" t="str">
        <f t="shared" si="62"/>
        <v/>
      </c>
      <c r="Z165" s="39" t="str">
        <f>IF(Y165="","",IF(I$8="A",(RANK(Y165,Y$11:Y$333,1)+COUNTIF(Y$11:Y165,Y165)-1),(RANK(Y165,Y$11:Y$333)+COUNTIF(Y$11:Y165,Y165)-1)))</f>
        <v/>
      </c>
      <c r="AA165" s="177" t="str">
        <f>IF(L165="","",VLOOKUP($L165,classifications!C:I,7,FALSE))</f>
        <v>Predominantly Urban</v>
      </c>
      <c r="AB165" s="173" t="str">
        <f t="shared" si="63"/>
        <v/>
      </c>
      <c r="AC165" s="173" t="str">
        <f>IF(AB165="","",IF($I$8="A",(RANK(AB165,AB$11:AB$333)+COUNTIF(AB$11:AB165,AB165)-1),(RANK(AB165,AB$11:AB$333,1)+COUNTIF(AB$11:AB165,AB165)-1)))</f>
        <v/>
      </c>
      <c r="AD165" s="173"/>
      <c r="AE165" s="45" t="e">
        <f>IF(I$8="A",(RANK(AG165,AG$11:AG$333,1)+COUNTIF(AG$11:AG165,AG165)-1),(RANK(AG165,AG$11:AG$333)+COUNTIF(AG$11:AG165,AG165)-1))</f>
        <v>#N/A</v>
      </c>
      <c r="AF165" t="str">
        <f>VLOOKUP(Profile!$J$5,Families!$C:$R,2,FALSE)</f>
        <v>North Dorset</v>
      </c>
      <c r="AG165" s="15" t="e">
        <f t="shared" si="76"/>
        <v>#N/A</v>
      </c>
      <c r="AH165" s="46" t="e">
        <f t="shared" si="64"/>
        <v>#N/A</v>
      </c>
      <c r="AI165" s="5" t="str">
        <f>IF(L165="","",VLOOKUP($L165,classifications!$C:$J,8,FALSE))</f>
        <v>Lancashire</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North West</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SD156</v>
      </c>
      <c r="B166" s="56">
        <f>IF(ISERROR(VLOOKUP(A166,classifications!A:C,3,FALSE)),0,VLOOKUP(A166,classifications!A:C,3,FALSE))</f>
        <v>0</v>
      </c>
      <c r="C166" t="s">
        <v>235</v>
      </c>
      <c r="D166" t="str">
        <f>VLOOKUP($C166,classifications!$C:$J,4,FALSE)</f>
        <v>MD</v>
      </c>
      <c r="E166">
        <f>VLOOKUP(C166,classifications!C:K,9,FALSE)</f>
        <v>0</v>
      </c>
      <c r="F166">
        <f t="shared" si="67"/>
        <v>85.55</v>
      </c>
      <c r="G166" s="15"/>
      <c r="H166" s="41" t="str">
        <f t="shared" si="68"/>
        <v/>
      </c>
      <c r="I166" s="73" t="str">
        <f>IF(H166="","",IF($I$8="A",(RANK(H166,H$11:H$333,1)+COUNTIF(H$11:H166,H166)-1),(RANK(H166,H$11:H$333)+COUNTIF(H$11:H166,H166)-1)))</f>
        <v/>
      </c>
      <c r="J166" s="40"/>
      <c r="K166" s="35">
        <f t="shared" si="75"/>
        <v>156</v>
      </c>
      <c r="L166" t="str">
        <f t="shared" si="69"/>
        <v>Stevenage</v>
      </c>
      <c r="M166" s="109">
        <f t="shared" si="70"/>
        <v>94.37</v>
      </c>
      <c r="N166" s="104">
        <f t="shared" si="55"/>
        <v>94.37</v>
      </c>
      <c r="O166" s="89" t="str">
        <f t="shared" si="56"/>
        <v/>
      </c>
      <c r="P166" s="89" t="str">
        <f t="shared" si="57"/>
        <v/>
      </c>
      <c r="Q166" s="89" t="str">
        <f t="shared" si="58"/>
        <v/>
      </c>
      <c r="R166" s="85">
        <f t="shared" si="59"/>
        <v>94.37</v>
      </c>
      <c r="S166" s="41" t="str">
        <f t="shared" si="60"/>
        <v/>
      </c>
      <c r="T166" s="166">
        <f>IF(L166="","",VLOOKUP(L166,classifications!C:K,9,FALSE))</f>
        <v>0</v>
      </c>
      <c r="U166" s="167" t="str">
        <f t="shared" si="61"/>
        <v/>
      </c>
      <c r="V166" s="173" t="str">
        <f>IF(U166="","",IF($I$8="A",(RANK(U166,U$11:U$333)+COUNTIF(U$11:U166,U166)-1),(RANK(U166,U$11:U$333,1)+COUNTIF(U$11:U166,U166)-1)))</f>
        <v/>
      </c>
      <c r="W166" s="174"/>
      <c r="X166" s="5" t="str">
        <f>IF(L166="","",VLOOKUP($L166,classifications!$C:$J,6,FALSE))</f>
        <v>Predominantly Urban</v>
      </c>
      <c r="Y166" t="str">
        <f t="shared" si="62"/>
        <v/>
      </c>
      <c r="Z166" s="39" t="str">
        <f>IF(Y166="","",IF(I$8="A",(RANK(Y166,Y$11:Y$333,1)+COUNTIF(Y$11:Y166,Y166)-1),(RANK(Y166,Y$11:Y$333)+COUNTIF(Y$11:Y166,Y166)-1)))</f>
        <v/>
      </c>
      <c r="AA166" s="177" t="str">
        <f>IF(L166="","",VLOOKUP($L166,classifications!C:I,7,FALSE))</f>
        <v>Predominantly Urban</v>
      </c>
      <c r="AB166" s="173" t="str">
        <f t="shared" si="63"/>
        <v/>
      </c>
      <c r="AC166" s="173" t="str">
        <f>IF(AB166="","",IF($I$8="A",(RANK(AB166,AB$11:AB$333)+COUNTIF(AB$11:AB166,AB166)-1),(RANK(AB166,AB$11:AB$333,1)+COUNTIF(AB$11:AB166,AB166)-1)))</f>
        <v/>
      </c>
      <c r="AD166" s="173"/>
      <c r="AE166" s="45" t="e">
        <f>IF(I$8="A",(RANK(AG166,AG$11:AG$333,1)+COUNTIF(AG$11:AG166,AG166)-1),(RANK(AG166,AG$11:AG$333)+COUNTIF(AG$11:AG166,AG166)-1))</f>
        <v>#N/A</v>
      </c>
      <c r="AF166" t="str">
        <f>VLOOKUP(Profile!$J$5,Families!$C:$R,2,FALSE)</f>
        <v>North Dorset</v>
      </c>
      <c r="AG166" s="15" t="e">
        <f t="shared" si="76"/>
        <v>#N/A</v>
      </c>
      <c r="AH166" s="46" t="e">
        <f t="shared" si="64"/>
        <v>#N/A</v>
      </c>
      <c r="AI166" s="5" t="str">
        <f>IF(L166="","",VLOOKUP($L166,classifications!$C:$J,8,FALSE))</f>
        <v>Hertfordshire</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East of England</v>
      </c>
      <c r="AQ166" s="42">
        <f t="shared" si="66"/>
        <v>94.37</v>
      </c>
      <c r="AR166" s="39">
        <f>IF(AQ166="","",IF(I$8="A",(RANK(AQ166,AQ$11:AQ$333,1)+COUNTIF(AQ$11:AQ166,AQ166)-1),(RANK(AQ166,AQ$11:AQ$333)+COUNTIF(AQ$11:AQ166,AQ166)-1)))</f>
        <v>37</v>
      </c>
      <c r="AS166" s="3" t="str">
        <f t="shared" si="78"/>
        <v/>
      </c>
      <c r="AT166" s="39" t="str">
        <f t="shared" si="73"/>
        <v/>
      </c>
      <c r="AU166" s="42" t="str">
        <f t="shared" si="74"/>
        <v/>
      </c>
      <c r="AX166">
        <f>HLOOKUP($AX$9&amp;$AX$10,Data!$A$1:$ZT$1975,(MATCH($C166,Data!$A$1:$A$1975,0)),FALSE)</f>
        <v>85.55</v>
      </c>
    </row>
    <row r="167" spans="1:50">
      <c r="A167" s="55" t="str">
        <f>$D$1&amp;157</f>
        <v>SD157</v>
      </c>
      <c r="B167" s="56">
        <f>IF(ISERROR(VLOOKUP(A167,classifications!A:C,3,FALSE)),0,VLOOKUP(A167,classifications!A:C,3,FALSE))</f>
        <v>0</v>
      </c>
      <c r="C167" t="s">
        <v>272</v>
      </c>
      <c r="D167" t="str">
        <f>VLOOKUP($C167,classifications!$C:$J,4,FALSE)</f>
        <v>UA</v>
      </c>
      <c r="E167">
        <f>VLOOKUP(C167,classifications!C:K,9,FALSE)</f>
        <v>0</v>
      </c>
      <c r="F167">
        <f t="shared" si="67"/>
        <v>94.75</v>
      </c>
      <c r="G167" s="15"/>
      <c r="H167" s="41" t="str">
        <f t="shared" si="68"/>
        <v/>
      </c>
      <c r="I167" s="73" t="str">
        <f>IF(H167="","",IF($I$8="A",(RANK(H167,H$11:H$333,1)+COUNTIF(H$11:H167,H167)-1),(RANK(H167,H$11:H$333)+COUNTIF(H$11:H167,H167)-1)))</f>
        <v/>
      </c>
      <c r="J167" s="40"/>
      <c r="K167" s="35">
        <f t="shared" si="75"/>
        <v>157</v>
      </c>
      <c r="L167" t="str">
        <f t="shared" si="69"/>
        <v>Lincoln</v>
      </c>
      <c r="M167" s="109">
        <f t="shared" si="70"/>
        <v>94.04</v>
      </c>
      <c r="N167" s="104">
        <f t="shared" si="55"/>
        <v>94.04</v>
      </c>
      <c r="O167" s="89" t="str">
        <f t="shared" si="56"/>
        <v/>
      </c>
      <c r="P167" s="89" t="str">
        <f t="shared" si="57"/>
        <v/>
      </c>
      <c r="Q167" s="89" t="str">
        <f t="shared" si="58"/>
        <v/>
      </c>
      <c r="R167" s="85">
        <f t="shared" si="59"/>
        <v>94.04</v>
      </c>
      <c r="S167" s="41" t="str">
        <f t="shared" si="60"/>
        <v/>
      </c>
      <c r="T167" s="166">
        <f>IF(L167="","",VLOOKUP(L167,classifications!C:K,9,FALSE))</f>
        <v>0</v>
      </c>
      <c r="U167" s="167" t="str">
        <f t="shared" si="61"/>
        <v/>
      </c>
      <c r="V167" s="173" t="str">
        <f>IF(U167="","",IF($I$8="A",(RANK(U167,U$11:U$333)+COUNTIF(U$11:U167,U167)-1),(RANK(U167,U$11:U$333,1)+COUNTIF(U$11:U167,U167)-1)))</f>
        <v/>
      </c>
      <c r="W167" s="174"/>
      <c r="X167" s="5" t="str">
        <f>IF(L167="","",VLOOKUP($L167,classifications!$C:$J,6,FALSE))</f>
        <v>Predominantly Urban</v>
      </c>
      <c r="Y167" t="str">
        <f t="shared" si="62"/>
        <v/>
      </c>
      <c r="Z167" s="39" t="str">
        <f>IF(Y167="","",IF(I$8="A",(RANK(Y167,Y$11:Y$333,1)+COUNTIF(Y$11:Y167,Y167)-1),(RANK(Y167,Y$11:Y$333)+COUNTIF(Y$11:Y167,Y167)-1)))</f>
        <v/>
      </c>
      <c r="AA167" s="177" t="str">
        <f>IF(L167="","",VLOOKUP($L167,classifications!C:I,7,FALSE))</f>
        <v>Predominantly Urban</v>
      </c>
      <c r="AB167" s="173" t="str">
        <f t="shared" si="63"/>
        <v/>
      </c>
      <c r="AC167" s="173" t="str">
        <f>IF(AB167="","",IF($I$8="A",(RANK(AB167,AB$11:AB$333)+COUNTIF(AB$11:AB167,AB167)-1),(RANK(AB167,AB$11:AB$333,1)+COUNTIF(AB$11:AB167,AB167)-1)))</f>
        <v/>
      </c>
      <c r="AD167" s="173"/>
      <c r="AE167" s="45" t="e">
        <f>IF(I$8="A",(RANK(AG167,AG$11:AG$333,1)+COUNTIF(AG$11:AG167,AG167)-1),(RANK(AG167,AG$11:AG$333)+COUNTIF(AG$11:AG167,AG167)-1))</f>
        <v>#N/A</v>
      </c>
      <c r="AF167" t="str">
        <f>VLOOKUP(Profile!$J$5,Families!$C:$R,2,FALSE)</f>
        <v>North Dorset</v>
      </c>
      <c r="AG167" s="15" t="e">
        <f t="shared" si="76"/>
        <v>#N/A</v>
      </c>
      <c r="AH167" s="46" t="e">
        <f t="shared" si="64"/>
        <v>#N/A</v>
      </c>
      <c r="AI167" s="5" t="str">
        <f>IF(L167="","",VLOOKUP($L167,classifications!$C:$J,8,FALSE))</f>
        <v>Lincolnshire</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East Midlands</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94.75</v>
      </c>
    </row>
    <row r="168" spans="1:50">
      <c r="A168" s="55" t="str">
        <f>$D$1&amp;158</f>
        <v>SD158</v>
      </c>
      <c r="B168" s="56">
        <f>IF(ISERROR(VLOOKUP(A168,classifications!A:C,3,FALSE)),0,VLOOKUP(A168,classifications!A:C,3,FALSE))</f>
        <v>0</v>
      </c>
      <c r="C168" t="s">
        <v>96</v>
      </c>
      <c r="D168" t="str">
        <f>VLOOKUP($C168,classifications!$C:$J,4,FALSE)</f>
        <v>SD</v>
      </c>
      <c r="E168">
        <f>VLOOKUP(C168,classifications!C:K,9,FALSE)</f>
        <v>0</v>
      </c>
      <c r="F168">
        <f t="shared" si="67"/>
        <v>96.66</v>
      </c>
      <c r="G168" s="15"/>
      <c r="H168" s="41">
        <f t="shared" si="68"/>
        <v>96.66</v>
      </c>
      <c r="I168" s="73">
        <f>IF(H168="","",IF($I$8="A",(RANK(H168,H$11:H$333,1)+COUNTIF(H$11:H168,H168)-1),(RANK(H168,H$11:H$333)+COUNTIF(H$11:H168,H168)-1)))</f>
        <v>113</v>
      </c>
      <c r="J168" s="40"/>
      <c r="K168" s="35">
        <f t="shared" si="75"/>
        <v>158</v>
      </c>
      <c r="L168" t="str">
        <f t="shared" si="69"/>
        <v>West Lancashire</v>
      </c>
      <c r="M168" s="109">
        <f t="shared" si="70"/>
        <v>93.97</v>
      </c>
      <c r="N168" s="104">
        <f t="shared" si="55"/>
        <v>93.97</v>
      </c>
      <c r="O168" s="89" t="str">
        <f t="shared" si="56"/>
        <v/>
      </c>
      <c r="P168" s="89" t="str">
        <f t="shared" si="57"/>
        <v/>
      </c>
      <c r="Q168" s="89" t="str">
        <f t="shared" si="58"/>
        <v/>
      </c>
      <c r="R168" s="85">
        <f t="shared" si="59"/>
        <v>93.97</v>
      </c>
      <c r="S168" s="41" t="str">
        <f t="shared" si="60"/>
        <v/>
      </c>
      <c r="T168" s="166">
        <f>IF(L168="","",VLOOKUP(L168,classifications!C:K,9,FALSE))</f>
        <v>0</v>
      </c>
      <c r="U168" s="167" t="str">
        <f t="shared" si="61"/>
        <v/>
      </c>
      <c r="V168" s="173" t="str">
        <f>IF(U168="","",IF($I$8="A",(RANK(U168,U$11:U$333)+COUNTIF(U$11:U168,U168)-1),(RANK(U168,U$11:U$333,1)+COUNTIF(U$11:U168,U168)-1)))</f>
        <v/>
      </c>
      <c r="W168" s="174"/>
      <c r="X168" s="5" t="str">
        <f>IF(L168="","",VLOOKUP($L168,classifications!$C:$J,6,FALSE))</f>
        <v>Urban with Significant Rural</v>
      </c>
      <c r="Y168" t="str">
        <f t="shared" si="62"/>
        <v/>
      </c>
      <c r="Z168" s="39" t="str">
        <f>IF(Y168="","",IF(I$8="A",(RANK(Y168,Y$11:Y$333,1)+COUNTIF(Y$11:Y168,Y168)-1),(RANK(Y168,Y$11:Y$333)+COUNTIF(Y$11:Y168,Y168)-1)))</f>
        <v/>
      </c>
      <c r="AA168" s="177" t="str">
        <f>IF(L168="","",VLOOKUP($L168,classifications!C:I,7,FALSE))</f>
        <v>Urban with Significant Rural</v>
      </c>
      <c r="AB168" s="173" t="str">
        <f t="shared" si="63"/>
        <v/>
      </c>
      <c r="AC168" s="173" t="str">
        <f>IF(AB168="","",IF($I$8="A",(RANK(AB168,AB$11:AB$333)+COUNTIF(AB$11:AB168,AB168)-1),(RANK(AB168,AB$11:AB$333,1)+COUNTIF(AB$11:AB168,AB168)-1)))</f>
        <v/>
      </c>
      <c r="AD168" s="173"/>
      <c r="AE168" s="45" t="e">
        <f>IF(I$8="A",(RANK(AG168,AG$11:AG$333,1)+COUNTIF(AG$11:AG168,AG168)-1),(RANK(AG168,AG$11:AG$333)+COUNTIF(AG$11:AG168,AG168)-1))</f>
        <v>#N/A</v>
      </c>
      <c r="AF168" t="str">
        <f>VLOOKUP(Profile!$J$5,Families!$C:$R,2,FALSE)</f>
        <v>North Dorset</v>
      </c>
      <c r="AG168" s="15" t="e">
        <f t="shared" si="76"/>
        <v>#N/A</v>
      </c>
      <c r="AH168" s="46" t="e">
        <f t="shared" si="64"/>
        <v>#N/A</v>
      </c>
      <c r="AI168" s="5" t="str">
        <f>IF(L168="","",VLOOKUP($L168,classifications!$C:$J,8,FALSE))</f>
        <v>Lancashire</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North West</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96.66</v>
      </c>
    </row>
    <row r="169" spans="1:50">
      <c r="A169" s="55" t="str">
        <f>$D$1&amp;159</f>
        <v>SD159</v>
      </c>
      <c r="B169" s="56">
        <f>IF(ISERROR(VLOOKUP(A169,classifications!A:C,3,FALSE)),0,VLOOKUP(A169,classifications!A:C,3,FALSE))</f>
        <v>0</v>
      </c>
      <c r="C169" t="s">
        <v>97</v>
      </c>
      <c r="D169" t="str">
        <f>VLOOKUP($C169,classifications!$C:$J,4,FALSE)</f>
        <v>SD</v>
      </c>
      <c r="E169">
        <f>VLOOKUP(C169,classifications!C:K,9,FALSE)</f>
        <v>0</v>
      </c>
      <c r="F169">
        <f t="shared" si="67"/>
        <v>98.01</v>
      </c>
      <c r="G169" s="15"/>
      <c r="H169" s="41">
        <f t="shared" si="68"/>
        <v>98.01</v>
      </c>
      <c r="I169" s="73">
        <f>IF(H169="","",IF($I$8="A",(RANK(H169,H$11:H$333,1)+COUNTIF(H$11:H169,H169)-1),(RANK(H169,H$11:H$333)+COUNTIF(H$11:H169,H169)-1)))</f>
        <v>43</v>
      </c>
      <c r="J169" s="40"/>
      <c r="K169" s="35">
        <f t="shared" si="75"/>
        <v>159</v>
      </c>
      <c r="L169" t="str">
        <f t="shared" si="69"/>
        <v>Tendring</v>
      </c>
      <c r="M169" s="109">
        <f t="shared" si="70"/>
        <v>93.87</v>
      </c>
      <c r="N169" s="104">
        <f t="shared" si="55"/>
        <v>93.87</v>
      </c>
      <c r="O169" s="89" t="str">
        <f t="shared" si="56"/>
        <v/>
      </c>
      <c r="P169" s="89" t="str">
        <f t="shared" si="57"/>
        <v/>
      </c>
      <c r="Q169" s="89" t="str">
        <f t="shared" si="58"/>
        <v/>
      </c>
      <c r="R169" s="85">
        <f t="shared" si="59"/>
        <v>93.87</v>
      </c>
      <c r="S169" s="41" t="str">
        <f t="shared" si="60"/>
        <v/>
      </c>
      <c r="T169" s="166">
        <f>IF(L169="","",VLOOKUP(L169,classifications!C:K,9,FALSE))</f>
        <v>0</v>
      </c>
      <c r="U169" s="167" t="str">
        <f t="shared" si="61"/>
        <v/>
      </c>
      <c r="V169" s="173" t="str">
        <f>IF(U169="","",IF($I$8="A",(RANK(U169,U$11:U$333)+COUNTIF(U$11:U169,U169)-1),(RANK(U169,U$11:U$333,1)+COUNTIF(U$11:U169,U169)-1)))</f>
        <v/>
      </c>
      <c r="W169" s="174"/>
      <c r="X169" s="5" t="str">
        <f>IF(L169="","",VLOOKUP($L169,classifications!$C:$J,6,FALSE))</f>
        <v xml:space="preserve">Predominantly Rural </v>
      </c>
      <c r="Y169">
        <f t="shared" si="62"/>
        <v>93.87</v>
      </c>
      <c r="Z169" s="39">
        <f>IF(Y169="","",IF(I$8="A",(RANK(Y169,Y$11:Y$333,1)+COUNTIF(Y$11:Y169,Y169)-1),(RANK(Y169,Y$11:Y$333)+COUNTIF(Y$11:Y169,Y169)-1)))</f>
        <v>59</v>
      </c>
      <c r="AA169" s="177" t="str">
        <f>IF(L169="","",VLOOKUP($L169,classifications!C:I,7,FALSE))</f>
        <v>Predominantly Rural</v>
      </c>
      <c r="AB169" s="173">
        <f t="shared" si="63"/>
        <v>93.87</v>
      </c>
      <c r="AC169" s="173">
        <f>IF(AB169="","",IF($I$8="A",(RANK(AB169,AB$11:AB$333)+COUNTIF(AB$11:AB169,AB169)-1),(RANK(AB169,AB$11:AB$333,1)+COUNTIF(AB$11:AB169,AB169)-1)))</f>
        <v>1</v>
      </c>
      <c r="AD169" s="173"/>
      <c r="AE169" s="45" t="e">
        <f>IF(I$8="A",(RANK(AG169,AG$11:AG$333,1)+COUNTIF(AG$11:AG169,AG169)-1),(RANK(AG169,AG$11:AG$333)+COUNTIF(AG$11:AG169,AG169)-1))</f>
        <v>#N/A</v>
      </c>
      <c r="AF169" t="str">
        <f>VLOOKUP(Profile!$J$5,Families!$C:$R,2,FALSE)</f>
        <v>North Dorset</v>
      </c>
      <c r="AG169" s="15" t="e">
        <f t="shared" si="76"/>
        <v>#N/A</v>
      </c>
      <c r="AH169" s="46" t="e">
        <f t="shared" si="64"/>
        <v>#N/A</v>
      </c>
      <c r="AI169" s="5" t="str">
        <f>IF(L169="","",VLOOKUP($L169,classifications!$C:$J,8,FALSE))</f>
        <v>Essex</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East of England</v>
      </c>
      <c r="AQ169" s="42">
        <f t="shared" si="66"/>
        <v>93.87</v>
      </c>
      <c r="AR169" s="39">
        <f>IF(AQ169="","",IF(I$8="A",(RANK(AQ169,AQ$11:AQ$333,1)+COUNTIF(AQ$11:AQ169,AQ169)-1),(RANK(AQ169,AQ$11:AQ$333)+COUNTIF(AQ$11:AQ169,AQ169)-1)))</f>
        <v>38</v>
      </c>
      <c r="AS169" s="3" t="str">
        <f t="shared" si="78"/>
        <v/>
      </c>
      <c r="AT169" s="39" t="str">
        <f t="shared" si="73"/>
        <v/>
      </c>
      <c r="AU169" s="42" t="str">
        <f t="shared" si="74"/>
        <v/>
      </c>
      <c r="AX169">
        <f>HLOOKUP($AX$9&amp;$AX$10,Data!$A$1:$ZT$1975,(MATCH($C169,Data!$A$1:$A$1975,0)),FALSE)</f>
        <v>98.01</v>
      </c>
    </row>
    <row r="170" spans="1:50">
      <c r="A170" s="55" t="str">
        <f>$D$1&amp;160</f>
        <v>SD160</v>
      </c>
      <c r="B170" s="56">
        <f>IF(ISERROR(VLOOKUP(A170,classifications!A:C,3,FALSE)),0,VLOOKUP(A170,classifications!A:C,3,FALSE))</f>
        <v>0</v>
      </c>
      <c r="C170" t="s">
        <v>98</v>
      </c>
      <c r="D170" t="str">
        <f>VLOOKUP($C170,classifications!$C:$J,4,FALSE)</f>
        <v>SD</v>
      </c>
      <c r="E170" t="str">
        <f>VLOOKUP(C170,classifications!C:K,9,FALSE)</f>
        <v>Sparse</v>
      </c>
      <c r="F170">
        <f t="shared" si="67"/>
        <v>96.67</v>
      </c>
      <c r="G170" s="15"/>
      <c r="H170" s="41">
        <f t="shared" si="68"/>
        <v>96.67</v>
      </c>
      <c r="I170" s="73">
        <f>IF(H170="","",IF($I$8="A",(RANK(H170,H$11:H$333,1)+COUNTIF(H$11:H170,H170)-1),(RANK(H170,H$11:H$333)+COUNTIF(H$11:H170,H170)-1)))</f>
        <v>112</v>
      </c>
      <c r="J170" s="40"/>
      <c r="K170" s="35">
        <f t="shared" si="75"/>
        <v>160</v>
      </c>
      <c r="L170" t="str">
        <f t="shared" si="69"/>
        <v>Burnley</v>
      </c>
      <c r="M170" s="109">
        <f t="shared" si="70"/>
        <v>93.74</v>
      </c>
      <c r="N170" s="104">
        <f t="shared" si="55"/>
        <v>93.74</v>
      </c>
      <c r="O170" s="89" t="str">
        <f t="shared" si="56"/>
        <v/>
      </c>
      <c r="P170" s="89" t="str">
        <f t="shared" si="57"/>
        <v/>
      </c>
      <c r="Q170" s="89" t="str">
        <f t="shared" si="58"/>
        <v/>
      </c>
      <c r="R170" s="85">
        <f t="shared" si="59"/>
        <v>93.74</v>
      </c>
      <c r="S170" s="41" t="str">
        <f t="shared" si="60"/>
        <v/>
      </c>
      <c r="T170" s="166">
        <f>IF(L170="","",VLOOKUP(L170,classifications!C:K,9,FALSE))</f>
        <v>0</v>
      </c>
      <c r="U170" s="167" t="str">
        <f t="shared" si="61"/>
        <v/>
      </c>
      <c r="V170" s="173" t="str">
        <f>IF(U170="","",IF($I$8="A",(RANK(U170,U$11:U$333)+COUNTIF(U$11:U170,U170)-1),(RANK(U170,U$11:U$333,1)+COUNTIF(U$11:U170,U170)-1)))</f>
        <v/>
      </c>
      <c r="W170" s="174"/>
      <c r="X170" s="5" t="str">
        <f>IF(L170="","",VLOOKUP($L170,classifications!$C:$J,6,FALSE))</f>
        <v>Predominantly Urban</v>
      </c>
      <c r="Y170" t="str">
        <f t="shared" si="62"/>
        <v/>
      </c>
      <c r="Z170" s="39" t="str">
        <f>IF(Y170="","",IF(I$8="A",(RANK(Y170,Y$11:Y$333,1)+COUNTIF(Y$11:Y170,Y170)-1),(RANK(Y170,Y$11:Y$333)+COUNTIF(Y$11:Y170,Y170)-1)))</f>
        <v/>
      </c>
      <c r="AA170" s="177" t="str">
        <f>IF(L170="","",VLOOKUP($L170,classifications!C:I,7,FALSE))</f>
        <v>Predominantly Urban</v>
      </c>
      <c r="AB170" s="173" t="str">
        <f t="shared" si="63"/>
        <v/>
      </c>
      <c r="AC170" s="173" t="str">
        <f>IF(AB170="","",IF($I$8="A",(RANK(AB170,AB$11:AB$333)+COUNTIF(AB$11:AB170,AB170)-1),(RANK(AB170,AB$11:AB$333,1)+COUNTIF(AB$11:AB170,AB170)-1)))</f>
        <v/>
      </c>
      <c r="AD170" s="173"/>
      <c r="AE170" s="45" t="e">
        <f>IF(I$8="A",(RANK(AG170,AG$11:AG$333,1)+COUNTIF(AG$11:AG170,AG170)-1),(RANK(AG170,AG$11:AG$333)+COUNTIF(AG$11:AG170,AG170)-1))</f>
        <v>#N/A</v>
      </c>
      <c r="AF170" t="str">
        <f>VLOOKUP(Profile!$J$5,Families!$C:$R,2,FALSE)</f>
        <v>North Dorset</v>
      </c>
      <c r="AG170" s="15" t="e">
        <f t="shared" si="76"/>
        <v>#N/A</v>
      </c>
      <c r="AH170" s="46" t="e">
        <f t="shared" si="64"/>
        <v>#N/A</v>
      </c>
      <c r="AI170" s="5" t="str">
        <f>IF(L170="","",VLOOKUP($L170,classifications!$C:$J,8,FALSE))</f>
        <v>Lancashire</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North West</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96.67</v>
      </c>
    </row>
    <row r="171" spans="1:50">
      <c r="A171" s="55" t="str">
        <f>$D$1&amp;161</f>
        <v>SD161</v>
      </c>
      <c r="B171" s="56">
        <f>IF(ISERROR(VLOOKUP(A171,classifications!A:C,3,FALSE)),0,VLOOKUP(A171,classifications!A:C,3,FALSE))</f>
        <v>0</v>
      </c>
      <c r="C171" t="s">
        <v>236</v>
      </c>
      <c r="D171" t="str">
        <f>VLOOKUP($C171,classifications!$C:$J,4,FALSE)</f>
        <v>MD</v>
      </c>
      <c r="E171">
        <f>VLOOKUP(C171,classifications!C:K,9,FALSE)</f>
        <v>0</v>
      </c>
      <c r="F171">
        <f t="shared" si="67"/>
        <v>87.78</v>
      </c>
      <c r="G171" s="15"/>
      <c r="H171" s="41" t="str">
        <f t="shared" si="68"/>
        <v/>
      </c>
      <c r="I171" s="73" t="str">
        <f>IF(H171="","",IF($I$8="A",(RANK(H171,H$11:H$333,1)+COUNTIF(H$11:H171,H171)-1),(RANK(H171,H$11:H$333)+COUNTIF(H$11:H171,H171)-1)))</f>
        <v/>
      </c>
      <c r="J171" s="40"/>
      <c r="K171" s="35">
        <f t="shared" si="75"/>
        <v>161</v>
      </c>
      <c r="L171" t="str">
        <f t="shared" si="69"/>
        <v>Gosport</v>
      </c>
      <c r="M171" s="109">
        <f t="shared" si="70"/>
        <v>93.63</v>
      </c>
      <c r="N171" s="104">
        <f t="shared" si="55"/>
        <v>93.63</v>
      </c>
      <c r="O171" s="89" t="str">
        <f t="shared" si="56"/>
        <v/>
      </c>
      <c r="P171" s="89" t="str">
        <f t="shared" si="57"/>
        <v/>
      </c>
      <c r="Q171" s="89" t="str">
        <f t="shared" si="58"/>
        <v/>
      </c>
      <c r="R171" s="85">
        <f t="shared" si="59"/>
        <v>93.63</v>
      </c>
      <c r="S171" s="41" t="str">
        <f t="shared" si="60"/>
        <v/>
      </c>
      <c r="T171" s="166">
        <f>IF(L171="","",VLOOKUP(L171,classifications!C:K,9,FALSE))</f>
        <v>0</v>
      </c>
      <c r="U171" s="167" t="str">
        <f t="shared" si="61"/>
        <v/>
      </c>
      <c r="V171" s="173" t="str">
        <f>IF(U171="","",IF($I$8="A",(RANK(U171,U$11:U$333)+COUNTIF(U$11:U171,U171)-1),(RANK(U171,U$11:U$333,1)+COUNTIF(U$11:U171,U171)-1)))</f>
        <v/>
      </c>
      <c r="W171" s="174"/>
      <c r="X171" s="5" t="str">
        <f>IF(L171="","",VLOOKUP($L171,classifications!$C:$J,6,FALSE))</f>
        <v>Predominantly Urban</v>
      </c>
      <c r="Y171" t="str">
        <f t="shared" si="62"/>
        <v/>
      </c>
      <c r="Z171" s="39" t="str">
        <f>IF(Y171="","",IF(I$8="A",(RANK(Y171,Y$11:Y$333,1)+COUNTIF(Y$11:Y171,Y171)-1),(RANK(Y171,Y$11:Y$333)+COUNTIF(Y$11:Y171,Y171)-1)))</f>
        <v/>
      </c>
      <c r="AA171" s="177" t="str">
        <f>IF(L171="","",VLOOKUP($L171,classifications!C:I,7,FALSE))</f>
        <v>Predominantly Urban</v>
      </c>
      <c r="AB171" s="173" t="str">
        <f t="shared" si="63"/>
        <v/>
      </c>
      <c r="AC171" s="173" t="str">
        <f>IF(AB171="","",IF($I$8="A",(RANK(AB171,AB$11:AB$333)+COUNTIF(AB$11:AB171,AB171)-1),(RANK(AB171,AB$11:AB$333,1)+COUNTIF(AB$11:AB171,AB171)-1)))</f>
        <v/>
      </c>
      <c r="AD171" s="173"/>
      <c r="AE171" s="45" t="e">
        <f>IF(I$8="A",(RANK(AG171,AG$11:AG$333,1)+COUNTIF(AG$11:AG171,AG171)-1),(RANK(AG171,AG$11:AG$333)+COUNTIF(AG$11:AG171,AG171)-1))</f>
        <v>#N/A</v>
      </c>
      <c r="AF171" t="str">
        <f>VLOOKUP(Profile!$J$5,Families!$C:$R,2,FALSE)</f>
        <v>North Dorset</v>
      </c>
      <c r="AG171" s="15" t="e">
        <f t="shared" si="76"/>
        <v>#N/A</v>
      </c>
      <c r="AH171" s="46" t="e">
        <f t="shared" si="64"/>
        <v>#N/A</v>
      </c>
      <c r="AI171" s="5" t="str">
        <f>IF(L171="","",VLOOKUP($L171,classifications!$C:$J,8,FALSE))</f>
        <v>Hampshire</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South East</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87.78</v>
      </c>
    </row>
    <row r="172" spans="1:50">
      <c r="A172" s="55" t="str">
        <f>$D$1&amp;162</f>
        <v>SD162</v>
      </c>
      <c r="B172" s="56">
        <f>IF(ISERROR(VLOOKUP(A172,classifications!A:C,3,FALSE)),0,VLOOKUP(A172,classifications!A:C,3,FALSE))</f>
        <v>0</v>
      </c>
      <c r="C172" t="s">
        <v>99</v>
      </c>
      <c r="D172" t="str">
        <f>VLOOKUP($C172,classifications!$C:$J,4,FALSE)</f>
        <v>SD</v>
      </c>
      <c r="E172">
        <f>VLOOKUP(C172,classifications!C:K,9,FALSE)</f>
        <v>0</v>
      </c>
      <c r="F172">
        <f t="shared" si="67"/>
        <v>96.31</v>
      </c>
      <c r="G172" s="15"/>
      <c r="H172" s="41">
        <f t="shared" si="68"/>
        <v>96.31</v>
      </c>
      <c r="I172" s="73">
        <f>IF(H172="","",IF($I$8="A",(RANK(H172,H$11:H$333,1)+COUNTIF(H$11:H172,H172)-1),(RANK(H172,H$11:H$333)+COUNTIF(H$11:H172,H172)-1)))</f>
        <v>129</v>
      </c>
      <c r="J172" s="40"/>
      <c r="K172" s="35">
        <f t="shared" si="75"/>
        <v>162</v>
      </c>
      <c r="L172" t="str">
        <f t="shared" si="69"/>
        <v>Norwich</v>
      </c>
      <c r="M172" s="109">
        <f t="shared" si="70"/>
        <v>93.44</v>
      </c>
      <c r="N172" s="104">
        <f t="shared" si="55"/>
        <v>93.44</v>
      </c>
      <c r="O172" s="89" t="str">
        <f t="shared" si="56"/>
        <v/>
      </c>
      <c r="P172" s="89" t="str">
        <f t="shared" si="57"/>
        <v/>
      </c>
      <c r="Q172" s="89" t="str">
        <f t="shared" si="58"/>
        <v/>
      </c>
      <c r="R172" s="85">
        <f t="shared" si="59"/>
        <v>93.44</v>
      </c>
      <c r="S172" s="41" t="str">
        <f t="shared" si="60"/>
        <v/>
      </c>
      <c r="T172" s="166">
        <f>IF(L172="","",VLOOKUP(L172,classifications!C:K,9,FALSE))</f>
        <v>0</v>
      </c>
      <c r="U172" s="167" t="str">
        <f t="shared" si="61"/>
        <v/>
      </c>
      <c r="V172" s="173" t="str">
        <f>IF(U172="","",IF($I$8="A",(RANK(U172,U$11:U$333)+COUNTIF(U$11:U172,U172)-1),(RANK(U172,U$11:U$333,1)+COUNTIF(U$11:U172,U172)-1)))</f>
        <v/>
      </c>
      <c r="W172" s="174"/>
      <c r="X172" s="5" t="str">
        <f>IF(L172="","",VLOOKUP($L172,classifications!$C:$J,6,FALSE))</f>
        <v>Predominantly Urban</v>
      </c>
      <c r="Y172" t="str">
        <f t="shared" si="62"/>
        <v/>
      </c>
      <c r="Z172" s="39" t="str">
        <f>IF(Y172="","",IF(I$8="A",(RANK(Y172,Y$11:Y$333,1)+COUNTIF(Y$11:Y172,Y172)-1),(RANK(Y172,Y$11:Y$333)+COUNTIF(Y$11:Y172,Y172)-1)))</f>
        <v/>
      </c>
      <c r="AA172" s="177" t="str">
        <f>IF(L172="","",VLOOKUP($L172,classifications!C:I,7,FALSE))</f>
        <v>Predominantly Urban</v>
      </c>
      <c r="AB172" s="173" t="str">
        <f t="shared" si="63"/>
        <v/>
      </c>
      <c r="AC172" s="173" t="str">
        <f>IF(AB172="","",IF($I$8="A",(RANK(AB172,AB$11:AB$333)+COUNTIF(AB$11:AB172,AB172)-1),(RANK(AB172,AB$11:AB$333,1)+COUNTIF(AB$11:AB172,AB172)-1)))</f>
        <v/>
      </c>
      <c r="AD172" s="173"/>
      <c r="AE172" s="45" t="e">
        <f>IF(I$8="A",(RANK(AG172,AG$11:AG$333,1)+COUNTIF(AG$11:AG172,AG172)-1),(RANK(AG172,AG$11:AG$333)+COUNTIF(AG$11:AG172,AG172)-1))</f>
        <v>#N/A</v>
      </c>
      <c r="AF172" t="str">
        <f>VLOOKUP(Profile!$J$5,Families!$C:$R,2,FALSE)</f>
        <v>North Dorset</v>
      </c>
      <c r="AG172" s="15" t="e">
        <f t="shared" si="76"/>
        <v>#N/A</v>
      </c>
      <c r="AH172" s="46" t="e">
        <f t="shared" si="64"/>
        <v>#N/A</v>
      </c>
      <c r="AI172" s="5" t="str">
        <f>IF(L172="","",VLOOKUP($L172,classifications!$C:$J,8,FALSE))</f>
        <v>Norfolk</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East of England</v>
      </c>
      <c r="AQ172" s="42">
        <f t="shared" si="66"/>
        <v>93.44</v>
      </c>
      <c r="AR172" s="39">
        <f>IF(AQ172="","",IF(I$8="A",(RANK(AQ172,AQ$11:AQ$333,1)+COUNTIF(AQ$11:AQ172,AQ172)-1),(RANK(AQ172,AQ$11:AQ$333)+COUNTIF(AQ$11:AQ172,AQ172)-1)))</f>
        <v>39</v>
      </c>
      <c r="AS172" s="3" t="str">
        <f t="shared" si="78"/>
        <v/>
      </c>
      <c r="AT172" s="39" t="str">
        <f t="shared" si="73"/>
        <v/>
      </c>
      <c r="AU172" s="42" t="str">
        <f t="shared" si="74"/>
        <v/>
      </c>
      <c r="AX172">
        <f>HLOOKUP($AX$9&amp;$AX$10,Data!$A$1:$ZT$1975,(MATCH($C172,Data!$A$1:$A$1975,0)),FALSE)</f>
        <v>96.31</v>
      </c>
    </row>
    <row r="173" spans="1:50">
      <c r="A173" s="55" t="str">
        <f>$D$1&amp;163</f>
        <v>SD163</v>
      </c>
      <c r="B173" s="56">
        <f>IF(ISERROR(VLOOKUP(A173,classifications!A:C,3,FALSE)),0,VLOOKUP(A173,classifications!A:C,3,FALSE))</f>
        <v>0</v>
      </c>
      <c r="C173" t="s">
        <v>273</v>
      </c>
      <c r="D173" t="str">
        <f>VLOOKUP($C173,classifications!$C:$J,4,FALSE)</f>
        <v>UA</v>
      </c>
      <c r="E173">
        <f>VLOOKUP(C173,classifications!C:K,9,FALSE)</f>
        <v>0</v>
      </c>
      <c r="F173">
        <f t="shared" si="67"/>
        <v>94.39</v>
      </c>
      <c r="G173" s="15"/>
      <c r="H173" s="41" t="str">
        <f t="shared" si="68"/>
        <v/>
      </c>
      <c r="I173" s="73" t="str">
        <f>IF(H173="","",IF($I$8="A",(RANK(H173,H$11:H$333,1)+COUNTIF(H$11:H173,H173)-1),(RANK(H173,H$11:H$333)+COUNTIF(H$11:H173,H173)-1)))</f>
        <v/>
      </c>
      <c r="J173" s="40"/>
      <c r="K173" s="35">
        <f t="shared" si="75"/>
        <v>163</v>
      </c>
      <c r="L173" t="str">
        <f t="shared" si="69"/>
        <v>Boston</v>
      </c>
      <c r="M173" s="109">
        <f t="shared" si="70"/>
        <v>93.37</v>
      </c>
      <c r="N173" s="104">
        <f t="shared" si="55"/>
        <v>93.37</v>
      </c>
      <c r="O173" s="89" t="str">
        <f t="shared" si="56"/>
        <v/>
      </c>
      <c r="P173" s="89" t="str">
        <f t="shared" si="57"/>
        <v/>
      </c>
      <c r="Q173" s="89" t="str">
        <f t="shared" si="58"/>
        <v/>
      </c>
      <c r="R173" s="85">
        <f t="shared" si="59"/>
        <v>93.37</v>
      </c>
      <c r="S173" s="41" t="str">
        <f t="shared" si="60"/>
        <v/>
      </c>
      <c r="T173" s="166" t="str">
        <f>IF(L173="","",VLOOKUP(L173,classifications!C:K,9,FALSE))</f>
        <v>Sparse</v>
      </c>
      <c r="U173" s="167">
        <f t="shared" si="61"/>
        <v>93.37</v>
      </c>
      <c r="V173" s="173">
        <f>IF(U173="","",IF($I$8="A",(RANK(U173,U$11:U$333)+COUNTIF(U$11:U173,U173)-1),(RANK(U173,U$11:U$333,1)+COUNTIF(U$11:U173,U173)-1)))</f>
        <v>1</v>
      </c>
      <c r="W173" s="174"/>
      <c r="X173" s="5" t="str">
        <f>IF(L173="","",VLOOKUP($L173,classifications!$C:$J,6,FALSE))</f>
        <v>Urban with Significant Rural</v>
      </c>
      <c r="Y173" t="str">
        <f t="shared" si="62"/>
        <v/>
      </c>
      <c r="Z173" s="39" t="str">
        <f>IF(Y173="","",IF(I$8="A",(RANK(Y173,Y$11:Y$333,1)+COUNTIF(Y$11:Y173,Y173)-1),(RANK(Y173,Y$11:Y$333)+COUNTIF(Y$11:Y173,Y173)-1)))</f>
        <v/>
      </c>
      <c r="AA173" s="177" t="str">
        <f>IF(L173="","",VLOOKUP($L173,classifications!C:I,7,FALSE))</f>
        <v>Urban with Significant Rural</v>
      </c>
      <c r="AB173" s="173" t="str">
        <f t="shared" si="63"/>
        <v/>
      </c>
      <c r="AC173" s="173" t="str">
        <f>IF(AB173="","",IF($I$8="A",(RANK(AB173,AB$11:AB$333)+COUNTIF(AB$11:AB173,AB173)-1),(RANK(AB173,AB$11:AB$333,1)+COUNTIF(AB$11:AB173,AB173)-1)))</f>
        <v/>
      </c>
      <c r="AD173" s="173"/>
      <c r="AE173" s="45" t="e">
        <f>IF(I$8="A",(RANK(AG173,AG$11:AG$333,1)+COUNTIF(AG$11:AG173,AG173)-1),(RANK(AG173,AG$11:AG$333)+COUNTIF(AG$11:AG173,AG173)-1))</f>
        <v>#N/A</v>
      </c>
      <c r="AF173" t="str">
        <f>VLOOKUP(Profile!$J$5,Families!$C:$R,2,FALSE)</f>
        <v>North Dorset</v>
      </c>
      <c r="AG173" s="15" t="e">
        <f t="shared" si="76"/>
        <v>#N/A</v>
      </c>
      <c r="AH173" s="46" t="e">
        <f t="shared" si="64"/>
        <v>#N/A</v>
      </c>
      <c r="AI173" s="5" t="str">
        <f>IF(L173="","",VLOOKUP($L173,classifications!$C:$J,8,FALSE))</f>
        <v>Lincolnshire</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East Midlands</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94.39</v>
      </c>
    </row>
    <row r="174" spans="1:50">
      <c r="A174" s="55" t="str">
        <f>$D$1&amp;164</f>
        <v>SD164</v>
      </c>
      <c r="B174" s="56">
        <f>IF(ISERROR(VLOOKUP(A174,classifications!A:C,3,FALSE)),0,VLOOKUP(A174,classifications!A:C,3,FALSE))</f>
        <v>0</v>
      </c>
      <c r="C174" t="s">
        <v>100</v>
      </c>
      <c r="D174" t="str">
        <f>VLOOKUP($C174,classifications!$C:$J,4,FALSE)</f>
        <v>SD</v>
      </c>
      <c r="E174" t="str">
        <f>VLOOKUP(C174,classifications!C:K,9,FALSE)</f>
        <v>Sparse</v>
      </c>
      <c r="F174">
        <f t="shared" si="67"/>
        <v>98.56</v>
      </c>
      <c r="G174" s="15"/>
      <c r="H174" s="41">
        <f t="shared" si="68"/>
        <v>98.56</v>
      </c>
      <c r="I174" s="73">
        <f>IF(H174="","",IF($I$8="A",(RANK(H174,H$11:H$333,1)+COUNTIF(H$11:H174,H174)-1),(RANK(H174,H$11:H$333)+COUNTIF(H$11:H174,H174)-1)))</f>
        <v>14</v>
      </c>
      <c r="J174" s="40"/>
      <c r="K174" s="35">
        <f t="shared" si="75"/>
        <v>164</v>
      </c>
      <c r="L174" t="str">
        <f t="shared" si="69"/>
        <v>Preston</v>
      </c>
      <c r="M174" s="109">
        <f t="shared" si="70"/>
        <v>90.17</v>
      </c>
      <c r="N174" s="104">
        <f t="shared" si="55"/>
        <v>90.17</v>
      </c>
      <c r="O174" s="89" t="str">
        <f t="shared" si="56"/>
        <v/>
      </c>
      <c r="P174" s="89" t="str">
        <f t="shared" si="57"/>
        <v/>
      </c>
      <c r="Q174" s="89" t="str">
        <f t="shared" si="58"/>
        <v/>
      </c>
      <c r="R174" s="85">
        <f t="shared" si="59"/>
        <v>90.17</v>
      </c>
      <c r="S174" s="41" t="str">
        <f t="shared" si="60"/>
        <v/>
      </c>
      <c r="T174" s="166">
        <f>IF(L174="","",VLOOKUP(L174,classifications!C:K,9,FALSE))</f>
        <v>0</v>
      </c>
      <c r="U174" s="167" t="str">
        <f t="shared" si="61"/>
        <v/>
      </c>
      <c r="V174" s="173" t="str">
        <f>IF(U174="","",IF($I$8="A",(RANK(U174,U$11:U$333)+COUNTIF(U$11:U174,U174)-1),(RANK(U174,U$11:U$333,1)+COUNTIF(U$11:U174,U174)-1)))</f>
        <v/>
      </c>
      <c r="W174" s="174"/>
      <c r="X174" s="5" t="str">
        <f>IF(L174="","",VLOOKUP($L174,classifications!$C:$J,6,FALSE))</f>
        <v>Predominantly Urban</v>
      </c>
      <c r="Y174" t="str">
        <f t="shared" si="62"/>
        <v/>
      </c>
      <c r="Z174" s="39" t="str">
        <f>IF(Y174="","",IF(I$8="A",(RANK(Y174,Y$11:Y$333,1)+COUNTIF(Y$11:Y174,Y174)-1),(RANK(Y174,Y$11:Y$333)+COUNTIF(Y$11:Y174,Y174)-1)))</f>
        <v/>
      </c>
      <c r="AA174" s="177" t="str">
        <f>IF(L174="","",VLOOKUP($L174,classifications!C:I,7,FALSE))</f>
        <v>Predominantly Urban</v>
      </c>
      <c r="AB174" s="173" t="str">
        <f t="shared" si="63"/>
        <v/>
      </c>
      <c r="AC174" s="173" t="str">
        <f>IF(AB174="","",IF($I$8="A",(RANK(AB174,AB$11:AB$333)+COUNTIF(AB$11:AB174,AB174)-1),(RANK(AB174,AB$11:AB$333,1)+COUNTIF(AB$11:AB174,AB174)-1)))</f>
        <v/>
      </c>
      <c r="AD174" s="173"/>
      <c r="AE174" s="45" t="e">
        <f>IF(I$8="A",(RANK(AG174,AG$11:AG$333,1)+COUNTIF(AG$11:AG174,AG174)-1),(RANK(AG174,AG$11:AG$333)+COUNTIF(AG$11:AG174,AG174)-1))</f>
        <v>#N/A</v>
      </c>
      <c r="AF174" t="str">
        <f>VLOOKUP(Profile!$J$5,Families!$C:$R,2,FALSE)</f>
        <v>North Dorset</v>
      </c>
      <c r="AG174" s="15" t="e">
        <f t="shared" si="76"/>
        <v>#N/A</v>
      </c>
      <c r="AH174" s="46" t="e">
        <f t="shared" si="64"/>
        <v>#N/A</v>
      </c>
      <c r="AI174" s="5" t="str">
        <f>IF(L174="","",VLOOKUP($L174,classifications!$C:$J,8,FALSE))</f>
        <v>Lancashire</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North West</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98.56</v>
      </c>
    </row>
    <row r="175" spans="1:50">
      <c r="A175" s="55" t="str">
        <f>$D$1&amp;165</f>
        <v>SD165</v>
      </c>
      <c r="B175" s="56">
        <f>IF(ISERROR(VLOOKUP(A175,classifications!A:C,3,FALSE)),0,VLOOKUP(A175,classifications!A:C,3,FALSE))</f>
        <v>0</v>
      </c>
      <c r="C175" t="s">
        <v>214</v>
      </c>
      <c r="D175" t="str">
        <f>VLOOKUP($C175,classifications!$C:$J,4,FALSE)</f>
        <v>L</v>
      </c>
      <c r="E175">
        <f>VLOOKUP(C175,classifications!C:K,9,FALSE)</f>
        <v>0</v>
      </c>
      <c r="F175">
        <f t="shared" si="67"/>
        <v>96.51</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t="e">
        <f>IF(I$8="A",(RANK(AG175,AG$11:AG$333,1)+COUNTIF(AG$11:AG175,AG175)-1),(RANK(AG175,AG$11:AG$333)+COUNTIF(AG$11:AG175,AG175)-1))</f>
        <v>#N/A</v>
      </c>
      <c r="AF175" t="str">
        <f>VLOOKUP(Profile!$J$5,Families!$C:$R,2,FALSE)</f>
        <v>North Dorset</v>
      </c>
      <c r="AG175" s="15" t="e">
        <f t="shared" si="76"/>
        <v>#N/A</v>
      </c>
      <c r="AH175" s="46" t="e">
        <f t="shared" si="64"/>
        <v>#N/A</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96.51</v>
      </c>
    </row>
    <row r="176" spans="1:50">
      <c r="A176" s="55" t="str">
        <f>$D$1&amp;166</f>
        <v>SD166</v>
      </c>
      <c r="B176" s="56">
        <f>IF(ISERROR(VLOOKUP(A176,classifications!A:C,3,FALSE)),0,VLOOKUP(A176,classifications!A:C,3,FALSE))</f>
        <v>0</v>
      </c>
      <c r="C176" t="s">
        <v>102</v>
      </c>
      <c r="D176" t="str">
        <f>VLOOKUP($C176,classifications!$C:$J,4,FALSE)</f>
        <v>SD</v>
      </c>
      <c r="E176" t="str">
        <f>VLOOKUP(C176,classifications!C:K,9,FALSE)</f>
        <v>Sparse</v>
      </c>
      <c r="F176">
        <f t="shared" si="67"/>
        <v>97.51</v>
      </c>
      <c r="G176" s="15"/>
      <c r="H176" s="41">
        <f t="shared" si="68"/>
        <v>97.51</v>
      </c>
      <c r="I176" s="73">
        <f>IF(H176="","",IF($I$8="A",(RANK(H176,H$11:H$333,1)+COUNTIF(H$11:H176,H176)-1),(RANK(H176,H$11:H$333)+COUNTIF(H$11:H176,H176)-1)))</f>
        <v>81</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t="e">
        <f>IF(I$8="A",(RANK(AG176,AG$11:AG$333,1)+COUNTIF(AG$11:AG176,AG176)-1),(RANK(AG176,AG$11:AG$333)+COUNTIF(AG$11:AG176,AG176)-1))</f>
        <v>#N/A</v>
      </c>
      <c r="AF176" t="str">
        <f>VLOOKUP(Profile!$J$5,Families!$C:$R,2,FALSE)</f>
        <v>North Dorset</v>
      </c>
      <c r="AG176" s="15" t="e">
        <f t="shared" si="76"/>
        <v>#N/A</v>
      </c>
      <c r="AH176" s="46" t="e">
        <f t="shared" si="64"/>
        <v>#N/A</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97.51</v>
      </c>
    </row>
    <row r="177" spans="1:50">
      <c r="A177" s="55" t="str">
        <f>$D$1&amp;167</f>
        <v>SD167</v>
      </c>
      <c r="B177" s="56">
        <f>IF(ISERROR(VLOOKUP(A177,classifications!A:C,3,FALSE)),0,VLOOKUP(A177,classifications!A:C,3,FALSE))</f>
        <v>0</v>
      </c>
      <c r="C177" t="s">
        <v>103</v>
      </c>
      <c r="D177" t="str">
        <f>VLOOKUP($C177,classifications!$C:$J,4,FALSE)</f>
        <v>SD</v>
      </c>
      <c r="E177" t="str">
        <f>VLOOKUP(C177,classifications!C:K,9,FALSE)</f>
        <v>Sparse</v>
      </c>
      <c r="F177">
        <f t="shared" si="67"/>
        <v>98.34</v>
      </c>
      <c r="G177" s="15"/>
      <c r="H177" s="41">
        <f t="shared" si="68"/>
        <v>98.34</v>
      </c>
      <c r="I177" s="73">
        <f>IF(H177="","",IF($I$8="A",(RANK(H177,H$11:H$333,1)+COUNTIF(H$11:H177,H177)-1),(RANK(H177,H$11:H$333)+COUNTIF(H$11:H177,H177)-1)))</f>
        <v>26</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t="e">
        <f>IF(I$8="A",(RANK(AG177,AG$11:AG$333,1)+COUNTIF(AG$11:AG177,AG177)-1),(RANK(AG177,AG$11:AG$333)+COUNTIF(AG$11:AG177,AG177)-1))</f>
        <v>#N/A</v>
      </c>
      <c r="AF177" t="str">
        <f>VLOOKUP(Profile!$J$5,Families!$C:$R,2,FALSE)</f>
        <v>North Dorset</v>
      </c>
      <c r="AG177" s="15" t="e">
        <f t="shared" si="76"/>
        <v>#N/A</v>
      </c>
      <c r="AH177" s="46" t="e">
        <f t="shared" si="64"/>
        <v>#N/A</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98.34</v>
      </c>
    </row>
    <row r="178" spans="1:50">
      <c r="A178" s="55" t="str">
        <f>$D$1&amp;168</f>
        <v>SD168</v>
      </c>
      <c r="B178" s="56">
        <f>IF(ISERROR(VLOOKUP(A178,classifications!A:C,3,FALSE)),0,VLOOKUP(A178,classifications!A:C,3,FALSE))</f>
        <v>0</v>
      </c>
      <c r="C178" t="s">
        <v>104</v>
      </c>
      <c r="D178" t="str">
        <f>VLOOKUP($C178,classifications!$C:$J,4,FALSE)</f>
        <v>SD</v>
      </c>
      <c r="E178">
        <f>VLOOKUP(C178,classifications!C:K,9,FALSE)</f>
        <v>0</v>
      </c>
      <c r="F178">
        <f t="shared" si="67"/>
        <v>97.92</v>
      </c>
      <c r="G178" s="15"/>
      <c r="H178" s="41">
        <f t="shared" si="68"/>
        <v>97.92</v>
      </c>
      <c r="I178" s="73">
        <f>IF(H178="","",IF($I$8="A",(RANK(H178,H$11:H$333,1)+COUNTIF(H$11:H178,H178)-1),(RANK(H178,H$11:H$333)+COUNTIF(H$11:H178,H178)-1)))</f>
        <v>48</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t="e">
        <f>IF(I$8="A",(RANK(AG178,AG$11:AG$333,1)+COUNTIF(AG$11:AG178,AG178)-1),(RANK(AG178,AG$11:AG$333)+COUNTIF(AG$11:AG178,AG178)-1))</f>
        <v>#N/A</v>
      </c>
      <c r="AF178" t="str">
        <f>VLOOKUP(Profile!$J$5,Families!$C:$R,2,FALSE)</f>
        <v>North Dorset</v>
      </c>
      <c r="AG178" s="15" t="e">
        <f t="shared" si="76"/>
        <v>#N/A</v>
      </c>
      <c r="AH178" s="46" t="e">
        <f t="shared" si="64"/>
        <v>#N/A</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97.92</v>
      </c>
    </row>
    <row r="179" spans="1:50">
      <c r="A179" s="55" t="str">
        <f>$D$1&amp;169</f>
        <v>SD169</v>
      </c>
      <c r="B179" s="56">
        <f>IF(ISERROR(VLOOKUP(A179,classifications!A:C,3,FALSE)),0,VLOOKUP(A179,classifications!A:C,3,FALSE))</f>
        <v>0</v>
      </c>
      <c r="C179" t="s">
        <v>274</v>
      </c>
      <c r="D179" t="str">
        <f>VLOOKUP($C179,classifications!$C:$J,4,FALSE)</f>
        <v>UA</v>
      </c>
      <c r="E179">
        <f>VLOOKUP(C179,classifications!C:K,9,FALSE)</f>
        <v>0</v>
      </c>
      <c r="F179">
        <f t="shared" si="67"/>
        <v>92.84</v>
      </c>
      <c r="G179" s="15"/>
      <c r="H179" s="41" t="str">
        <f t="shared" si="68"/>
        <v/>
      </c>
      <c r="I179" s="73" t="str">
        <f>IF(H179="","",IF($I$8="A",(RANK(H179,H$11:H$333,1)+COUNTIF(H$11:H179,H179)-1),(RANK(H179,H$11:H$333)+COUNTIF(H$11:H179,H179)-1)))</f>
        <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t="e">
        <f>IF(I$8="A",(RANK(AG179,AG$11:AG$333,1)+COUNTIF(AG$11:AG179,AG179)-1),(RANK(AG179,AG$11:AG$333)+COUNTIF(AG$11:AG179,AG179)-1))</f>
        <v>#N/A</v>
      </c>
      <c r="AF179" t="str">
        <f>VLOOKUP(Profile!$J$5,Families!$C:$R,2,FALSE)</f>
        <v>North Dorset</v>
      </c>
      <c r="AG179" s="15" t="e">
        <f t="shared" si="76"/>
        <v>#N/A</v>
      </c>
      <c r="AH179" s="46" t="e">
        <f t="shared" si="64"/>
        <v>#N/A</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92.84</v>
      </c>
    </row>
    <row r="180" spans="1:50">
      <c r="A180" s="55" t="str">
        <f>$D$1&amp;170</f>
        <v>SD170</v>
      </c>
      <c r="B180" s="56">
        <f>IF(ISERROR(VLOOKUP(A180,classifications!A:C,3,FALSE)),0,VLOOKUP(A180,classifications!A:C,3,FALSE))</f>
        <v>0</v>
      </c>
      <c r="C180" t="s">
        <v>275</v>
      </c>
      <c r="D180" t="str">
        <f>VLOOKUP($C180,classifications!$C:$J,4,FALSE)</f>
        <v>UA</v>
      </c>
      <c r="E180">
        <f>VLOOKUP(C180,classifications!C:K,9,FALSE)</f>
        <v>0</v>
      </c>
      <c r="F180">
        <f t="shared" si="67"/>
        <v>97.1</v>
      </c>
      <c r="G180" s="15"/>
      <c r="H180" s="41" t="str">
        <f t="shared" si="68"/>
        <v/>
      </c>
      <c r="I180" s="73" t="str">
        <f>IF(H180="","",IF($I$8="A",(RANK(H180,H$11:H$333,1)+COUNTIF(H$11:H180,H180)-1),(RANK(H180,H$11:H$333)+COUNTIF(H$11:H180,H180)-1)))</f>
        <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t="e">
        <f>IF(I$8="A",(RANK(AG180,AG$11:AG$333,1)+COUNTIF(AG$11:AG180,AG180)-1),(RANK(AG180,AG$11:AG$333)+COUNTIF(AG$11:AG180,AG180)-1))</f>
        <v>#N/A</v>
      </c>
      <c r="AF180" t="str">
        <f>VLOOKUP(Profile!$J$5,Families!$C:$R,2,FALSE)</f>
        <v>North Dorset</v>
      </c>
      <c r="AG180" s="15" t="e">
        <f t="shared" si="76"/>
        <v>#N/A</v>
      </c>
      <c r="AH180" s="46" t="e">
        <f t="shared" si="64"/>
        <v>#N/A</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97.1</v>
      </c>
    </row>
    <row r="181" spans="1:50">
      <c r="A181" s="55" t="str">
        <f>$D$1&amp;171</f>
        <v>SD171</v>
      </c>
      <c r="B181" s="56">
        <f>IF(ISERROR(VLOOKUP(A181,classifications!A:C,3,FALSE)),0,VLOOKUP(A181,classifications!A:C,3,FALSE))</f>
        <v>0</v>
      </c>
      <c r="C181" t="s">
        <v>105</v>
      </c>
      <c r="D181" t="str">
        <f>VLOOKUP($C181,classifications!$C:$J,4,FALSE)</f>
        <v>SD</v>
      </c>
      <c r="E181">
        <f>VLOOKUP(C181,classifications!C:K,9,FALSE)</f>
        <v>0</v>
      </c>
      <c r="F181">
        <f t="shared" si="67"/>
        <v>98.29</v>
      </c>
      <c r="G181" s="15"/>
      <c r="H181" s="41">
        <f t="shared" si="68"/>
        <v>98.29</v>
      </c>
      <c r="I181" s="73">
        <f>IF(H181="","",IF($I$8="A",(RANK(H181,H$11:H$333,1)+COUNTIF(H$11:H181,H181)-1),(RANK(H181,H$11:H$333)+COUNTIF(H$11:H181,H181)-1)))</f>
        <v>30</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t="e">
        <f>IF(I$8="A",(RANK(AG181,AG$11:AG$333,1)+COUNTIF(AG$11:AG181,AG181)-1),(RANK(AG181,AG$11:AG$333)+COUNTIF(AG$11:AG181,AG181)-1))</f>
        <v>#N/A</v>
      </c>
      <c r="AF181" t="str">
        <f>VLOOKUP(Profile!$J$5,Families!$C:$R,2,FALSE)</f>
        <v>North Dorset</v>
      </c>
      <c r="AG181" s="15" t="e">
        <f t="shared" si="76"/>
        <v>#N/A</v>
      </c>
      <c r="AH181" s="46" t="e">
        <f t="shared" si="64"/>
        <v>#N/A</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98.29</v>
      </c>
    </row>
    <row r="182" spans="1:50">
      <c r="A182" s="55" t="str">
        <f>$D$1&amp;172</f>
        <v>SD172</v>
      </c>
      <c r="B182" s="56">
        <f>IF(ISERROR(VLOOKUP(A182,classifications!A:C,3,FALSE)),0,VLOOKUP(A182,classifications!A:C,3,FALSE))</f>
        <v>0</v>
      </c>
      <c r="C182" t="s">
        <v>106</v>
      </c>
      <c r="D182" t="str">
        <f>VLOOKUP($C182,classifications!$C:$J,4,FALSE)</f>
        <v>SD</v>
      </c>
      <c r="E182">
        <f>VLOOKUP(C182,classifications!C:K,9,FALSE)</f>
        <v>0</v>
      </c>
      <c r="F182">
        <f t="shared" si="67"/>
        <v>98.65</v>
      </c>
      <c r="G182" s="15"/>
      <c r="H182" s="41">
        <f t="shared" si="68"/>
        <v>98.65</v>
      </c>
      <c r="I182" s="73">
        <f>IF(H182="","",IF($I$8="A",(RANK(H182,H$11:H$333,1)+COUNTIF(H$11:H182,H182)-1),(RANK(H182,H$11:H$333)+COUNTIF(H$11:H182,H182)-1)))</f>
        <v>9</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t="e">
        <f>IF(I$8="A",(RANK(AG182,AG$11:AG$333,1)+COUNTIF(AG$11:AG182,AG182)-1),(RANK(AG182,AG$11:AG$333)+COUNTIF(AG$11:AG182,AG182)-1))</f>
        <v>#N/A</v>
      </c>
      <c r="AF182" t="str">
        <f>VLOOKUP(Profile!$J$5,Families!$C:$R,2,FALSE)</f>
        <v>North Dorset</v>
      </c>
      <c r="AG182" s="15" t="e">
        <f t="shared" si="76"/>
        <v>#N/A</v>
      </c>
      <c r="AH182" s="46" t="e">
        <f t="shared" si="64"/>
        <v>#N/A</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98.65</v>
      </c>
    </row>
    <row r="183" spans="1:50">
      <c r="A183" s="55" t="str">
        <f>$D$1&amp;173</f>
        <v>SD173</v>
      </c>
      <c r="B183" s="56">
        <f>IF(ISERROR(VLOOKUP(A183,classifications!A:C,3,FALSE)),0,VLOOKUP(A183,classifications!A:C,3,FALSE))</f>
        <v>0</v>
      </c>
      <c r="C183" t="s">
        <v>345</v>
      </c>
      <c r="D183" t="str">
        <f>VLOOKUP($C183,classifications!$C:$J,4,FALSE)</f>
        <v>SD</v>
      </c>
      <c r="E183">
        <f>VLOOKUP(C183,classifications!C:K,9,FALSE)</f>
        <v>0</v>
      </c>
      <c r="F183">
        <f t="shared" si="67"/>
        <v>97.21</v>
      </c>
      <c r="G183" s="15"/>
      <c r="H183" s="41">
        <f t="shared" si="68"/>
        <v>97.21</v>
      </c>
      <c r="I183" s="73">
        <f>IF(H183="","",IF($I$8="A",(RANK(H183,H$11:H$333,1)+COUNTIF(H$11:H183,H183)-1),(RANK(H183,H$11:H$333)+COUNTIF(H$11:H183,H183)-1)))</f>
        <v>90</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t="e">
        <f>IF(I$8="A",(RANK(AG183,AG$11:AG$333,1)+COUNTIF(AG$11:AG183,AG183)-1),(RANK(AG183,AG$11:AG$333)+COUNTIF(AG$11:AG183,AG183)-1))</f>
        <v>#N/A</v>
      </c>
      <c r="AF183" t="str">
        <f>VLOOKUP(Profile!$J$5,Families!$C:$R,2,FALSE)</f>
        <v>North Dorset</v>
      </c>
      <c r="AG183" s="15" t="e">
        <f t="shared" si="76"/>
        <v>#N/A</v>
      </c>
      <c r="AH183" s="46" t="e">
        <f t="shared" si="64"/>
        <v>#N/A</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97.21</v>
      </c>
    </row>
    <row r="184" spans="1:50">
      <c r="A184" s="55" t="str">
        <f>$D$1&amp;174</f>
        <v>SD174</v>
      </c>
      <c r="B184" s="56">
        <f>IF(ISERROR(VLOOKUP(A184,classifications!A:C,3,FALSE)),0,VLOOKUP(A184,classifications!A:C,3,FALSE))</f>
        <v>0</v>
      </c>
      <c r="C184" t="s">
        <v>237</v>
      </c>
      <c r="D184" t="str">
        <f>VLOOKUP($C184,classifications!$C:$J,4,FALSE)</f>
        <v>MD</v>
      </c>
      <c r="E184">
        <f>VLOOKUP(C184,classifications!C:K,9,FALSE)</f>
        <v>0</v>
      </c>
      <c r="F184">
        <f t="shared" si="67"/>
        <v>97.09</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t="e">
        <f>IF(I$8="A",(RANK(AG184,AG$11:AG$333,1)+COUNTIF(AG$11:AG184,AG184)-1),(RANK(AG184,AG$11:AG$333)+COUNTIF(AG$11:AG184,AG184)-1))</f>
        <v>#N/A</v>
      </c>
      <c r="AF184" t="str">
        <f>VLOOKUP(Profile!$J$5,Families!$C:$R,2,FALSE)</f>
        <v>North Dorset</v>
      </c>
      <c r="AG184" s="15" t="e">
        <f t="shared" si="76"/>
        <v>#N/A</v>
      </c>
      <c r="AH184" s="46" t="e">
        <f t="shared" si="64"/>
        <v>#N/A</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97.09</v>
      </c>
    </row>
    <row r="185" spans="1:50">
      <c r="A185" s="55" t="str">
        <f>$D$1&amp;175</f>
        <v>SD175</v>
      </c>
      <c r="B185" s="56">
        <f>IF(ISERROR(VLOOKUP(A185,classifications!A:C,3,FALSE)),0,VLOOKUP(A185,classifications!A:C,3,FALSE))</f>
        <v>0</v>
      </c>
      <c r="C185" t="s">
        <v>107</v>
      </c>
      <c r="D185" t="str">
        <f>VLOOKUP($C185,classifications!$C:$J,4,FALSE)</f>
        <v>SD</v>
      </c>
      <c r="E185">
        <f>VLOOKUP(C185,classifications!C:K,9,FALSE)</f>
        <v>0</v>
      </c>
      <c r="F185">
        <f t="shared" si="67"/>
        <v>97.83</v>
      </c>
      <c r="G185" s="15"/>
      <c r="H185" s="41">
        <f t="shared" si="68"/>
        <v>97.83</v>
      </c>
      <c r="I185" s="73">
        <f>IF(H185="","",IF($I$8="A",(RANK(H185,H$11:H$333,1)+COUNTIF(H$11:H185,H185)-1),(RANK(H185,H$11:H$333)+COUNTIF(H$11:H185,H185)-1)))</f>
        <v>55</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t="e">
        <f>IF(I$8="A",(RANK(AG185,AG$11:AG$333,1)+COUNTIF(AG$11:AG185,AG185)-1),(RANK(AG185,AG$11:AG$333)+COUNTIF(AG$11:AG185,AG185)-1))</f>
        <v>#N/A</v>
      </c>
      <c r="AF185" t="str">
        <f>VLOOKUP(Profile!$J$5,Families!$C:$R,2,FALSE)</f>
        <v>North Dorset</v>
      </c>
      <c r="AG185" s="15" t="e">
        <f t="shared" si="76"/>
        <v>#N/A</v>
      </c>
      <c r="AH185" s="46" t="e">
        <f t="shared" si="64"/>
        <v>#N/A</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97.83</v>
      </c>
    </row>
    <row r="186" spans="1:50">
      <c r="A186" s="55" t="str">
        <f>$D$1&amp;176</f>
        <v>SD176</v>
      </c>
      <c r="B186" s="56">
        <f>IF(ISERROR(VLOOKUP(A186,classifications!A:C,3,FALSE)),0,VLOOKUP(A186,classifications!A:C,3,FALSE))</f>
        <v>0</v>
      </c>
      <c r="C186" t="s">
        <v>215</v>
      </c>
      <c r="D186" t="str">
        <f>VLOOKUP($C186,classifications!$C:$J,4,FALSE)</f>
        <v>L</v>
      </c>
      <c r="E186">
        <f>VLOOKUP(C186,classifications!C:K,9,FALSE)</f>
        <v>0</v>
      </c>
      <c r="F186">
        <f t="shared" si="67"/>
        <v>89.4</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t="e">
        <f>IF(I$8="A",(RANK(AG186,AG$11:AG$333,1)+COUNTIF(AG$11:AG186,AG186)-1),(RANK(AG186,AG$11:AG$333)+COUNTIF(AG$11:AG186,AG186)-1))</f>
        <v>#N/A</v>
      </c>
      <c r="AF186" t="str">
        <f>VLOOKUP(Profile!$J$5,Families!$C:$R,2,FALSE)</f>
        <v>North Dorset</v>
      </c>
      <c r="AG186" s="15" t="e">
        <f t="shared" si="76"/>
        <v>#N/A</v>
      </c>
      <c r="AH186" s="46" t="e">
        <f t="shared" ref="AH186:AH249" si="88">AE186</f>
        <v>#N/A</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89.4</v>
      </c>
    </row>
    <row r="187" spans="1:50">
      <c r="A187" s="55" t="str">
        <f>$D$1&amp;177</f>
        <v>SD177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t="e">
        <f>IF(I$8="A",(RANK(AG187,AG$11:AG$333,1)+COUNTIF(AG$11:AG187,AG187)-1),(RANK(AG187,AG$11:AG$333)+COUNTIF(AG$11:AG187,AG187)-1))</f>
        <v>#N/A</v>
      </c>
      <c r="AF187" t="str">
        <f>VLOOKUP(Profile!$J$5,Families!$C:$R,2,FALSE)</f>
        <v>North Dorset</v>
      </c>
      <c r="AG187" s="15" t="e">
        <f t="shared" si="76"/>
        <v>#N/A</v>
      </c>
      <c r="AH187" s="46" t="e">
        <f t="shared" si="88"/>
        <v>#N/A</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SD178</v>
      </c>
      <c r="B188" s="56">
        <f>IF(ISERROR(VLOOKUP(A188,classifications!A:C,3,FALSE)),0,VLOOKUP(A188,classifications!A:C,3,FALSE))</f>
        <v>0</v>
      </c>
      <c r="C188" t="s">
        <v>108</v>
      </c>
      <c r="D188" t="str">
        <f>VLOOKUP($C188,classifications!$C:$J,4,FALSE)</f>
        <v>SD</v>
      </c>
      <c r="E188" t="str">
        <f>VLOOKUP(C188,classifications!C:K,9,FALSE)</f>
        <v>Sparse</v>
      </c>
      <c r="F188">
        <f t="shared" si="67"/>
        <v>96.98</v>
      </c>
      <c r="G188" s="15"/>
      <c r="H188" s="41">
        <f t="shared" si="68"/>
        <v>96.98</v>
      </c>
      <c r="I188" s="73">
        <f>IF(H188="","",IF($I$8="A",(RANK(H188,H$11:H$333,1)+COUNTIF(H$11:H188,H188)-1),(RANK(H188,H$11:H$333)+COUNTIF(H$11:H188,H188)-1)))</f>
        <v>101</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t="e">
        <f>IF(I$8="A",(RANK(AG188,AG$11:AG$333,1)+COUNTIF(AG$11:AG188,AG188)-1),(RANK(AG188,AG$11:AG$333)+COUNTIF(AG$11:AG188,AG188)-1))</f>
        <v>#N/A</v>
      </c>
      <c r="AF188" t="str">
        <f>VLOOKUP(Profile!$J$5,Families!$C:$R,2,FALSE)</f>
        <v>North Dorset</v>
      </c>
      <c r="AG188" s="15" t="e">
        <f t="shared" si="76"/>
        <v>#N/A</v>
      </c>
      <c r="AH188" s="46" t="e">
        <f t="shared" si="88"/>
        <v>#N/A</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96.98</v>
      </c>
    </row>
    <row r="189" spans="1:50">
      <c r="A189" s="55" t="str">
        <f>$D$1&amp;179</f>
        <v>SD179</v>
      </c>
      <c r="B189" s="56">
        <f>IF(ISERROR(VLOOKUP(A189,classifications!A:C,3,FALSE)),0,VLOOKUP(A189,classifications!A:C,3,FALSE))</f>
        <v>0</v>
      </c>
      <c r="C189" t="s">
        <v>110</v>
      </c>
      <c r="D189" t="str">
        <f>VLOOKUP($C189,classifications!$C:$J,4,FALSE)</f>
        <v>SD</v>
      </c>
      <c r="E189">
        <f>VLOOKUP(C189,classifications!C:K,9,FALSE)</f>
        <v>0</v>
      </c>
      <c r="F189">
        <f t="shared" si="67"/>
        <v>96.64</v>
      </c>
      <c r="G189" s="15"/>
      <c r="H189" s="41">
        <f t="shared" si="68"/>
        <v>96.64</v>
      </c>
      <c r="I189" s="73">
        <f>IF(H189="","",IF($I$8="A",(RANK(H189,H$11:H$333,1)+COUNTIF(H$11:H189,H189)-1),(RANK(H189,H$11:H$333)+COUNTIF(H$11:H189,H189)-1)))</f>
        <v>115</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t="e">
        <f>IF(I$8="A",(RANK(AG189,AG$11:AG$333,1)+COUNTIF(AG$11:AG189,AG189)-1),(RANK(AG189,AG$11:AG$333)+COUNTIF(AG$11:AG189,AG189)-1))</f>
        <v>#N/A</v>
      </c>
      <c r="AF189" t="str">
        <f>VLOOKUP(Profile!$J$5,Families!$C:$R,2,FALSE)</f>
        <v>North Dorset</v>
      </c>
      <c r="AG189" s="15" t="e">
        <f t="shared" si="76"/>
        <v>#N/A</v>
      </c>
      <c r="AH189" s="46" t="e">
        <f t="shared" si="88"/>
        <v>#N/A</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96.64</v>
      </c>
    </row>
    <row r="190" spans="1:50">
      <c r="A190" s="55" t="str">
        <f>$D$1&amp;180</f>
        <v>SD180</v>
      </c>
      <c r="B190" s="56">
        <f>IF(ISERROR(VLOOKUP(A190,classifications!A:C,3,FALSE)),0,VLOOKUP(A190,classifications!A:C,3,FALSE))</f>
        <v>0</v>
      </c>
      <c r="C190" t="s">
        <v>276</v>
      </c>
      <c r="D190" t="str">
        <f>VLOOKUP($C190,classifications!$C:$J,4,FALSE)</f>
        <v>UA</v>
      </c>
      <c r="E190">
        <f>VLOOKUP(C190,classifications!C:K,9,FALSE)</f>
        <v>0</v>
      </c>
      <c r="F190">
        <f t="shared" si="67"/>
        <v>92.88</v>
      </c>
      <c r="G190" s="15"/>
      <c r="H190" s="41" t="str">
        <f t="shared" si="68"/>
        <v/>
      </c>
      <c r="I190" s="73" t="str">
        <f>IF(H190="","",IF($I$8="A",(RANK(H190,H$11:H$333,1)+COUNTIF(H$11:H190,H190)-1),(RANK(H190,H$11:H$333)+COUNTIF(H$11:H190,H190)-1)))</f>
        <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t="e">
        <f>IF(I$8="A",(RANK(AG190,AG$11:AG$333,1)+COUNTIF(AG$11:AG190,AG190)-1),(RANK(AG190,AG$11:AG$333)+COUNTIF(AG$11:AG190,AG190)-1))</f>
        <v>#N/A</v>
      </c>
      <c r="AF190" t="str">
        <f>VLOOKUP(Profile!$J$5,Families!$C:$R,2,FALSE)</f>
        <v>North Dorset</v>
      </c>
      <c r="AG190" s="15" t="e">
        <f t="shared" si="76"/>
        <v>#N/A</v>
      </c>
      <c r="AH190" s="46" t="e">
        <f t="shared" si="88"/>
        <v>#N/A</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92.88</v>
      </c>
    </row>
    <row r="191" spans="1:50">
      <c r="A191" s="55" t="str">
        <f>$D$1&amp;181</f>
        <v>SD181</v>
      </c>
      <c r="B191" s="56">
        <f>IF(ISERROR(VLOOKUP(A191,classifications!A:C,3,FALSE)),0,VLOOKUP(A191,classifications!A:C,3,FALSE))</f>
        <v>0</v>
      </c>
      <c r="C191" t="s">
        <v>111</v>
      </c>
      <c r="D191" t="str">
        <f>VLOOKUP($C191,classifications!$C:$J,4,FALSE)</f>
        <v>SD</v>
      </c>
      <c r="E191">
        <f>VLOOKUP(C191,classifications!C:K,9,FALSE)</f>
        <v>0</v>
      </c>
      <c r="F191">
        <f t="shared" si="67"/>
        <v>97.9</v>
      </c>
      <c r="G191" s="15"/>
      <c r="H191" s="41">
        <f t="shared" si="68"/>
        <v>97.9</v>
      </c>
      <c r="I191" s="73">
        <f>IF(H191="","",IF($I$8="A",(RANK(H191,H$11:H$333,1)+COUNTIF(H$11:H191,H191)-1),(RANK(H191,H$11:H$333)+COUNTIF(H$11:H191,H191)-1)))</f>
        <v>52</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t="e">
        <f>IF(I$8="A",(RANK(AG191,AG$11:AG$333,1)+COUNTIF(AG$11:AG191,AG191)-1),(RANK(AG191,AG$11:AG$333)+COUNTIF(AG$11:AG191,AG191)-1))</f>
        <v>#N/A</v>
      </c>
      <c r="AF191" t="str">
        <f>VLOOKUP(Profile!$J$5,Families!$C:$R,2,FALSE)</f>
        <v>North Dorset</v>
      </c>
      <c r="AG191" s="15" t="e">
        <f t="shared" si="76"/>
        <v>#N/A</v>
      </c>
      <c r="AH191" s="46" t="e">
        <f t="shared" si="88"/>
        <v>#N/A</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97.9</v>
      </c>
    </row>
    <row r="192" spans="1:50">
      <c r="A192" s="55" t="str">
        <f>$D$1&amp;182</f>
        <v>SD182</v>
      </c>
      <c r="B192" s="56">
        <f>IF(ISERROR(VLOOKUP(A192,classifications!A:C,3,FALSE)),0,VLOOKUP(A192,classifications!A:C,3,FALSE))</f>
        <v>0</v>
      </c>
      <c r="C192" t="s">
        <v>112</v>
      </c>
      <c r="D192" t="str">
        <f>VLOOKUP($C192,classifications!$C:$J,4,FALSE)</f>
        <v>SD</v>
      </c>
      <c r="E192" t="str">
        <f>VLOOKUP(C192,classifications!C:K,9,FALSE)</f>
        <v>Sparse</v>
      </c>
      <c r="F192">
        <f t="shared" si="67"/>
        <v>98.48</v>
      </c>
      <c r="G192" s="15"/>
      <c r="H192" s="41">
        <f t="shared" si="68"/>
        <v>98.48</v>
      </c>
      <c r="I192" s="73">
        <f>IF(H192="","",IF($I$8="A",(RANK(H192,H$11:H$333,1)+COUNTIF(H$11:H192,H192)-1),(RANK(H192,H$11:H$333)+COUNTIF(H$11:H192,H192)-1)))</f>
        <v>17</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t="e">
        <f>IF(I$8="A",(RANK(AG192,AG$11:AG$333,1)+COUNTIF(AG$11:AG192,AG192)-1),(RANK(AG192,AG$11:AG$333)+COUNTIF(AG$11:AG192,AG192)-1))</f>
        <v>#N/A</v>
      </c>
      <c r="AF192" t="str">
        <f>VLOOKUP(Profile!$J$5,Families!$C:$R,2,FALSE)</f>
        <v>North Dorset</v>
      </c>
      <c r="AG192" s="15" t="e">
        <f t="shared" si="76"/>
        <v>#N/A</v>
      </c>
      <c r="AH192" s="46" t="e">
        <f t="shared" si="88"/>
        <v>#N/A</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98.48</v>
      </c>
    </row>
    <row r="193" spans="1:50">
      <c r="A193" s="55" t="str">
        <f>$D$1&amp;183</f>
        <v>SD183</v>
      </c>
      <c r="B193" s="56">
        <f>IF(ISERROR(VLOOKUP(A193,classifications!A:C,3,FALSE)),0,VLOOKUP(A193,classifications!A:C,3,FALSE))</f>
        <v>0</v>
      </c>
      <c r="C193" t="s">
        <v>277</v>
      </c>
      <c r="D193" t="str">
        <f>VLOOKUP($C193,classifications!$C:$J,4,FALSE)</f>
        <v>UA</v>
      </c>
      <c r="E193" t="str">
        <f>VLOOKUP(C193,classifications!C:K,9,FALSE)</f>
        <v>Sparse</v>
      </c>
      <c r="F193">
        <f t="shared" si="67"/>
        <v>94.31</v>
      </c>
      <c r="G193" s="15"/>
      <c r="H193" s="41" t="str">
        <f t="shared" si="68"/>
        <v/>
      </c>
      <c r="I193" s="73" t="str">
        <f>IF(H193="","",IF($I$8="A",(RANK(H193,H$11:H$333,1)+COUNTIF(H$11:H193,H193)-1),(RANK(H193,H$11:H$333)+COUNTIF(H$11:H193,H193)-1)))</f>
        <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t="e">
        <f>IF(I$8="A",(RANK(AG193,AG$11:AG$333,1)+COUNTIF(AG$11:AG193,AG193)-1),(RANK(AG193,AG$11:AG$333)+COUNTIF(AG$11:AG193,AG193)-1))</f>
        <v>#N/A</v>
      </c>
      <c r="AF193" t="str">
        <f>VLOOKUP(Profile!$J$5,Families!$C:$R,2,FALSE)</f>
        <v>North Dorset</v>
      </c>
      <c r="AG193" s="15" t="e">
        <f t="shared" si="76"/>
        <v>#N/A</v>
      </c>
      <c r="AH193" s="46" t="e">
        <f t="shared" si="88"/>
        <v>#N/A</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94.31</v>
      </c>
    </row>
    <row r="194" spans="1:50">
      <c r="A194" s="55" t="str">
        <f>$D$1&amp;184</f>
        <v>SD184</v>
      </c>
      <c r="B194" s="56">
        <f>IF(ISERROR(VLOOKUP(A194,classifications!A:C,3,FALSE)),0,VLOOKUP(A194,classifications!A:C,3,FALSE))</f>
        <v>0</v>
      </c>
      <c r="C194" t="s">
        <v>113</v>
      </c>
      <c r="D194" t="str">
        <f>VLOOKUP($C194,classifications!$C:$J,4,FALSE)</f>
        <v>SD</v>
      </c>
      <c r="E194" t="str">
        <f>VLOOKUP(C194,classifications!C:K,9,FALSE)</f>
        <v>Sparse</v>
      </c>
      <c r="F194">
        <f t="shared" si="67"/>
        <v>98.37</v>
      </c>
      <c r="G194" s="15"/>
      <c r="H194" s="41">
        <f t="shared" si="68"/>
        <v>98.37</v>
      </c>
      <c r="I194" s="73">
        <f>IF(H194="","",IF($I$8="A",(RANK(H194,H$11:H$333,1)+COUNTIF(H$11:H194,H194)-1),(RANK(H194,H$11:H$333)+COUNTIF(H$11:H194,H194)-1)))</f>
        <v>21</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t="e">
        <f>IF(I$8="A",(RANK(AG194,AG$11:AG$333,1)+COUNTIF(AG$11:AG194,AG194)-1),(RANK(AG194,AG$11:AG$333)+COUNTIF(AG$11:AG194,AG194)-1))</f>
        <v>#N/A</v>
      </c>
      <c r="AF194" t="str">
        <f>VLOOKUP(Profile!$J$5,Families!$C:$R,2,FALSE)</f>
        <v>North Dorset</v>
      </c>
      <c r="AG194" s="15" t="e">
        <f t="shared" si="76"/>
        <v>#N/A</v>
      </c>
      <c r="AH194" s="46" t="e">
        <f t="shared" si="88"/>
        <v>#N/A</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98.37</v>
      </c>
    </row>
    <row r="195" spans="1:50">
      <c r="A195" s="55" t="str">
        <f>$D$1&amp;185</f>
        <v>SD185</v>
      </c>
      <c r="B195" s="56">
        <f>IF(ISERROR(VLOOKUP(A195,classifications!A:C,3,FALSE)),0,VLOOKUP(A195,classifications!A:C,3,FALSE))</f>
        <v>0</v>
      </c>
      <c r="C195" t="s">
        <v>896</v>
      </c>
      <c r="D195" t="str">
        <f>VLOOKUP($C195,classifications!$C:$J,4,FALSE)</f>
        <v>UA</v>
      </c>
      <c r="E195">
        <f>VLOOKUP(C195,classifications!C:K,9,FALSE)</f>
        <v>0</v>
      </c>
      <c r="F195">
        <f t="shared" si="67"/>
        <v>96.04</v>
      </c>
      <c r="G195" s="15"/>
      <c r="H195" s="41" t="str">
        <f t="shared" si="68"/>
        <v/>
      </c>
      <c r="I195" s="73" t="str">
        <f>IF(H195="","",IF($I$8="A",(RANK(H195,H$11:H$333,1)+COUNTIF(H$11:H195,H195)-1),(RANK(H195,H$11:H$333)+COUNTIF(H$11:H195,H195)-1)))</f>
        <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t="e">
        <f>IF(I$8="A",(RANK(AG195,AG$11:AG$333,1)+COUNTIF(AG$11:AG195,AG195)-1),(RANK(AG195,AG$11:AG$333)+COUNTIF(AG$11:AG195,AG195)-1))</f>
        <v>#N/A</v>
      </c>
      <c r="AF195" t="str">
        <f>VLOOKUP(Profile!$J$5,Families!$C:$R,2,FALSE)</f>
        <v>North Dorset</v>
      </c>
      <c r="AG195" s="15" t="e">
        <f t="shared" si="76"/>
        <v>#N/A</v>
      </c>
      <c r="AH195" s="46" t="e">
        <f t="shared" si="88"/>
        <v>#N/A</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96.04</v>
      </c>
    </row>
    <row r="196" spans="1:50">
      <c r="A196" s="55" t="str">
        <f>$D$1&amp;186</f>
        <v>SD186</v>
      </c>
      <c r="B196" s="56">
        <f>IF(ISERROR(VLOOKUP(A196,classifications!A:C,3,FALSE)),0,VLOOKUP(A196,classifications!A:C,3,FALSE))</f>
        <v>0</v>
      </c>
      <c r="C196" t="s">
        <v>278</v>
      </c>
      <c r="D196" t="str">
        <f>VLOOKUP($C196,classifications!$C:$J,4,FALSE)</f>
        <v>UA</v>
      </c>
      <c r="E196" t="str">
        <f>VLOOKUP(C196,classifications!C:K,9,FALSE)</f>
        <v>Sparse</v>
      </c>
      <c r="F196">
        <f t="shared" si="67"/>
        <v>97.98</v>
      </c>
      <c r="G196" s="15"/>
      <c r="H196" s="41" t="str">
        <f t="shared" si="68"/>
        <v/>
      </c>
      <c r="I196" s="73" t="str">
        <f>IF(H196="","",IF($I$8="A",(RANK(H196,H$11:H$333,1)+COUNTIF(H$11:H196,H196)-1),(RANK(H196,H$11:H$333)+COUNTIF(H$11:H196,H196)-1)))</f>
        <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t="e">
        <f>IF(I$8="A",(RANK(AG196,AG$11:AG$333,1)+COUNTIF(AG$11:AG196,AG196)-1),(RANK(AG196,AG$11:AG$333)+COUNTIF(AG$11:AG196,AG196)-1))</f>
        <v>#N/A</v>
      </c>
      <c r="AF196" t="str">
        <f>VLOOKUP(Profile!$J$5,Families!$C:$R,2,FALSE)</f>
        <v>North Dorset</v>
      </c>
      <c r="AG196" s="15" t="e">
        <f t="shared" si="76"/>
        <v>#N/A</v>
      </c>
      <c r="AH196" s="46" t="e">
        <f t="shared" si="88"/>
        <v>#N/A</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97.98</v>
      </c>
    </row>
    <row r="197" spans="1:50">
      <c r="A197" s="55" t="str">
        <f>$D$1&amp;187</f>
        <v>SD187</v>
      </c>
      <c r="B197" s="56">
        <f>IF(ISERROR(VLOOKUP(A197,classifications!A:C,3,FALSE)),0,VLOOKUP(A197,classifications!A:C,3,FALSE))</f>
        <v>0</v>
      </c>
      <c r="C197" t="s">
        <v>238</v>
      </c>
      <c r="D197" t="str">
        <f>VLOOKUP($C197,classifications!$C:$J,4,FALSE)</f>
        <v>MD</v>
      </c>
      <c r="E197">
        <f>VLOOKUP(C197,classifications!C:K,9,FALSE)</f>
        <v>0</v>
      </c>
      <c r="F197">
        <f t="shared" si="67"/>
        <v>94.84</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t="e">
        <f>IF(I$8="A",(RANK(AG197,AG$11:AG$333,1)+COUNTIF(AG$11:AG197,AG197)-1),(RANK(AG197,AG$11:AG$333)+COUNTIF(AG$11:AG197,AG197)-1))</f>
        <v>#N/A</v>
      </c>
      <c r="AF197" t="str">
        <f>VLOOKUP(Profile!$J$5,Families!$C:$R,2,FALSE)</f>
        <v>North Dorset</v>
      </c>
      <c r="AG197" s="15" t="e">
        <f t="shared" si="76"/>
        <v>#N/A</v>
      </c>
      <c r="AH197" s="46" t="e">
        <f t="shared" si="88"/>
        <v>#N/A</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94.84</v>
      </c>
    </row>
    <row r="198" spans="1:50">
      <c r="A198" s="55" t="str">
        <f>$D$1&amp;188</f>
        <v>SD188</v>
      </c>
      <c r="B198" s="56">
        <f>IF(ISERROR(VLOOKUP(A198,classifications!A:C,3,FALSE)),0,VLOOKUP(A198,classifications!A:C,3,FALSE))</f>
        <v>0</v>
      </c>
      <c r="C198" t="s">
        <v>114</v>
      </c>
      <c r="D198" t="str">
        <f>VLOOKUP($C198,classifications!$C:$J,4,FALSE)</f>
        <v>SD</v>
      </c>
      <c r="E198">
        <f>VLOOKUP(C198,classifications!C:K,9,FALSE)</f>
        <v>0</v>
      </c>
      <c r="F198">
        <f t="shared" si="67"/>
        <v>96.26</v>
      </c>
      <c r="G198" s="15"/>
      <c r="H198" s="41">
        <f t="shared" si="68"/>
        <v>96.26</v>
      </c>
      <c r="I198" s="73">
        <f>IF(H198="","",IF($I$8="A",(RANK(H198,H$11:H$333,1)+COUNTIF(H$11:H198,H198)-1),(RANK(H198,H$11:H$333)+COUNTIF(H$11:H198,H198)-1)))</f>
        <v>133</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t="e">
        <f>IF(I$8="A",(RANK(AG198,AG$11:AG$333,1)+COUNTIF(AG$11:AG198,AG198)-1),(RANK(AG198,AG$11:AG$333)+COUNTIF(AG$11:AG198,AG198)-1))</f>
        <v>#N/A</v>
      </c>
      <c r="AF198" t="str">
        <f>VLOOKUP(Profile!$J$5,Families!$C:$R,2,FALSE)</f>
        <v>North Dorset</v>
      </c>
      <c r="AG198" s="15" t="e">
        <f t="shared" si="76"/>
        <v>#N/A</v>
      </c>
      <c r="AH198" s="46" t="e">
        <f t="shared" si="88"/>
        <v>#N/A</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96.26</v>
      </c>
    </row>
    <row r="199" spans="1:50">
      <c r="A199" s="55" t="str">
        <f>$D$1&amp;189</f>
        <v>SD189</v>
      </c>
      <c r="B199" s="56">
        <f>IF(ISERROR(VLOOKUP(A199,classifications!A:C,3,FALSE)),0,VLOOKUP(A199,classifications!A:C,3,FALSE))</f>
        <v>0</v>
      </c>
      <c r="C199" t="s">
        <v>115</v>
      </c>
      <c r="D199" t="str">
        <f>VLOOKUP($C199,classifications!$C:$J,4,FALSE)</f>
        <v>SD</v>
      </c>
      <c r="E199">
        <f>VLOOKUP(C199,classifications!C:K,9,FALSE)</f>
        <v>0</v>
      </c>
      <c r="F199">
        <f t="shared" si="67"/>
        <v>97.17</v>
      </c>
      <c r="G199" s="15"/>
      <c r="H199" s="41">
        <f t="shared" si="68"/>
        <v>97.17</v>
      </c>
      <c r="I199" s="73">
        <f>IF(H199="","",IF($I$8="A",(RANK(H199,H$11:H$333,1)+COUNTIF(H$11:H199,H199)-1),(RANK(H199,H$11:H$333)+COUNTIF(H$11:H199,H199)-1)))</f>
        <v>93</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t="e">
        <f>IF(I$8="A",(RANK(AG199,AG$11:AG$333,1)+COUNTIF(AG$11:AG199,AG199)-1),(RANK(AG199,AG$11:AG$333)+COUNTIF(AG$11:AG199,AG199)-1))</f>
        <v>#N/A</v>
      </c>
      <c r="AF199" t="str">
        <f>VLOOKUP(Profile!$J$5,Families!$C:$R,2,FALSE)</f>
        <v>North Dorset</v>
      </c>
      <c r="AG199" s="15" t="e">
        <f t="shared" si="76"/>
        <v>#N/A</v>
      </c>
      <c r="AH199" s="46" t="e">
        <f t="shared" si="88"/>
        <v>#N/A</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97.17</v>
      </c>
    </row>
    <row r="200" spans="1:50">
      <c r="A200" s="55" t="str">
        <f>$D$1&amp;190</f>
        <v>SD190</v>
      </c>
      <c r="B200" s="56">
        <f>IF(ISERROR(VLOOKUP(A200,classifications!A:C,3,FALSE)),0,VLOOKUP(A200,classifications!A:C,3,FALSE))</f>
        <v>0</v>
      </c>
      <c r="C200" t="s">
        <v>320</v>
      </c>
      <c r="D200" t="str">
        <f>VLOOKUP($C200,classifications!$C:$J,4,FALSE)</f>
        <v>UA</v>
      </c>
      <c r="E200" t="str">
        <f>VLOOKUP(C200,classifications!C:K,9,FALSE)</f>
        <v>Sparse</v>
      </c>
      <c r="F200">
        <f t="shared" si="67"/>
        <v>97.87</v>
      </c>
      <c r="G200" s="15"/>
      <c r="H200" s="41" t="str">
        <f t="shared" si="68"/>
        <v/>
      </c>
      <c r="I200" s="73" t="str">
        <f>IF(H200="","",IF($I$8="A",(RANK(H200,H$11:H$333,1)+COUNTIF(H$11:H200,H200)-1),(RANK(H200,H$11:H$333)+COUNTIF(H$11:H200,H200)-1)))</f>
        <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t="e">
        <f>IF(I$8="A",(RANK(AG200,AG$11:AG$333,1)+COUNTIF(AG$11:AG200,AG200)-1),(RANK(AG200,AG$11:AG$333)+COUNTIF(AG$11:AG200,AG200)-1))</f>
        <v>#N/A</v>
      </c>
      <c r="AF200" t="str">
        <f>VLOOKUP(Profile!$J$5,Families!$C:$R,2,FALSE)</f>
        <v>North Dorset</v>
      </c>
      <c r="AG200" s="15" t="e">
        <f t="shared" si="76"/>
        <v>#N/A</v>
      </c>
      <c r="AH200" s="46" t="e">
        <f t="shared" si="88"/>
        <v>#N/A</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97.87</v>
      </c>
    </row>
    <row r="201" spans="1:50">
      <c r="A201" s="55" t="str">
        <f>$D$1&amp;191</f>
        <v>SD191</v>
      </c>
      <c r="B201" s="56">
        <f>IF(ISERROR(VLOOKUP(A201,classifications!A:C,3,FALSE)),0,VLOOKUP(A201,classifications!A:C,3,FALSE))</f>
        <v>0</v>
      </c>
      <c r="C201" t="s">
        <v>322</v>
      </c>
      <c r="D201" t="str">
        <f>VLOOKUP($C201,classifications!$C:$J,4,FALSE)</f>
        <v>UA</v>
      </c>
      <c r="E201" t="str">
        <f>VLOOKUP(C201,classifications!C:K,9,FALSE)</f>
        <v>Sparse</v>
      </c>
      <c r="F201">
        <f t="shared" si="67"/>
        <v>96.69</v>
      </c>
      <c r="G201" s="15"/>
      <c r="H201" s="41" t="str">
        <f t="shared" si="68"/>
        <v/>
      </c>
      <c r="I201" s="73" t="str">
        <f>IF(H201="","",IF($I$8="A",(RANK(H201,H$11:H$333,1)+COUNTIF(H$11:H201,H201)-1),(RANK(H201,H$11:H$333)+COUNTIF(H$11:H201,H201)-1)))</f>
        <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t="e">
        <f>IF(I$8="A",(RANK(AG201,AG$11:AG$333,1)+COUNTIF(AG$11:AG201,AG201)-1),(RANK(AG201,AG$11:AG$333)+COUNTIF(AG$11:AG201,AG201)-1))</f>
        <v>#N/A</v>
      </c>
      <c r="AF201" t="str">
        <f>VLOOKUP(Profile!$J$5,Families!$C:$R,2,FALSE)</f>
        <v>North Dorset</v>
      </c>
      <c r="AG201" s="15" t="e">
        <f t="shared" si="76"/>
        <v>#N/A</v>
      </c>
      <c r="AH201" s="46" t="e">
        <f t="shared" si="88"/>
        <v>#N/A</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96.69</v>
      </c>
    </row>
    <row r="202" spans="1:50">
      <c r="A202" s="55" t="str">
        <f>$D$1&amp;192</f>
        <v>SD192</v>
      </c>
      <c r="B202" s="56">
        <f>IF(ISERROR(VLOOKUP(A202,classifications!A:C,3,FALSE)),0,VLOOKUP(A202,classifications!A:C,3,FALSE))</f>
        <v>0</v>
      </c>
      <c r="C202" t="s">
        <v>117</v>
      </c>
      <c r="D202" t="str">
        <f>VLOOKUP($C202,classifications!$C:$J,4,FALSE)</f>
        <v>SD</v>
      </c>
      <c r="E202">
        <f>VLOOKUP(C202,classifications!C:K,9,FALSE)</f>
        <v>0</v>
      </c>
      <c r="F202">
        <f t="shared" si="67"/>
        <v>93.44</v>
      </c>
      <c r="G202" s="15"/>
      <c r="H202" s="41">
        <f t="shared" si="68"/>
        <v>93.44</v>
      </c>
      <c r="I202" s="73">
        <f>IF(H202="","",IF($I$8="A",(RANK(H202,H$11:H$333,1)+COUNTIF(H$11:H202,H202)-1),(RANK(H202,H$11:H$333)+COUNTIF(H$11:H202,H202)-1)))</f>
        <v>162</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t="e">
        <f>IF(I$8="A",(RANK(AG202,AG$11:AG$333,1)+COUNTIF(AG$11:AG202,AG202)-1),(RANK(AG202,AG$11:AG$333)+COUNTIF(AG$11:AG202,AG202)-1))</f>
        <v>#N/A</v>
      </c>
      <c r="AF202" t="str">
        <f>VLOOKUP(Profile!$J$5,Families!$C:$R,2,FALSE)</f>
        <v>North Dorset</v>
      </c>
      <c r="AG202" s="15" t="e">
        <f t="shared" si="76"/>
        <v>#N/A</v>
      </c>
      <c r="AH202" s="46" t="e">
        <f t="shared" si="88"/>
        <v>#N/A</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93.44</v>
      </c>
    </row>
    <row r="203" spans="1:50">
      <c r="A203" s="55" t="str">
        <f>$D$1&amp;193</f>
        <v>SD193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92.08</v>
      </c>
      <c r="G203" s="15"/>
      <c r="H203" s="41" t="str">
        <f t="shared" ref="H203:H266" si="92">IF(D203=$D$1,HLOOKUP($D$6,$AX$10:$ZZ$337,ROW()-9,FALSE),"")</f>
        <v/>
      </c>
      <c r="I203" s="73" t="str">
        <f>IF(H203="","",IF($I$8="A",(RANK(H203,H$11:H$333,1)+COUNTIF(H$11:H203,H203)-1),(RANK(H203,H$11:H$333)+COUNTIF(H$11:H203,H203)-1)))</f>
        <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t="e">
        <f>IF(I$8="A",(RANK(AG203,AG$11:AG$333,1)+COUNTIF(AG$11:AG203,AG203)-1),(RANK(AG203,AG$11:AG$333)+COUNTIF(AG$11:AG203,AG203)-1))</f>
        <v>#N/A</v>
      </c>
      <c r="AF203" t="str">
        <f>VLOOKUP(Profile!$J$5,Families!$C:$R,2,FALSE)</f>
        <v>North Dorset</v>
      </c>
      <c r="AG203" s="15" t="e">
        <f t="shared" si="76"/>
        <v>#N/A</v>
      </c>
      <c r="AH203" s="46" t="e">
        <f t="shared" si="88"/>
        <v>#N/A</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92.08</v>
      </c>
    </row>
    <row r="204" spans="1:50">
      <c r="A204" s="55" t="str">
        <f>$D$1&amp;194</f>
        <v>SD194</v>
      </c>
      <c r="B204" s="56">
        <f>IF(ISERROR(VLOOKUP(A204,classifications!A:C,3,FALSE)),0,VLOOKUP(A204,classifications!A:C,3,FALSE))</f>
        <v>0</v>
      </c>
      <c r="C204" t="s">
        <v>323</v>
      </c>
      <c r="D204" t="str">
        <f>VLOOKUP($C204,classifications!$C:$J,4,FALSE)</f>
        <v>SC</v>
      </c>
      <c r="E204">
        <f>VLOOKUP(C204,classifications!C:K,9,FALSE)</f>
        <v>0</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t="e">
        <f>IF(I$8="A",(RANK(AG204,AG$11:AG$333,1)+COUNTIF(AG$11:AG204,AG204)-1),(RANK(AG204,AG$11:AG$333)+COUNTIF(AG$11:AG204,AG204)-1))</f>
        <v>#N/A</v>
      </c>
      <c r="AF204" t="str">
        <f>VLOOKUP(Profile!$J$5,Families!$C:$R,2,FALSE)</f>
        <v>North Dorset</v>
      </c>
      <c r="AG204" s="15" t="e">
        <f t="shared" ref="AG204:AG267" si="100">VLOOKUP(AF204,$C$11:$H$333,4,FALSE)</f>
        <v>#N/A</v>
      </c>
      <c r="AH204" s="46" t="e">
        <f t="shared" si="88"/>
        <v>#N/A</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SD195</v>
      </c>
      <c r="B205" s="56">
        <f>IF(ISERROR(VLOOKUP(A205,classifications!A:C,3,FALSE)),0,VLOOKUP(A205,classifications!A:C,3,FALSE))</f>
        <v>0</v>
      </c>
      <c r="C205" t="s">
        <v>346</v>
      </c>
      <c r="D205" t="str">
        <f>VLOOKUP($C205,classifications!$C:$J,4,FALSE)</f>
        <v>SD</v>
      </c>
      <c r="E205">
        <f>VLOOKUP(C205,classifications!C:K,9,FALSE)</f>
        <v>0</v>
      </c>
      <c r="F205">
        <f t="shared" si="91"/>
        <v>96.61</v>
      </c>
      <c r="G205" s="15"/>
      <c r="H205" s="41">
        <f t="shared" si="92"/>
        <v>96.61</v>
      </c>
      <c r="I205" s="73">
        <f>IF(H205="","",IF($I$8="A",(RANK(H205,H$11:H$333,1)+COUNTIF(H$11:H205,H205)-1),(RANK(H205,H$11:H$333)+COUNTIF(H$11:H205,H205)-1)))</f>
        <v>117</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t="e">
        <f>IF(I$8="A",(RANK(AG205,AG$11:AG$333,1)+COUNTIF(AG$11:AG205,AG205)-1),(RANK(AG205,AG$11:AG$333)+COUNTIF(AG$11:AG205,AG205)-1))</f>
        <v>#N/A</v>
      </c>
      <c r="AF205" t="str">
        <f>VLOOKUP(Profile!$J$5,Families!$C:$R,2,FALSE)</f>
        <v>North Dorset</v>
      </c>
      <c r="AG205" s="15" t="e">
        <f t="shared" si="100"/>
        <v>#N/A</v>
      </c>
      <c r="AH205" s="46" t="e">
        <f t="shared" si="88"/>
        <v>#N/A</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96.61</v>
      </c>
    </row>
    <row r="206" spans="1:50">
      <c r="A206" s="55" t="str">
        <f>$D$1&amp;196</f>
        <v>SD196</v>
      </c>
      <c r="B206" s="56">
        <f>IF(ISERROR(VLOOKUP(A206,classifications!A:C,3,FALSE)),0,VLOOKUP(A206,classifications!A:C,3,FALSE))</f>
        <v>0</v>
      </c>
      <c r="C206" t="s">
        <v>347</v>
      </c>
      <c r="D206" t="str">
        <f>VLOOKUP($C206,classifications!$C:$J,4,FALSE)</f>
        <v>SD</v>
      </c>
      <c r="E206">
        <f>VLOOKUP(C206,classifications!C:K,9,FALSE)</f>
        <v>0</v>
      </c>
      <c r="F206">
        <f t="shared" si="91"/>
        <v>96.39</v>
      </c>
      <c r="G206" s="15"/>
      <c r="H206" s="41">
        <f t="shared" si="92"/>
        <v>96.39</v>
      </c>
      <c r="I206" s="73">
        <f>IF(H206="","",IF($I$8="A",(RANK(H206,H$11:H$333,1)+COUNTIF(H$11:H206,H206)-1),(RANK(H206,H$11:H$333)+COUNTIF(H$11:H206,H206)-1)))</f>
        <v>124</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t="e">
        <f>IF(I$8="A",(RANK(AG206,AG$11:AG$333,1)+COUNTIF(AG$11:AG206,AG206)-1),(RANK(AG206,AG$11:AG$333)+COUNTIF(AG$11:AG206,AG206)-1))</f>
        <v>#N/A</v>
      </c>
      <c r="AF206" t="str">
        <f>VLOOKUP(Profile!$J$5,Families!$C:$R,2,FALSE)</f>
        <v>North Dorset</v>
      </c>
      <c r="AG206" s="15" t="e">
        <f t="shared" si="100"/>
        <v>#N/A</v>
      </c>
      <c r="AH206" s="46" t="e">
        <f t="shared" si="88"/>
        <v>#N/A</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96.39</v>
      </c>
    </row>
    <row r="207" spans="1:50">
      <c r="A207" s="55" t="str">
        <f>$D$1&amp;197</f>
        <v>SD197</v>
      </c>
      <c r="B207" s="56">
        <f>IF(ISERROR(VLOOKUP(A207,classifications!A:C,3,FALSE)),0,VLOOKUP(A207,classifications!A:C,3,FALSE))</f>
        <v>0</v>
      </c>
      <c r="C207" t="s">
        <v>239</v>
      </c>
      <c r="D207" t="str">
        <f>VLOOKUP($C207,classifications!$C:$J,4,FALSE)</f>
        <v>MD</v>
      </c>
      <c r="E207">
        <f>VLOOKUP(C207,classifications!C:K,9,FALSE)</f>
        <v>0</v>
      </c>
      <c r="F207">
        <f t="shared" si="91"/>
        <v>94.11</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t="e">
        <f>IF(I$8="A",(RANK(AG207,AG$11:AG$333,1)+COUNTIF(AG$11:AG207,AG207)-1),(RANK(AG207,AG$11:AG$333)+COUNTIF(AG$11:AG207,AG207)-1))</f>
        <v>#N/A</v>
      </c>
      <c r="AF207" t="str">
        <f>VLOOKUP(Profile!$J$5,Families!$C:$R,2,FALSE)</f>
        <v>North Dorset</v>
      </c>
      <c r="AG207" s="15" t="e">
        <f t="shared" si="100"/>
        <v>#N/A</v>
      </c>
      <c r="AH207" s="46" t="e">
        <f t="shared" si="88"/>
        <v>#N/A</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94.11</v>
      </c>
    </row>
    <row r="208" spans="1:50">
      <c r="A208" s="55" t="str">
        <f>$D$1&amp;198</f>
        <v>SD198</v>
      </c>
      <c r="B208" s="56">
        <f>IF(ISERROR(VLOOKUP(A208,classifications!A:C,3,FALSE)),0,VLOOKUP(A208,classifications!A:C,3,FALSE))</f>
        <v>0</v>
      </c>
      <c r="C208" t="s">
        <v>118</v>
      </c>
      <c r="D208" t="str">
        <f>VLOOKUP($C208,classifications!$C:$J,4,FALSE)</f>
        <v>SD</v>
      </c>
      <c r="E208">
        <f>VLOOKUP(C208,classifications!C:K,9,FALSE)</f>
        <v>0</v>
      </c>
      <c r="F208">
        <f t="shared" si="91"/>
        <v>96.33</v>
      </c>
      <c r="G208" s="15"/>
      <c r="H208" s="41">
        <f t="shared" si="92"/>
        <v>96.33</v>
      </c>
      <c r="I208" s="73">
        <f>IF(H208="","",IF($I$8="A",(RANK(H208,H$11:H$333,1)+COUNTIF(H$11:H208,H208)-1),(RANK(H208,H$11:H$333)+COUNTIF(H$11:H208,H208)-1)))</f>
        <v>127</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t="e">
        <f>IF(I$8="A",(RANK(AG208,AG$11:AG$333,1)+COUNTIF(AG$11:AG208,AG208)-1),(RANK(AG208,AG$11:AG$333)+COUNTIF(AG$11:AG208,AG208)-1))</f>
        <v>#N/A</v>
      </c>
      <c r="AF208" t="str">
        <f>VLOOKUP(Profile!$J$5,Families!$C:$R,2,FALSE)</f>
        <v>North Dorset</v>
      </c>
      <c r="AG208" s="15" t="e">
        <f t="shared" si="100"/>
        <v>#N/A</v>
      </c>
      <c r="AH208" s="46" t="e">
        <f t="shared" si="88"/>
        <v>#N/A</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96.33</v>
      </c>
    </row>
    <row r="209" spans="1:50">
      <c r="A209" s="55" t="str">
        <f>$D$1&amp;199</f>
        <v>SD199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t="e">
        <f>IF(I$8="A",(RANK(AG209,AG$11:AG$333,1)+COUNTIF(AG$11:AG209,AG209)-1),(RANK(AG209,AG$11:AG$333)+COUNTIF(AG$11:AG209,AG209)-1))</f>
        <v>#N/A</v>
      </c>
      <c r="AF209" t="str">
        <f>VLOOKUP(Profile!$J$5,Families!$C:$R,2,FALSE)</f>
        <v>North Dorset</v>
      </c>
      <c r="AG209" s="15" t="e">
        <f t="shared" si="100"/>
        <v>#N/A</v>
      </c>
      <c r="AH209" s="46" t="e">
        <f t="shared" si="88"/>
        <v>#N/A</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SD200</v>
      </c>
      <c r="B210" s="56">
        <f>IF(ISERROR(VLOOKUP(A210,classifications!A:C,3,FALSE)),0,VLOOKUP(A210,classifications!A:C,3,FALSE))</f>
        <v>0</v>
      </c>
      <c r="C210" t="s">
        <v>119</v>
      </c>
      <c r="D210" t="str">
        <f>VLOOKUP($C210,classifications!$C:$J,4,FALSE)</f>
        <v>SD</v>
      </c>
      <c r="E210">
        <f>VLOOKUP(C210,classifications!C:K,9,FALSE)</f>
        <v>0</v>
      </c>
      <c r="F210">
        <f t="shared" si="91"/>
        <v>95.64</v>
      </c>
      <c r="G210" s="15"/>
      <c r="H210" s="41">
        <f t="shared" si="92"/>
        <v>95.64</v>
      </c>
      <c r="I210" s="73">
        <f>IF(H210="","",IF($I$8="A",(RANK(H210,H$11:H$333,1)+COUNTIF(H$11:H210,H210)-1),(RANK(H210,H$11:H$333)+COUNTIF(H$11:H210,H210)-1)))</f>
        <v>142</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t="e">
        <f>IF(I$8="A",(RANK(AG210,AG$11:AG$333,1)+COUNTIF(AG$11:AG210,AG210)-1),(RANK(AG210,AG$11:AG$333)+COUNTIF(AG$11:AG210,AG210)-1))</f>
        <v>#N/A</v>
      </c>
      <c r="AF210" t="str">
        <f>VLOOKUP(Profile!$J$5,Families!$C:$R,2,FALSE)</f>
        <v>North Dorset</v>
      </c>
      <c r="AG210" s="15" t="e">
        <f t="shared" si="100"/>
        <v>#N/A</v>
      </c>
      <c r="AH210" s="46" t="e">
        <f t="shared" si="88"/>
        <v>#N/A</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95.64</v>
      </c>
    </row>
    <row r="211" spans="1:50">
      <c r="A211" s="55" t="str">
        <f>$D$1&amp;201</f>
        <v>SD201</v>
      </c>
      <c r="B211" s="56">
        <f>IF(ISERROR(VLOOKUP(A211,classifications!A:C,3,FALSE)),0,VLOOKUP(A211,classifications!A:C,3,FALSE))</f>
        <v>0</v>
      </c>
      <c r="C211" t="s">
        <v>280</v>
      </c>
      <c r="D211" t="str">
        <f>VLOOKUP($C211,classifications!$C:$J,4,FALSE)</f>
        <v>UA</v>
      </c>
      <c r="E211">
        <f>VLOOKUP(C211,classifications!C:K,9,FALSE)</f>
        <v>0</v>
      </c>
      <c r="F211">
        <f t="shared" si="91"/>
        <v>95.7</v>
      </c>
      <c r="G211" s="15"/>
      <c r="H211" s="41" t="str">
        <f t="shared" si="92"/>
        <v/>
      </c>
      <c r="I211" s="73" t="str">
        <f>IF(H211="","",IF($I$8="A",(RANK(H211,H$11:H$333,1)+COUNTIF(H$11:H211,H211)-1),(RANK(H211,H$11:H$333)+COUNTIF(H$11:H211,H211)-1)))</f>
        <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t="e">
        <f>IF(I$8="A",(RANK(AG211,AG$11:AG$333,1)+COUNTIF(AG$11:AG211,AG211)-1),(RANK(AG211,AG$11:AG$333)+COUNTIF(AG$11:AG211,AG211)-1))</f>
        <v>#N/A</v>
      </c>
      <c r="AF211" t="str">
        <f>VLOOKUP(Profile!$J$5,Families!$C:$R,2,FALSE)</f>
        <v>North Dorset</v>
      </c>
      <c r="AG211" s="15" t="e">
        <f t="shared" si="100"/>
        <v>#N/A</v>
      </c>
      <c r="AH211" s="46" t="e">
        <f t="shared" si="88"/>
        <v>#N/A</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95.7</v>
      </c>
    </row>
    <row r="212" spans="1:50">
      <c r="A212" s="55" t="str">
        <f>$D$1&amp;202</f>
        <v>SD202</v>
      </c>
      <c r="B212" s="56">
        <f>IF(ISERROR(VLOOKUP(A212,classifications!A:C,3,FALSE)),0,VLOOKUP(A212,classifications!A:C,3,FALSE))</f>
        <v>0</v>
      </c>
      <c r="C212" t="s">
        <v>281</v>
      </c>
      <c r="D212" t="str">
        <f>VLOOKUP($C212,classifications!$C:$J,4,FALSE)</f>
        <v>UA</v>
      </c>
      <c r="E212">
        <f>VLOOKUP(C212,classifications!C:K,9,FALSE)</f>
        <v>0</v>
      </c>
      <c r="F212">
        <f t="shared" si="91"/>
        <v>96.5</v>
      </c>
      <c r="G212" s="15"/>
      <c r="H212" s="41" t="str">
        <f t="shared" si="92"/>
        <v/>
      </c>
      <c r="I212" s="73" t="str">
        <f>IF(H212="","",IF($I$8="A",(RANK(H212,H$11:H$333,1)+COUNTIF(H$11:H212,H212)-1),(RANK(H212,H$11:H$333)+COUNTIF(H$11:H212,H212)-1)))</f>
        <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t="e">
        <f>IF(I$8="A",(RANK(AG212,AG$11:AG$333,1)+COUNTIF(AG$11:AG212,AG212)-1),(RANK(AG212,AG$11:AG$333)+COUNTIF(AG$11:AG212,AG212)-1))</f>
        <v>#N/A</v>
      </c>
      <c r="AF212" t="str">
        <f>VLOOKUP(Profile!$J$5,Families!$C:$R,2,FALSE)</f>
        <v>North Dorset</v>
      </c>
      <c r="AG212" s="15" t="e">
        <f t="shared" si="100"/>
        <v>#N/A</v>
      </c>
      <c r="AH212" s="46" t="e">
        <f t="shared" si="88"/>
        <v>#N/A</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96.5</v>
      </c>
    </row>
    <row r="213" spans="1:50">
      <c r="A213" s="55" t="str">
        <f>$D$1&amp;203</f>
        <v>SD203</v>
      </c>
      <c r="B213" s="56">
        <f>IF(ISERROR(VLOOKUP(A213,classifications!A:C,3,FALSE)),0,VLOOKUP(A213,classifications!A:C,3,FALSE))</f>
        <v>0</v>
      </c>
      <c r="C213" t="s">
        <v>283</v>
      </c>
      <c r="D213" t="str">
        <f>VLOOKUP($C213,classifications!$C:$J,4,FALSE)</f>
        <v>UA</v>
      </c>
      <c r="E213">
        <f>VLOOKUP(C213,classifications!C:K,9,FALSE)</f>
        <v>0</v>
      </c>
      <c r="F213">
        <f t="shared" si="91"/>
        <v>91.77</v>
      </c>
      <c r="G213" s="15"/>
      <c r="H213" s="41" t="str">
        <f t="shared" si="92"/>
        <v/>
      </c>
      <c r="I213" s="73" t="str">
        <f>IF(H213="","",IF($I$8="A",(RANK(H213,H$11:H$333,1)+COUNTIF(H$11:H213,H213)-1),(RANK(H213,H$11:H$333)+COUNTIF(H$11:H213,H213)-1)))</f>
        <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t="e">
        <f>IF(I$8="A",(RANK(AG213,AG$11:AG$333,1)+COUNTIF(AG$11:AG213,AG213)-1),(RANK(AG213,AG$11:AG$333)+COUNTIF(AG$11:AG213,AG213)-1))</f>
        <v>#N/A</v>
      </c>
      <c r="AF213" t="str">
        <f>VLOOKUP(Profile!$J$5,Families!$C:$R,2,FALSE)</f>
        <v>North Dorset</v>
      </c>
      <c r="AG213" s="15" t="e">
        <f t="shared" si="100"/>
        <v>#N/A</v>
      </c>
      <c r="AH213" s="46" t="e">
        <f t="shared" si="88"/>
        <v>#N/A</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91.77</v>
      </c>
    </row>
    <row r="214" spans="1:50">
      <c r="A214" s="55" t="str">
        <f>$D$1&amp;204</f>
        <v>SD204</v>
      </c>
      <c r="B214" s="56">
        <f>IF(ISERROR(VLOOKUP(A214,classifications!A:C,3,FALSE)),0,VLOOKUP(A214,classifications!A:C,3,FALSE))</f>
        <v>0</v>
      </c>
      <c r="C214" t="s">
        <v>120</v>
      </c>
      <c r="D214" t="str">
        <f>VLOOKUP($C214,classifications!$C:$J,4,FALSE)</f>
        <v>SD</v>
      </c>
      <c r="E214">
        <f>VLOOKUP(C214,classifications!C:K,9,FALSE)</f>
        <v>0</v>
      </c>
      <c r="F214">
        <f t="shared" si="91"/>
        <v>90.17</v>
      </c>
      <c r="G214" s="15"/>
      <c r="H214" s="41">
        <f t="shared" si="92"/>
        <v>90.17</v>
      </c>
      <c r="I214" s="73">
        <f>IF(H214="","",IF($I$8="A",(RANK(H214,H$11:H$333,1)+COUNTIF(H$11:H214,H214)-1),(RANK(H214,H$11:H$333)+COUNTIF(H$11:H214,H214)-1)))</f>
        <v>164</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t="e">
        <f>IF(I$8="A",(RANK(AG214,AG$11:AG$333,1)+COUNTIF(AG$11:AG214,AG214)-1),(RANK(AG214,AG$11:AG$333)+COUNTIF(AG$11:AG214,AG214)-1))</f>
        <v>#N/A</v>
      </c>
      <c r="AF214" t="str">
        <f>VLOOKUP(Profile!$J$5,Families!$C:$R,2,FALSE)</f>
        <v>North Dorset</v>
      </c>
      <c r="AG214" s="15" t="e">
        <f t="shared" si="100"/>
        <v>#N/A</v>
      </c>
      <c r="AH214" s="46" t="e">
        <f t="shared" si="88"/>
        <v>#N/A</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90.17</v>
      </c>
    </row>
    <row r="215" spans="1:50">
      <c r="A215" s="55" t="str">
        <f>$D$1&amp;205</f>
        <v>SD205</v>
      </c>
      <c r="B215" s="56">
        <f>IF(ISERROR(VLOOKUP(A215,classifications!A:C,3,FALSE)),0,VLOOKUP(A215,classifications!A:C,3,FALSE))</f>
        <v>0</v>
      </c>
      <c r="C215" t="s">
        <v>284</v>
      </c>
      <c r="D215" t="str">
        <f>VLOOKUP($C215,classifications!$C:$J,4,FALSE)</f>
        <v>UA</v>
      </c>
      <c r="E215">
        <f>VLOOKUP(C215,classifications!C:K,9,FALSE)</f>
        <v>0</v>
      </c>
      <c r="F215">
        <f t="shared" si="91"/>
        <v>95.67</v>
      </c>
      <c r="G215" s="15"/>
      <c r="H215" s="41" t="str">
        <f t="shared" si="92"/>
        <v/>
      </c>
      <c r="I215" s="73" t="str">
        <f>IF(H215="","",IF($I$8="A",(RANK(H215,H$11:H$333,1)+COUNTIF(H$11:H215,H215)-1),(RANK(H215,H$11:H$333)+COUNTIF(H$11:H215,H215)-1)))</f>
        <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t="e">
        <f>IF(I$8="A",(RANK(AG215,AG$11:AG$333,1)+COUNTIF(AG$11:AG215,AG215)-1),(RANK(AG215,AG$11:AG$333)+COUNTIF(AG$11:AG215,AG215)-1))</f>
        <v>#N/A</v>
      </c>
      <c r="AF215" t="str">
        <f>VLOOKUP(Profile!$J$5,Families!$C:$R,2,FALSE)</f>
        <v>North Dorset</v>
      </c>
      <c r="AG215" s="15" t="e">
        <f t="shared" si="100"/>
        <v>#N/A</v>
      </c>
      <c r="AH215" s="46" t="e">
        <f t="shared" si="88"/>
        <v>#N/A</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95.67</v>
      </c>
    </row>
    <row r="216" spans="1:50">
      <c r="A216" s="55" t="str">
        <f>$D$1&amp;206</f>
        <v>SD206</v>
      </c>
      <c r="B216" s="56">
        <f>IF(ISERROR(VLOOKUP(A216,classifications!A:C,3,FALSE)),0,VLOOKUP(A216,classifications!A:C,3,FALSE))</f>
        <v>0</v>
      </c>
      <c r="C216" t="s">
        <v>216</v>
      </c>
      <c r="D216" t="str">
        <f>VLOOKUP($C216,classifications!$C:$J,4,FALSE)</f>
        <v>L</v>
      </c>
      <c r="E216">
        <f>VLOOKUP(C216,classifications!C:K,9,FALSE)</f>
        <v>0</v>
      </c>
      <c r="F216">
        <f t="shared" si="91"/>
        <v>96.77</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t="e">
        <f>IF(I$8="A",(RANK(AG216,AG$11:AG$333,1)+COUNTIF(AG$11:AG216,AG216)-1),(RANK(AG216,AG$11:AG$333)+COUNTIF(AG$11:AG216,AG216)-1))</f>
        <v>#N/A</v>
      </c>
      <c r="AF216" t="str">
        <f>VLOOKUP(Profile!$J$5,Families!$C:$R,2,FALSE)</f>
        <v>North Dorset</v>
      </c>
      <c r="AG216" s="15" t="e">
        <f t="shared" si="100"/>
        <v>#N/A</v>
      </c>
      <c r="AH216" s="46" t="e">
        <f t="shared" si="88"/>
        <v>#N/A</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96.77</v>
      </c>
    </row>
    <row r="217" spans="1:50">
      <c r="A217" s="55" t="str">
        <f>$D$1&amp;207</f>
        <v>SD207</v>
      </c>
      <c r="B217" s="56">
        <f>IF(ISERROR(VLOOKUP(A217,classifications!A:C,3,FALSE)),0,VLOOKUP(A217,classifications!A:C,3,FALSE))</f>
        <v>0</v>
      </c>
      <c r="C217" t="s">
        <v>808</v>
      </c>
      <c r="D217" t="str">
        <f>VLOOKUP($C217,classifications!$C:$J,4,FALSE)</f>
        <v>UA</v>
      </c>
      <c r="E217">
        <f>VLOOKUP(C217,classifications!C:K,9,FALSE)</f>
        <v>0</v>
      </c>
      <c r="F217">
        <f t="shared" si="91"/>
        <v>92.73</v>
      </c>
      <c r="G217" s="15"/>
      <c r="H217" s="41" t="str">
        <f t="shared" si="92"/>
        <v/>
      </c>
      <c r="I217" s="73" t="str">
        <f>IF(H217="","",IF($I$8="A",(RANK(H217,H$11:H$333,1)+COUNTIF(H$11:H217,H217)-1),(RANK(H217,H$11:H$333)+COUNTIF(H$11:H217,H217)-1)))</f>
        <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t="e">
        <f>IF(I$8="A",(RANK(AG217,AG$11:AG$333,1)+COUNTIF(AG$11:AG217,AG217)-1),(RANK(AG217,AG$11:AG$333)+COUNTIF(AG$11:AG217,AG217)-1))</f>
        <v>#N/A</v>
      </c>
      <c r="AF217" t="str">
        <f>VLOOKUP(Profile!$J$5,Families!$C:$R,2,FALSE)</f>
        <v>North Dorset</v>
      </c>
      <c r="AG217" s="15" t="e">
        <f t="shared" si="100"/>
        <v>#N/A</v>
      </c>
      <c r="AH217" s="46" t="e">
        <f t="shared" si="88"/>
        <v>#N/A</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92.73</v>
      </c>
    </row>
    <row r="218" spans="1:50">
      <c r="A218" s="55" t="str">
        <f>$D$1&amp;208</f>
        <v>SD208</v>
      </c>
      <c r="B218" s="56">
        <f>IF(ISERROR(VLOOKUP(A218,classifications!A:C,3,FALSE)),0,VLOOKUP(A218,classifications!A:C,3,FALSE))</f>
        <v>0</v>
      </c>
      <c r="C218" t="s">
        <v>122</v>
      </c>
      <c r="D218" t="str">
        <f>VLOOKUP($C218,classifications!$C:$J,4,FALSE)</f>
        <v>SD</v>
      </c>
      <c r="E218">
        <f>VLOOKUP(C218,classifications!C:K,9,FALSE)</f>
        <v>0</v>
      </c>
      <c r="F218">
        <f t="shared" si="91"/>
        <v>96.05</v>
      </c>
      <c r="G218" s="15"/>
      <c r="H218" s="41">
        <f t="shared" si="92"/>
        <v>96.05</v>
      </c>
      <c r="I218" s="73">
        <f>IF(H218="","",IF($I$8="A",(RANK(H218,H$11:H$333,1)+COUNTIF(H$11:H218,H218)-1),(RANK(H218,H$11:H$333)+COUNTIF(H$11:H218,H218)-1)))</f>
        <v>137</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t="e">
        <f>IF(I$8="A",(RANK(AG218,AG$11:AG$333,1)+COUNTIF(AG$11:AG218,AG218)-1),(RANK(AG218,AG$11:AG$333)+COUNTIF(AG$11:AG218,AG218)-1))</f>
        <v>#N/A</v>
      </c>
      <c r="AF218" t="str">
        <f>VLOOKUP(Profile!$J$5,Families!$C:$R,2,FALSE)</f>
        <v>North Dorset</v>
      </c>
      <c r="AG218" s="15" t="e">
        <f t="shared" si="100"/>
        <v>#N/A</v>
      </c>
      <c r="AH218" s="46" t="e">
        <f t="shared" si="88"/>
        <v>#N/A</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96.05</v>
      </c>
    </row>
    <row r="219" spans="1:50">
      <c r="A219" s="55" t="str">
        <f>$D$1&amp;209</f>
        <v>SD209</v>
      </c>
      <c r="B219" s="56">
        <f>IF(ISERROR(VLOOKUP(A219,classifications!A:C,3,FALSE)),0,VLOOKUP(A219,classifications!A:C,3,FALSE))</f>
        <v>0</v>
      </c>
      <c r="C219" t="s">
        <v>348</v>
      </c>
      <c r="D219" t="str">
        <f>VLOOKUP($C219,classifications!$C:$J,4,FALSE)</f>
        <v>SD</v>
      </c>
      <c r="E219">
        <f>VLOOKUP(C219,classifications!C:K,9,FALSE)</f>
        <v>0</v>
      </c>
      <c r="F219">
        <f t="shared" si="91"/>
        <v>98.57</v>
      </c>
      <c r="G219" s="15"/>
      <c r="H219" s="41">
        <f t="shared" si="92"/>
        <v>98.57</v>
      </c>
      <c r="I219" s="73">
        <f>IF(H219="","",IF($I$8="A",(RANK(H219,H$11:H$333,1)+COUNTIF(H$11:H219,H219)-1),(RANK(H219,H$11:H$333)+COUNTIF(H$11:H219,H219)-1)))</f>
        <v>12</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t="e">
        <f>IF(I$8="A",(RANK(AG219,AG$11:AG$333,1)+COUNTIF(AG$11:AG219,AG219)-1),(RANK(AG219,AG$11:AG$333)+COUNTIF(AG$11:AG219,AG219)-1))</f>
        <v>#N/A</v>
      </c>
      <c r="AF219" t="str">
        <f>VLOOKUP(Profile!$J$5,Families!$C:$R,2,FALSE)</f>
        <v>North Dorset</v>
      </c>
      <c r="AG219" s="15" t="e">
        <f t="shared" si="100"/>
        <v>#N/A</v>
      </c>
      <c r="AH219" s="46" t="e">
        <f t="shared" si="88"/>
        <v>#N/A</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98.57</v>
      </c>
    </row>
    <row r="220" spans="1:50">
      <c r="A220" s="55" t="str">
        <f>$D$1&amp;210</f>
        <v>SD210</v>
      </c>
      <c r="B220" s="56">
        <f>IF(ISERROR(VLOOKUP(A220,classifications!A:C,3,FALSE)),0,VLOOKUP(A220,classifications!A:C,3,FALSE))</f>
        <v>0</v>
      </c>
      <c r="C220" t="s">
        <v>123</v>
      </c>
      <c r="D220" t="str">
        <f>VLOOKUP($C220,classifications!$C:$J,4,FALSE)</f>
        <v>SD</v>
      </c>
      <c r="E220" t="str">
        <f>VLOOKUP(C220,classifications!C:K,9,FALSE)</f>
        <v>Sparse</v>
      </c>
      <c r="F220">
        <f t="shared" si="91"/>
        <v>99.12</v>
      </c>
      <c r="G220" s="15"/>
      <c r="H220" s="41">
        <f t="shared" si="92"/>
        <v>99.12</v>
      </c>
      <c r="I220" s="73">
        <f>IF(H220="","",IF($I$8="A",(RANK(H220,H$11:H$333,1)+COUNTIF(H$11:H220,H220)-1),(RANK(H220,H$11:H$333)+COUNTIF(H$11:H220,H220)-1)))</f>
        <v>4</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t="e">
        <f>IF(I$8="A",(RANK(AG220,AG$11:AG$333,1)+COUNTIF(AG$11:AG220,AG220)-1),(RANK(AG220,AG$11:AG$333)+COUNTIF(AG$11:AG220,AG220)-1))</f>
        <v>#N/A</v>
      </c>
      <c r="AF220" t="str">
        <f>VLOOKUP(Profile!$J$5,Families!$C:$R,2,FALSE)</f>
        <v>North Dorset</v>
      </c>
      <c r="AG220" s="15" t="e">
        <f t="shared" si="100"/>
        <v>#N/A</v>
      </c>
      <c r="AH220" s="46" t="e">
        <f t="shared" si="88"/>
        <v>#N/A</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99.12</v>
      </c>
    </row>
    <row r="221" spans="1:50">
      <c r="A221" s="55" t="str">
        <f>$D$1&amp;211</f>
        <v>SD211</v>
      </c>
      <c r="B221" s="56">
        <f>IF(ISERROR(VLOOKUP(A221,classifications!A:C,3,FALSE)),0,VLOOKUP(A221,classifications!A:C,3,FALSE))</f>
        <v>0</v>
      </c>
      <c r="C221" t="s">
        <v>392</v>
      </c>
      <c r="D221" t="str">
        <f>VLOOKUP($C221,classifications!$C:$J,4,FALSE)</f>
        <v>L</v>
      </c>
      <c r="E221">
        <f>VLOOKUP(C221,classifications!C:K,9,FALSE)</f>
        <v>0</v>
      </c>
      <c r="F221">
        <f t="shared" si="91"/>
        <v>98.49</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t="e">
        <f>IF(I$8="A",(RANK(AG221,AG$11:AG$333,1)+COUNTIF(AG$11:AG221,AG221)-1),(RANK(AG221,AG$11:AG$333)+COUNTIF(AG$11:AG221,AG221)-1))</f>
        <v>#N/A</v>
      </c>
      <c r="AF221" t="str">
        <f>VLOOKUP(Profile!$J$5,Families!$C:$R,2,FALSE)</f>
        <v>North Dorset</v>
      </c>
      <c r="AG221" s="15" t="e">
        <f t="shared" si="100"/>
        <v>#N/A</v>
      </c>
      <c r="AH221" s="46" t="e">
        <f t="shared" si="88"/>
        <v>#N/A</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98.49</v>
      </c>
    </row>
    <row r="222" spans="1:50">
      <c r="A222" s="55" t="str">
        <f>$D$1&amp;212</f>
        <v>SD212</v>
      </c>
      <c r="B222" s="56">
        <f>IF(ISERROR(VLOOKUP(A222,classifications!A:C,3,FALSE)),0,VLOOKUP(A222,classifications!A:C,3,FALSE))</f>
        <v>0</v>
      </c>
      <c r="C222" t="s">
        <v>240</v>
      </c>
      <c r="D222" t="str">
        <f>VLOOKUP($C222,classifications!$C:$J,4,FALSE)</f>
        <v>MD</v>
      </c>
      <c r="E222">
        <f>VLOOKUP(C222,classifications!C:K,9,FALSE)</f>
        <v>0</v>
      </c>
      <c r="F222">
        <f t="shared" si="91"/>
        <v>93.43</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t="e">
        <f>IF(I$8="A",(RANK(AG222,AG$11:AG$333,1)+COUNTIF(AG$11:AG222,AG222)-1),(RANK(AG222,AG$11:AG$333)+COUNTIF(AG$11:AG222,AG222)-1))</f>
        <v>#N/A</v>
      </c>
      <c r="AF222" t="str">
        <f>VLOOKUP(Profile!$J$5,Families!$C:$R,2,FALSE)</f>
        <v>North Dorset</v>
      </c>
      <c r="AG222" s="15" t="e">
        <f t="shared" si="100"/>
        <v>#N/A</v>
      </c>
      <c r="AH222" s="46" t="e">
        <f t="shared" si="88"/>
        <v>#N/A</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93.43</v>
      </c>
    </row>
    <row r="223" spans="1:50">
      <c r="A223" s="55" t="str">
        <f>$D$1&amp;213</f>
        <v>SD213</v>
      </c>
      <c r="B223" s="56">
        <f>IF(ISERROR(VLOOKUP(A223,classifications!A:C,3,FALSE)),0,VLOOKUP(A223,classifications!A:C,3,FALSE))</f>
        <v>0</v>
      </c>
      <c r="C223" t="s">
        <v>125</v>
      </c>
      <c r="D223" t="str">
        <f>VLOOKUP($C223,classifications!$C:$J,4,FALSE)</f>
        <v>SD</v>
      </c>
      <c r="E223">
        <f>VLOOKUP(C223,classifications!C:K,9,FALSE)</f>
        <v>0</v>
      </c>
      <c r="F223">
        <f t="shared" si="91"/>
        <v>98.67</v>
      </c>
      <c r="G223" s="15"/>
      <c r="H223" s="41">
        <f t="shared" si="92"/>
        <v>98.67</v>
      </c>
      <c r="I223" s="73">
        <f>IF(H223="","",IF($I$8="A",(RANK(H223,H$11:H$333,1)+COUNTIF(H$11:H223,H223)-1),(RANK(H223,H$11:H$333)+COUNTIF(H$11:H223,H223)-1)))</f>
        <v>8</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t="e">
        <f>IF(I$8="A",(RANK(AG223,AG$11:AG$333,1)+COUNTIF(AG$11:AG223,AG223)-1),(RANK(AG223,AG$11:AG$333)+COUNTIF(AG$11:AG223,AG223)-1))</f>
        <v>#N/A</v>
      </c>
      <c r="AF223" t="str">
        <f>VLOOKUP(Profile!$J$5,Families!$C:$R,2,FALSE)</f>
        <v>North Dorset</v>
      </c>
      <c r="AG223" s="15" t="e">
        <f t="shared" si="100"/>
        <v>#N/A</v>
      </c>
      <c r="AH223" s="46" t="e">
        <f t="shared" si="88"/>
        <v>#N/A</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98.67</v>
      </c>
    </row>
    <row r="224" spans="1:50">
      <c r="A224" s="55" t="str">
        <f>$D$1&amp;214</f>
        <v>SD214</v>
      </c>
      <c r="B224" s="56">
        <f>IF(ISERROR(VLOOKUP(A224,classifications!A:C,3,FALSE)),0,VLOOKUP(A224,classifications!A:C,3,FALSE))</f>
        <v>0</v>
      </c>
      <c r="C224" t="s">
        <v>126</v>
      </c>
      <c r="D224" t="str">
        <f>VLOOKUP($C224,classifications!$C:$J,4,FALSE)</f>
        <v>SD</v>
      </c>
      <c r="E224">
        <f>VLOOKUP(C224,classifications!C:K,9,FALSE)</f>
        <v>0</v>
      </c>
      <c r="F224">
        <f t="shared" si="91"/>
        <v>95.75</v>
      </c>
      <c r="G224" s="15"/>
      <c r="H224" s="41">
        <f t="shared" si="92"/>
        <v>95.75</v>
      </c>
      <c r="I224" s="73">
        <f>IF(H224="","",IF($I$8="A",(RANK(H224,H$11:H$333,1)+COUNTIF(H$11:H224,H224)-1),(RANK(H224,H$11:H$333)+COUNTIF(H$11:H224,H224)-1)))</f>
        <v>140</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t="e">
        <f>IF(I$8="A",(RANK(AG224,AG$11:AG$333,1)+COUNTIF(AG$11:AG224,AG224)-1),(RANK(AG224,AG$11:AG$333)+COUNTIF(AG$11:AG224,AG224)-1))</f>
        <v>#N/A</v>
      </c>
      <c r="AF224" t="str">
        <f>VLOOKUP(Profile!$J$5,Families!$C:$R,2,FALSE)</f>
        <v>North Dorset</v>
      </c>
      <c r="AG224" s="15" t="e">
        <f t="shared" si="100"/>
        <v>#N/A</v>
      </c>
      <c r="AH224" s="46" t="e">
        <f t="shared" si="88"/>
        <v>#N/A</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95.75</v>
      </c>
    </row>
    <row r="225" spans="1:50">
      <c r="A225" s="55" t="str">
        <f>$D$1&amp;215</f>
        <v>SD215</v>
      </c>
      <c r="B225" s="56">
        <f>IF(ISERROR(VLOOKUP(A225,classifications!A:C,3,FALSE)),0,VLOOKUP(A225,classifications!A:C,3,FALSE))</f>
        <v>0</v>
      </c>
      <c r="C225" t="s">
        <v>127</v>
      </c>
      <c r="D225" t="str">
        <f>VLOOKUP($C225,classifications!$C:$J,4,FALSE)</f>
        <v>SD</v>
      </c>
      <c r="E225" t="str">
        <f>VLOOKUP(C225,classifications!C:K,9,FALSE)</f>
        <v>Sparse</v>
      </c>
      <c r="F225">
        <f t="shared" si="91"/>
        <v>97.55</v>
      </c>
      <c r="G225" s="15"/>
      <c r="H225" s="41">
        <f t="shared" si="92"/>
        <v>97.55</v>
      </c>
      <c r="I225" s="73">
        <f>IF(H225="","",IF($I$8="A",(RANK(H225,H$11:H$333,1)+COUNTIF(H$11:H225,H225)-1),(RANK(H225,H$11:H$333)+COUNTIF(H$11:H225,H225)-1)))</f>
        <v>76</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t="e">
        <f>IF(I$8="A",(RANK(AG225,AG$11:AG$333,1)+COUNTIF(AG$11:AG225,AG225)-1),(RANK(AG225,AG$11:AG$333)+COUNTIF(AG$11:AG225,AG225)-1))</f>
        <v>#N/A</v>
      </c>
      <c r="AF225" t="str">
        <f>VLOOKUP(Profile!$J$5,Families!$C:$R,2,FALSE)</f>
        <v>North Dorset</v>
      </c>
      <c r="AG225" s="15" t="e">
        <f t="shared" si="100"/>
        <v>#N/A</v>
      </c>
      <c r="AH225" s="46" t="e">
        <f t="shared" si="88"/>
        <v>#N/A</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97.55</v>
      </c>
    </row>
    <row r="226" spans="1:50">
      <c r="A226" s="55" t="str">
        <f>$D$1&amp;216</f>
        <v>SD216</v>
      </c>
      <c r="B226" s="56">
        <f>IF(ISERROR(VLOOKUP(A226,classifications!A:C,3,FALSE)),0,VLOOKUP(A226,classifications!A:C,3,FALSE))</f>
        <v>0</v>
      </c>
      <c r="C226" t="s">
        <v>241</v>
      </c>
      <c r="D226" t="str">
        <f>VLOOKUP($C226,classifications!$C:$J,4,FALSE)</f>
        <v>MD</v>
      </c>
      <c r="E226">
        <f>VLOOKUP(C226,classifications!C:K,9,FALSE)</f>
        <v>0</v>
      </c>
      <c r="F226">
        <f t="shared" si="91"/>
        <v>96.92</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t="e">
        <f>IF(I$8="A",(RANK(AG226,AG$11:AG$333,1)+COUNTIF(AG$11:AG226,AG226)-1),(RANK(AG226,AG$11:AG$333)+COUNTIF(AG$11:AG226,AG226)-1))</f>
        <v>#N/A</v>
      </c>
      <c r="AF226" t="str">
        <f>VLOOKUP(Profile!$J$5,Families!$C:$R,2,FALSE)</f>
        <v>North Dorset</v>
      </c>
      <c r="AG226" s="15" t="e">
        <f t="shared" si="100"/>
        <v>#N/A</v>
      </c>
      <c r="AH226" s="46" t="e">
        <f t="shared" si="88"/>
        <v>#N/A</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96.92</v>
      </c>
    </row>
    <row r="227" spans="1:50">
      <c r="A227" s="55" t="str">
        <f>$D$1&amp;217</f>
        <v>SD217</v>
      </c>
      <c r="B227" s="56">
        <f>IF(ISERROR(VLOOKUP(A227,classifications!A:C,3,FALSE)),0,VLOOKUP(A227,classifications!A:C,3,FALSE))</f>
        <v>0</v>
      </c>
      <c r="C227" t="s">
        <v>128</v>
      </c>
      <c r="D227" t="str">
        <f>VLOOKUP($C227,classifications!$C:$J,4,FALSE)</f>
        <v>SD</v>
      </c>
      <c r="E227" t="str">
        <f>VLOOKUP(C227,classifications!C:K,9,FALSE)</f>
        <v>Sparse</v>
      </c>
      <c r="F227">
        <f t="shared" si="91"/>
        <v>95.57</v>
      </c>
      <c r="G227" s="15"/>
      <c r="H227" s="41">
        <f t="shared" si="92"/>
        <v>95.57</v>
      </c>
      <c r="I227" s="73">
        <f>IF(H227="","",IF($I$8="A",(RANK(H227,H$11:H$333,1)+COUNTIF(H$11:H227,H227)-1),(RANK(H227,H$11:H$333)+COUNTIF(H$11:H227,H227)-1)))</f>
        <v>143</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t="e">
        <f>IF(I$8="A",(RANK(AG227,AG$11:AG$333,1)+COUNTIF(AG$11:AG227,AG227)-1),(RANK(AG227,AG$11:AG$333)+COUNTIF(AG$11:AG227,AG227)-1))</f>
        <v>#N/A</v>
      </c>
      <c r="AF227" t="str">
        <f>VLOOKUP(Profile!$J$5,Families!$C:$R,2,FALSE)</f>
        <v>North Dorset</v>
      </c>
      <c r="AG227" s="15" t="e">
        <f t="shared" si="100"/>
        <v>#N/A</v>
      </c>
      <c r="AH227" s="46" t="e">
        <f t="shared" si="88"/>
        <v>#N/A</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95.57</v>
      </c>
    </row>
    <row r="228" spans="1:50">
      <c r="A228" s="55" t="str">
        <f>$D$1&amp;218</f>
        <v>SD218</v>
      </c>
      <c r="B228" s="56">
        <f>IF(ISERROR(VLOOKUP(A228,classifications!A:C,3,FALSE)),0,VLOOKUP(A228,classifications!A:C,3,FALSE))</f>
        <v>0</v>
      </c>
      <c r="C228" t="s">
        <v>129</v>
      </c>
      <c r="D228" t="str">
        <f>VLOOKUP($C228,classifications!$C:$J,4,FALSE)</f>
        <v>SD</v>
      </c>
      <c r="E228">
        <f>VLOOKUP(C228,classifications!C:K,9,FALSE)</f>
        <v>0</v>
      </c>
      <c r="F228">
        <f t="shared" si="91"/>
        <v>98.03</v>
      </c>
      <c r="G228" s="15"/>
      <c r="H228" s="41">
        <f t="shared" si="92"/>
        <v>98.03</v>
      </c>
      <c r="I228" s="73">
        <f>IF(H228="","",IF($I$8="A",(RANK(H228,H$11:H$333,1)+COUNTIF(H$11:H228,H228)-1),(RANK(H228,H$11:H$333)+COUNTIF(H$11:H228,H228)-1)))</f>
        <v>38</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t="e">
        <f>IF(I$8="A",(RANK(AG228,AG$11:AG$333,1)+COUNTIF(AG$11:AG228,AG228)-1),(RANK(AG228,AG$11:AG$333)+COUNTIF(AG$11:AG228,AG228)-1))</f>
        <v>#N/A</v>
      </c>
      <c r="AF228" t="str">
        <f>VLOOKUP(Profile!$J$5,Families!$C:$R,2,FALSE)</f>
        <v>North Dorset</v>
      </c>
      <c r="AG228" s="15" t="e">
        <f t="shared" si="100"/>
        <v>#N/A</v>
      </c>
      <c r="AH228" s="46" t="e">
        <f t="shared" si="88"/>
        <v>#N/A</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98.03</v>
      </c>
    </row>
    <row r="229" spans="1:50">
      <c r="A229" s="55" t="str">
        <f>$D$1&amp;219</f>
        <v>SD219</v>
      </c>
      <c r="B229" s="56">
        <f>IF(ISERROR(VLOOKUP(A229,classifications!A:C,3,FALSE)),0,VLOOKUP(A229,classifications!A:C,3,FALSE))</f>
        <v>0</v>
      </c>
      <c r="C229" t="s">
        <v>130</v>
      </c>
      <c r="D229" t="str">
        <f>VLOOKUP($C229,classifications!$C:$J,4,FALSE)</f>
        <v>SD</v>
      </c>
      <c r="E229">
        <f>VLOOKUP(C229,classifications!C:K,9,FALSE)</f>
        <v>0</v>
      </c>
      <c r="F229">
        <f t="shared" si="91"/>
        <v>99.02</v>
      </c>
      <c r="G229" s="15"/>
      <c r="H229" s="41">
        <f t="shared" si="92"/>
        <v>99.02</v>
      </c>
      <c r="I229" s="73">
        <f>IF(H229="","",IF($I$8="A",(RANK(H229,H$11:H$333,1)+COUNTIF(H$11:H229,H229)-1),(RANK(H229,H$11:H$333)+COUNTIF(H$11:H229,H229)-1)))</f>
        <v>5</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t="e">
        <f>IF(I$8="A",(RANK(AG229,AG$11:AG$333,1)+COUNTIF(AG$11:AG229,AG229)-1),(RANK(AG229,AG$11:AG$333)+COUNTIF(AG$11:AG229,AG229)-1))</f>
        <v>#N/A</v>
      </c>
      <c r="AF229" t="str">
        <f>VLOOKUP(Profile!$J$5,Families!$C:$R,2,FALSE)</f>
        <v>North Dorset</v>
      </c>
      <c r="AG229" s="15" t="e">
        <f t="shared" si="100"/>
        <v>#N/A</v>
      </c>
      <c r="AH229" s="46" t="e">
        <f t="shared" si="88"/>
        <v>#N/A</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99.02</v>
      </c>
    </row>
    <row r="230" spans="1:50">
      <c r="A230" s="55" t="str">
        <f>$D$1&amp;220</f>
        <v>SD220</v>
      </c>
      <c r="B230" s="56">
        <f>IF(ISERROR(VLOOKUP(A230,classifications!A:C,3,FALSE)),0,VLOOKUP(A230,classifications!A:C,3,FALSE))</f>
        <v>0</v>
      </c>
      <c r="C230" t="s">
        <v>131</v>
      </c>
      <c r="D230" t="str">
        <f>VLOOKUP($C230,classifications!$C:$J,4,FALSE)</f>
        <v>SD</v>
      </c>
      <c r="E230">
        <f>VLOOKUP(C230,classifications!C:K,9,FALSE)</f>
        <v>0</v>
      </c>
      <c r="F230">
        <f t="shared" si="91"/>
        <v>97.82</v>
      </c>
      <c r="G230" s="15"/>
      <c r="H230" s="41">
        <f t="shared" si="92"/>
        <v>97.82</v>
      </c>
      <c r="I230" s="73">
        <f>IF(H230="","",IF($I$8="A",(RANK(H230,H$11:H$333,1)+COUNTIF(H$11:H230,H230)-1),(RANK(H230,H$11:H$333)+COUNTIF(H$11:H230,H230)-1)))</f>
        <v>57</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t="e">
        <f>IF(I$8="A",(RANK(AG230,AG$11:AG$333,1)+COUNTIF(AG$11:AG230,AG230)-1),(RANK(AG230,AG$11:AG$333)+COUNTIF(AG$11:AG230,AG230)-1))</f>
        <v>#N/A</v>
      </c>
      <c r="AF230" t="str">
        <f>VLOOKUP(Profile!$J$5,Families!$C:$R,2,FALSE)</f>
        <v>North Dorset</v>
      </c>
      <c r="AG230" s="15" t="e">
        <f t="shared" si="100"/>
        <v>#N/A</v>
      </c>
      <c r="AH230" s="46" t="e">
        <f t="shared" si="88"/>
        <v>#N/A</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97.82</v>
      </c>
    </row>
    <row r="231" spans="1:50">
      <c r="A231" s="55" t="str">
        <f>$D$1&amp;221</f>
        <v>SD221</v>
      </c>
      <c r="B231" s="56">
        <f>IF(ISERROR(VLOOKUP(A231,classifications!A:C,3,FALSE)),0,VLOOKUP(A231,classifications!A:C,3,FALSE))</f>
        <v>0</v>
      </c>
      <c r="C231" t="s">
        <v>285</v>
      </c>
      <c r="D231" t="str">
        <f>VLOOKUP($C231,classifications!$C:$J,4,FALSE)</f>
        <v>UA</v>
      </c>
      <c r="E231" t="str">
        <f>VLOOKUP(C231,classifications!C:K,9,FALSE)</f>
        <v>Sparse</v>
      </c>
      <c r="F231">
        <f t="shared" si="91"/>
        <v>97.94</v>
      </c>
      <c r="G231" s="15"/>
      <c r="H231" s="41" t="str">
        <f t="shared" si="92"/>
        <v/>
      </c>
      <c r="I231" s="73" t="str">
        <f>IF(H231="","",IF($I$8="A",(RANK(H231,H$11:H$333,1)+COUNTIF(H$11:H231,H231)-1),(RANK(H231,H$11:H$333)+COUNTIF(H$11:H231,H231)-1)))</f>
        <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t="e">
        <f>IF(I$8="A",(RANK(AG231,AG$11:AG$333,1)+COUNTIF(AG$11:AG231,AG231)-1),(RANK(AG231,AG$11:AG$333)+COUNTIF(AG$11:AG231,AG231)-1))</f>
        <v>#N/A</v>
      </c>
      <c r="AF231" t="str">
        <f>VLOOKUP(Profile!$J$5,Families!$C:$R,2,FALSE)</f>
        <v>North Dorset</v>
      </c>
      <c r="AG231" s="15" t="e">
        <f t="shared" si="100"/>
        <v>#N/A</v>
      </c>
      <c r="AH231" s="46" t="e">
        <f t="shared" si="88"/>
        <v>#N/A</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97.94</v>
      </c>
    </row>
    <row r="232" spans="1:50">
      <c r="A232" s="55" t="str">
        <f>$D$1&amp;222</f>
        <v>SD222</v>
      </c>
      <c r="B232" s="56">
        <f>IF(ISERROR(VLOOKUP(A232,classifications!A:C,3,FALSE)),0,VLOOKUP(A232,classifications!A:C,3,FALSE))</f>
        <v>0</v>
      </c>
      <c r="C232" t="s">
        <v>242</v>
      </c>
      <c r="D232" t="str">
        <f>VLOOKUP($C232,classifications!$C:$J,4,FALSE)</f>
        <v>MD</v>
      </c>
      <c r="E232">
        <f>VLOOKUP(C232,classifications!C:K,9,FALSE)</f>
        <v>0</v>
      </c>
      <c r="F232">
        <f t="shared" si="91"/>
        <v>92.39</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t="e">
        <f>IF(I$8="A",(RANK(AG232,AG$11:AG$333,1)+COUNTIF(AG$11:AG232,AG232)-1),(RANK(AG232,AG$11:AG$333)+COUNTIF(AG$11:AG232,AG232)-1))</f>
        <v>#N/A</v>
      </c>
      <c r="AF232" t="str">
        <f>VLOOKUP(Profile!$J$5,Families!$C:$R,2,FALSE)</f>
        <v>North Dorset</v>
      </c>
      <c r="AG232" s="15" t="e">
        <f t="shared" si="100"/>
        <v>#N/A</v>
      </c>
      <c r="AH232" s="46" t="e">
        <f t="shared" si="88"/>
        <v>#N/A</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92.39</v>
      </c>
    </row>
    <row r="233" spans="1:50">
      <c r="A233" s="55" t="str">
        <f>$D$1&amp;223</f>
        <v>SD223</v>
      </c>
      <c r="B233" s="56">
        <f>IF(ISERROR(VLOOKUP(A233,classifications!A:C,3,FALSE)),0,VLOOKUP(A233,classifications!A:C,3,FALSE))</f>
        <v>0</v>
      </c>
      <c r="C233" t="s">
        <v>243</v>
      </c>
      <c r="D233" t="str">
        <f>VLOOKUP($C233,classifications!$C:$J,4,FALSE)</f>
        <v>MD</v>
      </c>
      <c r="E233">
        <f>VLOOKUP(C233,classifications!C:K,9,FALSE)</f>
        <v>0</v>
      </c>
      <c r="F233">
        <f t="shared" si="91"/>
        <v>95.17</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t="e">
        <f>IF(I$8="A",(RANK(AG233,AG$11:AG$333,1)+COUNTIF(AG$11:AG233,AG233)-1),(RANK(AG233,AG$11:AG$333)+COUNTIF(AG$11:AG233,AG233)-1))</f>
        <v>#N/A</v>
      </c>
      <c r="AF233" t="str">
        <f>VLOOKUP(Profile!$J$5,Families!$C:$R,2,FALSE)</f>
        <v>North Dorset</v>
      </c>
      <c r="AG233" s="15" t="e">
        <f t="shared" si="100"/>
        <v>#N/A</v>
      </c>
      <c r="AH233" s="46" t="e">
        <f t="shared" si="88"/>
        <v>#N/A</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95.17</v>
      </c>
    </row>
    <row r="234" spans="1:50">
      <c r="A234" s="55" t="str">
        <f>$D$1&amp;224</f>
        <v>SD224</v>
      </c>
      <c r="B234" s="56">
        <f>IF(ISERROR(VLOOKUP(A234,classifications!A:C,3,FALSE)),0,VLOOKUP(A234,classifications!A:C,3,FALSE))</f>
        <v>0</v>
      </c>
      <c r="C234" t="s">
        <v>244</v>
      </c>
      <c r="D234" t="str">
        <f>VLOOKUP($C234,classifications!$C:$J,4,FALSE)</f>
        <v>MD</v>
      </c>
      <c r="E234">
        <f>VLOOKUP(C234,classifications!C:K,9,FALSE)</f>
        <v>0</v>
      </c>
      <c r="F234">
        <f t="shared" si="91"/>
        <v>94.85</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t="e">
        <f>IF(I$8="A",(RANK(AG234,AG$11:AG$333,1)+COUNTIF(AG$11:AG234,AG234)-1),(RANK(AG234,AG$11:AG$333)+COUNTIF(AG$11:AG234,AG234)-1))</f>
        <v>#N/A</v>
      </c>
      <c r="AF234" t="str">
        <f>VLOOKUP(Profile!$J$5,Families!$C:$R,2,FALSE)</f>
        <v>North Dorset</v>
      </c>
      <c r="AG234" s="15" t="e">
        <f t="shared" si="100"/>
        <v>#N/A</v>
      </c>
      <c r="AH234" s="46" t="e">
        <f t="shared" si="88"/>
        <v>#N/A</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94.85</v>
      </c>
    </row>
    <row r="235" spans="1:50">
      <c r="A235" s="55" t="str">
        <f>$D$1&amp;225</f>
        <v>SD225</v>
      </c>
      <c r="B235" s="56">
        <f>IF(ISERROR(VLOOKUP(A235,classifications!A:C,3,FALSE)),0,VLOOKUP(A235,classifications!A:C,3,FALSE))</f>
        <v>0</v>
      </c>
      <c r="C235" t="s">
        <v>136</v>
      </c>
      <c r="D235" t="str">
        <f>VLOOKUP($C235,classifications!$C:$J,4,FALSE)</f>
        <v>SD</v>
      </c>
      <c r="E235">
        <f>VLOOKUP(C235,classifications!C:K,9,FALSE)</f>
        <v>0</v>
      </c>
      <c r="F235">
        <f t="shared" si="91"/>
        <v>98.03</v>
      </c>
      <c r="G235" s="15"/>
      <c r="H235" s="41">
        <f t="shared" si="92"/>
        <v>98.03</v>
      </c>
      <c r="I235" s="73">
        <f>IF(H235="","",IF($I$8="A",(RANK(H235,H$11:H$333,1)+COUNTIF(H$11:H235,H235)-1),(RANK(H235,H$11:H$333)+COUNTIF(H$11:H235,H235)-1)))</f>
        <v>39</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t="e">
        <f>IF(I$8="A",(RANK(AG235,AG$11:AG$333,1)+COUNTIF(AG$11:AG235,AG235)-1),(RANK(AG235,AG$11:AG$333)+COUNTIF(AG$11:AG235,AG235)-1))</f>
        <v>#N/A</v>
      </c>
      <c r="AF235" t="str">
        <f>VLOOKUP(Profile!$J$5,Families!$C:$R,2,FALSE)</f>
        <v>North Dorset</v>
      </c>
      <c r="AG235" s="15" t="e">
        <f t="shared" si="100"/>
        <v>#N/A</v>
      </c>
      <c r="AH235" s="46" t="e">
        <f t="shared" si="88"/>
        <v>#N/A</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98.03</v>
      </c>
    </row>
    <row r="236" spans="1:50">
      <c r="A236" s="55" t="str">
        <f>$D$1&amp;226</f>
        <v>SD226</v>
      </c>
      <c r="B236" s="56">
        <f>IF(ISERROR(VLOOKUP(A236,classifications!A:C,3,FALSE)),0,VLOOKUP(A236,classifications!A:C,3,FALSE))</f>
        <v>0</v>
      </c>
      <c r="C236" t="s">
        <v>245</v>
      </c>
      <c r="D236" t="str">
        <f>VLOOKUP($C236,classifications!$C:$J,4,FALSE)</f>
        <v>MD</v>
      </c>
      <c r="E236">
        <f>VLOOKUP(C236,classifications!C:K,9,FALSE)</f>
        <v>0</v>
      </c>
      <c r="F236">
        <f t="shared" si="91"/>
        <v>92.26</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t="e">
        <f>IF(I$8="A",(RANK(AG236,AG$11:AG$333,1)+COUNTIF(AG$11:AG236,AG236)-1),(RANK(AG236,AG$11:AG$333)+COUNTIF(AG$11:AG236,AG236)-1))</f>
        <v>#N/A</v>
      </c>
      <c r="AF236" t="str">
        <f>VLOOKUP(Profile!$J$5,Families!$C:$R,2,FALSE)</f>
        <v>North Dorset</v>
      </c>
      <c r="AG236" s="15" t="e">
        <f t="shared" si="100"/>
        <v>#N/A</v>
      </c>
      <c r="AH236" s="46" t="e">
        <f t="shared" si="88"/>
        <v>#N/A</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92.26</v>
      </c>
    </row>
    <row r="237" spans="1:50">
      <c r="A237" s="55" t="str">
        <f>$D$1&amp;227</f>
        <v>SD227</v>
      </c>
      <c r="B237" s="56">
        <f>IF(ISERROR(VLOOKUP(A237,classifications!A:C,3,FALSE)),0,VLOOKUP(A237,classifications!A:C,3,FALSE))</f>
        <v>0</v>
      </c>
      <c r="C237" t="s">
        <v>325</v>
      </c>
      <c r="D237" t="str">
        <f>VLOOKUP($C237,classifications!$C:$J,4,FALSE)</f>
        <v>UA</v>
      </c>
      <c r="E237" t="str">
        <f>VLOOKUP(C237,classifications!C:K,9,FALSE)</f>
        <v>Sparse</v>
      </c>
      <c r="F237">
        <f t="shared" si="91"/>
        <v>97.82</v>
      </c>
      <c r="G237" s="15"/>
      <c r="H237" s="41" t="str">
        <f t="shared" si="92"/>
        <v/>
      </c>
      <c r="I237" s="73" t="str">
        <f>IF(H237="","",IF($I$8="A",(RANK(H237,H$11:H$333,1)+COUNTIF(H$11:H237,H237)-1),(RANK(H237,H$11:H$333)+COUNTIF(H$11:H237,H237)-1)))</f>
        <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t="e">
        <f>IF(I$8="A",(RANK(AG237,AG$11:AG$333,1)+COUNTIF(AG$11:AG237,AG237)-1),(RANK(AG237,AG$11:AG$333)+COUNTIF(AG$11:AG237,AG237)-1))</f>
        <v>#N/A</v>
      </c>
      <c r="AF237" t="str">
        <f>VLOOKUP(Profile!$J$5,Families!$C:$R,2,FALSE)</f>
        <v>North Dorset</v>
      </c>
      <c r="AG237" s="15" t="e">
        <f t="shared" si="100"/>
        <v>#N/A</v>
      </c>
      <c r="AH237" s="46" t="e">
        <f t="shared" si="88"/>
        <v>#N/A</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97.82</v>
      </c>
    </row>
    <row r="238" spans="1:50">
      <c r="A238" s="55" t="str">
        <f>$D$1&amp;228</f>
        <v>SD228</v>
      </c>
      <c r="B238" s="56">
        <f>IF(ISERROR(VLOOKUP(A238,classifications!A:C,3,FALSE)),0,VLOOKUP(A238,classifications!A:C,3,FALSE))</f>
        <v>0</v>
      </c>
      <c r="C238" t="s">
        <v>286</v>
      </c>
      <c r="D238" t="str">
        <f>VLOOKUP($C238,classifications!$C:$J,4,FALSE)</f>
        <v>UA</v>
      </c>
      <c r="E238">
        <f>VLOOKUP(C238,classifications!C:K,9,FALSE)</f>
        <v>0</v>
      </c>
      <c r="F238">
        <f t="shared" si="91"/>
        <v>94.61</v>
      </c>
      <c r="G238" s="15"/>
      <c r="H238" s="41" t="str">
        <f t="shared" si="92"/>
        <v/>
      </c>
      <c r="I238" s="73" t="str">
        <f>IF(H238="","",IF($I$8="A",(RANK(H238,H$11:H$333,1)+COUNTIF(H$11:H238,H238)-1),(RANK(H238,H$11:H$333)+COUNTIF(H$11:H238,H238)-1)))</f>
        <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t="e">
        <f>IF(I$8="A",(RANK(AG238,AG$11:AG$333,1)+COUNTIF(AG$11:AG238,AG238)-1),(RANK(AG238,AG$11:AG$333)+COUNTIF(AG$11:AG238,AG238)-1))</f>
        <v>#N/A</v>
      </c>
      <c r="AF238" t="str">
        <f>VLOOKUP(Profile!$J$5,Families!$C:$R,2,FALSE)</f>
        <v>North Dorset</v>
      </c>
      <c r="AG238" s="15" t="e">
        <f t="shared" si="100"/>
        <v>#N/A</v>
      </c>
      <c r="AH238" s="46" t="e">
        <f t="shared" si="88"/>
        <v>#N/A</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94.61</v>
      </c>
    </row>
    <row r="239" spans="1:50">
      <c r="A239" s="55" t="str">
        <f>$D$1&amp;229</f>
        <v>SD229</v>
      </c>
      <c r="B239" s="56">
        <f>IF(ISERROR(VLOOKUP(A239,classifications!A:C,3,FALSE)),0,VLOOKUP(A239,classifications!A:C,3,FALSE))</f>
        <v>0</v>
      </c>
      <c r="C239" t="s">
        <v>246</v>
      </c>
      <c r="D239" t="str">
        <f>VLOOKUP($C239,classifications!$C:$J,4,FALSE)</f>
        <v>MD</v>
      </c>
      <c r="E239">
        <f>VLOOKUP(C239,classifications!C:K,9,FALSE)</f>
        <v>0</v>
      </c>
      <c r="F239">
        <f t="shared" si="91"/>
        <v>97.25</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t="e">
        <f>IF(I$8="A",(RANK(AG239,AG$11:AG$333,1)+COUNTIF(AG$11:AG239,AG239)-1),(RANK(AG239,AG$11:AG$333)+COUNTIF(AG$11:AG239,AG239)-1))</f>
        <v>#N/A</v>
      </c>
      <c r="AF239" t="str">
        <f>VLOOKUP(Profile!$J$5,Families!$C:$R,2,FALSE)</f>
        <v>North Dorset</v>
      </c>
      <c r="AG239" s="15" t="e">
        <f t="shared" si="100"/>
        <v>#N/A</v>
      </c>
      <c r="AH239" s="46" t="e">
        <f t="shared" si="88"/>
        <v>#N/A</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97.25</v>
      </c>
    </row>
    <row r="240" spans="1:50">
      <c r="A240" s="55" t="str">
        <f>$D$1&amp;230</f>
        <v>SD230</v>
      </c>
      <c r="B240" s="56">
        <f>IF(ISERROR(VLOOKUP(A240,classifications!A:C,3,FALSE)),0,VLOOKUP(A240,classifications!A:C,3,FALSE))</f>
        <v>0</v>
      </c>
      <c r="C240" t="s">
        <v>326</v>
      </c>
      <c r="D240" t="str">
        <f>VLOOKUP($C240,classifications!$C:$J,4,FALSE)</f>
        <v>UA</v>
      </c>
      <c r="E240">
        <f>VLOOKUP(C240,classifications!C:K,9,FALSE)</f>
        <v>0</v>
      </c>
      <c r="F240">
        <f t="shared" si="91"/>
        <v>96.58</v>
      </c>
      <c r="G240" s="15"/>
      <c r="H240" s="41" t="str">
        <f t="shared" si="92"/>
        <v/>
      </c>
      <c r="I240" s="73" t="str">
        <f>IF(H240="","",IF($I$8="A",(RANK(H240,H$11:H$333,1)+COUNTIF(H$11:H240,H240)-1),(RANK(H240,H$11:H$333)+COUNTIF(H$11:H240,H240)-1)))</f>
        <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t="e">
        <f>IF(I$8="A",(RANK(AG240,AG$11:AG$333,1)+COUNTIF(AG$11:AG240,AG240)-1),(RANK(AG240,AG$11:AG$333)+COUNTIF(AG$11:AG240,AG240)-1))</f>
        <v>#N/A</v>
      </c>
      <c r="AF240" t="str">
        <f>VLOOKUP(Profile!$J$5,Families!$C:$R,2,FALSE)</f>
        <v>North Dorset</v>
      </c>
      <c r="AG240" s="15" t="e">
        <f t="shared" si="100"/>
        <v>#N/A</v>
      </c>
      <c r="AH240" s="46" t="e">
        <f t="shared" si="88"/>
        <v>#N/A</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96.58</v>
      </c>
    </row>
    <row r="241" spans="1:50">
      <c r="A241" s="55" t="str">
        <f>$D$1&amp;231</f>
        <v>SD231</v>
      </c>
      <c r="B241" s="56">
        <f>IF(ISERROR(VLOOKUP(A241,classifications!A:C,3,FALSE)),0,VLOOKUP(A241,classifications!A:C,3,FALSE))</f>
        <v>0</v>
      </c>
      <c r="C241" t="s">
        <v>138</v>
      </c>
      <c r="D241" t="str">
        <f>VLOOKUP($C241,classifications!$C:$J,4,FALSE)</f>
        <v>SD</v>
      </c>
      <c r="E241" t="str">
        <f>VLOOKUP(C241,classifications!C:K,9,FALSE)</f>
        <v>Sparse</v>
      </c>
      <c r="F241">
        <f t="shared" si="91"/>
        <v>99.3</v>
      </c>
      <c r="G241" s="15"/>
      <c r="H241" s="41">
        <f t="shared" si="92"/>
        <v>99.3</v>
      </c>
      <c r="I241" s="73">
        <f>IF(H241="","",IF($I$8="A",(RANK(H241,H$11:H$333,1)+COUNTIF(H$11:H241,H241)-1),(RANK(H241,H$11:H$333)+COUNTIF(H$11:H241,H241)-1)))</f>
        <v>2</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t="e">
        <f>IF(I$8="A",(RANK(AG241,AG$11:AG$333,1)+COUNTIF(AG$11:AG241,AG241)-1),(RANK(AG241,AG$11:AG$333)+COUNTIF(AG$11:AG241,AG241)-1))</f>
        <v>#N/A</v>
      </c>
      <c r="AF241" t="str">
        <f>VLOOKUP(Profile!$J$5,Families!$C:$R,2,FALSE)</f>
        <v>North Dorset</v>
      </c>
      <c r="AG241" s="15" t="e">
        <f t="shared" si="100"/>
        <v>#N/A</v>
      </c>
      <c r="AH241" s="46" t="e">
        <f t="shared" si="88"/>
        <v>#N/A</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99.3</v>
      </c>
    </row>
    <row r="242" spans="1:50">
      <c r="A242" s="55" t="str">
        <f>$D$1&amp;232</f>
        <v>SD232</v>
      </c>
      <c r="B242" s="56">
        <f>IF(ISERROR(VLOOKUP(A242,classifications!A:C,3,FALSE)),0,VLOOKUP(A242,classifications!A:C,3,FALSE))</f>
        <v>0</v>
      </c>
      <c r="C242" t="s">
        <v>139</v>
      </c>
      <c r="D242" t="str">
        <f>VLOOKUP($C242,classifications!$C:$J,4,FALSE)</f>
        <v>SD</v>
      </c>
      <c r="E242">
        <f>VLOOKUP(C242,classifications!C:K,9,FALSE)</f>
        <v>0</v>
      </c>
      <c r="F242">
        <f t="shared" si="91"/>
        <v>98.09</v>
      </c>
      <c r="G242" s="15"/>
      <c r="H242" s="41">
        <f t="shared" si="92"/>
        <v>98.09</v>
      </c>
      <c r="I242" s="73">
        <f>IF(H242="","",IF($I$8="A",(RANK(H242,H$11:H$333,1)+COUNTIF(H$11:H242,H242)-1),(RANK(H242,H$11:H$333)+COUNTIF(H$11:H242,H242)-1)))</f>
        <v>35</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t="e">
        <f>IF(I$8="A",(RANK(AG242,AG$11:AG$333,1)+COUNTIF(AG$11:AG242,AG242)-1),(RANK(AG242,AG$11:AG$333)+COUNTIF(AG$11:AG242,AG242)-1))</f>
        <v>#N/A</v>
      </c>
      <c r="AF242" t="str">
        <f>VLOOKUP(Profile!$J$5,Families!$C:$R,2,FALSE)</f>
        <v>North Dorset</v>
      </c>
      <c r="AG242" s="15" t="e">
        <f t="shared" si="100"/>
        <v>#N/A</v>
      </c>
      <c r="AH242" s="46" t="e">
        <f t="shared" si="88"/>
        <v>#N/A</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98.09</v>
      </c>
    </row>
    <row r="243" spans="1:50">
      <c r="A243" s="55" t="str">
        <f>$D$1&amp;233</f>
        <v>SD233</v>
      </c>
      <c r="B243" s="56">
        <f>IF(ISERROR(VLOOKUP(A243,classifications!A:C,3,FALSE)),0,VLOOKUP(A243,classifications!A:C,3,FALSE))</f>
        <v>0</v>
      </c>
      <c r="C243" t="s">
        <v>287</v>
      </c>
      <c r="D243" t="str">
        <f>VLOOKUP($C243,classifications!$C:$J,4,FALSE)</f>
        <v>UA</v>
      </c>
      <c r="E243">
        <f>VLOOKUP(C243,classifications!C:K,9,FALSE)</f>
        <v>0</v>
      </c>
      <c r="F243">
        <f t="shared" si="91"/>
        <v>97.24</v>
      </c>
      <c r="G243" s="15"/>
      <c r="H243" s="41" t="str">
        <f t="shared" si="92"/>
        <v/>
      </c>
      <c r="I243" s="73" t="str">
        <f>IF(H243="","",IF($I$8="A",(RANK(H243,H$11:H$333,1)+COUNTIF(H$11:H243,H243)-1),(RANK(H243,H$11:H$333)+COUNTIF(H$11:H243,H243)-1)))</f>
        <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t="e">
        <f>IF(I$8="A",(RANK(AG243,AG$11:AG$333,1)+COUNTIF(AG$11:AG243,AG243)-1),(RANK(AG243,AG$11:AG$333)+COUNTIF(AG$11:AG243,AG243)-1))</f>
        <v>#N/A</v>
      </c>
      <c r="AF243" t="str">
        <f>VLOOKUP(Profile!$J$5,Families!$C:$R,2,FALSE)</f>
        <v>North Dorset</v>
      </c>
      <c r="AG243" s="15" t="e">
        <f t="shared" si="100"/>
        <v>#N/A</v>
      </c>
      <c r="AH243" s="46" t="e">
        <f t="shared" si="88"/>
        <v>#N/A</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97.24</v>
      </c>
    </row>
    <row r="244" spans="1:50">
      <c r="A244" s="55" t="str">
        <f>$D$1&amp;234</f>
        <v>SD234</v>
      </c>
      <c r="B244" s="56">
        <f>IF(ISERROR(VLOOKUP(A244,classifications!A:C,3,FALSE)),0,VLOOKUP(A244,classifications!A:C,3,FALSE))</f>
        <v>0</v>
      </c>
      <c r="C244" t="s">
        <v>140</v>
      </c>
      <c r="D244" t="str">
        <f>VLOOKUP($C244,classifications!$C:$J,4,FALSE)</f>
        <v>SD</v>
      </c>
      <c r="E244" t="str">
        <f>VLOOKUP(C244,classifications!C:K,9,FALSE)</f>
        <v>Sparse</v>
      </c>
      <c r="F244">
        <f t="shared" si="91"/>
        <v>98.35</v>
      </c>
      <c r="G244" s="15"/>
      <c r="H244" s="41">
        <f t="shared" si="92"/>
        <v>98.35</v>
      </c>
      <c r="I244" s="73">
        <f>IF(H244="","",IF($I$8="A",(RANK(H244,H$11:H$333,1)+COUNTIF(H$11:H244,H244)-1),(RANK(H244,H$11:H$333)+COUNTIF(H$11:H244,H244)-1)))</f>
        <v>25</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t="e">
        <f>IF(I$8="A",(RANK(AG244,AG$11:AG$333,1)+COUNTIF(AG$11:AG244,AG244)-1),(RANK(AG244,AG$11:AG$333)+COUNTIF(AG$11:AG244,AG244)-1))</f>
        <v>#N/A</v>
      </c>
      <c r="AF244" t="str">
        <f>VLOOKUP(Profile!$J$5,Families!$C:$R,2,FALSE)</f>
        <v>North Dorset</v>
      </c>
      <c r="AG244" s="15" t="e">
        <f t="shared" si="100"/>
        <v>#N/A</v>
      </c>
      <c r="AH244" s="46" t="e">
        <f t="shared" si="88"/>
        <v>#N/A</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98.35</v>
      </c>
    </row>
    <row r="245" spans="1:50">
      <c r="A245" s="55" t="str">
        <f>$D$1&amp;235</f>
        <v>SD235</v>
      </c>
      <c r="B245" s="56">
        <f>IF(ISERROR(VLOOKUP(A245,classifications!A:C,3,FALSE)),0,VLOOKUP(A245,classifications!A:C,3,FALSE))</f>
        <v>0</v>
      </c>
      <c r="C245" t="s">
        <v>141</v>
      </c>
      <c r="D245" t="str">
        <f>VLOOKUP($C245,classifications!$C:$J,4,FALSE)</f>
        <v>SD</v>
      </c>
      <c r="E245" t="str">
        <f>VLOOKUP(C245,classifications!C:K,9,FALSE)</f>
        <v>Sparse</v>
      </c>
      <c r="F245">
        <f t="shared" si="91"/>
        <v>96.19</v>
      </c>
      <c r="G245" s="15"/>
      <c r="H245" s="41">
        <f t="shared" si="92"/>
        <v>96.19</v>
      </c>
      <c r="I245" s="73">
        <f>IF(H245="","",IF($I$8="A",(RANK(H245,H$11:H$333,1)+COUNTIF(H$11:H245,H245)-1),(RANK(H245,H$11:H$333)+COUNTIF(H$11:H245,H245)-1)))</f>
        <v>135</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t="e">
        <f>IF(I$8="A",(RANK(AG245,AG$11:AG$333,1)+COUNTIF(AG$11:AG245,AG245)-1),(RANK(AG245,AG$11:AG$333)+COUNTIF(AG$11:AG245,AG245)-1))</f>
        <v>#N/A</v>
      </c>
      <c r="AF245" t="str">
        <f>VLOOKUP(Profile!$J$5,Families!$C:$R,2,FALSE)</f>
        <v>North Dorset</v>
      </c>
      <c r="AG245" s="15" t="e">
        <f t="shared" si="100"/>
        <v>#N/A</v>
      </c>
      <c r="AH245" s="46" t="e">
        <f t="shared" si="88"/>
        <v>#N/A</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96.19</v>
      </c>
    </row>
    <row r="246" spans="1:50">
      <c r="A246" s="55" t="str">
        <f>$D$1&amp;236</f>
        <v>SD236</v>
      </c>
      <c r="B246" s="56">
        <f>IF(ISERROR(VLOOKUP(A246,classifications!A:C,3,FALSE)),0,VLOOKUP(A246,classifications!A:C,3,FALSE))</f>
        <v>0</v>
      </c>
      <c r="C246" t="s">
        <v>142</v>
      </c>
      <c r="D246" t="str">
        <f>VLOOKUP($C246,classifications!$C:$J,4,FALSE)</f>
        <v>SD</v>
      </c>
      <c r="E246" t="str">
        <f>VLOOKUP(C246,classifications!C:K,9,FALSE)</f>
        <v>Sparse</v>
      </c>
      <c r="F246">
        <f t="shared" si="91"/>
        <v>98.37</v>
      </c>
      <c r="G246" s="15"/>
      <c r="H246" s="41">
        <f t="shared" si="92"/>
        <v>98.37</v>
      </c>
      <c r="I246" s="73">
        <f>IF(H246="","",IF($I$8="A",(RANK(H246,H$11:H$333,1)+COUNTIF(H$11:H246,H246)-1),(RANK(H246,H$11:H$333)+COUNTIF(H$11:H246,H246)-1)))</f>
        <v>22</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t="e">
        <f>IF(I$8="A",(RANK(AG246,AG$11:AG$333,1)+COUNTIF(AG$11:AG246,AG246)-1),(RANK(AG246,AG$11:AG$333)+COUNTIF(AG$11:AG246,AG246)-1))</f>
        <v>#N/A</v>
      </c>
      <c r="AF246" t="str">
        <f>VLOOKUP(Profile!$J$5,Families!$C:$R,2,FALSE)</f>
        <v>North Dorset</v>
      </c>
      <c r="AG246" s="15" t="e">
        <f t="shared" si="100"/>
        <v>#N/A</v>
      </c>
      <c r="AH246" s="46" t="e">
        <f t="shared" si="88"/>
        <v>#N/A</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98.37</v>
      </c>
    </row>
    <row r="247" spans="1:50">
      <c r="A247" s="55" t="str">
        <f>$D$1&amp;237</f>
        <v>SD237</v>
      </c>
      <c r="B247" s="56">
        <f>IF(ISERROR(VLOOKUP(A247,classifications!A:C,3,FALSE)),0,VLOOKUP(A247,classifications!A:C,3,FALSE))</f>
        <v>0</v>
      </c>
      <c r="C247" t="s">
        <v>144</v>
      </c>
      <c r="D247" t="str">
        <f>VLOOKUP($C247,classifications!$C:$J,4,FALSE)</f>
        <v>SD</v>
      </c>
      <c r="E247">
        <f>VLOOKUP(C247,classifications!C:K,9,FALSE)</f>
        <v>0</v>
      </c>
      <c r="F247">
        <f t="shared" si="91"/>
        <v>97.23</v>
      </c>
      <c r="G247" s="15"/>
      <c r="H247" s="41">
        <f t="shared" si="92"/>
        <v>97.23</v>
      </c>
      <c r="I247" s="73">
        <f>IF(H247="","",IF($I$8="A",(RANK(H247,H$11:H$333,1)+COUNTIF(H$11:H247,H247)-1),(RANK(H247,H$11:H$333)+COUNTIF(H$11:H247,H247)-1)))</f>
        <v>88</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t="e">
        <f>IF(I$8="A",(RANK(AG247,AG$11:AG$333,1)+COUNTIF(AG$11:AG247,AG247)-1),(RANK(AG247,AG$11:AG$333)+COUNTIF(AG$11:AG247,AG247)-1))</f>
        <v>#N/A</v>
      </c>
      <c r="AF247" t="str">
        <f>VLOOKUP(Profile!$J$5,Families!$C:$R,2,FALSE)</f>
        <v>North Dorset</v>
      </c>
      <c r="AG247" s="15" t="e">
        <f t="shared" si="100"/>
        <v>#N/A</v>
      </c>
      <c r="AH247" s="46" t="e">
        <f t="shared" si="88"/>
        <v>#N/A</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97.23</v>
      </c>
    </row>
    <row r="248" spans="1:50">
      <c r="A248" s="55" t="str">
        <f>$D$1&amp;238</f>
        <v>SD238</v>
      </c>
      <c r="B248" s="56">
        <f>IF(ISERROR(VLOOKUP(A248,classifications!A:C,3,FALSE)),0,VLOOKUP(A248,classifications!A:C,3,FALSE))</f>
        <v>0</v>
      </c>
      <c r="C248" t="s">
        <v>146</v>
      </c>
      <c r="D248" t="str">
        <f>VLOOKUP($C248,classifications!$C:$J,4,FALSE)</f>
        <v>SD</v>
      </c>
      <c r="E248" t="str">
        <f>VLOOKUP(C248,classifications!C:K,9,FALSE)</f>
        <v>Sparse</v>
      </c>
      <c r="F248">
        <f t="shared" si="91"/>
        <v>97.94</v>
      </c>
      <c r="G248" s="15"/>
      <c r="H248" s="41">
        <f t="shared" si="92"/>
        <v>97.94</v>
      </c>
      <c r="I248" s="73">
        <f>IF(H248="","",IF($I$8="A",(RANK(H248,H$11:H$333,1)+COUNTIF(H$11:H248,H248)-1),(RANK(H248,H$11:H$333)+COUNTIF(H$11:H248,H248)-1)))</f>
        <v>46</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t="e">
        <f>IF(I$8="A",(RANK(AG248,AG$11:AG$333,1)+COUNTIF(AG$11:AG248,AG248)-1),(RANK(AG248,AG$11:AG$333)+COUNTIF(AG$11:AG248,AG248)-1))</f>
        <v>#N/A</v>
      </c>
      <c r="AF248" t="str">
        <f>VLOOKUP(Profile!$J$5,Families!$C:$R,2,FALSE)</f>
        <v>North Dorset</v>
      </c>
      <c r="AG248" s="15" t="e">
        <f t="shared" si="100"/>
        <v>#N/A</v>
      </c>
      <c r="AH248" s="46" t="e">
        <f t="shared" si="88"/>
        <v>#N/A</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97.94</v>
      </c>
    </row>
    <row r="249" spans="1:50">
      <c r="A249" s="55" t="str">
        <f>$D$1&amp;239</f>
        <v>SD239</v>
      </c>
      <c r="B249" s="56">
        <f>IF(ISERROR(VLOOKUP(A249,classifications!A:C,3,FALSE)),0,VLOOKUP(A249,classifications!A:C,3,FALSE))</f>
        <v>0</v>
      </c>
      <c r="C249" t="s">
        <v>147</v>
      </c>
      <c r="D249" t="str">
        <f>VLOOKUP($C249,classifications!$C:$J,4,FALSE)</f>
        <v>SD</v>
      </c>
      <c r="E249">
        <f>VLOOKUP(C249,classifications!C:K,9,FALSE)</f>
        <v>0</v>
      </c>
      <c r="F249">
        <f t="shared" si="91"/>
        <v>96.37</v>
      </c>
      <c r="G249" s="15"/>
      <c r="H249" s="41">
        <f t="shared" si="92"/>
        <v>96.37</v>
      </c>
      <c r="I249" s="73">
        <f>IF(H249="","",IF($I$8="A",(RANK(H249,H$11:H$333,1)+COUNTIF(H$11:H249,H249)-1),(RANK(H249,H$11:H$333)+COUNTIF(H$11:H249,H249)-1)))</f>
        <v>126</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t="e">
        <f>IF(I$8="A",(RANK(AG249,AG$11:AG$333,1)+COUNTIF(AG$11:AG249,AG249)-1),(RANK(AG249,AG$11:AG$333)+COUNTIF(AG$11:AG249,AG249)-1))</f>
        <v>#N/A</v>
      </c>
      <c r="AF249" t="str">
        <f>VLOOKUP(Profile!$J$5,Families!$C:$R,2,FALSE)</f>
        <v>North Dorset</v>
      </c>
      <c r="AG249" s="15" t="e">
        <f t="shared" si="100"/>
        <v>#N/A</v>
      </c>
      <c r="AH249" s="46" t="e">
        <f t="shared" si="88"/>
        <v>#N/A</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96.37</v>
      </c>
    </row>
    <row r="250" spans="1:50">
      <c r="A250" s="55" t="str">
        <f>$D$1&amp;240</f>
        <v>SD240</v>
      </c>
      <c r="B250" s="56">
        <f>IF(ISERROR(VLOOKUP(A250,classifications!A:C,3,FALSE)),0,VLOOKUP(A250,classifications!A:C,3,FALSE))</f>
        <v>0</v>
      </c>
      <c r="C250" t="s">
        <v>149</v>
      </c>
      <c r="D250" t="str">
        <f>VLOOKUP($C250,classifications!$C:$J,4,FALSE)</f>
        <v>SD</v>
      </c>
      <c r="E250">
        <f>VLOOKUP(C250,classifications!C:K,9,FALSE)</f>
        <v>0</v>
      </c>
      <c r="F250">
        <f t="shared" si="91"/>
        <v>98.07</v>
      </c>
      <c r="G250" s="15"/>
      <c r="H250" s="41">
        <f t="shared" si="92"/>
        <v>98.07</v>
      </c>
      <c r="I250" s="73">
        <f>IF(H250="","",IF($I$8="A",(RANK(H250,H$11:H$333,1)+COUNTIF(H$11:H250,H250)-1),(RANK(H250,H$11:H$333)+COUNTIF(H$11:H250,H250)-1)))</f>
        <v>37</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t="e">
        <f>IF(I$8="A",(RANK(AG250,AG$11:AG$333,1)+COUNTIF(AG$11:AG250,AG250)-1),(RANK(AG250,AG$11:AG$333)+COUNTIF(AG$11:AG250,AG250)-1))</f>
        <v>#N/A</v>
      </c>
      <c r="AF250" t="str">
        <f>VLOOKUP(Profile!$J$5,Families!$C:$R,2,FALSE)</f>
        <v>North Dorset</v>
      </c>
      <c r="AG250" s="15" t="e">
        <f t="shared" si="100"/>
        <v>#N/A</v>
      </c>
      <c r="AH250" s="46" t="e">
        <f t="shared" ref="AH250:AH313" si="112">AE250</f>
        <v>#N/A</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98.07</v>
      </c>
    </row>
    <row r="251" spans="1:50">
      <c r="A251" s="55" t="str">
        <f>$D$1&amp;241</f>
        <v>SD241</v>
      </c>
      <c r="B251" s="56">
        <f>IF(ISERROR(VLOOKUP(A251,classifications!A:C,3,FALSE)),0,VLOOKUP(A251,classifications!A:C,3,FALSE))</f>
        <v>0</v>
      </c>
      <c r="C251" t="s">
        <v>247</v>
      </c>
      <c r="D251" t="str">
        <f>VLOOKUP($C251,classifications!$C:$J,4,FALSE)</f>
        <v>MD</v>
      </c>
      <c r="E251">
        <f>VLOOKUP(C251,classifications!C:K,9,FALSE)</f>
        <v>0</v>
      </c>
      <c r="F251">
        <f t="shared" si="91"/>
        <v>93.87</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t="e">
        <f>IF(I$8="A",(RANK(AG251,AG$11:AG$333,1)+COUNTIF(AG$11:AG251,AG251)-1),(RANK(AG251,AG$11:AG$333)+COUNTIF(AG$11:AG251,AG251)-1))</f>
        <v>#N/A</v>
      </c>
      <c r="AF251" t="str">
        <f>VLOOKUP(Profile!$J$5,Families!$C:$R,2,FALSE)</f>
        <v>North Dorset</v>
      </c>
      <c r="AG251" s="15" t="e">
        <f t="shared" si="100"/>
        <v>#N/A</v>
      </c>
      <c r="AH251" s="46" t="e">
        <f t="shared" si="112"/>
        <v>#N/A</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93.87</v>
      </c>
    </row>
    <row r="252" spans="1:50">
      <c r="A252" s="55" t="str">
        <f>$D$1&amp;242</f>
        <v>SD242</v>
      </c>
      <c r="B252" s="56">
        <f>IF(ISERROR(VLOOKUP(A252,classifications!A:C,3,FALSE)),0,VLOOKUP(A252,classifications!A:C,3,FALSE))</f>
        <v>0</v>
      </c>
      <c r="C252" t="s">
        <v>288</v>
      </c>
      <c r="D252" t="str">
        <f>VLOOKUP($C252,classifications!$C:$J,4,FALSE)</f>
        <v>UA</v>
      </c>
      <c r="E252">
        <f>VLOOKUP(C252,classifications!C:K,9,FALSE)</f>
        <v>0</v>
      </c>
      <c r="F252">
        <f t="shared" si="91"/>
        <v>93.89</v>
      </c>
      <c r="G252" s="15"/>
      <c r="H252" s="41" t="str">
        <f t="shared" si="92"/>
        <v/>
      </c>
      <c r="I252" s="73" t="str">
        <f>IF(H252="","",IF($I$8="A",(RANK(H252,H$11:H$333,1)+COUNTIF(H$11:H252,H252)-1),(RANK(H252,H$11:H$333)+COUNTIF(H$11:H252,H252)-1)))</f>
        <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t="e">
        <f>IF(I$8="A",(RANK(AG252,AG$11:AG$333,1)+COUNTIF(AG$11:AG252,AG252)-1),(RANK(AG252,AG$11:AG$333)+COUNTIF(AG$11:AG252,AG252)-1))</f>
        <v>#N/A</v>
      </c>
      <c r="AF252" t="str">
        <f>VLOOKUP(Profile!$J$5,Families!$C:$R,2,FALSE)</f>
        <v>North Dorset</v>
      </c>
      <c r="AG252" s="15" t="e">
        <f t="shared" si="100"/>
        <v>#N/A</v>
      </c>
      <c r="AH252" s="46" t="e">
        <f t="shared" si="112"/>
        <v>#N/A</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93.89</v>
      </c>
    </row>
    <row r="253" spans="1:50">
      <c r="A253" s="55" t="str">
        <f>$D$1&amp;243</f>
        <v>SD243</v>
      </c>
      <c r="B253" s="56">
        <f>IF(ISERROR(VLOOKUP(A253,classifications!A:C,3,FALSE)),0,VLOOKUP(A253,classifications!A:C,3,FALSE))</f>
        <v>0</v>
      </c>
      <c r="C253" t="s">
        <v>289</v>
      </c>
      <c r="D253" t="str">
        <f>VLOOKUP($C253,classifications!$C:$J,4,FALSE)</f>
        <v>UA</v>
      </c>
      <c r="E253">
        <f>VLOOKUP(C253,classifications!C:K,9,FALSE)</f>
        <v>0</v>
      </c>
      <c r="F253">
        <f t="shared" si="91"/>
        <v>97.58</v>
      </c>
      <c r="G253" s="15"/>
      <c r="H253" s="41" t="str">
        <f t="shared" si="92"/>
        <v/>
      </c>
      <c r="I253" s="73" t="str">
        <f>IF(H253="","",IF($I$8="A",(RANK(H253,H$11:H$333,1)+COUNTIF(H$11:H253,H253)-1),(RANK(H253,H$11:H$333)+COUNTIF(H$11:H253,H253)-1)))</f>
        <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t="e">
        <f>IF(I$8="A",(RANK(AG253,AG$11:AG$333,1)+COUNTIF(AG$11:AG253,AG253)-1),(RANK(AG253,AG$11:AG$333)+COUNTIF(AG$11:AG253,AG253)-1))</f>
        <v>#N/A</v>
      </c>
      <c r="AF253" t="str">
        <f>VLOOKUP(Profile!$J$5,Families!$C:$R,2,FALSE)</f>
        <v>North Dorset</v>
      </c>
      <c r="AG253" s="15" t="e">
        <f t="shared" si="100"/>
        <v>#N/A</v>
      </c>
      <c r="AH253" s="46" t="e">
        <f t="shared" si="112"/>
        <v>#N/A</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97.58</v>
      </c>
    </row>
    <row r="254" spans="1:50">
      <c r="A254" s="55" t="str">
        <f>$D$1&amp;244</f>
        <v>SD244</v>
      </c>
      <c r="B254" s="56">
        <f>IF(ISERROR(VLOOKUP(A254,classifications!A:C,3,FALSE)),0,VLOOKUP(A254,classifications!A:C,3,FALSE))</f>
        <v>0</v>
      </c>
      <c r="C254" t="s">
        <v>217</v>
      </c>
      <c r="D254" t="str">
        <f>VLOOKUP($C254,classifications!$C:$J,4,FALSE)</f>
        <v>L</v>
      </c>
      <c r="E254">
        <f>VLOOKUP(C254,classifications!C:K,9,FALSE)</f>
        <v>0</v>
      </c>
      <c r="F254">
        <f t="shared" si="91"/>
        <v>92.28</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t="e">
        <f>IF(I$8="A",(RANK(AG254,AG$11:AG$333,1)+COUNTIF(AG$11:AG254,AG254)-1),(RANK(AG254,AG$11:AG$333)+COUNTIF(AG$11:AG254,AG254)-1))</f>
        <v>#N/A</v>
      </c>
      <c r="AF254" t="str">
        <f>VLOOKUP(Profile!$J$5,Families!$C:$R,2,FALSE)</f>
        <v>North Dorset</v>
      </c>
      <c r="AG254" s="15" t="e">
        <f t="shared" si="100"/>
        <v>#N/A</v>
      </c>
      <c r="AH254" s="46" t="e">
        <f t="shared" si="112"/>
        <v>#N/A</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92.28</v>
      </c>
    </row>
    <row r="255" spans="1:50">
      <c r="A255" s="55" t="str">
        <f>$D$1&amp;245</f>
        <v>SD245</v>
      </c>
      <c r="B255" s="56">
        <f>IF(ISERROR(VLOOKUP(A255,classifications!A:C,3,FALSE)),0,VLOOKUP(A255,classifications!A:C,3,FALSE))</f>
        <v>0</v>
      </c>
      <c r="C255" t="s">
        <v>150</v>
      </c>
      <c r="D255" t="str">
        <f>VLOOKUP($C255,classifications!$C:$J,4,FALSE)</f>
        <v>SD</v>
      </c>
      <c r="E255">
        <f>VLOOKUP(C255,classifications!C:K,9,FALSE)</f>
        <v>0</v>
      </c>
      <c r="F255">
        <f t="shared" si="91"/>
        <v>97.5</v>
      </c>
      <c r="G255" s="15"/>
      <c r="H255" s="41">
        <f t="shared" si="92"/>
        <v>97.5</v>
      </c>
      <c r="I255" s="73">
        <f>IF(H255="","",IF($I$8="A",(RANK(H255,H$11:H$333,1)+COUNTIF(H$11:H255,H255)-1),(RANK(H255,H$11:H$333)+COUNTIF(H$11:H255,H255)-1)))</f>
        <v>82</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t="e">
        <f>IF(I$8="A",(RANK(AG255,AG$11:AG$333,1)+COUNTIF(AG$11:AG255,AG255)-1),(RANK(AG255,AG$11:AG$333)+COUNTIF(AG$11:AG255,AG255)-1))</f>
        <v>#N/A</v>
      </c>
      <c r="AF255" t="str">
        <f>VLOOKUP(Profile!$J$5,Families!$C:$R,2,FALSE)</f>
        <v>North Dorset</v>
      </c>
      <c r="AG255" s="15" t="e">
        <f t="shared" si="100"/>
        <v>#N/A</v>
      </c>
      <c r="AH255" s="46" t="e">
        <f t="shared" si="112"/>
        <v>#N/A</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97.5</v>
      </c>
    </row>
    <row r="256" spans="1:50">
      <c r="A256" s="55" t="str">
        <f>$D$1&amp;246</f>
        <v>SD246</v>
      </c>
      <c r="B256" s="56">
        <f>IF(ISERROR(VLOOKUP(A256,classifications!A:C,3,FALSE)),0,VLOOKUP(A256,classifications!A:C,3,FALSE))</f>
        <v>0</v>
      </c>
      <c r="C256" t="s">
        <v>151</v>
      </c>
      <c r="D256" t="str">
        <f>VLOOKUP($C256,classifications!$C:$J,4,FALSE)</f>
        <v>SD</v>
      </c>
      <c r="E256">
        <f>VLOOKUP(C256,classifications!C:K,9,FALSE)</f>
        <v>0</v>
      </c>
      <c r="F256">
        <f t="shared" si="91"/>
        <v>98.8</v>
      </c>
      <c r="G256" s="15"/>
      <c r="H256" s="41">
        <f t="shared" si="92"/>
        <v>98.8</v>
      </c>
      <c r="I256" s="73">
        <f>IF(H256="","",IF($I$8="A",(RANK(H256,H$11:H$333,1)+COUNTIF(H$11:H256,H256)-1),(RANK(H256,H$11:H$333)+COUNTIF(H$11:H256,H256)-1)))</f>
        <v>7</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t="e">
        <f>IF(I$8="A",(RANK(AG256,AG$11:AG$333,1)+COUNTIF(AG$11:AG256,AG256)-1),(RANK(AG256,AG$11:AG$333)+COUNTIF(AG$11:AG256,AG256)-1))</f>
        <v>#N/A</v>
      </c>
      <c r="AF256" t="str">
        <f>VLOOKUP(Profile!$J$5,Families!$C:$R,2,FALSE)</f>
        <v>North Dorset</v>
      </c>
      <c r="AG256" s="15" t="e">
        <f t="shared" si="100"/>
        <v>#N/A</v>
      </c>
      <c r="AH256" s="46" t="e">
        <f t="shared" si="112"/>
        <v>#N/A</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98.8</v>
      </c>
    </row>
    <row r="257" spans="1:50">
      <c r="A257" s="55" t="str">
        <f>$D$1&amp;247</f>
        <v>SD247</v>
      </c>
      <c r="B257" s="56">
        <f>IF(ISERROR(VLOOKUP(A257,classifications!A:C,3,FALSE)),0,VLOOKUP(A257,classifications!A:C,3,FALSE))</f>
        <v>0</v>
      </c>
      <c r="C257" t="s">
        <v>248</v>
      </c>
      <c r="D257" t="str">
        <f>VLOOKUP($C257,classifications!$C:$J,4,FALSE)</f>
        <v>MD</v>
      </c>
      <c r="E257">
        <f>VLOOKUP(C257,classifications!C:K,9,FALSE)</f>
        <v>0</v>
      </c>
      <c r="F257">
        <f t="shared" si="91"/>
        <v>94.19</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t="e">
        <f>IF(I$8="A",(RANK(AG257,AG$11:AG$333,1)+COUNTIF(AG$11:AG257,AG257)-1),(RANK(AG257,AG$11:AG$333)+COUNTIF(AG$11:AG257,AG257)-1))</f>
        <v>#N/A</v>
      </c>
      <c r="AF257" t="str">
        <f>VLOOKUP(Profile!$J$5,Families!$C:$R,2,FALSE)</f>
        <v>North Dorset</v>
      </c>
      <c r="AG257" s="15" t="e">
        <f t="shared" si="100"/>
        <v>#N/A</v>
      </c>
      <c r="AH257" s="46" t="e">
        <f t="shared" si="112"/>
        <v>#N/A</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94.19</v>
      </c>
    </row>
    <row r="258" spans="1:50">
      <c r="A258" s="55" t="str">
        <f>$D$1&amp;248</f>
        <v>SD248</v>
      </c>
      <c r="B258" s="56">
        <f>IF(ISERROR(VLOOKUP(A258,classifications!A:C,3,FALSE)),0,VLOOKUP(A258,classifications!A:C,3,FALSE))</f>
        <v>0</v>
      </c>
      <c r="C258" t="s">
        <v>153</v>
      </c>
      <c r="D258" t="str">
        <f>VLOOKUP($C258,classifications!$C:$J,4,FALSE)</f>
        <v>SD</v>
      </c>
      <c r="E258" t="str">
        <f>VLOOKUP(C258,classifications!C:K,9,FALSE)</f>
        <v>Sparse</v>
      </c>
      <c r="F258">
        <f t="shared" si="91"/>
        <v>97.63</v>
      </c>
      <c r="G258" s="15"/>
      <c r="H258" s="41">
        <f t="shared" si="92"/>
        <v>97.63</v>
      </c>
      <c r="I258" s="73">
        <f>IF(H258="","",IF($I$8="A",(RANK(H258,H$11:H$333,1)+COUNTIF(H$11:H258,H258)-1),(RANK(H258,H$11:H$333)+COUNTIF(H$11:H258,H258)-1)))</f>
        <v>70</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t="e">
        <f>IF(I$8="A",(RANK(AG258,AG$11:AG$333,1)+COUNTIF(AG$11:AG258,AG258)-1),(RANK(AG258,AG$11:AG$333)+COUNTIF(AG$11:AG258,AG258)-1))</f>
        <v>#N/A</v>
      </c>
      <c r="AF258" t="str">
        <f>VLOOKUP(Profile!$J$5,Families!$C:$R,2,FALSE)</f>
        <v>North Dorset</v>
      </c>
      <c r="AG258" s="15" t="e">
        <f t="shared" si="100"/>
        <v>#N/A</v>
      </c>
      <c r="AH258" s="46" t="e">
        <f t="shared" si="112"/>
        <v>#N/A</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97.63</v>
      </c>
    </row>
    <row r="259" spans="1:50">
      <c r="A259" s="55" t="str">
        <f>$D$1&amp;249</f>
        <v>SD249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t="e">
        <f>IF(I$8="A",(RANK(AG259,AG$11:AG$333,1)+COUNTIF(AG$11:AG259,AG259)-1),(RANK(AG259,AG$11:AG$333)+COUNTIF(AG$11:AG259,AG259)-1))</f>
        <v>#N/A</v>
      </c>
      <c r="AF259" t="str">
        <f>VLOOKUP(Profile!$J$5,Families!$C:$R,2,FALSE)</f>
        <v>North Dorset</v>
      </c>
      <c r="AG259" s="15" t="e">
        <f t="shared" si="100"/>
        <v>#N/A</v>
      </c>
      <c r="AH259" s="46" t="e">
        <f t="shared" si="112"/>
        <v>#N/A</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SD250</v>
      </c>
      <c r="B260" s="56">
        <f>IF(ISERROR(VLOOKUP(A260,classifications!A:C,3,FALSE)),0,VLOOKUP(A260,classifications!A:C,3,FALSE))</f>
        <v>0</v>
      </c>
      <c r="C260" t="s">
        <v>154</v>
      </c>
      <c r="D260" t="str">
        <f>VLOOKUP($C260,classifications!$C:$J,4,FALSE)</f>
        <v>SD</v>
      </c>
      <c r="E260">
        <f>VLOOKUP(C260,classifications!C:K,9,FALSE)</f>
        <v>0</v>
      </c>
      <c r="F260">
        <f t="shared" si="91"/>
        <v>98.54</v>
      </c>
      <c r="G260" s="15"/>
      <c r="H260" s="41">
        <f t="shared" si="92"/>
        <v>98.54</v>
      </c>
      <c r="I260" s="73">
        <f>IF(H260="","",IF($I$8="A",(RANK(H260,H$11:H$333,1)+COUNTIF(H$11:H260,H260)-1),(RANK(H260,H$11:H$333)+COUNTIF(H$11:H260,H260)-1)))</f>
        <v>15</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t="e">
        <f>IF(I$8="A",(RANK(AG260,AG$11:AG$333,1)+COUNTIF(AG$11:AG260,AG260)-1),(RANK(AG260,AG$11:AG$333)+COUNTIF(AG$11:AG260,AG260)-1))</f>
        <v>#N/A</v>
      </c>
      <c r="AF260" t="str">
        <f>VLOOKUP(Profile!$J$5,Families!$C:$R,2,FALSE)</f>
        <v>North Dorset</v>
      </c>
      <c r="AG260" s="15" t="e">
        <f t="shared" si="100"/>
        <v>#N/A</v>
      </c>
      <c r="AH260" s="46" t="e">
        <f t="shared" si="112"/>
        <v>#N/A</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98.54</v>
      </c>
    </row>
    <row r="261" spans="1:50">
      <c r="A261" s="55" t="str">
        <f>$D$1&amp;251</f>
        <v>SD251</v>
      </c>
      <c r="B261" s="56">
        <f>IF(ISERROR(VLOOKUP(A261,classifications!A:C,3,FALSE)),0,VLOOKUP(A261,classifications!A:C,3,FALSE))</f>
        <v>0</v>
      </c>
      <c r="C261" t="s">
        <v>155</v>
      </c>
      <c r="D261" t="str">
        <f>VLOOKUP($C261,classifications!$C:$J,4,FALSE)</f>
        <v>SD</v>
      </c>
      <c r="E261">
        <f>VLOOKUP(C261,classifications!C:K,9,FALSE)</f>
        <v>0</v>
      </c>
      <c r="F261">
        <f t="shared" si="91"/>
        <v>94.37</v>
      </c>
      <c r="G261" s="15"/>
      <c r="H261" s="41">
        <f t="shared" si="92"/>
        <v>94.37</v>
      </c>
      <c r="I261" s="73">
        <f>IF(H261="","",IF($I$8="A",(RANK(H261,H$11:H$333,1)+COUNTIF(H$11:H261,H261)-1),(RANK(H261,H$11:H$333)+COUNTIF(H$11:H261,H261)-1)))</f>
        <v>156</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t="e">
        <f>IF(I$8="A",(RANK(AG261,AG$11:AG$333,1)+COUNTIF(AG$11:AG261,AG261)-1),(RANK(AG261,AG$11:AG$333)+COUNTIF(AG$11:AG261,AG261)-1))</f>
        <v>#N/A</v>
      </c>
      <c r="AF261" t="str">
        <f>VLOOKUP(Profile!$J$5,Families!$C:$R,2,FALSE)</f>
        <v>North Dorset</v>
      </c>
      <c r="AG261" s="15" t="e">
        <f t="shared" si="100"/>
        <v>#N/A</v>
      </c>
      <c r="AH261" s="46" t="e">
        <f t="shared" si="112"/>
        <v>#N/A</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94.37</v>
      </c>
    </row>
    <row r="262" spans="1:50">
      <c r="A262" s="55" t="str">
        <f>$D$1&amp;252</f>
        <v>SD252</v>
      </c>
      <c r="B262" s="56">
        <f>IF(ISERROR(VLOOKUP(A262,classifications!A:C,3,FALSE)),0,VLOOKUP(A262,classifications!A:C,3,FALSE))</f>
        <v>0</v>
      </c>
      <c r="C262" t="s">
        <v>249</v>
      </c>
      <c r="D262" t="str">
        <f>VLOOKUP($C262,classifications!$C:$J,4,FALSE)</f>
        <v>MD</v>
      </c>
      <c r="E262">
        <f>VLOOKUP(C262,classifications!C:K,9,FALSE)</f>
        <v>0</v>
      </c>
      <c r="F262">
        <f t="shared" si="91"/>
        <v>97.48</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t="e">
        <f>IF(I$8="A",(RANK(AG262,AG$11:AG$333,1)+COUNTIF(AG$11:AG262,AG262)-1),(RANK(AG262,AG$11:AG$333)+COUNTIF(AG$11:AG262,AG262)-1))</f>
        <v>#N/A</v>
      </c>
      <c r="AF262" t="str">
        <f>VLOOKUP(Profile!$J$5,Families!$C:$R,2,FALSE)</f>
        <v>North Dorset</v>
      </c>
      <c r="AG262" s="15" t="e">
        <f t="shared" si="100"/>
        <v>#N/A</v>
      </c>
      <c r="AH262" s="46" t="e">
        <f t="shared" si="112"/>
        <v>#N/A</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97.48</v>
      </c>
    </row>
    <row r="263" spans="1:50">
      <c r="A263" s="55" t="str">
        <f>$D$1&amp;253</f>
        <v>SD253</v>
      </c>
      <c r="B263" s="56">
        <f>IF(ISERROR(VLOOKUP(A263,classifications!A:C,3,FALSE)),0,VLOOKUP(A263,classifications!A:C,3,FALSE))</f>
        <v>0</v>
      </c>
      <c r="C263" t="s">
        <v>290</v>
      </c>
      <c r="D263" t="str">
        <f>VLOOKUP($C263,classifications!$C:$J,4,FALSE)</f>
        <v>UA</v>
      </c>
      <c r="E263">
        <f>VLOOKUP(C263,classifications!C:K,9,FALSE)</f>
        <v>0</v>
      </c>
      <c r="F263">
        <f t="shared" si="91"/>
        <v>95.09</v>
      </c>
      <c r="G263" s="15"/>
      <c r="H263" s="41" t="str">
        <f t="shared" si="92"/>
        <v/>
      </c>
      <c r="I263" s="73" t="str">
        <f>IF(H263="","",IF($I$8="A",(RANK(H263,H$11:H$333,1)+COUNTIF(H$11:H263,H263)-1),(RANK(H263,H$11:H$333)+COUNTIF(H$11:H263,H263)-1)))</f>
        <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t="e">
        <f>IF(I$8="A",(RANK(AG263,AG$11:AG$333,1)+COUNTIF(AG$11:AG263,AG263)-1),(RANK(AG263,AG$11:AG$333)+COUNTIF(AG$11:AG263,AG263)-1))</f>
        <v>#N/A</v>
      </c>
      <c r="AF263" t="str">
        <f>VLOOKUP(Profile!$J$5,Families!$C:$R,2,FALSE)</f>
        <v>North Dorset</v>
      </c>
      <c r="AG263" s="15" t="e">
        <f t="shared" si="100"/>
        <v>#N/A</v>
      </c>
      <c r="AH263" s="46" t="e">
        <f t="shared" si="112"/>
        <v>#N/A</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95.09</v>
      </c>
    </row>
    <row r="264" spans="1:50">
      <c r="A264" s="55" t="str">
        <f>$D$1&amp;254</f>
        <v>SD254</v>
      </c>
      <c r="B264" s="56">
        <f>IF(ISERROR(VLOOKUP(A264,classifications!A:C,3,FALSE)),0,VLOOKUP(A264,classifications!A:C,3,FALSE))</f>
        <v>0</v>
      </c>
      <c r="C264" t="s">
        <v>291</v>
      </c>
      <c r="D264" t="str">
        <f>VLOOKUP($C264,classifications!$C:$J,4,FALSE)</f>
        <v>UA</v>
      </c>
      <c r="E264">
        <f>VLOOKUP(C264,classifications!C:K,9,FALSE)</f>
        <v>0</v>
      </c>
      <c r="F264">
        <f t="shared" si="91"/>
        <v>94.96</v>
      </c>
      <c r="G264" s="15"/>
      <c r="H264" s="41" t="str">
        <f t="shared" si="92"/>
        <v/>
      </c>
      <c r="I264" s="73" t="str">
        <f>IF(H264="","",IF($I$8="A",(RANK(H264,H$11:H$333,1)+COUNTIF(H$11:H264,H264)-1),(RANK(H264,H$11:H$333)+COUNTIF(H$11:H264,H264)-1)))</f>
        <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t="e">
        <f>IF(I$8="A",(RANK(AG264,AG$11:AG$333,1)+COUNTIF(AG$11:AG264,AG264)-1),(RANK(AG264,AG$11:AG$333)+COUNTIF(AG$11:AG264,AG264)-1))</f>
        <v>#N/A</v>
      </c>
      <c r="AF264" t="str">
        <f>VLOOKUP(Profile!$J$5,Families!$C:$R,2,FALSE)</f>
        <v>North Dorset</v>
      </c>
      <c r="AG264" s="15" t="e">
        <f t="shared" si="100"/>
        <v>#N/A</v>
      </c>
      <c r="AH264" s="46" t="e">
        <f t="shared" si="112"/>
        <v>#N/A</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94.96</v>
      </c>
    </row>
    <row r="265" spans="1:50">
      <c r="A265" s="55" t="str">
        <f>$D$1&amp;255</f>
        <v>SD255</v>
      </c>
      <c r="B265" s="56">
        <f>IF(ISERROR(VLOOKUP(A265,classifications!A:C,3,FALSE)),0,VLOOKUP(A265,classifications!A:C,3,FALSE))</f>
        <v>0</v>
      </c>
      <c r="C265" t="s">
        <v>156</v>
      </c>
      <c r="D265" t="str">
        <f>VLOOKUP($C265,classifications!$C:$J,4,FALSE)</f>
        <v>SD</v>
      </c>
      <c r="E265" t="str">
        <f>VLOOKUP(C265,classifications!C:K,9,FALSE)</f>
        <v>Sparse</v>
      </c>
      <c r="F265">
        <f t="shared" si="91"/>
        <v>97.91</v>
      </c>
      <c r="G265" s="15"/>
      <c r="H265" s="41">
        <f t="shared" si="92"/>
        <v>97.91</v>
      </c>
      <c r="I265" s="73">
        <f>IF(H265="","",IF($I$8="A",(RANK(H265,H$11:H$333,1)+COUNTIF(H$11:H265,H265)-1),(RANK(H265,H$11:H$333)+COUNTIF(H$11:H265,H265)-1)))</f>
        <v>51</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t="e">
        <f>IF(I$8="A",(RANK(AG265,AG$11:AG$333,1)+COUNTIF(AG$11:AG265,AG265)-1),(RANK(AG265,AG$11:AG$333)+COUNTIF(AG$11:AG265,AG265)-1))</f>
        <v>#N/A</v>
      </c>
      <c r="AF265" t="str">
        <f>VLOOKUP(Profile!$J$5,Families!$C:$R,2,FALSE)</f>
        <v>North Dorset</v>
      </c>
      <c r="AG265" s="15" t="e">
        <f t="shared" si="100"/>
        <v>#N/A</v>
      </c>
      <c r="AH265" s="46" t="e">
        <f t="shared" si="112"/>
        <v>#N/A</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97.91</v>
      </c>
    </row>
    <row r="266" spans="1:50">
      <c r="A266" s="55" t="str">
        <f>$D$1&amp;256</f>
        <v>SD256</v>
      </c>
      <c r="B266" s="56">
        <f>IF(ISERROR(VLOOKUP(A266,classifications!A:C,3,FALSE)),0,VLOOKUP(A266,classifications!A:C,3,FALSE))</f>
        <v>0</v>
      </c>
      <c r="C266" t="s">
        <v>157</v>
      </c>
      <c r="D266" t="str">
        <f>VLOOKUP($C266,classifications!$C:$J,4,FALSE)</f>
        <v>SD</v>
      </c>
      <c r="E266" t="str">
        <f>VLOOKUP(C266,classifications!C:K,9,FALSE)</f>
        <v>Sparse</v>
      </c>
      <c r="F266">
        <f t="shared" si="91"/>
        <v>97.66</v>
      </c>
      <c r="G266" s="15"/>
      <c r="H266" s="41">
        <f t="shared" si="92"/>
        <v>97.66</v>
      </c>
      <c r="I266" s="73">
        <f>IF(H266="","",IF($I$8="A",(RANK(H266,H$11:H$333,1)+COUNTIF(H$11:H266,H266)-1),(RANK(H266,H$11:H$333)+COUNTIF(H$11:H266,H266)-1)))</f>
        <v>66</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t="e">
        <f>IF(I$8="A",(RANK(AG266,AG$11:AG$333,1)+COUNTIF(AG$11:AG266,AG266)-1),(RANK(AG266,AG$11:AG$333)+COUNTIF(AG$11:AG266,AG266)-1))</f>
        <v>#N/A</v>
      </c>
      <c r="AF266" t="str">
        <f>VLOOKUP(Profile!$J$5,Families!$C:$R,2,FALSE)</f>
        <v>North Dorset</v>
      </c>
      <c r="AG266" s="15" t="e">
        <f t="shared" si="100"/>
        <v>#N/A</v>
      </c>
      <c r="AH266" s="46" t="e">
        <f t="shared" si="112"/>
        <v>#N/A</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97.66</v>
      </c>
    </row>
    <row r="267" spans="1:50">
      <c r="A267" s="55" t="str">
        <f>$D$1&amp;257</f>
        <v>SD257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t="e">
        <f>IF(I$8="A",(RANK(AG267,AG$11:AG$333,1)+COUNTIF(AG$11:AG267,AG267)-1),(RANK(AG267,AG$11:AG$333)+COUNTIF(AG$11:AG267,AG267)-1))</f>
        <v>#N/A</v>
      </c>
      <c r="AF267" t="str">
        <f>VLOOKUP(Profile!$J$5,Families!$C:$R,2,FALSE)</f>
        <v>North Dorset</v>
      </c>
      <c r="AG267" s="15" t="e">
        <f t="shared" si="100"/>
        <v>#N/A</v>
      </c>
      <c r="AH267" s="46" t="e">
        <f t="shared" si="112"/>
        <v>#N/A</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SD258</v>
      </c>
      <c r="B268" s="56">
        <f>IF(ISERROR(VLOOKUP(A268,classifications!A:C,3,FALSE)),0,VLOOKUP(A268,classifications!A:C,3,FALSE))</f>
        <v>0</v>
      </c>
      <c r="C268" t="s">
        <v>250</v>
      </c>
      <c r="D268" t="str">
        <f>VLOOKUP($C268,classifications!$C:$J,4,FALSE)</f>
        <v>MD</v>
      </c>
      <c r="E268">
        <f>VLOOKUP(C268,classifications!C:K,9,FALSE)</f>
        <v>0</v>
      </c>
      <c r="F268">
        <f t="shared" si="115"/>
        <v>92.74</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t="e">
        <f>IF(I$8="A",(RANK(AG268,AG$11:AG$333,1)+COUNTIF(AG$11:AG268,AG268)-1),(RANK(AG268,AG$11:AG$333)+COUNTIF(AG$11:AG268,AG268)-1))</f>
        <v>#N/A</v>
      </c>
      <c r="AF268" t="str">
        <f>VLOOKUP(Profile!$J$5,Families!$C:$R,2,FALSE)</f>
        <v>North Dorset</v>
      </c>
      <c r="AG268" s="15" t="e">
        <f t="shared" ref="AG268:AG327" si="124">VLOOKUP(AF268,$C$11:$H$333,4,FALSE)</f>
        <v>#N/A</v>
      </c>
      <c r="AH268" s="46" t="e">
        <f t="shared" si="112"/>
        <v>#N/A</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92.74</v>
      </c>
    </row>
    <row r="269" spans="1:50">
      <c r="A269" s="55" t="str">
        <f>$D$1&amp;259</f>
        <v>SD259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t="e">
        <f>IF(I$8="A",(RANK(AG269,AG$11:AG$333,1)+COUNTIF(AG$11:AG269,AG269)-1),(RANK(AG269,AG$11:AG$333)+COUNTIF(AG$11:AG269,AG269)-1))</f>
        <v>#N/A</v>
      </c>
      <c r="AF269" t="str">
        <f>VLOOKUP(Profile!$J$5,Families!$C:$R,2,FALSE)</f>
        <v>North Dorset</v>
      </c>
      <c r="AG269" s="15" t="e">
        <f t="shared" si="124"/>
        <v>#N/A</v>
      </c>
      <c r="AH269" s="46" t="e">
        <f t="shared" si="112"/>
        <v>#N/A</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SD260</v>
      </c>
      <c r="B270" s="56">
        <f>IF(ISERROR(VLOOKUP(A270,classifications!A:C,3,FALSE)),0,VLOOKUP(A270,classifications!A:C,3,FALSE))</f>
        <v>0</v>
      </c>
      <c r="C270" t="s">
        <v>159</v>
      </c>
      <c r="D270" t="str">
        <f>VLOOKUP($C270,classifications!$C:$J,4,FALSE)</f>
        <v>SD</v>
      </c>
      <c r="E270">
        <f>VLOOKUP(C270,classifications!C:K,9,FALSE)</f>
        <v>0</v>
      </c>
      <c r="F270">
        <f t="shared" si="115"/>
        <v>99.35</v>
      </c>
      <c r="G270" s="15"/>
      <c r="H270" s="41">
        <f t="shared" si="116"/>
        <v>99.35</v>
      </c>
      <c r="I270" s="73">
        <f>IF(H270="","",IF($I$8="A",(RANK(H270,H$11:H$333,1)+COUNTIF(H$11:H270,H270)-1),(RANK(H270,H$11:H$333)+COUNTIF(H$11:H270,H270)-1)))</f>
        <v>1</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t="e">
        <f>IF(I$8="A",(RANK(AG270,AG$11:AG$333,1)+COUNTIF(AG$11:AG270,AG270)-1),(RANK(AG270,AG$11:AG$333)+COUNTIF(AG$11:AG270,AG270)-1))</f>
        <v>#N/A</v>
      </c>
      <c r="AF270" t="str">
        <f>VLOOKUP(Profile!$J$5,Families!$C:$R,2,FALSE)</f>
        <v>North Dorset</v>
      </c>
      <c r="AG270" s="15" t="e">
        <f t="shared" si="124"/>
        <v>#N/A</v>
      </c>
      <c r="AH270" s="46" t="e">
        <f t="shared" si="112"/>
        <v>#N/A</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99.35</v>
      </c>
    </row>
    <row r="271" spans="1:50">
      <c r="A271" s="55" t="str">
        <f>$D$1&amp;261</f>
        <v>SD261</v>
      </c>
      <c r="B271" s="56">
        <f>IF(ISERROR(VLOOKUP(A271,classifications!A:C,3,FALSE)),0,VLOOKUP(A271,classifications!A:C,3,FALSE))</f>
        <v>0</v>
      </c>
      <c r="C271" t="s">
        <v>218</v>
      </c>
      <c r="D271" t="str">
        <f>VLOOKUP($C271,classifications!$C:$J,4,FALSE)</f>
        <v>L</v>
      </c>
      <c r="E271">
        <f>VLOOKUP(C271,classifications!C:K,9,FALSE)</f>
        <v>0</v>
      </c>
      <c r="F271">
        <f t="shared" si="115"/>
        <v>98.29</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t="e">
        <f>IF(I$8="A",(RANK(AG271,AG$11:AG$333,1)+COUNTIF(AG$11:AG271,AG271)-1),(RANK(AG271,AG$11:AG$333)+COUNTIF(AG$11:AG271,AG271)-1))</f>
        <v>#N/A</v>
      </c>
      <c r="AF271" t="str">
        <f>VLOOKUP(Profile!$J$5,Families!$C:$R,2,FALSE)</f>
        <v>North Dorset</v>
      </c>
      <c r="AG271" s="15" t="e">
        <f t="shared" si="124"/>
        <v>#N/A</v>
      </c>
      <c r="AH271" s="46" t="e">
        <f t="shared" si="112"/>
        <v>#N/A</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98.29</v>
      </c>
    </row>
    <row r="272" spans="1:50">
      <c r="A272" s="55" t="str">
        <f>$D$1&amp;262</f>
        <v>SD262</v>
      </c>
      <c r="B272" s="56">
        <f>IF(ISERROR(VLOOKUP(A272,classifications!A:C,3,FALSE)),0,VLOOKUP(A272,classifications!A:C,3,FALSE))</f>
        <v>0</v>
      </c>
      <c r="C272" t="s">
        <v>160</v>
      </c>
      <c r="D272" t="str">
        <f>VLOOKUP($C272,classifications!$C:$J,4,FALSE)</f>
        <v>SD</v>
      </c>
      <c r="E272">
        <f>VLOOKUP(C272,classifications!C:K,9,FALSE)</f>
        <v>0</v>
      </c>
      <c r="F272">
        <f t="shared" si="115"/>
        <v>95.41</v>
      </c>
      <c r="G272" s="15"/>
      <c r="H272" s="41">
        <f t="shared" si="116"/>
        <v>95.41</v>
      </c>
      <c r="I272" s="73">
        <f>IF(H272="","",IF($I$8="A",(RANK(H272,H$11:H$333,1)+COUNTIF(H$11:H272,H272)-1),(RANK(H272,H$11:H$333)+COUNTIF(H$11:H272,H272)-1)))</f>
        <v>146</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t="e">
        <f>IF(I$8="A",(RANK(AG272,AG$11:AG$333,1)+COUNTIF(AG$11:AG272,AG272)-1),(RANK(AG272,AG$11:AG$333)+COUNTIF(AG$11:AG272,AG272)-1))</f>
        <v>#N/A</v>
      </c>
      <c r="AF272" t="str">
        <f>VLOOKUP(Profile!$J$5,Families!$C:$R,2,FALSE)</f>
        <v>North Dorset</v>
      </c>
      <c r="AG272" s="15" t="e">
        <f t="shared" si="124"/>
        <v>#N/A</v>
      </c>
      <c r="AH272" s="46" t="e">
        <f t="shared" si="112"/>
        <v>#N/A</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95.41</v>
      </c>
    </row>
    <row r="273" spans="1:50">
      <c r="A273" s="55" t="str">
        <f>$D$1&amp;263</f>
        <v>SD263</v>
      </c>
      <c r="B273" s="56">
        <f>IF(ISERROR(VLOOKUP(A273,classifications!A:C,3,FALSE)),0,VLOOKUP(A273,classifications!A:C,3,FALSE))</f>
        <v>0</v>
      </c>
      <c r="C273" t="s">
        <v>292</v>
      </c>
      <c r="D273" t="str">
        <f>VLOOKUP($C273,classifications!$C:$J,4,FALSE)</f>
        <v>UA</v>
      </c>
      <c r="E273">
        <f>VLOOKUP(C273,classifications!C:K,9,FALSE)</f>
        <v>0</v>
      </c>
      <c r="F273">
        <f t="shared" si="115"/>
        <v>95.87</v>
      </c>
      <c r="G273" s="15"/>
      <c r="H273" s="41" t="str">
        <f t="shared" si="116"/>
        <v/>
      </c>
      <c r="I273" s="73" t="str">
        <f>IF(H273="","",IF($I$8="A",(RANK(H273,H$11:H$333,1)+COUNTIF(H$11:H273,H273)-1),(RANK(H273,H$11:H$333)+COUNTIF(H$11:H273,H273)-1)))</f>
        <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t="e">
        <f>IF(I$8="A",(RANK(AG273,AG$11:AG$333,1)+COUNTIF(AG$11:AG273,AG273)-1),(RANK(AG273,AG$11:AG$333)+COUNTIF(AG$11:AG273,AG273)-1))</f>
        <v>#N/A</v>
      </c>
      <c r="AF273" t="str">
        <f>VLOOKUP(Profile!$J$5,Families!$C:$R,2,FALSE)</f>
        <v>North Dorset</v>
      </c>
      <c r="AG273" s="15" t="e">
        <f t="shared" si="124"/>
        <v>#N/A</v>
      </c>
      <c r="AH273" s="46" t="e">
        <f t="shared" si="112"/>
        <v>#N/A</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95.87</v>
      </c>
    </row>
    <row r="274" spans="1:50">
      <c r="A274" s="55" t="str">
        <f>$D$1&amp;264</f>
        <v>SD264</v>
      </c>
      <c r="B274" s="56">
        <f>IF(ISERROR(VLOOKUP(A274,classifications!A:C,3,FALSE)),0,VLOOKUP(A274,classifications!A:C,3,FALSE))</f>
        <v>0</v>
      </c>
      <c r="C274" t="s">
        <v>251</v>
      </c>
      <c r="D274" t="str">
        <f>VLOOKUP($C274,classifications!$C:$J,4,FALSE)</f>
        <v>MD</v>
      </c>
      <c r="E274">
        <f>VLOOKUP(C274,classifications!C:K,9,FALSE)</f>
        <v>0</v>
      </c>
      <c r="F274">
        <f t="shared" si="115"/>
        <v>93.11</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t="e">
        <f>IF(I$8="A",(RANK(AG274,AG$11:AG$333,1)+COUNTIF(AG$11:AG274,AG274)-1),(RANK(AG274,AG$11:AG$333)+COUNTIF(AG$11:AG274,AG274)-1))</f>
        <v>#N/A</v>
      </c>
      <c r="AF274" t="str">
        <f>VLOOKUP(Profile!$J$5,Families!$C:$R,2,FALSE)</f>
        <v>North Dorset</v>
      </c>
      <c r="AG274" s="15" t="e">
        <f t="shared" si="124"/>
        <v>#N/A</v>
      </c>
      <c r="AH274" s="46" t="e">
        <f t="shared" si="112"/>
        <v>#N/A</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93.11</v>
      </c>
    </row>
    <row r="275" spans="1:50">
      <c r="A275" s="55" t="str">
        <f>$D$1&amp;265</f>
        <v>SD265</v>
      </c>
      <c r="B275" s="56">
        <f>IF(ISERROR(VLOOKUP(A275,classifications!A:C,3,FALSE)),0,VLOOKUP(A275,classifications!A:C,3,FALSE))</f>
        <v>0</v>
      </c>
      <c r="C275" t="s">
        <v>161</v>
      </c>
      <c r="D275" t="str">
        <f>VLOOKUP($C275,classifications!$C:$J,4,FALSE)</f>
        <v>SD</v>
      </c>
      <c r="E275">
        <f>VLOOKUP(C275,classifications!C:K,9,FALSE)</f>
        <v>0</v>
      </c>
      <c r="F275">
        <f t="shared" si="115"/>
        <v>97.54</v>
      </c>
      <c r="G275" s="15"/>
      <c r="H275" s="41">
        <f t="shared" si="116"/>
        <v>97.54</v>
      </c>
      <c r="I275" s="73">
        <f>IF(H275="","",IF($I$8="A",(RANK(H275,H$11:H$333,1)+COUNTIF(H$11:H275,H275)-1),(RANK(H275,H$11:H$333)+COUNTIF(H$11:H275,H275)-1)))</f>
        <v>77</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t="e">
        <f>IF(I$8="A",(RANK(AG275,AG$11:AG$333,1)+COUNTIF(AG$11:AG275,AG275)-1),(RANK(AG275,AG$11:AG$333)+COUNTIF(AG$11:AG275,AG275)-1))</f>
        <v>#N/A</v>
      </c>
      <c r="AF275" t="str">
        <f>VLOOKUP(Profile!$J$5,Families!$C:$R,2,FALSE)</f>
        <v>North Dorset</v>
      </c>
      <c r="AG275" s="15" t="e">
        <f t="shared" si="124"/>
        <v>#N/A</v>
      </c>
      <c r="AH275" s="46" t="e">
        <f t="shared" si="112"/>
        <v>#N/A</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97.54</v>
      </c>
    </row>
    <row r="276" spans="1:50">
      <c r="A276" s="55" t="str">
        <f>$D$1&amp;266</f>
        <v>SD266</v>
      </c>
      <c r="B276" s="56">
        <f>IF(ISERROR(VLOOKUP(A276,classifications!A:C,3,FALSE)),0,VLOOKUP(A276,classifications!A:C,3,FALSE))</f>
        <v>0</v>
      </c>
      <c r="C276" t="s">
        <v>162</v>
      </c>
      <c r="D276" t="str">
        <f>VLOOKUP($C276,classifications!$C:$J,4,FALSE)</f>
        <v>SD</v>
      </c>
      <c r="E276">
        <f>VLOOKUP(C276,classifications!C:K,9,FALSE)</f>
        <v>0</v>
      </c>
      <c r="F276">
        <f t="shared" si="115"/>
        <v>97.21</v>
      </c>
      <c r="G276" s="15"/>
      <c r="H276" s="41">
        <f t="shared" si="116"/>
        <v>97.21</v>
      </c>
      <c r="I276" s="73">
        <f>IF(H276="","",IF($I$8="A",(RANK(H276,H$11:H$333,1)+COUNTIF(H$11:H276,H276)-1),(RANK(H276,H$11:H$333)+COUNTIF(H$11:H276,H276)-1)))</f>
        <v>91</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t="e">
        <f>IF(I$8="A",(RANK(AG276,AG$11:AG$333,1)+COUNTIF(AG$11:AG276,AG276)-1),(RANK(AG276,AG$11:AG$333)+COUNTIF(AG$11:AG276,AG276)-1))</f>
        <v>#N/A</v>
      </c>
      <c r="AF276" t="str">
        <f>VLOOKUP(Profile!$J$5,Families!$C:$R,2,FALSE)</f>
        <v>North Dorset</v>
      </c>
      <c r="AG276" s="15" t="e">
        <f t="shared" si="124"/>
        <v>#N/A</v>
      </c>
      <c r="AH276" s="46" t="e">
        <f t="shared" si="112"/>
        <v>#N/A</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97.21</v>
      </c>
    </row>
    <row r="277" spans="1:50">
      <c r="A277" s="55" t="str">
        <f>$D$1&amp;267</f>
        <v>SD267</v>
      </c>
      <c r="B277" s="56">
        <f>IF(ISERROR(VLOOKUP(A277,classifications!A:C,3,FALSE)),0,VLOOKUP(A277,classifications!A:C,3,FALSE))</f>
        <v>0</v>
      </c>
      <c r="C277" t="s">
        <v>164</v>
      </c>
      <c r="D277" t="str">
        <f>VLOOKUP($C277,classifications!$C:$J,4,FALSE)</f>
        <v>SD</v>
      </c>
      <c r="E277" t="str">
        <f>VLOOKUP(C277,classifications!C:K,9,FALSE)</f>
        <v>Sparse</v>
      </c>
      <c r="F277">
        <f t="shared" si="115"/>
        <v>97.69</v>
      </c>
      <c r="G277" s="15"/>
      <c r="H277" s="41">
        <f t="shared" si="116"/>
        <v>97.69</v>
      </c>
      <c r="I277" s="73">
        <f>IF(H277="","",IF($I$8="A",(RANK(H277,H$11:H$333,1)+COUNTIF(H$11:H277,H277)-1),(RANK(H277,H$11:H$333)+COUNTIF(H$11:H277,H277)-1)))</f>
        <v>65</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t="e">
        <f>IF(I$8="A",(RANK(AG277,AG$11:AG$333,1)+COUNTIF(AG$11:AG277,AG277)-1),(RANK(AG277,AG$11:AG$333)+COUNTIF(AG$11:AG277,AG277)-1))</f>
        <v>#N/A</v>
      </c>
      <c r="AF277" t="str">
        <f>VLOOKUP(Profile!$J$5,Families!$C:$R,2,FALSE)</f>
        <v>North Dorset</v>
      </c>
      <c r="AG277" s="15" t="e">
        <f t="shared" si="124"/>
        <v>#N/A</v>
      </c>
      <c r="AH277" s="46" t="e">
        <f t="shared" si="112"/>
        <v>#N/A</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97.69</v>
      </c>
    </row>
    <row r="278" spans="1:50">
      <c r="A278" s="55" t="str">
        <f>$D$1&amp;268</f>
        <v>SD268</v>
      </c>
      <c r="B278" s="56">
        <f>IF(ISERROR(VLOOKUP(A278,classifications!A:C,3,FALSE)),0,VLOOKUP(A278,classifications!A:C,3,FALSE))</f>
        <v>0</v>
      </c>
      <c r="C278" t="s">
        <v>814</v>
      </c>
      <c r="D278" t="str">
        <f>VLOOKUP($C278,classifications!$C:$J,4,FALSE)</f>
        <v>UA</v>
      </c>
      <c r="E278">
        <f>VLOOKUP(C278,classifications!C:K,9,FALSE)</f>
        <v>0</v>
      </c>
      <c r="F278">
        <f t="shared" si="115"/>
        <v>97.31</v>
      </c>
      <c r="G278" s="15"/>
      <c r="H278" s="41" t="str">
        <f t="shared" si="116"/>
        <v/>
      </c>
      <c r="I278" s="73" t="str">
        <f>IF(H278="","",IF($I$8="A",(RANK(H278,H$11:H$333,1)+COUNTIF(H$11:H278,H278)-1),(RANK(H278,H$11:H$333)+COUNTIF(H$11:H278,H278)-1)))</f>
        <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t="e">
        <f>IF(I$8="A",(RANK(AG278,AG$11:AG$333,1)+COUNTIF(AG$11:AG278,AG278)-1),(RANK(AG278,AG$11:AG$333)+COUNTIF(AG$11:AG278,AG278)-1))</f>
        <v>#N/A</v>
      </c>
      <c r="AF278" t="str">
        <f>VLOOKUP(Profile!$J$5,Families!$C:$R,2,FALSE)</f>
        <v>North Dorset</v>
      </c>
      <c r="AG278" s="15" t="e">
        <f t="shared" si="124"/>
        <v>#N/A</v>
      </c>
      <c r="AH278" s="46" t="e">
        <f t="shared" si="112"/>
        <v>#N/A</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97.31</v>
      </c>
    </row>
    <row r="279" spans="1:50">
      <c r="A279" s="55" t="str">
        <f>$D$1&amp;269</f>
        <v>SD269</v>
      </c>
      <c r="B279" s="56">
        <f>IF(ISERROR(VLOOKUP(A279,classifications!A:C,3,FALSE)),0,VLOOKUP(A279,classifications!A:C,3,FALSE))</f>
        <v>0</v>
      </c>
      <c r="C279" t="s">
        <v>165</v>
      </c>
      <c r="D279" t="str">
        <f>VLOOKUP($C279,classifications!$C:$J,4,FALSE)</f>
        <v>SD</v>
      </c>
      <c r="E279">
        <f>VLOOKUP(C279,classifications!C:K,9,FALSE)</f>
        <v>0</v>
      </c>
      <c r="F279">
        <f t="shared" si="115"/>
        <v>93.87</v>
      </c>
      <c r="G279" s="15"/>
      <c r="H279" s="41">
        <f t="shared" si="116"/>
        <v>93.87</v>
      </c>
      <c r="I279" s="73">
        <f>IF(H279="","",IF($I$8="A",(RANK(H279,H$11:H$333,1)+COUNTIF(H$11:H279,H279)-1),(RANK(H279,H$11:H$333)+COUNTIF(H$11:H279,H279)-1)))</f>
        <v>159</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t="e">
        <f>IF(I$8="A",(RANK(AG279,AG$11:AG$333,1)+COUNTIF(AG$11:AG279,AG279)-1),(RANK(AG279,AG$11:AG$333)+COUNTIF(AG$11:AG279,AG279)-1))</f>
        <v>#N/A</v>
      </c>
      <c r="AF279" t="str">
        <f>VLOOKUP(Profile!$J$5,Families!$C:$R,2,FALSE)</f>
        <v>North Dorset</v>
      </c>
      <c r="AG279" s="15" t="e">
        <f t="shared" si="124"/>
        <v>#N/A</v>
      </c>
      <c r="AH279" s="46" t="e">
        <f t="shared" si="112"/>
        <v>#N/A</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93.87</v>
      </c>
    </row>
    <row r="280" spans="1:50">
      <c r="A280" s="55" t="str">
        <f>$D$1&amp;270</f>
        <v>SD270</v>
      </c>
      <c r="B280" s="56">
        <f>IF(ISERROR(VLOOKUP(A280,classifications!A:C,3,FALSE)),0,VLOOKUP(A280,classifications!A:C,3,FALSE))</f>
        <v>0</v>
      </c>
      <c r="C280" t="s">
        <v>166</v>
      </c>
      <c r="D280" t="str">
        <f>VLOOKUP($C280,classifications!$C:$J,4,FALSE)</f>
        <v>SD</v>
      </c>
      <c r="E280">
        <f>VLOOKUP(C280,classifications!C:K,9,FALSE)</f>
        <v>0</v>
      </c>
      <c r="F280">
        <f t="shared" si="115"/>
        <v>97.92</v>
      </c>
      <c r="G280" s="15"/>
      <c r="H280" s="41">
        <f t="shared" si="116"/>
        <v>97.92</v>
      </c>
      <c r="I280" s="73">
        <f>IF(H280="","",IF($I$8="A",(RANK(H280,H$11:H$333,1)+COUNTIF(H$11:H280,H280)-1),(RANK(H280,H$11:H$333)+COUNTIF(H$11:H280,H280)-1)))</f>
        <v>49</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t="e">
        <f>IF(I$8="A",(RANK(AG280,AG$11:AG$333,1)+COUNTIF(AG$11:AG280,AG280)-1),(RANK(AG280,AG$11:AG$333)+COUNTIF(AG$11:AG280,AG280)-1))</f>
        <v>#N/A</v>
      </c>
      <c r="AF280" t="str">
        <f>VLOOKUP(Profile!$J$5,Families!$C:$R,2,FALSE)</f>
        <v>North Dorset</v>
      </c>
      <c r="AG280" s="15" t="e">
        <f t="shared" si="124"/>
        <v>#N/A</v>
      </c>
      <c r="AH280" s="46" t="e">
        <f t="shared" si="112"/>
        <v>#N/A</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97.92</v>
      </c>
    </row>
    <row r="281" spans="1:50">
      <c r="A281" s="55" t="str">
        <f>$D$1&amp;271</f>
        <v>SD271</v>
      </c>
      <c r="B281" s="56">
        <f>IF(ISERROR(VLOOKUP(A281,classifications!A:C,3,FALSE)),0,VLOOKUP(A281,classifications!A:C,3,FALSE))</f>
        <v>0</v>
      </c>
      <c r="C281" t="s">
        <v>167</v>
      </c>
      <c r="D281" t="str">
        <f>VLOOKUP($C281,classifications!$C:$J,4,FALSE)</f>
        <v>SD</v>
      </c>
      <c r="E281" t="str">
        <f>VLOOKUP(C281,classifications!C:K,9,FALSE)</f>
        <v>Sparse</v>
      </c>
      <c r="F281">
        <f t="shared" si="115"/>
        <v>97.94</v>
      </c>
      <c r="G281" s="15"/>
      <c r="H281" s="41">
        <f t="shared" si="116"/>
        <v>97.94</v>
      </c>
      <c r="I281" s="73">
        <f>IF(H281="","",IF($I$8="A",(RANK(H281,H$11:H$333,1)+COUNTIF(H$11:H281,H281)-1),(RANK(H281,H$11:H$333)+COUNTIF(H$11:H281,H281)-1)))</f>
        <v>47</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t="e">
        <f>IF(I$8="A",(RANK(AG281,AG$11:AG$333,1)+COUNTIF(AG$11:AG281,AG281)-1),(RANK(AG281,AG$11:AG$333)+COUNTIF(AG$11:AG281,AG281)-1))</f>
        <v>#N/A</v>
      </c>
      <c r="AF281" t="str">
        <f>VLOOKUP(Profile!$J$5,Families!$C:$R,2,FALSE)</f>
        <v>North Dorset</v>
      </c>
      <c r="AG281" s="15" t="e">
        <f t="shared" si="124"/>
        <v>#N/A</v>
      </c>
      <c r="AH281" s="46" t="e">
        <f t="shared" si="112"/>
        <v>#N/A</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97.94</v>
      </c>
    </row>
    <row r="282" spans="1:50">
      <c r="A282" s="55" t="str">
        <f>$D$1&amp;272</f>
        <v>SD272</v>
      </c>
      <c r="B282" s="56">
        <f>IF(ISERROR(VLOOKUP(A282,classifications!A:C,3,FALSE)),0,VLOOKUP(A282,classifications!A:C,3,FALSE))</f>
        <v>0</v>
      </c>
      <c r="C282" t="s">
        <v>168</v>
      </c>
      <c r="D282" t="str">
        <f>VLOOKUP($C282,classifications!$C:$J,4,FALSE)</f>
        <v>SD</v>
      </c>
      <c r="E282">
        <f>VLOOKUP(C282,classifications!C:K,9,FALSE)</f>
        <v>0</v>
      </c>
      <c r="F282">
        <f t="shared" si="115"/>
        <v>94.73</v>
      </c>
      <c r="G282" s="15"/>
      <c r="H282" s="41">
        <f t="shared" si="116"/>
        <v>94.73</v>
      </c>
      <c r="I282" s="73">
        <f>IF(H282="","",IF($I$8="A",(RANK(H282,H$11:H$333,1)+COUNTIF(H$11:H282,H282)-1),(RANK(H282,H$11:H$333)+COUNTIF(H$11:H282,H282)-1)))</f>
        <v>150</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t="e">
        <f>IF(I$8="A",(RANK(AG282,AG$11:AG$333,1)+COUNTIF(AG$11:AG282,AG282)-1),(RANK(AG282,AG$11:AG$333)+COUNTIF(AG$11:AG282,AG282)-1))</f>
        <v>#N/A</v>
      </c>
      <c r="AF282" t="str">
        <f>VLOOKUP(Profile!$J$5,Families!$C:$R,2,FALSE)</f>
        <v>North Dorset</v>
      </c>
      <c r="AG282" s="15" t="e">
        <f t="shared" si="124"/>
        <v>#N/A</v>
      </c>
      <c r="AH282" s="46" t="e">
        <f t="shared" si="112"/>
        <v>#N/A</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94.73</v>
      </c>
    </row>
    <row r="283" spans="1:50">
      <c r="A283" s="55" t="str">
        <f>$D$1&amp;273</f>
        <v>SD273</v>
      </c>
      <c r="B283" s="56">
        <f>IF(ISERROR(VLOOKUP(A283,classifications!A:C,3,FALSE)),0,VLOOKUP(A283,classifications!A:C,3,FALSE))</f>
        <v>0</v>
      </c>
      <c r="C283" t="s">
        <v>169</v>
      </c>
      <c r="D283" t="str">
        <f>VLOOKUP($C283,classifications!$C:$J,4,FALSE)</f>
        <v>SD</v>
      </c>
      <c r="E283">
        <f>VLOOKUP(C283,classifications!C:K,9,FALSE)</f>
        <v>0</v>
      </c>
      <c r="F283">
        <f t="shared" si="115"/>
        <v>98.57</v>
      </c>
      <c r="G283" s="15"/>
      <c r="H283" s="41">
        <f t="shared" si="116"/>
        <v>98.57</v>
      </c>
      <c r="I283" s="73">
        <f>IF(H283="","",IF($I$8="A",(RANK(H283,H$11:H$333,1)+COUNTIF(H$11:H283,H283)-1),(RANK(H283,H$11:H$333)+COUNTIF(H$11:H283,H283)-1)))</f>
        <v>13</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t="e">
        <f>IF(I$8="A",(RANK(AG283,AG$11:AG$333,1)+COUNTIF(AG$11:AG283,AG283)-1),(RANK(AG283,AG$11:AG$333)+COUNTIF(AG$11:AG283,AG283)-1))</f>
        <v>#N/A</v>
      </c>
      <c r="AF283" t="str">
        <f>VLOOKUP(Profile!$J$5,Families!$C:$R,2,FALSE)</f>
        <v>North Dorset</v>
      </c>
      <c r="AG283" s="15" t="e">
        <f t="shared" si="124"/>
        <v>#N/A</v>
      </c>
      <c r="AH283" s="46" t="e">
        <f t="shared" si="112"/>
        <v>#N/A</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98.57</v>
      </c>
    </row>
    <row r="284" spans="1:50">
      <c r="A284" s="55" t="str">
        <f>$D$1&amp;274</f>
        <v>SD274</v>
      </c>
      <c r="B284" s="56">
        <f>IF(ISERROR(VLOOKUP(A284,classifications!A:C,3,FALSE)),0,VLOOKUP(A284,classifications!A:C,3,FALSE))</f>
        <v>0</v>
      </c>
      <c r="C284" t="s">
        <v>293</v>
      </c>
      <c r="D284" t="str">
        <f>VLOOKUP($C284,classifications!$C:$J,4,FALSE)</f>
        <v>UA</v>
      </c>
      <c r="E284">
        <f>VLOOKUP(C284,classifications!C:K,9,FALSE)</f>
        <v>0</v>
      </c>
      <c r="F284">
        <f t="shared" si="115"/>
        <v>98.24</v>
      </c>
      <c r="G284" s="15"/>
      <c r="H284" s="41" t="str">
        <f t="shared" si="116"/>
        <v/>
      </c>
      <c r="I284" s="73" t="str">
        <f>IF(H284="","",IF($I$8="A",(RANK(H284,H$11:H$333,1)+COUNTIF(H$11:H284,H284)-1),(RANK(H284,H$11:H$333)+COUNTIF(H$11:H284,H284)-1)))</f>
        <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t="e">
        <f>IF(I$8="A",(RANK(AG284,AG$11:AG$333,1)+COUNTIF(AG$11:AG284,AG284)-1),(RANK(AG284,AG$11:AG$333)+COUNTIF(AG$11:AG284,AG284)-1))</f>
        <v>#N/A</v>
      </c>
      <c r="AF284" t="str">
        <f>VLOOKUP(Profile!$J$5,Families!$C:$R,2,FALSE)</f>
        <v>North Dorset</v>
      </c>
      <c r="AG284" s="15" t="e">
        <f t="shared" si="124"/>
        <v>#N/A</v>
      </c>
      <c r="AH284" s="46" t="e">
        <f t="shared" si="112"/>
        <v>#N/A</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98.24</v>
      </c>
    </row>
    <row r="285" spans="1:50">
      <c r="A285" s="55" t="str">
        <f>$D$1&amp;275</f>
        <v>SD275</v>
      </c>
      <c r="B285" s="56">
        <f>IF(ISERROR(VLOOKUP(A285,classifications!A:C,3,FALSE)),0,VLOOKUP(A285,classifications!A:C,3,FALSE))</f>
        <v>0</v>
      </c>
      <c r="C285" t="s">
        <v>349</v>
      </c>
      <c r="D285" t="str">
        <f>VLOOKUP($C285,classifications!$C:$J,4,FALSE)</f>
        <v>SD</v>
      </c>
      <c r="E285">
        <f>VLOOKUP(C285,classifications!C:K,9,FALSE)</f>
        <v>0</v>
      </c>
      <c r="F285">
        <f t="shared" si="115"/>
        <v>98.03</v>
      </c>
      <c r="G285" s="15"/>
      <c r="H285" s="41">
        <f t="shared" si="116"/>
        <v>98.03</v>
      </c>
      <c r="I285" s="73">
        <f>IF(H285="","",IF($I$8="A",(RANK(H285,H$11:H$333,1)+COUNTIF(H$11:H285,H285)-1),(RANK(H285,H$11:H$333)+COUNTIF(H$11:H285,H285)-1)))</f>
        <v>40</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t="e">
        <f>IF(I$8="A",(RANK(AG285,AG$11:AG$333,1)+COUNTIF(AG$11:AG285,AG285)-1),(RANK(AG285,AG$11:AG$333)+COUNTIF(AG$11:AG285,AG285)-1))</f>
        <v>#N/A</v>
      </c>
      <c r="AF285" t="str">
        <f>VLOOKUP(Profile!$J$5,Families!$C:$R,2,FALSE)</f>
        <v>North Dorset</v>
      </c>
      <c r="AG285" s="15" t="e">
        <f t="shared" si="124"/>
        <v>#N/A</v>
      </c>
      <c r="AH285" s="46" t="e">
        <f t="shared" si="112"/>
        <v>#N/A</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98.03</v>
      </c>
    </row>
    <row r="286" spans="1:50">
      <c r="A286" s="55" t="str">
        <f>$D$1&amp;276</f>
        <v>SD276</v>
      </c>
      <c r="B286" s="56">
        <f>IF(ISERROR(VLOOKUP(A286,classifications!A:C,3,FALSE)),0,VLOOKUP(A286,classifications!A:C,3,FALSE))</f>
        <v>0</v>
      </c>
      <c r="C286" t="s">
        <v>294</v>
      </c>
      <c r="D286" t="str">
        <f>VLOOKUP($C286,classifications!$C:$J,4,FALSE)</f>
        <v>UA</v>
      </c>
      <c r="E286">
        <f>VLOOKUP(C286,classifications!C:K,9,FALSE)</f>
        <v>0</v>
      </c>
      <c r="F286">
        <f t="shared" si="115"/>
        <v>96.13</v>
      </c>
      <c r="G286" s="15"/>
      <c r="H286" s="41" t="str">
        <f t="shared" si="116"/>
        <v/>
      </c>
      <c r="I286" s="73" t="str">
        <f>IF(H286="","",IF($I$8="A",(RANK(H286,H$11:H$333,1)+COUNTIF(H$11:H286,H286)-1),(RANK(H286,H$11:H$333)+COUNTIF(H$11:H286,H286)-1)))</f>
        <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t="e">
        <f>IF(I$8="A",(RANK(AG286,AG$11:AG$333,1)+COUNTIF(AG$11:AG286,AG286)-1),(RANK(AG286,AG$11:AG$333)+COUNTIF(AG$11:AG286,AG286)-1))</f>
        <v>#N/A</v>
      </c>
      <c r="AF286" t="str">
        <f>VLOOKUP(Profile!$J$5,Families!$C:$R,2,FALSE)</f>
        <v>North Dorset</v>
      </c>
      <c r="AG286" s="15" t="e">
        <f t="shared" si="124"/>
        <v>#N/A</v>
      </c>
      <c r="AH286" s="46" t="e">
        <f t="shared" si="112"/>
        <v>#N/A</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96.13</v>
      </c>
    </row>
    <row r="287" spans="1:50">
      <c r="A287" s="55" t="str">
        <f>$D$1&amp;277</f>
        <v>SD277</v>
      </c>
      <c r="B287" s="56">
        <f>IF(ISERROR(VLOOKUP(A287,classifications!A:C,3,FALSE)),0,VLOOKUP(A287,classifications!A:C,3,FALSE))</f>
        <v>0</v>
      </c>
      <c r="C287" t="s">
        <v>170</v>
      </c>
      <c r="D287" t="str">
        <f>VLOOKUP($C287,classifications!$C:$J,4,FALSE)</f>
        <v>SD</v>
      </c>
      <c r="E287" t="str">
        <f>VLOOKUP(C287,classifications!C:K,9,FALSE)</f>
        <v>Sparse</v>
      </c>
      <c r="F287">
        <f t="shared" si="115"/>
        <v>97.06</v>
      </c>
      <c r="G287" s="15"/>
      <c r="H287" s="41">
        <f t="shared" si="116"/>
        <v>97.06</v>
      </c>
      <c r="I287" s="73">
        <f>IF(H287="","",IF($I$8="A",(RANK(H287,H$11:H$333,1)+COUNTIF(H$11:H287,H287)-1),(RANK(H287,H$11:H$333)+COUNTIF(H$11:H287,H287)-1)))</f>
        <v>98</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t="e">
        <f>IF(I$8="A",(RANK(AG287,AG$11:AG$333,1)+COUNTIF(AG$11:AG287,AG287)-1),(RANK(AG287,AG$11:AG$333)+COUNTIF(AG$11:AG287,AG287)-1))</f>
        <v>#N/A</v>
      </c>
      <c r="AF287" t="str">
        <f>VLOOKUP(Profile!$J$5,Families!$C:$R,2,FALSE)</f>
        <v>North Dorset</v>
      </c>
      <c r="AG287" s="15" t="e">
        <f t="shared" si="124"/>
        <v>#N/A</v>
      </c>
      <c r="AH287" s="46" t="e">
        <f t="shared" si="112"/>
        <v>#N/A</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97.06</v>
      </c>
    </row>
    <row r="288" spans="1:50">
      <c r="A288" s="55" t="str">
        <f>$D$1&amp;278</f>
        <v>SD278</v>
      </c>
      <c r="B288" s="56">
        <f>IF(ISERROR(VLOOKUP(A288,classifications!A:C,3,FALSE)),0,VLOOKUP(A288,classifications!A:C,3,FALSE))</f>
        <v>0</v>
      </c>
      <c r="C288" t="s">
        <v>219</v>
      </c>
      <c r="D288" t="str">
        <f>VLOOKUP($C288,classifications!$C:$J,4,FALSE)</f>
        <v>L</v>
      </c>
      <c r="E288">
        <f>VLOOKUP(C288,classifications!C:K,9,FALSE)</f>
        <v>0</v>
      </c>
      <c r="F288">
        <f t="shared" si="115"/>
        <v>92.1</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t="e">
        <f>IF(I$8="A",(RANK(AG288,AG$11:AG$333,1)+COUNTIF(AG$11:AG288,AG288)-1),(RANK(AG288,AG$11:AG$333)+COUNTIF(AG$11:AG288,AG288)-1))</f>
        <v>#N/A</v>
      </c>
      <c r="AF288" t="str">
        <f>VLOOKUP(Profile!$J$5,Families!$C:$R,2,FALSE)</f>
        <v>North Dorset</v>
      </c>
      <c r="AG288" s="15" t="e">
        <f t="shared" si="124"/>
        <v>#N/A</v>
      </c>
      <c r="AH288" s="46" t="e">
        <f t="shared" si="112"/>
        <v>#N/A</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92.1</v>
      </c>
    </row>
    <row r="289" spans="1:50">
      <c r="A289" s="55" t="str">
        <f>$D$1&amp;279</f>
        <v>SD279</v>
      </c>
      <c r="B289" s="56">
        <f>IF(ISERROR(VLOOKUP(A289,classifications!A:C,3,FALSE)),0,VLOOKUP(A289,classifications!A:C,3,FALSE))</f>
        <v>0</v>
      </c>
      <c r="C289" t="s">
        <v>252</v>
      </c>
      <c r="D289" t="str">
        <f>VLOOKUP($C289,classifications!$C:$J,4,FALSE)</f>
        <v>MD</v>
      </c>
      <c r="E289">
        <f>VLOOKUP(C289,classifications!C:K,9,FALSE)</f>
        <v>0</v>
      </c>
      <c r="F289">
        <f t="shared" si="115"/>
        <v>97.37</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t="e">
        <f>IF(I$8="A",(RANK(AG289,AG$11:AG$333,1)+COUNTIF(AG$11:AG289,AG289)-1),(RANK(AG289,AG$11:AG$333)+COUNTIF(AG$11:AG289,AG289)-1))</f>
        <v>#N/A</v>
      </c>
      <c r="AF289" t="str">
        <f>VLOOKUP(Profile!$J$5,Families!$C:$R,2,FALSE)</f>
        <v>North Dorset</v>
      </c>
      <c r="AG289" s="15" t="e">
        <f t="shared" si="124"/>
        <v>#N/A</v>
      </c>
      <c r="AH289" s="46" t="e">
        <f t="shared" si="112"/>
        <v>#N/A</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97.37</v>
      </c>
    </row>
    <row r="290" spans="1:50">
      <c r="A290" s="55" t="str">
        <f>$D$1&amp;280</f>
        <v>SD280</v>
      </c>
      <c r="B290" s="56">
        <f>IF(ISERROR(VLOOKUP(A290,classifications!A:C,3,FALSE)),0,VLOOKUP(A290,classifications!A:C,3,FALSE))</f>
        <v>0</v>
      </c>
      <c r="C290" t="s">
        <v>171</v>
      </c>
      <c r="D290" t="str">
        <f>VLOOKUP($C290,classifications!$C:$J,4,FALSE)</f>
        <v>SD</v>
      </c>
      <c r="E290">
        <f>VLOOKUP(C290,classifications!C:K,9,FALSE)</f>
        <v>0</v>
      </c>
      <c r="F290">
        <f t="shared" si="115"/>
        <v>97.53</v>
      </c>
      <c r="G290" s="15"/>
      <c r="H290" s="41">
        <f t="shared" si="116"/>
        <v>97.53</v>
      </c>
      <c r="I290" s="73">
        <f>IF(H290="","",IF($I$8="A",(RANK(H290,H$11:H$333,1)+COUNTIF(H$11:H290,H290)-1),(RANK(H290,H$11:H$333)+COUNTIF(H$11:H290,H290)-1)))</f>
        <v>78</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t="e">
        <f>IF(I$8="A",(RANK(AG290,AG$11:AG$333,1)+COUNTIF(AG$11:AG290,AG290)-1),(RANK(AG290,AG$11:AG$333)+COUNTIF(AG$11:AG290,AG290)-1))</f>
        <v>#N/A</v>
      </c>
      <c r="AF290" t="str">
        <f>VLOOKUP(Profile!$J$5,Families!$C:$R,2,FALSE)</f>
        <v>North Dorset</v>
      </c>
      <c r="AG290" s="15" t="e">
        <f t="shared" si="124"/>
        <v>#N/A</v>
      </c>
      <c r="AH290" s="46" t="e">
        <f t="shared" si="112"/>
        <v>#N/A</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97.53</v>
      </c>
    </row>
    <row r="291" spans="1:50">
      <c r="A291" s="55" t="str">
        <f>$D$1&amp;281</f>
        <v>SD281</v>
      </c>
      <c r="B291" s="56">
        <f>IF(ISERROR(VLOOKUP(A291,classifications!A:C,3,FALSE)),0,VLOOKUP(A291,classifications!A:C,3,FALSE))</f>
        <v>0</v>
      </c>
      <c r="C291" t="s">
        <v>172</v>
      </c>
      <c r="D291" t="str">
        <f>VLOOKUP($C291,classifications!$C:$J,4,FALSE)</f>
        <v>SD</v>
      </c>
      <c r="E291" t="str">
        <f>VLOOKUP(C291,classifications!C:K,9,FALSE)</f>
        <v>Sparse</v>
      </c>
      <c r="F291">
        <f t="shared" si="115"/>
        <v>98.47</v>
      </c>
      <c r="G291" s="15"/>
      <c r="H291" s="41">
        <f t="shared" si="116"/>
        <v>98.47</v>
      </c>
      <c r="I291" s="73">
        <f>IF(H291="","",IF($I$8="A",(RANK(H291,H$11:H$333,1)+COUNTIF(H$11:H291,H291)-1),(RANK(H291,H$11:H$333)+COUNTIF(H$11:H291,H291)-1)))</f>
        <v>18</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t="e">
        <f>IF(I$8="A",(RANK(AG291,AG$11:AG$333,1)+COUNTIF(AG$11:AG291,AG291)-1),(RANK(AG291,AG$11:AG$333)+COUNTIF(AG$11:AG291,AG291)-1))</f>
        <v>#N/A</v>
      </c>
      <c r="AF291" t="str">
        <f>VLOOKUP(Profile!$J$5,Families!$C:$R,2,FALSE)</f>
        <v>North Dorset</v>
      </c>
      <c r="AG291" s="15" t="e">
        <f t="shared" si="124"/>
        <v>#N/A</v>
      </c>
      <c r="AH291" s="46" t="e">
        <f t="shared" si="112"/>
        <v>#N/A</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98.47</v>
      </c>
    </row>
    <row r="292" spans="1:50">
      <c r="A292" s="55" t="str">
        <f>$D$1&amp;282</f>
        <v>SD282</v>
      </c>
      <c r="B292" s="56">
        <f>IF(ISERROR(VLOOKUP(A292,classifications!A:C,3,FALSE)),0,VLOOKUP(A292,classifications!A:C,3,FALSE))</f>
        <v>0</v>
      </c>
      <c r="C292" t="s">
        <v>173</v>
      </c>
      <c r="D292" t="str">
        <f>VLOOKUP($C292,classifications!$C:$J,4,FALSE)</f>
        <v>SD</v>
      </c>
      <c r="E292" t="str">
        <f>VLOOKUP(C292,classifications!C:K,9,FALSE)</f>
        <v>Sparse</v>
      </c>
      <c r="F292">
        <f t="shared" si="115"/>
        <v>97.95</v>
      </c>
      <c r="G292" s="15"/>
      <c r="H292" s="41">
        <f t="shared" si="116"/>
        <v>97.95</v>
      </c>
      <c r="I292" s="73">
        <f>IF(H292="","",IF($I$8="A",(RANK(H292,H$11:H$333,1)+COUNTIF(H$11:H292,H292)-1),(RANK(H292,H$11:H$333)+COUNTIF(H$11:H292,H292)-1)))</f>
        <v>44</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t="e">
        <f>IF(I$8="A",(RANK(AG292,AG$11:AG$333,1)+COUNTIF(AG$11:AG292,AG292)-1),(RANK(AG292,AG$11:AG$333)+COUNTIF(AG$11:AG292,AG292)-1))</f>
        <v>#N/A</v>
      </c>
      <c r="AF292" t="str">
        <f>VLOOKUP(Profile!$J$5,Families!$C:$R,2,FALSE)</f>
        <v>North Dorset</v>
      </c>
      <c r="AG292" s="15" t="e">
        <f t="shared" si="124"/>
        <v>#N/A</v>
      </c>
      <c r="AH292" s="46" t="e">
        <f t="shared" si="112"/>
        <v>#N/A</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97.95</v>
      </c>
    </row>
    <row r="293" spans="1:50">
      <c r="A293" s="55" t="str">
        <f>$D$1&amp;283</f>
        <v>SD283</v>
      </c>
      <c r="B293" s="56">
        <f>IF(ISERROR(VLOOKUP(A293,classifications!A:C,3,FALSE)),0,VLOOKUP(A293,classifications!A:C,3,FALSE))</f>
        <v>0</v>
      </c>
      <c r="C293" t="s">
        <v>253</v>
      </c>
      <c r="D293" t="str">
        <f>VLOOKUP($C293,classifications!$C:$J,4,FALSE)</f>
        <v>MD</v>
      </c>
      <c r="E293">
        <f>VLOOKUP(C293,classifications!C:K,9,FALSE)</f>
        <v>0</v>
      </c>
      <c r="F293">
        <f t="shared" si="115"/>
        <v>94.97</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t="e">
        <f>IF(I$8="A",(RANK(AG293,AG$11:AG$333,1)+COUNTIF(AG$11:AG293,AG293)-1),(RANK(AG293,AG$11:AG$333)+COUNTIF(AG$11:AG293,AG293)-1))</f>
        <v>#N/A</v>
      </c>
      <c r="AF293" t="str">
        <f>VLOOKUP(Profile!$J$5,Families!$C:$R,2,FALSE)</f>
        <v>North Dorset</v>
      </c>
      <c r="AG293" s="15" t="e">
        <f t="shared" si="124"/>
        <v>#N/A</v>
      </c>
      <c r="AH293" s="46" t="e">
        <f t="shared" si="112"/>
        <v>#N/A</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94.97</v>
      </c>
    </row>
    <row r="294" spans="1:50">
      <c r="A294" s="55" t="str">
        <f>$D$1&amp;284</f>
        <v>SD284</v>
      </c>
      <c r="B294" s="56">
        <f>IF(ISERROR(VLOOKUP(A294,classifications!A:C,3,FALSE)),0,VLOOKUP(A294,classifications!A:C,3,FALSE))</f>
        <v>0</v>
      </c>
      <c r="C294" t="s">
        <v>254</v>
      </c>
      <c r="D294" t="str">
        <f>VLOOKUP($C294,classifications!$C:$J,4,FALSE)</f>
        <v>MD</v>
      </c>
      <c r="E294">
        <f>VLOOKUP(C294,classifications!C:K,9,FALSE)</f>
        <v>0</v>
      </c>
      <c r="F294">
        <f t="shared" si="115"/>
        <v>92.28</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t="e">
        <f>IF(I$8="A",(RANK(AG294,AG$11:AG$333,1)+COUNTIF(AG$11:AG294,AG294)-1),(RANK(AG294,AG$11:AG$333)+COUNTIF(AG$11:AG294,AG294)-1))</f>
        <v>#N/A</v>
      </c>
      <c r="AF294" t="str">
        <f>VLOOKUP(Profile!$J$5,Families!$C:$R,2,FALSE)</f>
        <v>North Dorset</v>
      </c>
      <c r="AG294" s="15" t="e">
        <f t="shared" si="124"/>
        <v>#N/A</v>
      </c>
      <c r="AH294" s="46" t="e">
        <f t="shared" si="112"/>
        <v>#N/A</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92.28</v>
      </c>
    </row>
    <row r="295" spans="1:50">
      <c r="A295" s="55" t="str">
        <f>$D$1&amp;285</f>
        <v>SD285</v>
      </c>
      <c r="B295" s="56">
        <f>IF(ISERROR(VLOOKUP(A295,classifications!A:C,3,FALSE)),0,VLOOKUP(A295,classifications!A:C,3,FALSE))</f>
        <v>0</v>
      </c>
      <c r="C295" t="s">
        <v>220</v>
      </c>
      <c r="D295" t="str">
        <f>VLOOKUP($C295,classifications!$C:$J,4,FALSE)</f>
        <v>L</v>
      </c>
      <c r="E295">
        <f>VLOOKUP(C295,classifications!C:K,9,FALSE)</f>
        <v>0</v>
      </c>
      <c r="F295">
        <f t="shared" si="115"/>
        <v>95.15</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t="e">
        <f>IF(I$8="A",(RANK(AG295,AG$11:AG$333,1)+COUNTIF(AG$11:AG295,AG295)-1),(RANK(AG295,AG$11:AG$333)+COUNTIF(AG$11:AG295,AG295)-1))</f>
        <v>#N/A</v>
      </c>
      <c r="AF295" t="str">
        <f>VLOOKUP(Profile!$J$5,Families!$C:$R,2,FALSE)</f>
        <v>North Dorset</v>
      </c>
      <c r="AG295" s="15" t="e">
        <f t="shared" si="124"/>
        <v>#N/A</v>
      </c>
      <c r="AH295" s="46" t="e">
        <f t="shared" si="112"/>
        <v>#N/A</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95.15</v>
      </c>
    </row>
    <row r="296" spans="1:50">
      <c r="A296" s="55" t="str">
        <f>$D$1&amp;286</f>
        <v>SD286</v>
      </c>
      <c r="B296" s="56">
        <f>IF(ISERROR(VLOOKUP(A296,classifications!A:C,3,FALSE)),0,VLOOKUP(A296,classifications!A:C,3,FALSE))</f>
        <v>0</v>
      </c>
      <c r="C296" t="s">
        <v>221</v>
      </c>
      <c r="D296" t="str">
        <f>VLOOKUP($C296,classifications!$C:$J,4,FALSE)</f>
        <v>L</v>
      </c>
      <c r="E296">
        <f>VLOOKUP(C296,classifications!C:K,9,FALSE)</f>
        <v>0</v>
      </c>
      <c r="F296">
        <f t="shared" si="115"/>
        <v>97.69</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t="e">
        <f>IF(I$8="A",(RANK(AG296,AG$11:AG$333,1)+COUNTIF(AG$11:AG296,AG296)-1),(RANK(AG296,AG$11:AG$333)+COUNTIF(AG$11:AG296,AG296)-1))</f>
        <v>#N/A</v>
      </c>
      <c r="AF296" t="str">
        <f>VLOOKUP(Profile!$J$5,Families!$C:$R,2,FALSE)</f>
        <v>North Dorset</v>
      </c>
      <c r="AG296" s="15" t="e">
        <f t="shared" si="124"/>
        <v>#N/A</v>
      </c>
      <c r="AH296" s="46" t="e">
        <f t="shared" si="112"/>
        <v>#N/A</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97.69</v>
      </c>
    </row>
    <row r="297" spans="1:50">
      <c r="A297" s="55" t="str">
        <f>$D$1&amp;287</f>
        <v>SD287</v>
      </c>
      <c r="B297" s="56">
        <f>IF(ISERROR(VLOOKUP(A297,classifications!A:C,3,FALSE)),0,VLOOKUP(A297,classifications!A:C,3,FALSE))</f>
        <v>0</v>
      </c>
      <c r="C297" t="s">
        <v>295</v>
      </c>
      <c r="D297" t="str">
        <f>VLOOKUP($C297,classifications!$C:$J,4,FALSE)</f>
        <v>UA</v>
      </c>
      <c r="E297">
        <f>VLOOKUP(C297,classifications!C:K,9,FALSE)</f>
        <v>0</v>
      </c>
      <c r="F297">
        <f t="shared" si="115"/>
        <v>96.37</v>
      </c>
      <c r="G297" s="15"/>
      <c r="H297" s="41" t="str">
        <f t="shared" si="116"/>
        <v/>
      </c>
      <c r="I297" s="73" t="str">
        <f>IF(H297="","",IF($I$8="A",(RANK(H297,H$11:H$333,1)+COUNTIF(H$11:H297,H297)-1),(RANK(H297,H$11:H$333)+COUNTIF(H$11:H297,H297)-1)))</f>
        <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t="e">
        <f>IF(I$8="A",(RANK(AG297,AG$11:AG$333,1)+COUNTIF(AG$11:AG297,AG297)-1),(RANK(AG297,AG$11:AG$333)+COUNTIF(AG$11:AG297,AG297)-1))</f>
        <v>#N/A</v>
      </c>
      <c r="AF297" t="str">
        <f>VLOOKUP(Profile!$J$5,Families!$C:$R,2,FALSE)</f>
        <v>North Dorset</v>
      </c>
      <c r="AG297" s="15" t="e">
        <f t="shared" si="124"/>
        <v>#N/A</v>
      </c>
      <c r="AH297" s="46" t="e">
        <f t="shared" si="112"/>
        <v>#N/A</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96.37</v>
      </c>
    </row>
    <row r="298" spans="1:50">
      <c r="A298" s="55" t="str">
        <f>$D$1&amp;288</f>
        <v>SD288</v>
      </c>
      <c r="B298" s="56">
        <f>IF(ISERROR(VLOOKUP(A298,classifications!A:C,3,FALSE)),0,VLOOKUP(A298,classifications!A:C,3,FALSE))</f>
        <v>0</v>
      </c>
      <c r="C298" t="s">
        <v>174</v>
      </c>
      <c r="D298" t="str">
        <f>VLOOKUP($C298,classifications!$C:$J,4,FALSE)</f>
        <v>SD</v>
      </c>
      <c r="E298">
        <f>VLOOKUP(C298,classifications!C:K,9,FALSE)</f>
        <v>0</v>
      </c>
      <c r="F298">
        <f t="shared" si="115"/>
        <v>98.14</v>
      </c>
      <c r="G298" s="15"/>
      <c r="H298" s="41">
        <f t="shared" si="116"/>
        <v>98.14</v>
      </c>
      <c r="I298" s="73">
        <f>IF(H298="","",IF($I$8="A",(RANK(H298,H$11:H$333,1)+COUNTIF(H$11:H298,H298)-1),(RANK(H298,H$11:H$333)+COUNTIF(H$11:H298,H298)-1)))</f>
        <v>32</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t="e">
        <f>IF(I$8="A",(RANK(AG298,AG$11:AG$333,1)+COUNTIF(AG$11:AG298,AG298)-1),(RANK(AG298,AG$11:AG$333)+COUNTIF(AG$11:AG298,AG298)-1))</f>
        <v>#N/A</v>
      </c>
      <c r="AF298" t="str">
        <f>VLOOKUP(Profile!$J$5,Families!$C:$R,2,FALSE)</f>
        <v>North Dorset</v>
      </c>
      <c r="AG298" s="15" t="e">
        <f t="shared" si="124"/>
        <v>#N/A</v>
      </c>
      <c r="AH298" s="46" t="e">
        <f t="shared" si="112"/>
        <v>#N/A</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98.14</v>
      </c>
    </row>
    <row r="299" spans="1:50">
      <c r="A299" s="55" t="str">
        <f>$D$1&amp;289</f>
        <v>SD289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t="e">
        <f>IF(I$8="A",(RANK(AG299,AG$11:AG$333,1)+COUNTIF(AG$11:AG299,AG299)-1),(RANK(AG299,AG$11:AG$333)+COUNTIF(AG$11:AG299,AG299)-1))</f>
        <v>#N/A</v>
      </c>
      <c r="AF299" t="str">
        <f>VLOOKUP(Profile!$J$5,Families!$C:$R,2,FALSE)</f>
        <v>North Dorset</v>
      </c>
      <c r="AG299" s="15" t="e">
        <f t="shared" si="124"/>
        <v>#N/A</v>
      </c>
      <c r="AH299" s="46" t="e">
        <f t="shared" si="112"/>
        <v>#N/A</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SD290</v>
      </c>
      <c r="B300" s="56">
        <f>IF(ISERROR(VLOOKUP(A300,classifications!A:C,3,FALSE)),0,VLOOKUP(A300,classifications!A:C,3,FALSE))</f>
        <v>0</v>
      </c>
      <c r="C300" t="s">
        <v>175</v>
      </c>
      <c r="D300" t="str">
        <f>VLOOKUP($C300,classifications!$C:$J,4,FALSE)</f>
        <v>SD</v>
      </c>
      <c r="E300">
        <f>VLOOKUP(C300,classifications!C:K,9,FALSE)</f>
        <v>0</v>
      </c>
      <c r="F300">
        <f t="shared" si="115"/>
        <v>96.39</v>
      </c>
      <c r="G300" s="15"/>
      <c r="H300" s="41">
        <f t="shared" si="116"/>
        <v>96.39</v>
      </c>
      <c r="I300" s="73">
        <f>IF(H300="","",IF($I$8="A",(RANK(H300,H$11:H$333,1)+COUNTIF(H$11:H300,H300)-1),(RANK(H300,H$11:H$333)+COUNTIF(H$11:H300,H300)-1)))</f>
        <v>125</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t="e">
        <f>IF(I$8="A",(RANK(AG300,AG$11:AG$333,1)+COUNTIF(AG$11:AG300,AG300)-1),(RANK(AG300,AG$11:AG$333)+COUNTIF(AG$11:AG300,AG300)-1))</f>
        <v>#N/A</v>
      </c>
      <c r="AF300" t="str">
        <f>VLOOKUP(Profile!$J$5,Families!$C:$R,2,FALSE)</f>
        <v>North Dorset</v>
      </c>
      <c r="AG300" s="15" t="e">
        <f t="shared" si="124"/>
        <v>#N/A</v>
      </c>
      <c r="AH300" s="46" t="e">
        <f t="shared" si="112"/>
        <v>#N/A</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96.39</v>
      </c>
    </row>
    <row r="301" spans="1:50">
      <c r="A301" s="55" t="str">
        <f>$D$1&amp;291</f>
        <v>SD291</v>
      </c>
      <c r="B301" s="56">
        <f>IF(ISERROR(VLOOKUP(A301,classifications!A:C,3,FALSE)),0,VLOOKUP(A301,classifications!A:C,3,FALSE))</f>
        <v>0</v>
      </c>
      <c r="C301" t="s">
        <v>177</v>
      </c>
      <c r="D301" t="str">
        <f>VLOOKUP($C301,classifications!$C:$J,4,FALSE)</f>
        <v>SD</v>
      </c>
      <c r="E301">
        <f>VLOOKUP(C301,classifications!C:K,9,FALSE)</f>
        <v>0</v>
      </c>
      <c r="F301">
        <f t="shared" si="115"/>
        <v>97.81</v>
      </c>
      <c r="G301" s="15"/>
      <c r="H301" s="41">
        <f t="shared" si="116"/>
        <v>97.81</v>
      </c>
      <c r="I301" s="73">
        <f>IF(H301="","",IF($I$8="A",(RANK(H301,H$11:H$333,1)+COUNTIF(H$11:H301,H301)-1),(RANK(H301,H$11:H$333)+COUNTIF(H$11:H301,H301)-1)))</f>
        <v>59</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t="e">
        <f>IF(I$8="A",(RANK(AG301,AG$11:AG$333,1)+COUNTIF(AG$11:AG301,AG301)-1),(RANK(AG301,AG$11:AG$333)+COUNTIF(AG$11:AG301,AG301)-1))</f>
        <v>#N/A</v>
      </c>
      <c r="AF301" t="str">
        <f>VLOOKUP(Profile!$J$5,Families!$C:$R,2,FALSE)</f>
        <v>North Dorset</v>
      </c>
      <c r="AG301" s="15" t="e">
        <f t="shared" si="124"/>
        <v>#N/A</v>
      </c>
      <c r="AH301" s="46" t="e">
        <f t="shared" si="112"/>
        <v>#N/A</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97.81</v>
      </c>
    </row>
    <row r="302" spans="1:50">
      <c r="A302" s="55" t="str">
        <f>$D$1&amp;292</f>
        <v>SD292</v>
      </c>
      <c r="B302" s="56">
        <f>IF(ISERROR(VLOOKUP(A302,classifications!A:C,3,FALSE)),0,VLOOKUP(A302,classifications!A:C,3,FALSE))</f>
        <v>0</v>
      </c>
      <c r="C302" t="s">
        <v>178</v>
      </c>
      <c r="D302" t="str">
        <f>VLOOKUP($C302,classifications!$C:$J,4,FALSE)</f>
        <v>SD</v>
      </c>
      <c r="E302" t="str">
        <f>VLOOKUP(C302,classifications!C:K,9,FALSE)</f>
        <v>Sparse</v>
      </c>
      <c r="F302">
        <f t="shared" si="115"/>
        <v>97.62</v>
      </c>
      <c r="G302" s="15"/>
      <c r="H302" s="41">
        <f t="shared" si="116"/>
        <v>97.62</v>
      </c>
      <c r="I302" s="73">
        <f>IF(H302="","",IF($I$8="A",(RANK(H302,H$11:H$333,1)+COUNTIF(H$11:H302,H302)-1),(RANK(H302,H$11:H$333)+COUNTIF(H$11:H302,H302)-1)))</f>
        <v>71</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t="e">
        <f>IF(I$8="A",(RANK(AG302,AG$11:AG$333,1)+COUNTIF(AG$11:AG302,AG302)-1),(RANK(AG302,AG$11:AG$333)+COUNTIF(AG$11:AG302,AG302)-1))</f>
        <v>#N/A</v>
      </c>
      <c r="AF302" t="str">
        <f>VLOOKUP(Profile!$J$5,Families!$C:$R,2,FALSE)</f>
        <v>North Dorset</v>
      </c>
      <c r="AG302" s="15" t="e">
        <f t="shared" si="124"/>
        <v>#N/A</v>
      </c>
      <c r="AH302" s="46" t="e">
        <f t="shared" si="112"/>
        <v>#N/A</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97.62</v>
      </c>
    </row>
    <row r="303" spans="1:50">
      <c r="A303" s="55" t="str">
        <f>$D$1&amp;293</f>
        <v>SD293</v>
      </c>
      <c r="B303" s="56">
        <f>IF(ISERROR(VLOOKUP(A303,classifications!A:C,3,FALSE)),0,VLOOKUP(A303,classifications!A:C,3,FALSE))</f>
        <v>0</v>
      </c>
      <c r="C303" t="s">
        <v>180</v>
      </c>
      <c r="D303" t="str">
        <f>VLOOKUP($C303,classifications!$C:$J,4,FALSE)</f>
        <v>SD</v>
      </c>
      <c r="E303">
        <f>VLOOKUP(C303,classifications!C:K,9,FALSE)</f>
        <v>0</v>
      </c>
      <c r="F303">
        <f t="shared" si="115"/>
        <v>97.24</v>
      </c>
      <c r="G303" s="15"/>
      <c r="H303" s="41">
        <f t="shared" si="116"/>
        <v>97.24</v>
      </c>
      <c r="I303" s="73">
        <f>IF(H303="","",IF($I$8="A",(RANK(H303,H$11:H$333,1)+COUNTIF(H$11:H303,H303)-1),(RANK(H303,H$11:H$333)+COUNTIF(H$11:H303,H303)-1)))</f>
        <v>87</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t="e">
        <f>IF(I$8="A",(RANK(AG303,AG$11:AG$333,1)+COUNTIF(AG$11:AG303,AG303)-1),(RANK(AG303,AG$11:AG$333)+COUNTIF(AG$11:AG303,AG303)-1))</f>
        <v>#N/A</v>
      </c>
      <c r="AF303" t="str">
        <f>VLOOKUP(Profile!$J$5,Families!$C:$R,2,FALSE)</f>
        <v>North Dorset</v>
      </c>
      <c r="AG303" s="15" t="e">
        <f t="shared" si="124"/>
        <v>#N/A</v>
      </c>
      <c r="AH303" s="46" t="e">
        <f t="shared" si="112"/>
        <v>#N/A</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97.24</v>
      </c>
    </row>
    <row r="304" spans="1:50">
      <c r="A304" s="55" t="str">
        <f>$D$1&amp;294</f>
        <v>SD294</v>
      </c>
      <c r="B304" s="56">
        <f>IF(ISERROR(VLOOKUP(A304,classifications!A:C,3,FALSE)),0,VLOOKUP(A304,classifications!A:C,3,FALSE))</f>
        <v>0</v>
      </c>
      <c r="C304" t="s">
        <v>296</v>
      </c>
      <c r="D304" t="str">
        <f>VLOOKUP($C304,classifications!$C:$J,4,FALSE)</f>
        <v>UA</v>
      </c>
      <c r="E304">
        <f>VLOOKUP(C304,classifications!C:K,9,FALSE)</f>
        <v>0</v>
      </c>
      <c r="F304">
        <f t="shared" si="115"/>
        <v>97.49</v>
      </c>
      <c r="G304" s="15"/>
      <c r="H304" s="41" t="str">
        <f t="shared" si="116"/>
        <v/>
      </c>
      <c r="I304" s="73" t="str">
        <f>IF(H304="","",IF($I$8="A",(RANK(H304,H$11:H$333,1)+COUNTIF(H$11:H304,H304)-1),(RANK(H304,H$11:H$333)+COUNTIF(H$11:H304,H304)-1)))</f>
        <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t="e">
        <f>IF(I$8="A",(RANK(AG304,AG$11:AG$333,1)+COUNTIF(AG$11:AG304,AG304)-1),(RANK(AG304,AG$11:AG$333)+COUNTIF(AG$11:AG304,AG304)-1))</f>
        <v>#N/A</v>
      </c>
      <c r="AF304" t="str">
        <f>VLOOKUP(Profile!$J$5,Families!$C:$R,2,FALSE)</f>
        <v>North Dorset</v>
      </c>
      <c r="AG304" s="15" t="e">
        <f t="shared" si="124"/>
        <v>#N/A</v>
      </c>
      <c r="AH304" s="46" t="e">
        <f t="shared" si="112"/>
        <v>#N/A</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97.49</v>
      </c>
    </row>
    <row r="305" spans="1:50">
      <c r="A305" s="55" t="str">
        <f>$D$1&amp;295</f>
        <v>SD295</v>
      </c>
      <c r="B305" s="56">
        <f>IF(ISERROR(VLOOKUP(A305,classifications!A:C,3,FALSE)),0,VLOOKUP(A305,classifications!A:C,3,FALSE))</f>
        <v>0</v>
      </c>
      <c r="C305" t="s">
        <v>181</v>
      </c>
      <c r="D305" t="str">
        <f>VLOOKUP($C305,classifications!$C:$J,4,FALSE)</f>
        <v>SD</v>
      </c>
      <c r="E305" t="str">
        <f>VLOOKUP(C305,classifications!C:K,9,FALSE)</f>
        <v>Sparse</v>
      </c>
      <c r="F305">
        <f t="shared" si="115"/>
        <v>98.3</v>
      </c>
      <c r="G305" s="15"/>
      <c r="H305" s="41">
        <f t="shared" si="116"/>
        <v>98.3</v>
      </c>
      <c r="I305" s="73">
        <f>IF(H305="","",IF($I$8="A",(RANK(H305,H$11:H$333,1)+COUNTIF(H$11:H305,H305)-1),(RANK(H305,H$11:H$333)+COUNTIF(H$11:H305,H305)-1)))</f>
        <v>29</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t="e">
        <f>IF(I$8="A",(RANK(AG305,AG$11:AG$333,1)+COUNTIF(AG$11:AG305,AG305)-1),(RANK(AG305,AG$11:AG$333)+COUNTIF(AG$11:AG305,AG305)-1))</f>
        <v>#N/A</v>
      </c>
      <c r="AF305" t="str">
        <f>VLOOKUP(Profile!$J$5,Families!$C:$R,2,FALSE)</f>
        <v>North Dorset</v>
      </c>
      <c r="AG305" s="15" t="e">
        <f t="shared" si="124"/>
        <v>#N/A</v>
      </c>
      <c r="AH305" s="46" t="e">
        <f t="shared" si="112"/>
        <v>#N/A</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98.3</v>
      </c>
    </row>
    <row r="306" spans="1:50">
      <c r="A306" s="55" t="str">
        <f>$D$1&amp;296</f>
        <v>SD296</v>
      </c>
      <c r="B306" s="56">
        <f>IF(ISERROR(VLOOKUP(A306,classifications!A:C,3,FALSE)),0,VLOOKUP(A306,classifications!A:C,3,FALSE))</f>
        <v>0</v>
      </c>
      <c r="C306" t="s">
        <v>183</v>
      </c>
      <c r="D306" t="str">
        <f>VLOOKUP($C306,classifications!$C:$J,4,FALSE)</f>
        <v>SD</v>
      </c>
      <c r="E306">
        <f>VLOOKUP(C306,classifications!C:K,9,FALSE)</f>
        <v>0</v>
      </c>
      <c r="F306">
        <f t="shared" si="115"/>
        <v>93.97</v>
      </c>
      <c r="G306" s="15"/>
      <c r="H306" s="41">
        <f t="shared" si="116"/>
        <v>93.97</v>
      </c>
      <c r="I306" s="73">
        <f>IF(H306="","",IF($I$8="A",(RANK(H306,H$11:H$333,1)+COUNTIF(H$11:H306,H306)-1),(RANK(H306,H$11:H$333)+COUNTIF(H$11:H306,H306)-1)))</f>
        <v>158</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t="e">
        <f>IF(I$8="A",(RANK(AG306,AG$11:AG$333,1)+COUNTIF(AG$11:AG306,AG306)-1),(RANK(AG306,AG$11:AG$333)+COUNTIF(AG$11:AG306,AG306)-1))</f>
        <v>#N/A</v>
      </c>
      <c r="AF306" t="str">
        <f>VLOOKUP(Profile!$J$5,Families!$C:$R,2,FALSE)</f>
        <v>North Dorset</v>
      </c>
      <c r="AG306" s="15" t="e">
        <f t="shared" si="124"/>
        <v>#N/A</v>
      </c>
      <c r="AH306" s="46" t="e">
        <f t="shared" si="112"/>
        <v>#N/A</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93.97</v>
      </c>
    </row>
    <row r="307" spans="1:50">
      <c r="A307" s="55" t="str">
        <f>$D$1&amp;297</f>
        <v>SD297</v>
      </c>
      <c r="B307" s="56">
        <f>IF(ISERROR(VLOOKUP(A307,classifications!A:C,3,FALSE)),0,VLOOKUP(A307,classifications!A:C,3,FALSE))</f>
        <v>0</v>
      </c>
      <c r="C307" t="s">
        <v>184</v>
      </c>
      <c r="D307" t="str">
        <f>VLOOKUP($C307,classifications!$C:$J,4,FALSE)</f>
        <v>SD</v>
      </c>
      <c r="E307" t="str">
        <f>VLOOKUP(C307,classifications!C:K,9,FALSE)</f>
        <v>Sparse</v>
      </c>
      <c r="F307">
        <f t="shared" si="115"/>
        <v>97.73</v>
      </c>
      <c r="G307" s="15"/>
      <c r="H307" s="41">
        <f t="shared" si="116"/>
        <v>97.73</v>
      </c>
      <c r="I307" s="73">
        <f>IF(H307="","",IF($I$8="A",(RANK(H307,H$11:H$333,1)+COUNTIF(H$11:H307,H307)-1),(RANK(H307,H$11:H$333)+COUNTIF(H$11:H307,H307)-1)))</f>
        <v>63</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t="e">
        <f>IF(I$8="A",(RANK(AG307,AG$11:AG$333,1)+COUNTIF(AG$11:AG307,AG307)-1),(RANK(AG307,AG$11:AG$333)+COUNTIF(AG$11:AG307,AG307)-1))</f>
        <v>#N/A</v>
      </c>
      <c r="AF307" t="str">
        <f>VLOOKUP(Profile!$J$5,Families!$C:$R,2,FALSE)</f>
        <v>North Dorset</v>
      </c>
      <c r="AG307" s="15" t="e">
        <f t="shared" si="124"/>
        <v>#N/A</v>
      </c>
      <c r="AH307" s="46" t="e">
        <f t="shared" si="112"/>
        <v>#N/A</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97.73</v>
      </c>
    </row>
    <row r="308" spans="1:50">
      <c r="A308" s="55" t="str">
        <f>$D$1&amp;298</f>
        <v>SD298</v>
      </c>
      <c r="B308" s="56">
        <f>IF(ISERROR(VLOOKUP(A308,classifications!A:C,3,FALSE)),0,VLOOKUP(A308,classifications!A:C,3,FALSE))</f>
        <v>0</v>
      </c>
      <c r="C308" t="s">
        <v>897</v>
      </c>
      <c r="D308" t="str">
        <f>VLOOKUP($C308,classifications!$C:$J,4,FALSE)</f>
        <v>UA</v>
      </c>
      <c r="E308" t="str">
        <f>VLOOKUP(C308,classifications!C:K,9,FALSE)</f>
        <v>Sparse</v>
      </c>
      <c r="F308">
        <f t="shared" si="115"/>
        <v>96.35</v>
      </c>
      <c r="G308" s="15"/>
      <c r="H308" s="41" t="str">
        <f t="shared" si="116"/>
        <v/>
      </c>
      <c r="I308" s="73" t="str">
        <f>IF(H308="","",IF($I$8="A",(RANK(H308,H$11:H$333,1)+COUNTIF(H$11:H308,H308)-1),(RANK(H308,H$11:H$333)+COUNTIF(H$11:H308,H308)-1)))</f>
        <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t="e">
        <f>IF(I$8="A",(RANK(AG308,AG$11:AG$333,1)+COUNTIF(AG$11:AG308,AG308)-1),(RANK(AG308,AG$11:AG$333)+COUNTIF(AG$11:AG308,AG308)-1))</f>
        <v>#N/A</v>
      </c>
      <c r="AF308" t="str">
        <f>VLOOKUP(Profile!$J$5,Families!$C:$R,2,FALSE)</f>
        <v>North Dorset</v>
      </c>
      <c r="AG308" s="15" t="e">
        <f t="shared" si="124"/>
        <v>#N/A</v>
      </c>
      <c r="AH308" s="46" t="e">
        <f t="shared" si="112"/>
        <v>#N/A</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96.35</v>
      </c>
    </row>
    <row r="309" spans="1:50">
      <c r="A309" s="55" t="str">
        <f>$D$1&amp;299</f>
        <v>SD299</v>
      </c>
      <c r="B309" s="56">
        <f>IF(ISERROR(VLOOKUP(A309,classifications!A:C,3,FALSE)),0,VLOOKUP(A309,classifications!A:C,3,FALSE))</f>
        <v>0</v>
      </c>
      <c r="C309" t="s">
        <v>185</v>
      </c>
      <c r="D309" t="str">
        <f>VLOOKUP($C309,classifications!$C:$J,4,FALSE)</f>
        <v>SD</v>
      </c>
      <c r="E309" t="str">
        <f>VLOOKUP(C309,classifications!C:K,9,FALSE)</f>
        <v>Sparse</v>
      </c>
      <c r="F309">
        <f t="shared" si="115"/>
        <v>97.81</v>
      </c>
      <c r="G309" s="15"/>
      <c r="H309" s="41">
        <f t="shared" si="116"/>
        <v>97.81</v>
      </c>
      <c r="I309" s="73">
        <f>IF(H309="","",IF($I$8="A",(RANK(H309,H$11:H$333,1)+COUNTIF(H$11:H309,H309)-1),(RANK(H309,H$11:H$333)+COUNTIF(H$11:H309,H309)-1)))</f>
        <v>60</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t="e">
        <f>IF(I$8="A",(RANK(AG309,AG$11:AG$333,1)+COUNTIF(AG$11:AG309,AG309)-1),(RANK(AG309,AG$11:AG$333)+COUNTIF(AG$11:AG309,AG309)-1))</f>
        <v>#N/A</v>
      </c>
      <c r="AF309" t="str">
        <f>VLOOKUP(Profile!$J$5,Families!$C:$R,2,FALSE)</f>
        <v>North Dorset</v>
      </c>
      <c r="AG309" s="15" t="e">
        <f t="shared" si="124"/>
        <v>#N/A</v>
      </c>
      <c r="AH309" s="46" t="e">
        <f t="shared" si="112"/>
        <v>#N/A</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97.81</v>
      </c>
    </row>
    <row r="310" spans="1:50">
      <c r="A310" s="55" t="str">
        <f>$D$1&amp;300</f>
        <v>SD300</v>
      </c>
      <c r="B310" s="56">
        <f>IF(ISERROR(VLOOKUP(A310,classifications!A:C,3,FALSE)),0,VLOOKUP(A310,classifications!A:C,3,FALSE))</f>
        <v>0</v>
      </c>
      <c r="C310" t="s">
        <v>894</v>
      </c>
      <c r="D310" t="str">
        <f>VLOOKUP($C310,classifications!$C:$J,4,FALSE)</f>
        <v>SD</v>
      </c>
      <c r="E310" t="str">
        <f>VLOOKUP(C310,classifications!C:K,9,FALSE)</f>
        <v>Sparse</v>
      </c>
      <c r="F310">
        <f t="shared" si="115"/>
        <v>97.13</v>
      </c>
      <c r="G310" s="15"/>
      <c r="H310" s="41">
        <f t="shared" si="116"/>
        <v>97.13</v>
      </c>
      <c r="I310" s="73">
        <f>IF(H310="","",IF($I$8="A",(RANK(H310,H$11:H$333,1)+COUNTIF(H$11:H310,H310)-1),(RANK(H310,H$11:H$333)+COUNTIF(H$11:H310,H310)-1)))</f>
        <v>96</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t="e">
        <f>IF(I$8="A",(RANK(AG310,AG$11:AG$333,1)+COUNTIF(AG$11:AG310,AG310)-1),(RANK(AG310,AG$11:AG$333)+COUNTIF(AG$11:AG310,AG310)-1))</f>
        <v>#N/A</v>
      </c>
      <c r="AF310" t="str">
        <f>VLOOKUP(Profile!$J$5,Families!$C:$R,2,FALSE)</f>
        <v>North Dorset</v>
      </c>
      <c r="AG310" s="15" t="e">
        <f t="shared" si="124"/>
        <v>#N/A</v>
      </c>
      <c r="AH310" s="46" t="e">
        <f t="shared" si="112"/>
        <v>#N/A</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97.13</v>
      </c>
    </row>
    <row r="311" spans="1:50">
      <c r="A311" s="55" t="str">
        <f>$D$1&amp;301</f>
        <v>SD301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t="e">
        <f>IF(I$8="A",(RANK(AG311,AG$11:AG$333,1)+COUNTIF(AG$11:AG311,AG311)-1),(RANK(AG311,AG$11:AG$333)+COUNTIF(AG$11:AG311,AG311)-1))</f>
        <v>#N/A</v>
      </c>
      <c r="AF311" t="str">
        <f>VLOOKUP(Profile!$J$5,Families!$C:$R,2,FALSE)</f>
        <v>North Dorset</v>
      </c>
      <c r="AG311" s="15" t="e">
        <f t="shared" si="124"/>
        <v>#N/A</v>
      </c>
      <c r="AH311" s="46" t="e">
        <f t="shared" si="112"/>
        <v>#N/A</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SD302</v>
      </c>
      <c r="B312" s="56">
        <f>IF(ISERROR(VLOOKUP(A312,classifications!A:C,3,FALSE)),0,VLOOKUP(A312,classifications!A:C,3,FALSE))</f>
        <v>0</v>
      </c>
      <c r="C312" t="s">
        <v>187</v>
      </c>
      <c r="D312" t="str">
        <f>VLOOKUP($C312,classifications!$C:$J,4,FALSE)</f>
        <v>L</v>
      </c>
      <c r="E312">
        <f>VLOOKUP(C312,classifications!C:K,9,FALSE)</f>
        <v>0</v>
      </c>
      <c r="F312">
        <f t="shared" si="115"/>
        <v>93.62</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t="e">
        <f>IF(I$8="A",(RANK(AG312,AG$11:AG$333,1)+COUNTIF(AG$11:AG312,AG312)-1),(RANK(AG312,AG$11:AG$333)+COUNTIF(AG$11:AG312,AG312)-1))</f>
        <v>#N/A</v>
      </c>
      <c r="AF312" t="str">
        <f>VLOOKUP(Profile!$J$5,Families!$C:$R,2,FALSE)</f>
        <v>North Dorset</v>
      </c>
      <c r="AG312" s="15" t="e">
        <f t="shared" si="124"/>
        <v>#N/A</v>
      </c>
      <c r="AH312" s="46" t="e">
        <f t="shared" si="112"/>
        <v>#N/A</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93.62</v>
      </c>
    </row>
    <row r="313" spans="1:50">
      <c r="A313" s="55" t="str">
        <f>$D$1&amp;303</f>
        <v>SD303</v>
      </c>
      <c r="B313" s="56">
        <f>IF(ISERROR(VLOOKUP(A313,classifications!A:C,3,FALSE)),0,VLOOKUP(A313,classifications!A:C,3,FALSE))</f>
        <v>0</v>
      </c>
      <c r="C313" t="s">
        <v>255</v>
      </c>
      <c r="D313" t="str">
        <f>VLOOKUP($C313,classifications!$C:$J,4,FALSE)</f>
        <v>MD</v>
      </c>
      <c r="E313">
        <f>VLOOKUP(C313,classifications!C:K,9,FALSE)</f>
        <v>0</v>
      </c>
      <c r="F313">
        <f t="shared" si="115"/>
        <v>95.19</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t="e">
        <f>IF(I$8="A",(RANK(AG313,AG$11:AG$333,1)+COUNTIF(AG$11:AG313,AG313)-1),(RANK(AG313,AG$11:AG$333)+COUNTIF(AG$11:AG313,AG313)-1))</f>
        <v>#N/A</v>
      </c>
      <c r="AF313" t="str">
        <f>VLOOKUP(Profile!$J$5,Families!$C:$R,2,FALSE)</f>
        <v>North Dorset</v>
      </c>
      <c r="AG313" s="15" t="e">
        <f t="shared" si="124"/>
        <v>#N/A</v>
      </c>
      <c r="AH313" s="46" t="e">
        <f t="shared" si="112"/>
        <v>#N/A</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95.19</v>
      </c>
    </row>
    <row r="314" spans="1:50">
      <c r="A314" s="55" t="str">
        <f>$D$1&amp;304</f>
        <v>SD304</v>
      </c>
      <c r="B314" s="56">
        <f>IF(ISERROR(VLOOKUP(A314,classifications!A:C,3,FALSE)),0,VLOOKUP(A314,classifications!A:C,3,FALSE))</f>
        <v>0</v>
      </c>
      <c r="C314" t="s">
        <v>297</v>
      </c>
      <c r="D314" t="str">
        <f>VLOOKUP($C314,classifications!$C:$J,4,FALSE)</f>
        <v>UA</v>
      </c>
      <c r="E314">
        <f>VLOOKUP(C314,classifications!C:K,9,FALSE)</f>
        <v>0</v>
      </c>
      <c r="F314">
        <f t="shared" si="115"/>
        <v>97.71</v>
      </c>
      <c r="G314" s="15"/>
      <c r="H314" s="41" t="str">
        <f t="shared" si="116"/>
        <v/>
      </c>
      <c r="I314" s="73" t="str">
        <f>IF(H314="","",IF($I$8="A",(RANK(H314,H$11:H$333,1)+COUNTIF(H$11:H314,H314)-1),(RANK(H314,H$11:H$333)+COUNTIF(H$11:H314,H314)-1)))</f>
        <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t="e">
        <f>IF(I$8="A",(RANK(AG314,AG$11:AG$333,1)+COUNTIF(AG$11:AG314,AG314)-1),(RANK(AG314,AG$11:AG$333)+COUNTIF(AG$11:AG314,AG314)-1))</f>
        <v>#N/A</v>
      </c>
      <c r="AF314" t="str">
        <f>VLOOKUP(Profile!$J$5,Families!$C:$R,2,FALSE)</f>
        <v>North Dorset</v>
      </c>
      <c r="AG314" s="15" t="e">
        <f t="shared" si="124"/>
        <v>#N/A</v>
      </c>
      <c r="AH314" s="46" t="e">
        <f t="shared" ref="AH314:AH327" si="136">AE314</f>
        <v>#N/A</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97.71</v>
      </c>
    </row>
    <row r="315" spans="1:50">
      <c r="A315" s="55" t="str">
        <f>$D$1&amp;305</f>
        <v>SD305</v>
      </c>
      <c r="B315" s="56">
        <f>IF(ISERROR(VLOOKUP(A315,classifications!A:C,3,FALSE)),0,VLOOKUP(A315,classifications!A:C,3,FALSE))</f>
        <v>0</v>
      </c>
      <c r="C315" t="s">
        <v>188</v>
      </c>
      <c r="D315" t="str">
        <f>VLOOKUP($C315,classifications!$C:$J,4,FALSE)</f>
        <v>SD</v>
      </c>
      <c r="E315">
        <f>VLOOKUP(C315,classifications!C:K,9,FALSE)</f>
        <v>0</v>
      </c>
      <c r="F315">
        <f t="shared" si="115"/>
        <v>98.14</v>
      </c>
      <c r="G315" s="15"/>
      <c r="H315" s="41">
        <f t="shared" si="116"/>
        <v>98.14</v>
      </c>
      <c r="I315" s="73">
        <f>IF(H315="","",IF($I$8="A",(RANK(H315,H$11:H$333,1)+COUNTIF(H$11:H315,H315)-1),(RANK(H315,H$11:H$333)+COUNTIF(H$11:H315,H315)-1)))</f>
        <v>33</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t="e">
        <f>IF(I$8="A",(RANK(AG315,AG$11:AG$333,1)+COUNTIF(AG$11:AG315,AG315)-1),(RANK(AG315,AG$11:AG$333)+COUNTIF(AG$11:AG315,AG315)-1))</f>
        <v>#N/A</v>
      </c>
      <c r="AF315" t="str">
        <f>VLOOKUP(Profile!$J$5,Families!$C:$R,2,FALSE)</f>
        <v>North Dorset</v>
      </c>
      <c r="AG315" s="15" t="e">
        <f t="shared" si="124"/>
        <v>#N/A</v>
      </c>
      <c r="AH315" s="46" t="e">
        <f t="shared" si="136"/>
        <v>#N/A</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98.14</v>
      </c>
    </row>
    <row r="316" spans="1:50">
      <c r="A316" s="55" t="str">
        <f>$D$1&amp;306</f>
        <v>SD306</v>
      </c>
      <c r="B316" s="56">
        <f>IF(ISERROR(VLOOKUP(A316,classifications!A:C,3,FALSE)),0,VLOOKUP(A316,classifications!A:C,3,FALSE))</f>
        <v>0</v>
      </c>
      <c r="C316" t="s">
        <v>815</v>
      </c>
      <c r="D316" t="str">
        <f>VLOOKUP($C316,classifications!$C:$J,4,FALSE)</f>
        <v>UA</v>
      </c>
      <c r="E316">
        <f>VLOOKUP(C316,classifications!C:K,9,FALSE)</f>
        <v>0</v>
      </c>
      <c r="F316">
        <f t="shared" si="115"/>
        <v>97.35</v>
      </c>
      <c r="G316" s="15"/>
      <c r="H316" s="41" t="str">
        <f t="shared" si="116"/>
        <v/>
      </c>
      <c r="I316" s="73" t="str">
        <f>IF(H316="","",IF($I$8="A",(RANK(H316,H$11:H$333,1)+COUNTIF(H$11:H316,H316)-1),(RANK(H316,H$11:H$333)+COUNTIF(H$11:H316,H316)-1)))</f>
        <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t="e">
        <f>IF(I$8="A",(RANK(AG316,AG$11:AG$333,1)+COUNTIF(AG$11:AG316,AG316)-1),(RANK(AG316,AG$11:AG$333)+COUNTIF(AG$11:AG316,AG316)-1))</f>
        <v>#N/A</v>
      </c>
      <c r="AF316" t="str">
        <f>VLOOKUP(Profile!$J$5,Families!$C:$R,2,FALSE)</f>
        <v>North Dorset</v>
      </c>
      <c r="AG316" s="15" t="e">
        <f t="shared" si="124"/>
        <v>#N/A</v>
      </c>
      <c r="AH316" s="46" t="e">
        <f t="shared" si="136"/>
        <v>#N/A</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97.35</v>
      </c>
    </row>
    <row r="317" spans="1:50">
      <c r="A317" s="55" t="str">
        <f>$D$1&amp;307</f>
        <v>SD307</v>
      </c>
      <c r="B317" s="56">
        <f>IF(ISERROR(VLOOKUP(A317,classifications!A:C,3,FALSE)),0,VLOOKUP(A317,classifications!A:C,3,FALSE))</f>
        <v>0</v>
      </c>
      <c r="C317" t="s">
        <v>256</v>
      </c>
      <c r="D317" t="str">
        <f>VLOOKUP($C317,classifications!$C:$J,4,FALSE)</f>
        <v>MD</v>
      </c>
      <c r="E317">
        <f>VLOOKUP(C317,classifications!C:K,9,FALSE)</f>
        <v>0</v>
      </c>
      <c r="F317">
        <f t="shared" si="115"/>
        <v>93.72</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t="e">
        <f>IF(I$8="A",(RANK(AG317,AG$11:AG$333,1)+COUNTIF(AG$11:AG317,AG317)-1),(RANK(AG317,AG$11:AG$333)+COUNTIF(AG$11:AG317,AG317)-1))</f>
        <v>#N/A</v>
      </c>
      <c r="AF317" t="str">
        <f>VLOOKUP(Profile!$J$5,Families!$C:$R,2,FALSE)</f>
        <v>North Dorset</v>
      </c>
      <c r="AG317" s="15" t="e">
        <f t="shared" si="124"/>
        <v>#N/A</v>
      </c>
      <c r="AH317" s="46" t="e">
        <f t="shared" si="136"/>
        <v>#N/A</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93.72</v>
      </c>
    </row>
    <row r="318" spans="1:50">
      <c r="A318" s="55" t="str">
        <f>$D$1&amp;308</f>
        <v>SD308</v>
      </c>
      <c r="B318" s="56">
        <f>IF(ISERROR(VLOOKUP(A318,classifications!A:C,3,FALSE)),0,VLOOKUP(A318,classifications!A:C,3,FALSE))</f>
        <v>0</v>
      </c>
      <c r="C318" t="s">
        <v>189</v>
      </c>
      <c r="D318" t="str">
        <f>VLOOKUP($C318,classifications!$C:$J,4,FALSE)</f>
        <v>SD</v>
      </c>
      <c r="E318">
        <f>VLOOKUP(C318,classifications!C:K,9,FALSE)</f>
        <v>0</v>
      </c>
      <c r="F318">
        <f t="shared" si="115"/>
        <v>97.89</v>
      </c>
      <c r="G318" s="15"/>
      <c r="H318" s="41">
        <f t="shared" si="116"/>
        <v>97.89</v>
      </c>
      <c r="I318" s="73">
        <f>IF(H318="","",IF($I$8="A",(RANK(H318,H$11:H$333,1)+COUNTIF(H$11:H318,H318)-1),(RANK(H318,H$11:H$333)+COUNTIF(H$11:H318,H318)-1)))</f>
        <v>53</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t="e">
        <f>IF(I$8="A",(RANK(AG318,AG$11:AG$333,1)+COUNTIF(AG$11:AG318,AG318)-1),(RANK(AG318,AG$11:AG$333)+COUNTIF(AG$11:AG318,AG318)-1))</f>
        <v>#N/A</v>
      </c>
      <c r="AF318" t="str">
        <f>VLOOKUP(Profile!$J$5,Families!$C:$R,2,FALSE)</f>
        <v>North Dorset</v>
      </c>
      <c r="AG318" s="15" t="e">
        <f t="shared" si="124"/>
        <v>#N/A</v>
      </c>
      <c r="AH318" s="46" t="e">
        <f t="shared" si="136"/>
        <v>#N/A</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97.89</v>
      </c>
    </row>
    <row r="319" spans="1:50">
      <c r="A319" s="55" t="str">
        <f>$D$1&amp;309</f>
        <v>SD309</v>
      </c>
      <c r="B319" s="56">
        <f>IF(ISERROR(VLOOKUP(A319,classifications!A:C,3,FALSE)),0,VLOOKUP(A319,classifications!A:C,3,FALSE))</f>
        <v>0</v>
      </c>
      <c r="C319" t="s">
        <v>298</v>
      </c>
      <c r="D319" t="str">
        <f>VLOOKUP($C319,classifications!$C:$J,4,FALSE)</f>
        <v>UA</v>
      </c>
      <c r="E319">
        <f>VLOOKUP(C319,classifications!C:K,9,FALSE)</f>
        <v>0</v>
      </c>
      <c r="F319">
        <f t="shared" si="115"/>
        <v>99.26</v>
      </c>
      <c r="G319" s="15"/>
      <c r="H319" s="41" t="str">
        <f t="shared" si="116"/>
        <v/>
      </c>
      <c r="I319" s="73" t="str">
        <f>IF(H319="","",IF($I$8="A",(RANK(H319,H$11:H$333,1)+COUNTIF(H$11:H319,H319)-1),(RANK(H319,H$11:H$333)+COUNTIF(H$11:H319,H319)-1)))</f>
        <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t="e">
        <f>IF(I$8="A",(RANK(AG319,AG$11:AG$333,1)+COUNTIF(AG$11:AG319,AG319)-1),(RANK(AG319,AG$11:AG$333)+COUNTIF(AG$11:AG319,AG319)-1))</f>
        <v>#N/A</v>
      </c>
      <c r="AF319" t="str">
        <f>VLOOKUP(Profile!$J$5,Families!$C:$R,2,FALSE)</f>
        <v>North Dorset</v>
      </c>
      <c r="AG319" s="15" t="e">
        <f t="shared" si="124"/>
        <v>#N/A</v>
      </c>
      <c r="AH319" s="46" t="e">
        <f t="shared" si="136"/>
        <v>#N/A</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99.26</v>
      </c>
    </row>
    <row r="320" spans="1:50">
      <c r="A320" s="55" t="str">
        <f>$D$1&amp;310</f>
        <v>SD310</v>
      </c>
      <c r="B320" s="56">
        <f>IF(ISERROR(VLOOKUP(A320,classifications!A:C,3,FALSE)),0,VLOOKUP(A320,classifications!A:C,3,FALSE))</f>
        <v>0</v>
      </c>
      <c r="C320" t="s">
        <v>257</v>
      </c>
      <c r="D320" t="str">
        <f>VLOOKUP($C320,classifications!$C:$J,4,FALSE)</f>
        <v>MD</v>
      </c>
      <c r="E320">
        <f>VLOOKUP(C320,classifications!C:K,9,FALSE)</f>
        <v>0</v>
      </c>
      <c r="F320">
        <f t="shared" si="115"/>
        <v>93.14</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t="e">
        <f>IF(I$8="A",(RANK(AG320,AG$11:AG$333,1)+COUNTIF(AG$11:AG320,AG320)-1),(RANK(AG320,AG$11:AG$333)+COUNTIF(AG$11:AG320,AG320)-1))</f>
        <v>#N/A</v>
      </c>
      <c r="AF320" t="str">
        <f>VLOOKUP(Profile!$J$5,Families!$C:$R,2,FALSE)</f>
        <v>North Dorset</v>
      </c>
      <c r="AG320" s="15" t="e">
        <f t="shared" si="124"/>
        <v>#N/A</v>
      </c>
      <c r="AH320" s="46" t="e">
        <f t="shared" si="136"/>
        <v>#N/A</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93.14</v>
      </c>
    </row>
    <row r="321" spans="1:50">
      <c r="A321" s="55" t="str">
        <f>$D$1&amp;311</f>
        <v>SD311</v>
      </c>
      <c r="B321" s="56">
        <f>IF(ISERROR(VLOOKUP(A321,classifications!A:C,3,FALSE)),0,VLOOKUP(A321,classifications!A:C,3,FALSE))</f>
        <v>0</v>
      </c>
      <c r="C321" t="s">
        <v>190</v>
      </c>
      <c r="D321" t="str">
        <f>VLOOKUP($C321,classifications!$C:$J,4,FALSE)</f>
        <v>SD</v>
      </c>
      <c r="E321">
        <f>VLOOKUP(C321,classifications!C:K,9,FALSE)</f>
        <v>0</v>
      </c>
      <c r="F321">
        <f t="shared" si="115"/>
        <v>94.73</v>
      </c>
      <c r="G321" s="15"/>
      <c r="H321" s="41">
        <f t="shared" si="116"/>
        <v>94.73</v>
      </c>
      <c r="I321" s="73">
        <f>IF(H321="","",IF($I$8="A",(RANK(H321,H$11:H$333,1)+COUNTIF(H$11:H321,H321)-1),(RANK(H321,H$11:H$333)+COUNTIF(H$11:H321,H321)-1)))</f>
        <v>151</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t="e">
        <f>IF(I$8="A",(RANK(AG321,AG$11:AG$333,1)+COUNTIF(AG$11:AG321,AG321)-1),(RANK(AG321,AG$11:AG$333)+COUNTIF(AG$11:AG321,AG321)-1))</f>
        <v>#N/A</v>
      </c>
      <c r="AF321" t="str">
        <f>VLOOKUP(Profile!$J$5,Families!$C:$R,2,FALSE)</f>
        <v>North Dorset</v>
      </c>
      <c r="AG321" s="15" t="e">
        <f t="shared" si="124"/>
        <v>#N/A</v>
      </c>
      <c r="AH321" s="46" t="e">
        <f t="shared" si="136"/>
        <v>#N/A</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94.73</v>
      </c>
    </row>
    <row r="322" spans="1:50">
      <c r="A322" s="55" t="str">
        <f>$D$1&amp;312</f>
        <v>SD312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t="e">
        <f>IF(I$8="A",(RANK(AG322,AG$11:AG$333,1)+COUNTIF(AG$11:AG322,AG322)-1),(RANK(AG322,AG$11:AG$333)+COUNTIF(AG$11:AG322,AG322)-1))</f>
        <v>#N/A</v>
      </c>
      <c r="AF322" t="str">
        <f>VLOOKUP(Profile!$J$5,Families!$C:$R,2,FALSE)</f>
        <v>North Dorset</v>
      </c>
      <c r="AG322" s="15" t="e">
        <f t="shared" si="124"/>
        <v>#N/A</v>
      </c>
      <c r="AH322" s="46" t="e">
        <f t="shared" si="136"/>
        <v>#N/A</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SD313</v>
      </c>
      <c r="B323" s="56">
        <f>IF(ISERROR(VLOOKUP(A323,classifications!A:C,3,FALSE)),0,VLOOKUP(A323,classifications!A:C,3,FALSE))</f>
        <v>0</v>
      </c>
      <c r="C323" t="s">
        <v>191</v>
      </c>
      <c r="D323" t="str">
        <f>VLOOKUP($C323,classifications!$C:$J,4,FALSE)</f>
        <v>SD</v>
      </c>
      <c r="E323">
        <f>VLOOKUP(C323,classifications!C:K,9,FALSE)</f>
        <v>0</v>
      </c>
      <c r="F323">
        <f t="shared" si="115"/>
        <v>96.59</v>
      </c>
      <c r="G323" s="15"/>
      <c r="H323" s="41">
        <f t="shared" si="116"/>
        <v>96.59</v>
      </c>
      <c r="I323" s="73">
        <f>IF(H323="","",IF($I$8="A",(RANK(H323,H$11:H$333,1)+COUNTIF(H$11:H323,H323)-1),(RANK(H323,H$11:H$333)+COUNTIF(H$11:H323,H323)-1)))</f>
        <v>119</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t="e">
        <f>IF(I$8="A",(RANK(AG323,AG$11:AG$333,1)+COUNTIF(AG$11:AG323,AG323)-1),(RANK(AG323,AG$11:AG$333)+COUNTIF(AG$11:AG323,AG323)-1))</f>
        <v>#N/A</v>
      </c>
      <c r="AF323" t="str">
        <f>VLOOKUP(Profile!$J$5,Families!$C:$R,2,FALSE)</f>
        <v>North Dorset</v>
      </c>
      <c r="AG323" s="15" t="e">
        <f t="shared" si="124"/>
        <v>#N/A</v>
      </c>
      <c r="AH323" s="46" t="e">
        <f t="shared" si="136"/>
        <v>#N/A</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96.59</v>
      </c>
    </row>
    <row r="324" spans="1:50">
      <c r="A324" s="55" t="str">
        <f>$D$1&amp;314</f>
        <v>SD314</v>
      </c>
      <c r="B324" s="56">
        <f>IF(ISERROR(VLOOKUP(A324,classifications!A:C,3,FALSE)),0,VLOOKUP(A324,classifications!A:C,3,FALSE))</f>
        <v>0</v>
      </c>
      <c r="C324" t="s">
        <v>192</v>
      </c>
      <c r="D324" t="str">
        <f>VLOOKUP($C324,classifications!$C:$J,4,FALSE)</f>
        <v>SD</v>
      </c>
      <c r="E324" t="str">
        <f>VLOOKUP(C324,classifications!C:K,9,FALSE)</f>
        <v>Sparse</v>
      </c>
      <c r="F324">
        <f t="shared" si="115"/>
        <v>96.71</v>
      </c>
      <c r="G324" s="15"/>
      <c r="H324" s="41">
        <f t="shared" si="116"/>
        <v>96.71</v>
      </c>
      <c r="I324" s="73">
        <f>IF(H324="","",IF($I$8="A",(RANK(H324,H$11:H$333,1)+COUNTIF(H$11:H324,H324)-1),(RANK(H324,H$11:H$333)+COUNTIF(H$11:H324,H324)-1)))</f>
        <v>111</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t="e">
        <f>IF(I$8="A",(RANK(AG324,AG$11:AG$333,1)+COUNTIF(AG$11:AG324,AG324)-1),(RANK(AG324,AG$11:AG$333)+COUNTIF(AG$11:AG324,AG324)-1))</f>
        <v>#N/A</v>
      </c>
      <c r="AF324" t="str">
        <f>VLOOKUP(Profile!$J$5,Families!$C:$R,2,FALSE)</f>
        <v>North Dorset</v>
      </c>
      <c r="AG324" s="15" t="e">
        <f t="shared" si="124"/>
        <v>#N/A</v>
      </c>
      <c r="AH324" s="46" t="e">
        <f t="shared" si="136"/>
        <v>#N/A</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96.71</v>
      </c>
    </row>
    <row r="325" spans="1:50">
      <c r="A325" s="55" t="str">
        <f>$D$1&amp;315</f>
        <v>SD315</v>
      </c>
      <c r="B325" s="56">
        <f>IF(ISERROR(VLOOKUP(A325,classifications!A:C,3,FALSE)),0,VLOOKUP(A325,classifications!A:C,3,FALSE))</f>
        <v>0</v>
      </c>
      <c r="C325" t="s">
        <v>194</v>
      </c>
      <c r="D325" t="str">
        <f>VLOOKUP($C325,classifications!$C:$J,4,FALSE)</f>
        <v>SD</v>
      </c>
      <c r="E325">
        <f>VLOOKUP(C325,classifications!C:K,9,FALSE)</f>
        <v>0</v>
      </c>
      <c r="F325">
        <f t="shared" si="115"/>
        <v>97.18</v>
      </c>
      <c r="G325" s="15"/>
      <c r="H325" s="41">
        <f t="shared" si="116"/>
        <v>97.18</v>
      </c>
      <c r="I325" s="73">
        <f>IF(H325="","",IF($I$8="A",(RANK(H325,H$11:H$333,1)+COUNTIF(H$11:H325,H325)-1),(RANK(H325,H$11:H$333)+COUNTIF(H$11:H325,H325)-1)))</f>
        <v>92</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t="e">
        <f>IF(I$8="A",(RANK(AG325,AG$11:AG$333,1)+COUNTIF(AG$11:AG325,AG325)-1),(RANK(AG325,AG$11:AG$333)+COUNTIF(AG$11:AG325,AG325)-1))</f>
        <v>#N/A</v>
      </c>
      <c r="AF325" t="str">
        <f>VLOOKUP(Profile!$J$5,Families!$C:$R,2,FALSE)</f>
        <v>North Dorset</v>
      </c>
      <c r="AG325" s="15" t="e">
        <f t="shared" si="124"/>
        <v>#N/A</v>
      </c>
      <c r="AH325" s="46" t="e">
        <f t="shared" si="136"/>
        <v>#N/A</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97.18</v>
      </c>
    </row>
    <row r="326" spans="1:50">
      <c r="A326" s="55" t="str">
        <f>$D$1&amp;316</f>
        <v>SD316</v>
      </c>
      <c r="B326" s="56">
        <f>IF(ISERROR(VLOOKUP(A326,classifications!A:C,3,FALSE)),0,VLOOKUP(A326,classifications!A:C,3,FALSE))</f>
        <v>0</v>
      </c>
      <c r="C326" t="s">
        <v>195</v>
      </c>
      <c r="D326" t="str">
        <f>VLOOKUP($C326,classifications!$C:$J,4,FALSE)</f>
        <v>SD</v>
      </c>
      <c r="E326">
        <f>VLOOKUP(C326,classifications!C:K,9,FALSE)</f>
        <v>0</v>
      </c>
      <c r="F326">
        <f t="shared" si="115"/>
        <v>97.23</v>
      </c>
      <c r="G326" s="15"/>
      <c r="H326" s="41">
        <f t="shared" si="116"/>
        <v>97.23</v>
      </c>
      <c r="I326" s="73">
        <f>IF(H326="","",IF($I$8="A",(RANK(H326,H$11:H$333,1)+COUNTIF(H$11:H326,H326)-1),(RANK(H326,H$11:H$333)+COUNTIF(H$11:H326,H326)-1)))</f>
        <v>89</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t="e">
        <f>IF(I$8="A",(RANK(AG326,AG$11:AG$333,1)+COUNTIF(AG$11:AG326,AG326)-1),(RANK(AG326,AG$11:AG$333)+COUNTIF(AG$11:AG326,AG326)-1))</f>
        <v>#N/A</v>
      </c>
      <c r="AF326" t="str">
        <f>VLOOKUP(Profile!$J$5,Families!$C:$R,2,FALSE)</f>
        <v>North Dorset</v>
      </c>
      <c r="AG326" s="15" t="e">
        <f t="shared" si="124"/>
        <v>#N/A</v>
      </c>
      <c r="AH326" s="46" t="e">
        <f t="shared" si="136"/>
        <v>#N/A</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97.23</v>
      </c>
    </row>
    <row r="327" spans="1:50">
      <c r="A327" s="55" t="str">
        <f>$D$1&amp;317</f>
        <v>SD317</v>
      </c>
      <c r="B327" s="56">
        <f>IF(ISERROR(VLOOKUP(A327,classifications!A:C,3,FALSE)),0,VLOOKUP(A327,classifications!A:C,3,FALSE))</f>
        <v>0</v>
      </c>
      <c r="C327" t="s">
        <v>299</v>
      </c>
      <c r="D327" t="str">
        <f>VLOOKUP($C327,classifications!$C:$J,4,FALSE)</f>
        <v>UA</v>
      </c>
      <c r="E327">
        <f>VLOOKUP(C327,classifications!C:K,9,FALSE)</f>
        <v>0</v>
      </c>
      <c r="F327">
        <f t="shared" si="115"/>
        <v>97.38</v>
      </c>
      <c r="G327" s="15"/>
      <c r="H327" s="41" t="str">
        <f t="shared" si="116"/>
        <v/>
      </c>
      <c r="I327" s="73" t="str">
        <f>IF(H327="","",IF($I$8="A",(RANK(H327,H$11:H$333,1)+COUNTIF(H$11:H327,H327)-1),(RANK(H327,H$11:H$333)+COUNTIF(H$11:H327,H327)-1)))</f>
        <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t="e">
        <f>IF(I$8="A",(RANK(AG327,AG$11:AG$333,1)+COUNTIF(AG$11:AG327,AG327)-1),(RANK(AG327,AG$11:AG$333)+COUNTIF(AG$11:AG327,AG327)-1))</f>
        <v>#N/A</v>
      </c>
      <c r="AF327" t="str">
        <f>VLOOKUP(Profile!$J$5,Families!$C:$R,2,FALSE)</f>
        <v>North Dorset</v>
      </c>
      <c r="AG327" s="15" t="e">
        <f t="shared" si="124"/>
        <v>#N/A</v>
      </c>
      <c r="AH327" s="46" t="e">
        <f t="shared" si="136"/>
        <v>#N/A</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97.38</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topLeftCell="B1" workbookViewId="0">
      <selection activeCell="F14" sqref="F14"/>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28.8">
      <c r="A2" s="232" t="s">
        <v>901</v>
      </c>
      <c r="B2" t="s">
        <v>811</v>
      </c>
      <c r="C2" t="s">
        <v>822</v>
      </c>
      <c r="D2" t="s">
        <v>886</v>
      </c>
      <c r="F2" t="s">
        <v>903</v>
      </c>
    </row>
    <row r="3" spans="1:6" ht="28.8">
      <c r="A3" s="232" t="s">
        <v>902</v>
      </c>
      <c r="B3" t="s">
        <v>811</v>
      </c>
      <c r="C3" t="s">
        <v>822</v>
      </c>
      <c r="D3" t="s">
        <v>886</v>
      </c>
      <c r="F3" t="s">
        <v>904</v>
      </c>
    </row>
    <row r="4" spans="1:6" ht="14.4">
      <c r="A4" s="232"/>
      <c r="F4" t="s">
        <v>905</v>
      </c>
    </row>
    <row r="5" spans="1:6" ht="14.4">
      <c r="A5" s="198"/>
      <c r="F5" t="s">
        <v>906</v>
      </c>
    </row>
    <row r="6" spans="1:6" ht="14.4">
      <c r="A6" s="198"/>
      <c r="F6" s="224" t="s">
        <v>907</v>
      </c>
    </row>
    <row r="7" spans="1:6" ht="14.4">
      <c r="F7" s="224" t="s">
        <v>908</v>
      </c>
    </row>
    <row r="8" spans="1:6" ht="14.4">
      <c r="F8" s="223" t="s">
        <v>909</v>
      </c>
    </row>
    <row r="9" spans="1:6" ht="14.4">
      <c r="F9" s="222" t="s">
        <v>910</v>
      </c>
    </row>
    <row r="10" spans="1:6" ht="14.4">
      <c r="F10" s="221" t="s">
        <v>911</v>
      </c>
    </row>
    <row r="11" spans="1:6" ht="14.4">
      <c r="F11" s="219" t="s">
        <v>912</v>
      </c>
    </row>
    <row r="12" spans="1:6" ht="14.4">
      <c r="F12" s="219" t="s">
        <v>913</v>
      </c>
    </row>
    <row r="13" spans="1:6" ht="14.4">
      <c r="F13" s="233" t="s">
        <v>914</v>
      </c>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O289" sqref="O289:Y289"/>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Council tax collected by 31 March as a % of amount collectable2012-13</v>
      </c>
      <c r="D1" s="161" t="str">
        <f t="shared" ref="D1:Z1" si="0">D4&amp;D5</f>
        <v>Council tax collected by 31 March as a % of amount collectable2013-14</v>
      </c>
      <c r="E1" s="161" t="str">
        <f t="shared" si="0"/>
        <v>Council tax collected by 31 March as a % of amount collectable2014-15</v>
      </c>
      <c r="F1" s="161" t="str">
        <f t="shared" si="0"/>
        <v>Council tax collected by 31 March as a % of amount collectable2015-16</v>
      </c>
      <c r="G1" s="161" t="str">
        <f t="shared" si="0"/>
        <v>Council tax collected by 31 March as a % of amount collectable2016-17</v>
      </c>
      <c r="H1" s="161" t="str">
        <f t="shared" si="0"/>
        <v>Council tax collected by 31 March as a % of amount collectable2017-18</v>
      </c>
      <c r="I1" s="161" t="str">
        <f t="shared" si="0"/>
        <v>Council tax collected by 31 March as a % of amount collectable2018-19</v>
      </c>
      <c r="J1" s="161" t="str">
        <f t="shared" si="0"/>
        <v>Council tax collected by 31 March as a % of amount collectable2019-20</v>
      </c>
      <c r="K1" s="161" t="str">
        <f t="shared" si="0"/>
        <v>Council tax collected by 31 March as a % of amount collectable2020-21</v>
      </c>
      <c r="L1" s="161" t="str">
        <f t="shared" si="0"/>
        <v>Council tax collected by 31 March as a % of amount collectable2021-22</v>
      </c>
      <c r="M1" s="161" t="str">
        <f t="shared" si="0"/>
        <v>Council tax collected by 31 March as a % of amount collectable2022-23</v>
      </c>
      <c r="N1" s="161" t="str">
        <f t="shared" si="0"/>
        <v>Council tax collected by 31 March as a % of amount collectable2023-24</v>
      </c>
      <c r="O1" s="161" t="str">
        <f t="shared" si="0"/>
        <v>Non Domestic Rates collected by 31 March as a % of amount collectable2012-13</v>
      </c>
      <c r="P1" s="161" t="str">
        <f t="shared" si="0"/>
        <v>Non Domestic Rates collected by 31 March as a % of amount collectable2013-14</v>
      </c>
      <c r="Q1" s="161" t="str">
        <f t="shared" si="0"/>
        <v>Non Domestic Rates collected by 31 March as a % of amount collectable2014-15</v>
      </c>
      <c r="R1" s="161" t="str">
        <f t="shared" si="0"/>
        <v>Non Domestic Rates collected by 31 March as a % of amount collectable2015-16</v>
      </c>
      <c r="S1" s="161" t="str">
        <f t="shared" si="0"/>
        <v>Non Domestic Rates collected by 31 March as a % of amount collectable2016-17</v>
      </c>
      <c r="T1" s="161" t="str">
        <f t="shared" si="0"/>
        <v>Non Domestic Rates collected by 31 March as a % of amount collectable2017-18</v>
      </c>
      <c r="U1" s="161" t="str">
        <f t="shared" si="0"/>
        <v>Non Domestic Rates collected by 31 March as a % of amount collectable2018-19</v>
      </c>
      <c r="V1" s="161" t="str">
        <f t="shared" si="0"/>
        <v>Non Domestic Rates collected by 31 March as a % of amount collectable2019-20</v>
      </c>
      <c r="W1" s="161" t="str">
        <f t="shared" si="0"/>
        <v>Non Domestic Rates collected by 31 March as a % of amount collectable2020-21</v>
      </c>
      <c r="X1" s="161" t="str">
        <f t="shared" si="0"/>
        <v>Non Domestic Rates collected by 31 March as a % of amount collectable2021-22</v>
      </c>
      <c r="Y1" s="161" t="str">
        <f t="shared" si="0"/>
        <v>Non Domestic Rates collected by 31 March as a % of amount collectable2022-23</v>
      </c>
      <c r="Z1" s="161" t="str">
        <f t="shared" si="0"/>
        <v>Non Domestic Rates collected by 31 March as a % of amount collectable2023-24</v>
      </c>
      <c r="AA1" s="136" t="str">
        <f t="shared" ref="AA1:BI1" si="1">AA4&amp;AA5</f>
        <v/>
      </c>
      <c r="AB1" s="136" t="str">
        <f t="shared" si="1"/>
        <v/>
      </c>
      <c r="AC1" s="136" t="str">
        <f t="shared" si="1"/>
        <v/>
      </c>
      <c r="AD1" s="136" t="str">
        <f t="shared" si="1"/>
        <v/>
      </c>
      <c r="AE1" s="136" t="str">
        <f t="shared" si="1"/>
        <v/>
      </c>
      <c r="AF1" s="136" t="str">
        <f t="shared" si="1"/>
        <v/>
      </c>
      <c r="AG1" s="136" t="str">
        <f t="shared" si="1"/>
        <v/>
      </c>
      <c r="AH1" s="136" t="str">
        <f t="shared" si="1"/>
        <v/>
      </c>
      <c r="AI1" s="136" t="str">
        <f t="shared" si="1"/>
        <v/>
      </c>
      <c r="AJ1" s="136" t="str">
        <f t="shared" si="1"/>
        <v/>
      </c>
      <c r="AK1" s="136" t="str">
        <f t="shared" si="1"/>
        <v/>
      </c>
      <c r="AL1" s="136" t="str">
        <f t="shared" si="1"/>
        <v/>
      </c>
      <c r="AM1" s="136" t="str">
        <f t="shared" si="1"/>
        <v/>
      </c>
      <c r="AN1" s="136" t="str">
        <f t="shared" si="1"/>
        <v/>
      </c>
      <c r="AO1" s="136" t="str">
        <f t="shared" si="1"/>
        <v/>
      </c>
      <c r="AP1" s="136" t="str">
        <f t="shared" si="1"/>
        <v/>
      </c>
      <c r="AQ1" s="136" t="str">
        <f t="shared" si="1"/>
        <v/>
      </c>
      <c r="AR1" s="136" t="str">
        <f t="shared" si="1"/>
        <v/>
      </c>
      <c r="AS1" s="136" t="str">
        <f t="shared" si="1"/>
        <v/>
      </c>
      <c r="AT1" s="136" t="str">
        <f t="shared" si="1"/>
        <v/>
      </c>
      <c r="AU1" s="136" t="str">
        <f t="shared" si="1"/>
        <v/>
      </c>
      <c r="AV1" s="136" t="str">
        <f t="shared" si="1"/>
        <v/>
      </c>
      <c r="AW1" s="136" t="str">
        <f t="shared" si="1"/>
        <v/>
      </c>
      <c r="AX1" s="136" t="str">
        <f t="shared" si="1"/>
        <v/>
      </c>
      <c r="AY1" s="136" t="str">
        <f t="shared" si="1"/>
        <v/>
      </c>
      <c r="AZ1" s="136" t="str">
        <f t="shared" si="1"/>
        <v/>
      </c>
      <c r="BA1" s="136" t="str">
        <f t="shared" si="1"/>
        <v/>
      </c>
      <c r="BB1" s="136" t="str">
        <f t="shared" si="1"/>
        <v/>
      </c>
      <c r="BC1" s="136" t="str">
        <f t="shared" si="1"/>
        <v/>
      </c>
      <c r="BD1" s="136" t="str">
        <f t="shared" si="1"/>
        <v/>
      </c>
      <c r="BE1" s="136" t="str">
        <f t="shared" si="1"/>
        <v/>
      </c>
      <c r="BF1" s="136" t="str">
        <f t="shared" si="1"/>
        <v/>
      </c>
      <c r="BG1" s="136" t="str">
        <f t="shared" si="1"/>
        <v/>
      </c>
      <c r="BH1" s="136" t="str">
        <f t="shared" si="1"/>
        <v/>
      </c>
      <c r="BI1" s="136" t="str">
        <f t="shared" si="1"/>
        <v/>
      </c>
      <c r="BJ1" s="136" t="str">
        <f t="shared" ref="BJ1:BS1" si="2">BJ4&amp;BJ5</f>
        <v/>
      </c>
      <c r="BK1" s="136" t="str">
        <f t="shared" si="2"/>
        <v/>
      </c>
      <c r="BL1" s="136" t="str">
        <f t="shared" si="2"/>
        <v/>
      </c>
      <c r="BM1" s="136" t="str">
        <f t="shared" si="2"/>
        <v/>
      </c>
      <c r="BN1" s="136" t="str">
        <f t="shared" si="2"/>
        <v/>
      </c>
      <c r="BO1" s="136" t="str">
        <f t="shared" si="2"/>
        <v/>
      </c>
      <c r="BP1" s="136" t="str">
        <f t="shared" si="2"/>
        <v/>
      </c>
      <c r="BQ1" s="136" t="str">
        <f t="shared" si="2"/>
        <v/>
      </c>
      <c r="BR1" s="136" t="str">
        <f t="shared" si="2"/>
        <v/>
      </c>
      <c r="BS1" s="136" t="str">
        <f t="shared" si="2"/>
        <v/>
      </c>
    </row>
    <row r="2" spans="1:71" s="136" customFormat="1">
      <c r="A2" s="142" t="s">
        <v>820</v>
      </c>
      <c r="B2" s="137"/>
      <c r="C2" s="137"/>
      <c r="D2" s="137"/>
      <c r="E2" s="137"/>
    </row>
    <row r="3" spans="1:71" ht="14.7" customHeight="1">
      <c r="A3" s="141" t="s">
        <v>800</v>
      </c>
      <c r="B3" s="199" t="s">
        <v>900</v>
      </c>
      <c r="D3" s="140"/>
      <c r="E3" s="140"/>
      <c r="F3" s="130"/>
      <c r="G3" s="115"/>
      <c r="H3" s="130"/>
      <c r="I3" s="143"/>
      <c r="J3" s="143"/>
      <c r="K3" s="143"/>
      <c r="L3" s="115"/>
      <c r="M3" s="115"/>
      <c r="N3" s="115"/>
      <c r="O3" s="143"/>
      <c r="P3" s="326"/>
      <c r="Q3" s="326"/>
      <c r="R3" s="130"/>
      <c r="S3" s="130"/>
    </row>
    <row r="4" spans="1:71" ht="60" customHeight="1">
      <c r="A4" s="324" t="s">
        <v>821</v>
      </c>
      <c r="B4" s="138" t="s">
        <v>801</v>
      </c>
      <c r="C4" s="232" t="s">
        <v>901</v>
      </c>
      <c r="D4" s="232" t="s">
        <v>901</v>
      </c>
      <c r="E4" s="232" t="s">
        <v>901</v>
      </c>
      <c r="F4" s="232" t="s">
        <v>901</v>
      </c>
      <c r="G4" s="232" t="s">
        <v>901</v>
      </c>
      <c r="H4" s="232" t="s">
        <v>901</v>
      </c>
      <c r="I4" s="212" t="s">
        <v>901</v>
      </c>
      <c r="J4" s="212" t="s">
        <v>901</v>
      </c>
      <c r="K4" s="212" t="s">
        <v>901</v>
      </c>
      <c r="L4" s="212" t="s">
        <v>901</v>
      </c>
      <c r="M4" s="212" t="s">
        <v>901</v>
      </c>
      <c r="N4" s="212" t="s">
        <v>901</v>
      </c>
      <c r="O4" s="212" t="s">
        <v>902</v>
      </c>
      <c r="P4" s="212" t="s">
        <v>902</v>
      </c>
      <c r="Q4" s="212" t="s">
        <v>902</v>
      </c>
      <c r="R4" s="212" t="s">
        <v>902</v>
      </c>
      <c r="S4" s="212" t="s">
        <v>902</v>
      </c>
      <c r="T4" s="212" t="s">
        <v>902</v>
      </c>
      <c r="U4" s="212" t="s">
        <v>902</v>
      </c>
      <c r="V4" s="212" t="s">
        <v>902</v>
      </c>
      <c r="W4" s="212" t="s">
        <v>902</v>
      </c>
      <c r="X4" s="212" t="s">
        <v>902</v>
      </c>
      <c r="Y4" s="212" t="s">
        <v>902</v>
      </c>
      <c r="Z4" s="212" t="s">
        <v>902</v>
      </c>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5"/>
      <c r="B5" s="139" t="s">
        <v>364</v>
      </c>
      <c r="C5" t="s">
        <v>903</v>
      </c>
      <c r="D5" t="s">
        <v>904</v>
      </c>
      <c r="E5" t="s">
        <v>905</v>
      </c>
      <c r="F5" t="s">
        <v>906</v>
      </c>
      <c r="G5" t="s">
        <v>907</v>
      </c>
      <c r="H5" t="s">
        <v>908</v>
      </c>
      <c r="I5" t="s">
        <v>909</v>
      </c>
      <c r="J5" t="s">
        <v>910</v>
      </c>
      <c r="K5" t="s">
        <v>911</v>
      </c>
      <c r="L5" t="s">
        <v>912</v>
      </c>
      <c r="M5" t="s">
        <v>913</v>
      </c>
      <c r="N5" t="s">
        <v>914</v>
      </c>
      <c r="O5" t="s">
        <v>903</v>
      </c>
      <c r="P5" s="223" t="s">
        <v>904</v>
      </c>
      <c r="Q5" s="223" t="s">
        <v>905</v>
      </c>
      <c r="R5" s="223" t="s">
        <v>906</v>
      </c>
      <c r="S5" s="222" t="s">
        <v>907</v>
      </c>
      <c r="T5" s="222" t="s">
        <v>908</v>
      </c>
      <c r="U5" s="222" t="s">
        <v>909</v>
      </c>
      <c r="V5" s="221" t="s">
        <v>910</v>
      </c>
      <c r="W5" s="221" t="s">
        <v>911</v>
      </c>
      <c r="X5" s="221" t="s">
        <v>912</v>
      </c>
      <c r="Y5" s="220" t="s">
        <v>913</v>
      </c>
      <c r="Z5" s="233" t="s">
        <v>914</v>
      </c>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5"/>
      <c r="B6" s="139" t="s">
        <v>365</v>
      </c>
      <c r="C6" s="155" t="s">
        <v>885</v>
      </c>
      <c r="D6" s="155" t="s">
        <v>885</v>
      </c>
      <c r="E6" s="155" t="s">
        <v>885</v>
      </c>
      <c r="F6" s="155" t="s">
        <v>885</v>
      </c>
      <c r="G6" s="155" t="s">
        <v>885</v>
      </c>
      <c r="H6" s="155" t="s">
        <v>885</v>
      </c>
      <c r="I6" s="155" t="s">
        <v>885</v>
      </c>
      <c r="J6" s="155" t="s">
        <v>885</v>
      </c>
      <c r="K6" s="155" t="s">
        <v>885</v>
      </c>
      <c r="L6" s="155" t="s">
        <v>885</v>
      </c>
      <c r="M6" s="155" t="s">
        <v>885</v>
      </c>
      <c r="N6" s="155" t="s">
        <v>885</v>
      </c>
      <c r="O6" s="155" t="s">
        <v>885</v>
      </c>
      <c r="P6" s="155" t="s">
        <v>885</v>
      </c>
      <c r="Q6" s="155" t="s">
        <v>885</v>
      </c>
      <c r="R6" s="155" t="s">
        <v>885</v>
      </c>
      <c r="S6" s="155" t="s">
        <v>885</v>
      </c>
      <c r="T6" s="155" t="s">
        <v>885</v>
      </c>
      <c r="U6" s="155" t="s">
        <v>885</v>
      </c>
      <c r="V6" s="155" t="s">
        <v>885</v>
      </c>
      <c r="W6" s="155" t="s">
        <v>885</v>
      </c>
      <c r="X6" s="155" t="s">
        <v>885</v>
      </c>
      <c r="Y6" s="155" t="s">
        <v>885</v>
      </c>
      <c r="Z6" s="155" t="s">
        <v>885</v>
      </c>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97.72</v>
      </c>
      <c r="D7">
        <v>97.51</v>
      </c>
      <c r="E7">
        <v>97.62</v>
      </c>
      <c r="F7">
        <v>97.756076654625602</v>
      </c>
      <c r="G7">
        <v>97.893352812271729</v>
      </c>
      <c r="H7">
        <v>97.650225724139801</v>
      </c>
      <c r="I7">
        <v>97.767916456301649</v>
      </c>
      <c r="J7">
        <v>97.59</v>
      </c>
      <c r="K7">
        <v>96.09</v>
      </c>
      <c r="L7">
        <v>97.07</v>
      </c>
      <c r="M7">
        <v>97.25</v>
      </c>
      <c r="N7">
        <v>96.89</v>
      </c>
      <c r="O7">
        <v>96.69</v>
      </c>
      <c r="P7">
        <v>97.77</v>
      </c>
      <c r="Q7">
        <v>96.03</v>
      </c>
      <c r="R7">
        <v>96.899508522430196</v>
      </c>
      <c r="S7">
        <v>97.934316494090581</v>
      </c>
      <c r="T7">
        <v>98.654589755813305</v>
      </c>
      <c r="U7">
        <v>98.771601082656673</v>
      </c>
      <c r="V7">
        <v>98.3</v>
      </c>
      <c r="W7">
        <v>96.42</v>
      </c>
      <c r="X7">
        <v>98.69</v>
      </c>
      <c r="Y7">
        <v>98.98</v>
      </c>
      <c r="Z7">
        <v>97.7</v>
      </c>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98.85</v>
      </c>
      <c r="D8">
        <v>98.76</v>
      </c>
      <c r="E8">
        <v>98.7</v>
      </c>
      <c r="F8">
        <v>98.830191868819213</v>
      </c>
      <c r="G8">
        <v>98.979970027555311</v>
      </c>
      <c r="H8">
        <v>98.8294519080698</v>
      </c>
      <c r="I8">
        <v>98.780908568142607</v>
      </c>
      <c r="J8">
        <v>98.72</v>
      </c>
      <c r="K8">
        <v>98.44</v>
      </c>
      <c r="L8">
        <v>98.71</v>
      </c>
      <c r="M8">
        <v>98.64</v>
      </c>
      <c r="N8">
        <v>98.57</v>
      </c>
      <c r="O8">
        <v>99</v>
      </c>
      <c r="P8">
        <v>99.03</v>
      </c>
      <c r="Q8">
        <v>98.88</v>
      </c>
      <c r="R8">
        <v>99.033694382164398</v>
      </c>
      <c r="S8">
        <v>99.003790608063653</v>
      </c>
      <c r="T8">
        <v>98.966433074141605</v>
      </c>
      <c r="U8">
        <v>98.996165476821403</v>
      </c>
      <c r="V8">
        <v>98.76</v>
      </c>
      <c r="W8">
        <v>97.98</v>
      </c>
      <c r="X8">
        <v>98.49</v>
      </c>
      <c r="Y8">
        <v>98.79</v>
      </c>
      <c r="Z8">
        <v>98.88</v>
      </c>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98.15</v>
      </c>
      <c r="D9">
        <v>98.27</v>
      </c>
      <c r="E9">
        <v>98.15</v>
      </c>
      <c r="F9">
        <v>98.162350203869565</v>
      </c>
      <c r="G9">
        <v>98.247040075294919</v>
      </c>
      <c r="H9">
        <v>98.0123661589503</v>
      </c>
      <c r="I9">
        <v>97.793443645401197</v>
      </c>
      <c r="J9">
        <v>97.51</v>
      </c>
      <c r="K9">
        <v>96.94</v>
      </c>
      <c r="L9">
        <v>97.6</v>
      </c>
      <c r="M9">
        <v>97.74</v>
      </c>
      <c r="N9">
        <v>97.32</v>
      </c>
      <c r="O9">
        <v>98.77</v>
      </c>
      <c r="P9">
        <v>98.37</v>
      </c>
      <c r="Q9">
        <v>98.95</v>
      </c>
      <c r="R9">
        <v>99.35996785488777</v>
      </c>
      <c r="S9">
        <v>98.348987182574717</v>
      </c>
      <c r="T9">
        <v>99.080837758430107</v>
      </c>
      <c r="U9">
        <v>98.567537841093596</v>
      </c>
      <c r="V9">
        <v>97.33</v>
      </c>
      <c r="W9">
        <v>93.32</v>
      </c>
      <c r="X9">
        <v>97.21</v>
      </c>
      <c r="Y9">
        <v>97.82</v>
      </c>
      <c r="Z9">
        <v>97.81</v>
      </c>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97.35</v>
      </c>
      <c r="D10">
        <v>97.12</v>
      </c>
      <c r="E10">
        <v>96.82</v>
      </c>
      <c r="F10">
        <v>97.029328287606432</v>
      </c>
      <c r="G10">
        <v>97.309593752239024</v>
      </c>
      <c r="H10">
        <v>97.255001266143296</v>
      </c>
      <c r="I10">
        <v>97.177779194288632</v>
      </c>
      <c r="J10">
        <v>97.03</v>
      </c>
      <c r="K10">
        <v>95.7</v>
      </c>
      <c r="L10">
        <v>96.62</v>
      </c>
      <c r="M10">
        <v>95.79</v>
      </c>
      <c r="N10">
        <v>96.3</v>
      </c>
      <c r="O10">
        <v>97.91</v>
      </c>
      <c r="P10">
        <v>98.21</v>
      </c>
      <c r="Q10">
        <v>97.79</v>
      </c>
      <c r="R10">
        <v>98.409652565779908</v>
      </c>
      <c r="S10">
        <v>97.859809207797596</v>
      </c>
      <c r="T10">
        <v>98.385949554084306</v>
      </c>
      <c r="U10">
        <v>97.680212156116895</v>
      </c>
      <c r="V10">
        <v>97.95</v>
      </c>
      <c r="W10">
        <v>95.4</v>
      </c>
      <c r="X10">
        <v>96.55</v>
      </c>
      <c r="Y10">
        <v>97.8</v>
      </c>
      <c r="Z10">
        <v>97.78</v>
      </c>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98.06</v>
      </c>
      <c r="D11">
        <v>98.4</v>
      </c>
      <c r="E11">
        <v>97.98</v>
      </c>
      <c r="F11">
        <v>98.443713256506612</v>
      </c>
      <c r="G11">
        <v>98.159267213042909</v>
      </c>
      <c r="H11">
        <v>97.964141281693799</v>
      </c>
      <c r="I11">
        <v>97.902034469353367</v>
      </c>
      <c r="J11">
        <v>97.72</v>
      </c>
      <c r="K11">
        <v>96.63</v>
      </c>
      <c r="L11">
        <v>97.44</v>
      </c>
      <c r="M11">
        <v>97.41</v>
      </c>
      <c r="N11">
        <v>97.05</v>
      </c>
      <c r="O11">
        <v>99.09</v>
      </c>
      <c r="P11">
        <v>98.9</v>
      </c>
      <c r="Q11">
        <v>99.32</v>
      </c>
      <c r="R11">
        <v>99.141541038525958</v>
      </c>
      <c r="S11">
        <v>98.930645922702737</v>
      </c>
      <c r="T11">
        <v>99.2854576663606</v>
      </c>
      <c r="U11">
        <v>98.718596873298594</v>
      </c>
      <c r="V11">
        <v>98.74</v>
      </c>
      <c r="W11">
        <v>90.82</v>
      </c>
      <c r="X11">
        <v>97.55</v>
      </c>
      <c r="Y11">
        <v>98.54</v>
      </c>
      <c r="Z11">
        <v>98.49</v>
      </c>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98.32</v>
      </c>
      <c r="D12">
        <v>98.19</v>
      </c>
      <c r="E12">
        <v>98.37</v>
      </c>
      <c r="F12">
        <v>98.3521822730374</v>
      </c>
      <c r="G12">
        <v>98.39236674885241</v>
      </c>
      <c r="H12">
        <v>98.511853261810003</v>
      </c>
      <c r="I12">
        <v>98.417474848182735</v>
      </c>
      <c r="J12">
        <v>98.42</v>
      </c>
      <c r="K12">
        <v>97.66</v>
      </c>
      <c r="L12">
        <v>98.07</v>
      </c>
      <c r="M12">
        <v>98.11</v>
      </c>
      <c r="N12">
        <v>98.11</v>
      </c>
      <c r="O12">
        <v>97.92</v>
      </c>
      <c r="P12">
        <v>98.29</v>
      </c>
      <c r="Q12">
        <v>98.16</v>
      </c>
      <c r="R12">
        <v>98.39666708748895</v>
      </c>
      <c r="S12">
        <v>98.309424147600282</v>
      </c>
      <c r="T12">
        <v>98.472696245733701</v>
      </c>
      <c r="U12">
        <v>98.486822748098021</v>
      </c>
      <c r="V12">
        <v>98.33</v>
      </c>
      <c r="W12">
        <v>96.83</v>
      </c>
      <c r="X12">
        <v>96.78</v>
      </c>
      <c r="Y12">
        <v>97.64</v>
      </c>
      <c r="Z12">
        <v>97.06</v>
      </c>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94.56</v>
      </c>
      <c r="D13">
        <v>94.13</v>
      </c>
      <c r="E13">
        <v>94.31</v>
      </c>
      <c r="F13">
        <v>94.819567719253996</v>
      </c>
      <c r="G13">
        <v>95.468373020035671</v>
      </c>
      <c r="H13">
        <v>95.751923590890499</v>
      </c>
      <c r="I13">
        <v>95.700695206732533</v>
      </c>
      <c r="J13">
        <v>95.67</v>
      </c>
      <c r="K13">
        <v>93.18</v>
      </c>
      <c r="L13">
        <v>93.64</v>
      </c>
      <c r="M13">
        <v>93.56</v>
      </c>
      <c r="N13">
        <v>93.54</v>
      </c>
      <c r="O13">
        <v>95.09</v>
      </c>
      <c r="P13">
        <v>96.96</v>
      </c>
      <c r="Q13">
        <v>97.89</v>
      </c>
      <c r="R13">
        <v>98.213466087631957</v>
      </c>
      <c r="S13">
        <v>98.261149300734814</v>
      </c>
      <c r="T13">
        <v>98.194563518079505</v>
      </c>
      <c r="U13">
        <v>98.282735858305287</v>
      </c>
      <c r="V13">
        <v>97.96</v>
      </c>
      <c r="W13">
        <v>86.85</v>
      </c>
      <c r="X13">
        <v>94.82</v>
      </c>
      <c r="Y13">
        <v>96.49</v>
      </c>
      <c r="Z13">
        <v>96.64</v>
      </c>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96.7</v>
      </c>
      <c r="D14">
        <v>96.39</v>
      </c>
      <c r="E14">
        <v>96.45</v>
      </c>
      <c r="F14">
        <v>96.092170158676808</v>
      </c>
      <c r="G14">
        <v>96.126312972502845</v>
      </c>
      <c r="H14">
        <v>96.0167055644269</v>
      </c>
      <c r="I14">
        <v>95.820601281419414</v>
      </c>
      <c r="J14">
        <v>95.65</v>
      </c>
      <c r="K14">
        <v>94.94</v>
      </c>
      <c r="L14">
        <v>94.47</v>
      </c>
      <c r="M14">
        <v>95.01</v>
      </c>
      <c r="N14">
        <v>94.51</v>
      </c>
      <c r="O14">
        <v>95.63</v>
      </c>
      <c r="P14">
        <v>95.75</v>
      </c>
      <c r="Q14">
        <v>96.32</v>
      </c>
      <c r="R14">
        <v>96.729933274896695</v>
      </c>
      <c r="S14">
        <v>97.030051375888533</v>
      </c>
      <c r="T14">
        <v>96.888244382871093</v>
      </c>
      <c r="U14">
        <v>96.769984239692249</v>
      </c>
      <c r="V14">
        <v>95.95</v>
      </c>
      <c r="W14">
        <v>82.42</v>
      </c>
      <c r="X14">
        <v>90.83</v>
      </c>
      <c r="Y14">
        <v>93.74</v>
      </c>
      <c r="Z14">
        <v>94.04</v>
      </c>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96.33</v>
      </c>
      <c r="D15">
        <v>95.51</v>
      </c>
      <c r="E15">
        <v>95.68</v>
      </c>
      <c r="F15">
        <v>96.011630111876627</v>
      </c>
      <c r="G15">
        <v>95.776964718314773</v>
      </c>
      <c r="H15">
        <v>96.072094352171902</v>
      </c>
      <c r="I15">
        <v>96.026571750775304</v>
      </c>
      <c r="J15">
        <v>95.85</v>
      </c>
      <c r="K15">
        <v>96.26</v>
      </c>
      <c r="L15">
        <v>96.77</v>
      </c>
      <c r="M15">
        <v>96.85</v>
      </c>
      <c r="N15">
        <v>96.72</v>
      </c>
      <c r="O15">
        <v>97.32</v>
      </c>
      <c r="P15">
        <v>96.39</v>
      </c>
      <c r="Q15">
        <v>97.23</v>
      </c>
      <c r="R15">
        <v>97.075602425900271</v>
      </c>
      <c r="S15">
        <v>97.335893854748605</v>
      </c>
      <c r="T15">
        <v>98.391043226810993</v>
      </c>
      <c r="U15">
        <v>97.766772053582855</v>
      </c>
      <c r="V15">
        <v>98.26</v>
      </c>
      <c r="W15">
        <v>98.27</v>
      </c>
      <c r="X15">
        <v>98.12</v>
      </c>
      <c r="Y15">
        <v>98.46</v>
      </c>
      <c r="Z15">
        <v>98.18</v>
      </c>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97.83</v>
      </c>
      <c r="D16">
        <v>97.12</v>
      </c>
      <c r="E16">
        <v>97.07</v>
      </c>
      <c r="F16">
        <v>97.165054873410838</v>
      </c>
      <c r="G16">
        <v>97.006747972512841</v>
      </c>
      <c r="H16">
        <v>96.556445132295593</v>
      </c>
      <c r="I16">
        <v>96.37107366682929</v>
      </c>
      <c r="J16">
        <v>96.71</v>
      </c>
      <c r="K16">
        <v>95.75</v>
      </c>
      <c r="L16">
        <v>96.27</v>
      </c>
      <c r="M16">
        <v>96.47</v>
      </c>
      <c r="N16">
        <v>96.47</v>
      </c>
      <c r="O16">
        <v>98.47</v>
      </c>
      <c r="P16">
        <v>98.65</v>
      </c>
      <c r="Q16">
        <v>98.7</v>
      </c>
      <c r="R16">
        <v>99.40036290661763</v>
      </c>
      <c r="S16">
        <v>98.467239741529937</v>
      </c>
      <c r="T16">
        <v>98.724548227266595</v>
      </c>
      <c r="U16">
        <v>99.429966447392161</v>
      </c>
      <c r="V16">
        <v>98.47</v>
      </c>
      <c r="W16">
        <v>96.2</v>
      </c>
      <c r="X16">
        <v>98.52</v>
      </c>
      <c r="Y16">
        <v>98.68</v>
      </c>
      <c r="Z16">
        <v>98.74</v>
      </c>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98.52</v>
      </c>
      <c r="D17">
        <v>98.53</v>
      </c>
      <c r="E17">
        <v>98.54</v>
      </c>
      <c r="F17">
        <v>98.602569986232211</v>
      </c>
      <c r="G17">
        <v>98.664621788902878</v>
      </c>
      <c r="H17">
        <v>98.607175846643997</v>
      </c>
      <c r="I17">
        <v>98.607077864250599</v>
      </c>
      <c r="J17">
        <v>98.35</v>
      </c>
      <c r="K17">
        <v>97.95</v>
      </c>
      <c r="L17">
        <v>98.16</v>
      </c>
      <c r="M17">
        <v>98.04</v>
      </c>
      <c r="N17">
        <v>97.94</v>
      </c>
      <c r="O17">
        <v>98.8</v>
      </c>
      <c r="P17">
        <v>98.62</v>
      </c>
      <c r="Q17">
        <v>99.67</v>
      </c>
      <c r="R17">
        <v>99.278176611353032</v>
      </c>
      <c r="S17">
        <v>99.423824718694689</v>
      </c>
      <c r="T17">
        <v>99.470933525565101</v>
      </c>
      <c r="U17">
        <v>98.89993761220255</v>
      </c>
      <c r="V17">
        <v>98.39</v>
      </c>
      <c r="W17">
        <v>99.63</v>
      </c>
      <c r="X17">
        <v>99.61</v>
      </c>
      <c r="Y17">
        <v>99.66</v>
      </c>
      <c r="Z17">
        <v>98.84</v>
      </c>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97.27</v>
      </c>
      <c r="D18">
        <v>97.19</v>
      </c>
      <c r="E18">
        <v>96.98</v>
      </c>
      <c r="F18">
        <v>96.851809008560082</v>
      </c>
      <c r="G18">
        <v>96.797774724808761</v>
      </c>
      <c r="H18">
        <v>96.680451188311494</v>
      </c>
      <c r="I18">
        <v>96.5462491116118</v>
      </c>
      <c r="J18">
        <v>95.98</v>
      </c>
      <c r="K18">
        <v>95.97</v>
      </c>
      <c r="L18">
        <v>95.84</v>
      </c>
      <c r="M18">
        <v>95.86</v>
      </c>
      <c r="N18">
        <v>95.5</v>
      </c>
      <c r="O18">
        <v>98.69</v>
      </c>
      <c r="P18">
        <v>98.91</v>
      </c>
      <c r="Q18">
        <v>98.8</v>
      </c>
      <c r="R18">
        <v>99.254780132401351</v>
      </c>
      <c r="S18">
        <v>98.720309859689763</v>
      </c>
      <c r="T18">
        <v>98.603346475999899</v>
      </c>
      <c r="U18">
        <v>98.523633311715571</v>
      </c>
      <c r="V18">
        <v>99.46</v>
      </c>
      <c r="W18">
        <v>98.92</v>
      </c>
      <c r="X18">
        <v>99.52</v>
      </c>
      <c r="Y18">
        <v>98.49</v>
      </c>
      <c r="Z18">
        <v>92.25</v>
      </c>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98.9</v>
      </c>
      <c r="D19">
        <v>98.78</v>
      </c>
      <c r="E19">
        <v>98.63</v>
      </c>
      <c r="F19">
        <v>98.731551310586255</v>
      </c>
      <c r="G19">
        <v>98.801931768930714</v>
      </c>
      <c r="H19">
        <v>98.121694429341105</v>
      </c>
      <c r="I19">
        <v>98.215461670454019</v>
      </c>
      <c r="J19">
        <v>98.14</v>
      </c>
      <c r="K19">
        <v>98.47</v>
      </c>
      <c r="L19">
        <v>97.83</v>
      </c>
      <c r="M19">
        <v>97.7</v>
      </c>
      <c r="N19">
        <v>97.13</v>
      </c>
      <c r="O19">
        <v>97.92</v>
      </c>
      <c r="P19">
        <v>98.3</v>
      </c>
      <c r="Q19">
        <v>98.84</v>
      </c>
      <c r="R19">
        <v>98.04056582591123</v>
      </c>
      <c r="S19">
        <v>98.77959015428101</v>
      </c>
      <c r="T19">
        <v>98.839803659080701</v>
      </c>
      <c r="U19">
        <v>98.609678558813144</v>
      </c>
      <c r="V19">
        <v>98.06</v>
      </c>
      <c r="W19">
        <v>94.36</v>
      </c>
      <c r="X19">
        <v>97.18</v>
      </c>
      <c r="Y19">
        <v>97.54</v>
      </c>
      <c r="Z19">
        <v>96.93</v>
      </c>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97.66</v>
      </c>
      <c r="D20">
        <v>97.52</v>
      </c>
      <c r="E20">
        <v>97.56</v>
      </c>
      <c r="F20">
        <v>97.468151590417435</v>
      </c>
      <c r="G20">
        <v>97.611856883376504</v>
      </c>
      <c r="H20">
        <v>97.556813619208199</v>
      </c>
      <c r="I20">
        <v>97.557410289055497</v>
      </c>
      <c r="J20">
        <v>97.41</v>
      </c>
      <c r="K20">
        <v>96.72</v>
      </c>
      <c r="L20">
        <v>97.05</v>
      </c>
      <c r="M20">
        <v>96.68</v>
      </c>
      <c r="N20">
        <v>96.45</v>
      </c>
      <c r="O20">
        <v>98.18</v>
      </c>
      <c r="P20">
        <v>98.69</v>
      </c>
      <c r="Q20">
        <v>98.55</v>
      </c>
      <c r="R20">
        <v>98.317723822628608</v>
      </c>
      <c r="S20">
        <v>98.541489866662829</v>
      </c>
      <c r="T20">
        <v>98.899375721175105</v>
      </c>
      <c r="U20">
        <v>98.978151557032376</v>
      </c>
      <c r="V20">
        <v>97.72</v>
      </c>
      <c r="W20">
        <v>97.55</v>
      </c>
      <c r="X20">
        <v>97.65</v>
      </c>
      <c r="Y20">
        <v>98.26</v>
      </c>
      <c r="Z20">
        <v>96.36</v>
      </c>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96.13</v>
      </c>
      <c r="D21">
        <v>96.27</v>
      </c>
      <c r="E21">
        <v>96.57</v>
      </c>
      <c r="F21">
        <v>96.696298606778953</v>
      </c>
      <c r="G21">
        <v>96.525615446903359</v>
      </c>
      <c r="H21">
        <v>96.273877965505307</v>
      </c>
      <c r="I21">
        <v>96.301903443239041</v>
      </c>
      <c r="J21">
        <v>96.31</v>
      </c>
      <c r="K21">
        <v>95.09</v>
      </c>
      <c r="L21">
        <v>95.38</v>
      </c>
      <c r="M21">
        <v>95.21</v>
      </c>
      <c r="N21">
        <v>95.35</v>
      </c>
      <c r="O21">
        <v>98.31</v>
      </c>
      <c r="P21">
        <v>98.4</v>
      </c>
      <c r="Q21">
        <v>98.49</v>
      </c>
      <c r="R21">
        <v>98.518758632353354</v>
      </c>
      <c r="S21">
        <v>98.849841988905325</v>
      </c>
      <c r="T21">
        <v>98.950127687173094</v>
      </c>
      <c r="U21">
        <v>98.611439531278734</v>
      </c>
      <c r="V21">
        <v>98.59</v>
      </c>
      <c r="W21">
        <v>90.83</v>
      </c>
      <c r="X21">
        <v>95.13</v>
      </c>
      <c r="Y21">
        <v>96.41</v>
      </c>
      <c r="Z21">
        <v>97.23</v>
      </c>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95.36</v>
      </c>
      <c r="D22">
        <v>95.34</v>
      </c>
      <c r="E22">
        <v>94.56</v>
      </c>
      <c r="F22">
        <v>94.627291128028716</v>
      </c>
      <c r="G22">
        <v>94.550587848585693</v>
      </c>
      <c r="H22">
        <v>94.495856086665995</v>
      </c>
      <c r="I22">
        <v>94.404342508284628</v>
      </c>
      <c r="J22">
        <v>94.28</v>
      </c>
      <c r="K22">
        <v>92.62</v>
      </c>
      <c r="L22">
        <v>92.89</v>
      </c>
      <c r="M22">
        <v>90.16</v>
      </c>
      <c r="N22">
        <v>90.91</v>
      </c>
      <c r="O22">
        <v>95.56</v>
      </c>
      <c r="P22">
        <v>95.46</v>
      </c>
      <c r="Q22">
        <v>96.73</v>
      </c>
      <c r="R22">
        <v>96.734994046646278</v>
      </c>
      <c r="S22">
        <v>97.196502406290236</v>
      </c>
      <c r="T22">
        <v>97.0532487553387</v>
      </c>
      <c r="U22">
        <v>96.263083591108554</v>
      </c>
      <c r="V22">
        <v>96.9</v>
      </c>
      <c r="W22">
        <v>91.28</v>
      </c>
      <c r="X22">
        <v>95.78</v>
      </c>
      <c r="Y22">
        <v>90.07</v>
      </c>
      <c r="Z22">
        <v>94.15</v>
      </c>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97.05</v>
      </c>
      <c r="D23">
        <v>97.5</v>
      </c>
      <c r="E23">
        <v>97.87</v>
      </c>
      <c r="F23">
        <v>97.949438782892699</v>
      </c>
      <c r="G23">
        <v>97.952590401307845</v>
      </c>
      <c r="H23">
        <v>98.183758717774097</v>
      </c>
      <c r="I23">
        <v>97.964219617520058</v>
      </c>
      <c r="J23">
        <v>98.04</v>
      </c>
      <c r="K23">
        <v>97.79</v>
      </c>
      <c r="L23">
        <v>98.02</v>
      </c>
      <c r="M23">
        <v>97.83</v>
      </c>
      <c r="N23">
        <v>97.35</v>
      </c>
      <c r="O23">
        <v>96.78</v>
      </c>
      <c r="P23">
        <v>99.1</v>
      </c>
      <c r="Q23">
        <v>99.17</v>
      </c>
      <c r="R23">
        <v>97.350718761518621</v>
      </c>
      <c r="S23">
        <v>98.640617528519698</v>
      </c>
      <c r="T23">
        <v>98.787224859732405</v>
      </c>
      <c r="U23">
        <v>99.360506562670352</v>
      </c>
      <c r="V23">
        <v>99.16</v>
      </c>
      <c r="W23">
        <v>98.34</v>
      </c>
      <c r="X23">
        <v>97.89</v>
      </c>
      <c r="Y23">
        <v>99.21</v>
      </c>
      <c r="Z23">
        <v>97.77</v>
      </c>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96.78</v>
      </c>
      <c r="D24">
        <v>95.55</v>
      </c>
      <c r="E24">
        <v>95.85</v>
      </c>
      <c r="F24">
        <v>95.229451919662239</v>
      </c>
      <c r="G24">
        <v>95.278961862009126</v>
      </c>
      <c r="H24">
        <v>95.337315781943005</v>
      </c>
      <c r="I24">
        <v>95.079124214177327</v>
      </c>
      <c r="J24">
        <v>94.9</v>
      </c>
      <c r="K24">
        <v>94.77</v>
      </c>
      <c r="L24">
        <v>94.76</v>
      </c>
      <c r="M24">
        <v>95.78</v>
      </c>
      <c r="N24">
        <v>95.3</v>
      </c>
      <c r="O24">
        <v>97.29</v>
      </c>
      <c r="P24">
        <v>96.89</v>
      </c>
      <c r="Q24">
        <v>97.77</v>
      </c>
      <c r="R24">
        <v>98.732831916285164</v>
      </c>
      <c r="S24">
        <v>97.441377381855958</v>
      </c>
      <c r="T24">
        <v>98.522773902338898</v>
      </c>
      <c r="U24">
        <v>98.250097457443587</v>
      </c>
      <c r="V24">
        <v>98.29</v>
      </c>
      <c r="W24">
        <v>96.52</v>
      </c>
      <c r="X24">
        <v>97.75</v>
      </c>
      <c r="Y24">
        <v>97.82</v>
      </c>
      <c r="Z24">
        <v>98.45</v>
      </c>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95.46</v>
      </c>
      <c r="D25">
        <v>93.09</v>
      </c>
      <c r="E25">
        <v>92.35</v>
      </c>
      <c r="F25">
        <v>90.724222800188514</v>
      </c>
      <c r="G25">
        <v>90.009618892832265</v>
      </c>
      <c r="H25">
        <v>91.330327124396504</v>
      </c>
      <c r="I25">
        <v>91.998450351650973</v>
      </c>
      <c r="J25">
        <v>91.49</v>
      </c>
      <c r="K25">
        <v>87.76</v>
      </c>
      <c r="L25">
        <v>88</v>
      </c>
      <c r="M25">
        <v>88.87</v>
      </c>
      <c r="N25">
        <v>88.97</v>
      </c>
      <c r="O25">
        <v>94.25</v>
      </c>
      <c r="P25">
        <v>94.91</v>
      </c>
      <c r="Q25">
        <v>95.09</v>
      </c>
      <c r="R25">
        <v>95.093142933100395</v>
      </c>
      <c r="S25">
        <v>93.941022742016202</v>
      </c>
      <c r="T25">
        <v>95.616416319800507</v>
      </c>
      <c r="U25">
        <v>96.155707946752727</v>
      </c>
      <c r="V25">
        <v>95.63</v>
      </c>
      <c r="W25">
        <v>85.77</v>
      </c>
      <c r="X25">
        <v>92.27</v>
      </c>
      <c r="Y25">
        <v>95.06</v>
      </c>
      <c r="Z25">
        <v>94.57</v>
      </c>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97.81</v>
      </c>
      <c r="D26">
        <v>97.35</v>
      </c>
      <c r="E26">
        <v>97.42</v>
      </c>
      <c r="F26">
        <v>97.690978429269464</v>
      </c>
      <c r="G26">
        <v>97.71180673698538</v>
      </c>
      <c r="H26">
        <v>97.759307079836404</v>
      </c>
      <c r="I26">
        <v>97.543264851735657</v>
      </c>
      <c r="J26">
        <v>97.3</v>
      </c>
      <c r="K26">
        <v>96.01</v>
      </c>
      <c r="L26">
        <v>96.63</v>
      </c>
      <c r="M26">
        <v>96.41</v>
      </c>
      <c r="N26">
        <v>96.65</v>
      </c>
      <c r="O26">
        <v>99.11</v>
      </c>
      <c r="P26">
        <v>98.71</v>
      </c>
      <c r="Q26">
        <v>98.67</v>
      </c>
      <c r="R26">
        <v>99.204860544772473</v>
      </c>
      <c r="S26">
        <v>99.386758526706288</v>
      </c>
      <c r="T26">
        <v>99.117431687671001</v>
      </c>
      <c r="U26">
        <v>99.31079276873669</v>
      </c>
      <c r="V26">
        <v>98.87</v>
      </c>
      <c r="W26">
        <v>98.33</v>
      </c>
      <c r="X26">
        <v>98.26</v>
      </c>
      <c r="Y26">
        <v>98.14</v>
      </c>
      <c r="Z26">
        <v>98.45</v>
      </c>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96.41</v>
      </c>
      <c r="D27">
        <v>95.83</v>
      </c>
      <c r="E27">
        <v>95.9</v>
      </c>
      <c r="F27">
        <v>95.880894222106633</v>
      </c>
      <c r="G27">
        <v>95.86397058823529</v>
      </c>
      <c r="H27">
        <v>95.290716193369704</v>
      </c>
      <c r="I27">
        <v>95.029702058421734</v>
      </c>
      <c r="J27">
        <v>95.13</v>
      </c>
      <c r="K27">
        <v>94.57</v>
      </c>
      <c r="L27">
        <v>93.99</v>
      </c>
      <c r="M27">
        <v>94.45</v>
      </c>
      <c r="N27">
        <v>93.84</v>
      </c>
      <c r="O27">
        <v>96.14</v>
      </c>
      <c r="P27">
        <v>96.32</v>
      </c>
      <c r="Q27">
        <v>96.35</v>
      </c>
      <c r="R27">
        <v>96.37725431629444</v>
      </c>
      <c r="S27">
        <v>95.938049829484982</v>
      </c>
      <c r="T27">
        <v>96.5460342943786</v>
      </c>
      <c r="U27">
        <v>95.068057080131723</v>
      </c>
      <c r="V27">
        <v>94.95</v>
      </c>
      <c r="W27">
        <v>89.5</v>
      </c>
      <c r="X27">
        <v>93.44</v>
      </c>
      <c r="Y27">
        <v>95.61</v>
      </c>
      <c r="Z27">
        <v>96.47</v>
      </c>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96.05</v>
      </c>
      <c r="D28">
        <v>95.37</v>
      </c>
      <c r="E28">
        <v>95.84</v>
      </c>
      <c r="F28">
        <v>96.030046948356812</v>
      </c>
      <c r="G28">
        <v>96.018685635417782</v>
      </c>
      <c r="H28">
        <v>96.1426875906633</v>
      </c>
      <c r="I28">
        <v>96.010761666202811</v>
      </c>
      <c r="J28">
        <v>95.85</v>
      </c>
      <c r="K28">
        <v>94.21</v>
      </c>
      <c r="L28">
        <v>94.01</v>
      </c>
      <c r="M28">
        <v>93.72</v>
      </c>
      <c r="N28">
        <v>93.37</v>
      </c>
      <c r="O28">
        <v>97.38</v>
      </c>
      <c r="P28">
        <v>97.74</v>
      </c>
      <c r="Q28">
        <v>98.14</v>
      </c>
      <c r="R28">
        <v>97.999097337144576</v>
      </c>
      <c r="S28">
        <v>98.143040094571958</v>
      </c>
      <c r="T28">
        <v>98.187280921381998</v>
      </c>
      <c r="U28">
        <v>96.188405797101453</v>
      </c>
      <c r="V28">
        <v>97.78</v>
      </c>
      <c r="W28">
        <v>96.6</v>
      </c>
      <c r="X28">
        <v>94.08</v>
      </c>
      <c r="Y28">
        <v>92.45</v>
      </c>
      <c r="Z28">
        <v>93.75</v>
      </c>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895</v>
      </c>
      <c r="B29" s="134"/>
      <c r="C29" t="s">
        <v>879</v>
      </c>
      <c r="D29" t="s">
        <v>879</v>
      </c>
      <c r="E29" t="s">
        <v>879</v>
      </c>
      <c r="F29" t="s">
        <v>879</v>
      </c>
      <c r="G29" t="s">
        <v>879</v>
      </c>
      <c r="H29" t="s">
        <v>879</v>
      </c>
      <c r="I29" t="s">
        <v>879</v>
      </c>
      <c r="J29">
        <v>97.16</v>
      </c>
      <c r="K29">
        <v>95.12</v>
      </c>
      <c r="L29">
        <v>95.32</v>
      </c>
      <c r="M29">
        <v>95.86</v>
      </c>
      <c r="N29">
        <v>96.29</v>
      </c>
      <c r="O29" t="s">
        <v>879</v>
      </c>
      <c r="P29" t="s">
        <v>879</v>
      </c>
      <c r="Q29" t="s">
        <v>879</v>
      </c>
      <c r="R29" t="s">
        <v>879</v>
      </c>
      <c r="S29" t="s">
        <v>879</v>
      </c>
      <c r="T29" t="s">
        <v>879</v>
      </c>
      <c r="U29" t="s">
        <v>879</v>
      </c>
      <c r="V29">
        <v>98.07</v>
      </c>
      <c r="W29">
        <v>90.67</v>
      </c>
      <c r="X29">
        <v>95.85</v>
      </c>
      <c r="Y29">
        <v>96.44</v>
      </c>
      <c r="Z29">
        <v>97.6</v>
      </c>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97.6</v>
      </c>
      <c r="D30">
        <v>97.57</v>
      </c>
      <c r="E30">
        <v>97.86</v>
      </c>
      <c r="F30">
        <v>98.259907463287064</v>
      </c>
      <c r="G30">
        <v>98.284140102321913</v>
      </c>
      <c r="H30">
        <v>98.500074548978603</v>
      </c>
      <c r="I30">
        <v>98.367078511760681</v>
      </c>
      <c r="J30">
        <v>97.87</v>
      </c>
      <c r="K30">
        <v>97.91</v>
      </c>
      <c r="L30">
        <v>97.31</v>
      </c>
      <c r="M30">
        <v>97.21</v>
      </c>
      <c r="N30">
        <v>97.07</v>
      </c>
      <c r="O30">
        <v>97.24</v>
      </c>
      <c r="P30">
        <v>98.79</v>
      </c>
      <c r="Q30">
        <v>97.86</v>
      </c>
      <c r="R30">
        <v>98.898659486709434</v>
      </c>
      <c r="S30">
        <v>98.62053369516056</v>
      </c>
      <c r="T30">
        <v>99.887510936436698</v>
      </c>
      <c r="U30">
        <v>99.902615108941234</v>
      </c>
      <c r="V30">
        <v>99.87</v>
      </c>
      <c r="W30">
        <v>96.88</v>
      </c>
      <c r="X30">
        <v>96.59</v>
      </c>
      <c r="Y30">
        <v>99.97</v>
      </c>
      <c r="Z30">
        <v>99.65</v>
      </c>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95.47</v>
      </c>
      <c r="D31">
        <v>94.33</v>
      </c>
      <c r="E31">
        <v>94.17</v>
      </c>
      <c r="F31">
        <v>94.262998403371384</v>
      </c>
      <c r="G31">
        <v>94.001187372551044</v>
      </c>
      <c r="H31">
        <v>94.1548329326572</v>
      </c>
      <c r="I31">
        <v>93.921207203711219</v>
      </c>
      <c r="J31">
        <v>94.05</v>
      </c>
      <c r="K31">
        <v>94.18</v>
      </c>
      <c r="L31">
        <v>94.37</v>
      </c>
      <c r="M31">
        <v>94.37</v>
      </c>
      <c r="N31">
        <v>94.22</v>
      </c>
      <c r="O31">
        <v>96.79</v>
      </c>
      <c r="P31">
        <v>97.76</v>
      </c>
      <c r="Q31">
        <v>97.95</v>
      </c>
      <c r="R31">
        <v>96.935257132066496</v>
      </c>
      <c r="S31">
        <v>97.011859935968431</v>
      </c>
      <c r="T31">
        <v>97.5254523882261</v>
      </c>
      <c r="U31">
        <v>97.944189282240941</v>
      </c>
      <c r="V31">
        <v>96.7</v>
      </c>
      <c r="W31">
        <v>92.32</v>
      </c>
      <c r="X31">
        <v>95.59</v>
      </c>
      <c r="Y31">
        <v>97.62</v>
      </c>
      <c r="Z31">
        <v>97.13</v>
      </c>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98.63</v>
      </c>
      <c r="D32">
        <v>98.69</v>
      </c>
      <c r="E32">
        <v>98.16</v>
      </c>
      <c r="F32">
        <v>98.261566561107969</v>
      </c>
      <c r="G32">
        <v>98.378041949337145</v>
      </c>
      <c r="H32">
        <v>98.398610612049296</v>
      </c>
      <c r="I32">
        <v>98.219956826889387</v>
      </c>
      <c r="J32">
        <v>98.01</v>
      </c>
      <c r="K32">
        <v>96.65</v>
      </c>
      <c r="L32">
        <v>97.4</v>
      </c>
      <c r="M32">
        <v>97.72</v>
      </c>
      <c r="N32">
        <v>97.59</v>
      </c>
      <c r="O32">
        <v>98.7</v>
      </c>
      <c r="P32">
        <v>97.98</v>
      </c>
      <c r="Q32">
        <v>98.04</v>
      </c>
      <c r="R32">
        <v>98.787251179380959</v>
      </c>
      <c r="S32">
        <v>99.020608039175684</v>
      </c>
      <c r="T32">
        <v>98.815193674776495</v>
      </c>
      <c r="U32">
        <v>99.048672056757198</v>
      </c>
      <c r="V32">
        <v>99.28</v>
      </c>
      <c r="W32">
        <v>95.72</v>
      </c>
      <c r="X32">
        <v>98.66</v>
      </c>
      <c r="Y32">
        <v>98.92</v>
      </c>
      <c r="Z32">
        <v>98.12</v>
      </c>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98.19</v>
      </c>
      <c r="D33">
        <v>97.89</v>
      </c>
      <c r="E33">
        <v>97.78</v>
      </c>
      <c r="F33">
        <v>97.816551320791504</v>
      </c>
      <c r="G33">
        <v>97.880589695650841</v>
      </c>
      <c r="H33">
        <v>97.684313415458007</v>
      </c>
      <c r="I33">
        <v>97.557511689912516</v>
      </c>
      <c r="J33">
        <v>97.51</v>
      </c>
      <c r="K33">
        <v>97.3</v>
      </c>
      <c r="L33">
        <v>97.58</v>
      </c>
      <c r="M33">
        <v>97.45</v>
      </c>
      <c r="N33">
        <v>97.25</v>
      </c>
      <c r="O33">
        <v>98.49</v>
      </c>
      <c r="P33">
        <v>98.32</v>
      </c>
      <c r="Q33">
        <v>98.11</v>
      </c>
      <c r="R33">
        <v>98.596377749029756</v>
      </c>
      <c r="S33">
        <v>98.574415510359245</v>
      </c>
      <c r="T33">
        <v>98.033978320961495</v>
      </c>
      <c r="U33">
        <v>96.536105223425579</v>
      </c>
      <c r="V33">
        <v>97.64</v>
      </c>
      <c r="W33">
        <v>96.53</v>
      </c>
      <c r="X33">
        <v>98.39</v>
      </c>
      <c r="Y33">
        <v>97.44</v>
      </c>
      <c r="Z33">
        <v>97.42</v>
      </c>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95.87</v>
      </c>
      <c r="D34">
        <v>95.69</v>
      </c>
      <c r="E34">
        <v>95.6</v>
      </c>
      <c r="F34">
        <v>95.86935081510704</v>
      </c>
      <c r="G34">
        <v>95.742192438993555</v>
      </c>
      <c r="H34">
        <v>95.251383973137294</v>
      </c>
      <c r="I34">
        <v>96.08227924603429</v>
      </c>
      <c r="J34">
        <v>95.89</v>
      </c>
      <c r="K34">
        <v>91.93</v>
      </c>
      <c r="L34">
        <v>92.15</v>
      </c>
      <c r="M34">
        <v>93.43</v>
      </c>
      <c r="N34">
        <v>92.2</v>
      </c>
      <c r="O34">
        <v>97.21</v>
      </c>
      <c r="P34">
        <v>97.56</v>
      </c>
      <c r="Q34">
        <v>98.11</v>
      </c>
      <c r="R34">
        <v>98.321962476171365</v>
      </c>
      <c r="S34">
        <v>98.74372870982549</v>
      </c>
      <c r="T34">
        <v>98.569387094481996</v>
      </c>
      <c r="U34">
        <v>99.066356970442229</v>
      </c>
      <c r="V34">
        <v>98.23</v>
      </c>
      <c r="W34">
        <v>87.25</v>
      </c>
      <c r="X34">
        <v>91.25</v>
      </c>
      <c r="Y34">
        <v>93</v>
      </c>
      <c r="Z34">
        <v>93.18</v>
      </c>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98.07</v>
      </c>
      <c r="D35">
        <v>98.3</v>
      </c>
      <c r="E35">
        <v>98.62</v>
      </c>
      <c r="F35">
        <v>99.013116275146558</v>
      </c>
      <c r="G35">
        <v>98.432899035940451</v>
      </c>
      <c r="H35">
        <v>98.393815511595903</v>
      </c>
      <c r="I35">
        <v>97.702761786781309</v>
      </c>
      <c r="J35">
        <v>97.83</v>
      </c>
      <c r="K35">
        <v>96.97</v>
      </c>
      <c r="L35">
        <v>97.59</v>
      </c>
      <c r="M35">
        <v>97.63</v>
      </c>
      <c r="N35">
        <v>97.41</v>
      </c>
      <c r="O35">
        <v>95.33</v>
      </c>
      <c r="P35">
        <v>95</v>
      </c>
      <c r="Q35">
        <v>97.36</v>
      </c>
      <c r="R35">
        <v>94.458978157405355</v>
      </c>
      <c r="S35">
        <v>96.431563595742702</v>
      </c>
      <c r="T35">
        <v>95.395482108349398</v>
      </c>
      <c r="U35">
        <v>97.476373099575397</v>
      </c>
      <c r="V35">
        <v>97.26</v>
      </c>
      <c r="W35">
        <v>93.68</v>
      </c>
      <c r="X35">
        <v>96.63</v>
      </c>
      <c r="Y35">
        <v>98.13</v>
      </c>
      <c r="Z35">
        <v>98.05</v>
      </c>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97.66</v>
      </c>
      <c r="D36">
        <v>97.09</v>
      </c>
      <c r="E36">
        <v>96.92</v>
      </c>
      <c r="F36">
        <v>97.402020979124444</v>
      </c>
      <c r="G36">
        <v>97.047032365307516</v>
      </c>
      <c r="H36">
        <v>96.354684997594305</v>
      </c>
      <c r="I36">
        <v>96.46575934327069</v>
      </c>
      <c r="J36">
        <v>96.39</v>
      </c>
      <c r="K36">
        <v>94.94</v>
      </c>
      <c r="L36">
        <v>95.47</v>
      </c>
      <c r="M36">
        <v>95.53</v>
      </c>
      <c r="N36">
        <v>94.49</v>
      </c>
      <c r="O36">
        <v>98.32</v>
      </c>
      <c r="P36">
        <v>98.43</v>
      </c>
      <c r="Q36">
        <v>98.37</v>
      </c>
      <c r="R36">
        <v>98.188479169351425</v>
      </c>
      <c r="S36">
        <v>97.392883855112728</v>
      </c>
      <c r="T36">
        <v>97.257610997327006</v>
      </c>
      <c r="U36">
        <v>97.071720426535563</v>
      </c>
      <c r="V36">
        <v>96.8</v>
      </c>
      <c r="W36">
        <v>84.99</v>
      </c>
      <c r="X36">
        <v>93.51</v>
      </c>
      <c r="Y36">
        <v>95.71</v>
      </c>
      <c r="Z36">
        <v>95.85</v>
      </c>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96.55</v>
      </c>
      <c r="D37">
        <v>96.08</v>
      </c>
      <c r="E37">
        <v>96.47</v>
      </c>
      <c r="F37">
        <v>96.557960301973083</v>
      </c>
      <c r="G37">
        <v>96.893464888125536</v>
      </c>
      <c r="H37">
        <v>96.786682662939995</v>
      </c>
      <c r="I37">
        <v>96.822865097087174</v>
      </c>
      <c r="J37">
        <v>96.76</v>
      </c>
      <c r="K37">
        <v>95.2</v>
      </c>
      <c r="L37">
        <v>92.67</v>
      </c>
      <c r="M37">
        <v>92.35</v>
      </c>
      <c r="N37">
        <v>93.04</v>
      </c>
      <c r="O37">
        <v>97.72</v>
      </c>
      <c r="P37">
        <v>97.52</v>
      </c>
      <c r="Q37">
        <v>98.04</v>
      </c>
      <c r="R37">
        <v>97.901968149378419</v>
      </c>
      <c r="S37">
        <v>98.813301321167529</v>
      </c>
      <c r="T37">
        <v>97.929336169536697</v>
      </c>
      <c r="U37">
        <v>98.306523215125083</v>
      </c>
      <c r="V37">
        <v>98.34</v>
      </c>
      <c r="W37">
        <v>92.24</v>
      </c>
      <c r="X37">
        <v>91.25</v>
      </c>
      <c r="Y37">
        <v>94.84</v>
      </c>
      <c r="Z37">
        <v>96.73</v>
      </c>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98.95</v>
      </c>
      <c r="D38">
        <v>98.82</v>
      </c>
      <c r="E38">
        <v>98.82</v>
      </c>
      <c r="F38">
        <v>98.969072164948457</v>
      </c>
      <c r="G38">
        <v>98.95105883683452</v>
      </c>
      <c r="H38">
        <v>99.000894920325294</v>
      </c>
      <c r="I38">
        <v>98.966831157473919</v>
      </c>
      <c r="J38">
        <v>98.82</v>
      </c>
      <c r="K38">
        <v>98.8</v>
      </c>
      <c r="L38">
        <v>98.83</v>
      </c>
      <c r="M38">
        <v>98.87</v>
      </c>
      <c r="N38">
        <v>97.91</v>
      </c>
      <c r="O38">
        <v>99.09</v>
      </c>
      <c r="P38">
        <v>99.2</v>
      </c>
      <c r="Q38">
        <v>99.11</v>
      </c>
      <c r="R38">
        <v>99.171524002881654</v>
      </c>
      <c r="S38">
        <v>98.866162022870029</v>
      </c>
      <c r="T38">
        <v>99.335810344260594</v>
      </c>
      <c r="U38">
        <v>99.163206440774658</v>
      </c>
      <c r="V38">
        <v>99.07</v>
      </c>
      <c r="W38">
        <v>96.7</v>
      </c>
      <c r="X38">
        <v>99.41</v>
      </c>
      <c r="Y38">
        <v>98.44</v>
      </c>
      <c r="Z38">
        <v>97.47</v>
      </c>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97.79</v>
      </c>
      <c r="D39">
        <v>97.55</v>
      </c>
      <c r="E39">
        <v>97.7</v>
      </c>
      <c r="F39">
        <v>97.787595504594478</v>
      </c>
      <c r="G39">
        <v>97.928103710562866</v>
      </c>
      <c r="H39">
        <v>98.074990745147801</v>
      </c>
      <c r="I39">
        <v>97.996500305088674</v>
      </c>
      <c r="J39">
        <v>97.87</v>
      </c>
      <c r="K39">
        <v>96.53</v>
      </c>
      <c r="L39">
        <v>96.89</v>
      </c>
      <c r="M39">
        <v>97.12</v>
      </c>
      <c r="N39">
        <v>96.97</v>
      </c>
      <c r="O39">
        <v>98.73</v>
      </c>
      <c r="P39">
        <v>98.74</v>
      </c>
      <c r="Q39">
        <v>98.92</v>
      </c>
      <c r="R39">
        <v>99.050873640970423</v>
      </c>
      <c r="S39">
        <v>98.873297612354719</v>
      </c>
      <c r="T39">
        <v>98.665451757358895</v>
      </c>
      <c r="U39">
        <v>98.534040351232832</v>
      </c>
      <c r="V39">
        <v>98.12</v>
      </c>
      <c r="W39">
        <v>92.03</v>
      </c>
      <c r="X39">
        <v>95.51</v>
      </c>
      <c r="Y39">
        <v>97.47</v>
      </c>
      <c r="Z39">
        <v>97.27</v>
      </c>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98.72</v>
      </c>
      <c r="D40">
        <v>98.5</v>
      </c>
      <c r="E40">
        <v>98.29</v>
      </c>
      <c r="F40">
        <v>98.087368024808654</v>
      </c>
      <c r="G40">
        <v>97.895762465598878</v>
      </c>
      <c r="H40">
        <v>98.133935041834107</v>
      </c>
      <c r="I40">
        <v>98.414873407866466</v>
      </c>
      <c r="J40">
        <v>98.52</v>
      </c>
      <c r="K40">
        <v>98.07</v>
      </c>
      <c r="L40">
        <v>97.96</v>
      </c>
      <c r="M40">
        <v>97.69</v>
      </c>
      <c r="N40">
        <v>97.87</v>
      </c>
      <c r="O40">
        <v>97.26</v>
      </c>
      <c r="P40">
        <v>98.35</v>
      </c>
      <c r="Q40">
        <v>95.98</v>
      </c>
      <c r="R40">
        <v>97.009966777408636</v>
      </c>
      <c r="S40">
        <v>96.451168216040443</v>
      </c>
      <c r="T40">
        <v>94.197605241358502</v>
      </c>
      <c r="U40">
        <v>96.735395189003441</v>
      </c>
      <c r="V40">
        <v>97.54</v>
      </c>
      <c r="W40">
        <v>92.21</v>
      </c>
      <c r="X40">
        <v>95.08</v>
      </c>
      <c r="Y40">
        <v>94.43</v>
      </c>
      <c r="Z40">
        <v>97.27</v>
      </c>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98.15</v>
      </c>
      <c r="D41">
        <v>97.86</v>
      </c>
      <c r="E41">
        <v>98</v>
      </c>
      <c r="F41">
        <v>97.97344514325647</v>
      </c>
      <c r="G41">
        <v>97.00196463654224</v>
      </c>
      <c r="H41">
        <v>97.367736662208301</v>
      </c>
      <c r="I41">
        <v>97.573395687191478</v>
      </c>
      <c r="J41">
        <v>97.46</v>
      </c>
      <c r="K41">
        <v>96.62</v>
      </c>
      <c r="L41">
        <v>96.67</v>
      </c>
      <c r="M41">
        <v>97.2</v>
      </c>
      <c r="N41">
        <v>96.87</v>
      </c>
      <c r="O41">
        <v>98.94</v>
      </c>
      <c r="P41">
        <v>98.77</v>
      </c>
      <c r="Q41">
        <v>99.16</v>
      </c>
      <c r="R41">
        <v>99.598211082677636</v>
      </c>
      <c r="S41">
        <v>94.923881904491324</v>
      </c>
      <c r="T41">
        <v>98.3390232682017</v>
      </c>
      <c r="U41">
        <v>98.901928320997271</v>
      </c>
      <c r="V41">
        <v>98.41</v>
      </c>
      <c r="W41">
        <v>97.07</v>
      </c>
      <c r="X41">
        <v>97.44</v>
      </c>
      <c r="Y41">
        <v>96.15</v>
      </c>
      <c r="Z41">
        <v>97.06</v>
      </c>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98.36</v>
      </c>
      <c r="D42">
        <v>98.35</v>
      </c>
      <c r="E42">
        <v>98.35</v>
      </c>
      <c r="F42">
        <v>98.377575779524136</v>
      </c>
      <c r="G42">
        <v>98.467333194473369</v>
      </c>
      <c r="H42">
        <v>98.543367177649401</v>
      </c>
      <c r="I42">
        <v>98.468216274022581</v>
      </c>
      <c r="J42">
        <v>98.27</v>
      </c>
      <c r="K42">
        <v>97.03</v>
      </c>
      <c r="L42">
        <v>96.97</v>
      </c>
      <c r="M42">
        <v>97.42</v>
      </c>
      <c r="N42">
        <v>97.63</v>
      </c>
      <c r="O42">
        <v>97.3</v>
      </c>
      <c r="P42">
        <v>97.76</v>
      </c>
      <c r="Q42">
        <v>98.1</v>
      </c>
      <c r="R42">
        <v>98.652270167398143</v>
      </c>
      <c r="S42">
        <v>98.666304811382929</v>
      </c>
      <c r="T42">
        <v>98.756701266111506</v>
      </c>
      <c r="U42">
        <v>99.056463041694641</v>
      </c>
      <c r="V42">
        <v>98.62</v>
      </c>
      <c r="W42">
        <v>96.56</v>
      </c>
      <c r="X42">
        <v>97.42</v>
      </c>
      <c r="Y42">
        <v>98.77</v>
      </c>
      <c r="Z42">
        <v>97.71</v>
      </c>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t="s">
        <v>879</v>
      </c>
      <c r="D43" t="s">
        <v>879</v>
      </c>
      <c r="E43" t="s">
        <v>879</v>
      </c>
      <c r="F43" t="s">
        <v>879</v>
      </c>
      <c r="G43" t="s">
        <v>879</v>
      </c>
      <c r="H43" t="s">
        <v>879</v>
      </c>
      <c r="I43" t="s">
        <v>879</v>
      </c>
      <c r="J43" t="s">
        <v>879</v>
      </c>
      <c r="K43" t="s">
        <v>879</v>
      </c>
      <c r="L43">
        <v>97.53</v>
      </c>
      <c r="M43">
        <v>98.15</v>
      </c>
      <c r="N43">
        <v>98.46</v>
      </c>
      <c r="O43" t="s">
        <v>879</v>
      </c>
      <c r="P43" t="s">
        <v>879</v>
      </c>
      <c r="Q43" t="s">
        <v>879</v>
      </c>
      <c r="R43" t="s">
        <v>879</v>
      </c>
      <c r="S43" t="s">
        <v>879</v>
      </c>
      <c r="T43" t="s">
        <v>879</v>
      </c>
      <c r="U43" t="s">
        <v>879</v>
      </c>
      <c r="V43" t="s">
        <v>879</v>
      </c>
      <c r="W43" t="s">
        <v>879</v>
      </c>
      <c r="X43">
        <v>96.77</v>
      </c>
      <c r="Y43">
        <v>98.41</v>
      </c>
      <c r="Z43">
        <v>99.2</v>
      </c>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97.03</v>
      </c>
      <c r="D44">
        <v>95.74</v>
      </c>
      <c r="E44">
        <v>95.64</v>
      </c>
      <c r="F44">
        <v>95.239007305661204</v>
      </c>
      <c r="G44">
        <v>94.978604938908077</v>
      </c>
      <c r="H44">
        <v>94.568022612756494</v>
      </c>
      <c r="I44">
        <v>95.112337406385492</v>
      </c>
      <c r="J44">
        <v>94.69</v>
      </c>
      <c r="K44">
        <v>92.84</v>
      </c>
      <c r="L44">
        <v>92.79</v>
      </c>
      <c r="M44">
        <v>93.23</v>
      </c>
      <c r="N44">
        <v>93.74</v>
      </c>
      <c r="O44">
        <v>98.29</v>
      </c>
      <c r="P44">
        <v>96.23</v>
      </c>
      <c r="Q44">
        <v>97.35</v>
      </c>
      <c r="R44">
        <v>97.609658226096585</v>
      </c>
      <c r="S44">
        <v>97.472912262156456</v>
      </c>
      <c r="T44">
        <v>97.5022643349822</v>
      </c>
      <c r="U44">
        <v>95.516837683355135</v>
      </c>
      <c r="V44">
        <v>97.8</v>
      </c>
      <c r="W44">
        <v>93.84</v>
      </c>
      <c r="X44">
        <v>96.48</v>
      </c>
      <c r="Y44">
        <v>96.13</v>
      </c>
      <c r="Z44">
        <v>96.96</v>
      </c>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97.33</v>
      </c>
      <c r="D45">
        <v>96.95</v>
      </c>
      <c r="E45">
        <v>97.05</v>
      </c>
      <c r="F45">
        <v>97.055488451204184</v>
      </c>
      <c r="G45">
        <v>96.842919420615942</v>
      </c>
      <c r="H45">
        <v>96.621526384838006</v>
      </c>
      <c r="I45">
        <v>96.493552465233876</v>
      </c>
      <c r="J45">
        <v>96.15</v>
      </c>
      <c r="K45">
        <v>96.01</v>
      </c>
      <c r="L45">
        <v>95.77</v>
      </c>
      <c r="M45">
        <v>94.98</v>
      </c>
      <c r="N45">
        <v>95.25</v>
      </c>
      <c r="O45">
        <v>93.93</v>
      </c>
      <c r="P45">
        <v>94.26</v>
      </c>
      <c r="Q45">
        <v>95.08</v>
      </c>
      <c r="R45">
        <v>94.344428697284258</v>
      </c>
      <c r="S45">
        <v>94.872610868792009</v>
      </c>
      <c r="T45">
        <v>96.0393324453498</v>
      </c>
      <c r="U45">
        <v>96.227178963197161</v>
      </c>
      <c r="V45">
        <v>95.43</v>
      </c>
      <c r="W45">
        <v>87.62</v>
      </c>
      <c r="X45">
        <v>93.73</v>
      </c>
      <c r="Y45">
        <v>92.73</v>
      </c>
      <c r="Z45">
        <v>93.88</v>
      </c>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95.83</v>
      </c>
      <c r="D46">
        <v>95.5</v>
      </c>
      <c r="E46">
        <v>95.43</v>
      </c>
      <c r="F46">
        <v>96.890284128392366</v>
      </c>
      <c r="G46">
        <v>97.143691462438625</v>
      </c>
      <c r="H46">
        <v>96.971060435627294</v>
      </c>
      <c r="I46">
        <v>96.68229285768733</v>
      </c>
      <c r="J46">
        <v>96.34</v>
      </c>
      <c r="K46">
        <v>95.34</v>
      </c>
      <c r="L46">
        <v>95.67</v>
      </c>
      <c r="M46">
        <v>96.3</v>
      </c>
      <c r="N46">
        <v>95.86</v>
      </c>
      <c r="O46">
        <v>96.35</v>
      </c>
      <c r="P46">
        <v>95.97</v>
      </c>
      <c r="Q46">
        <v>96.44</v>
      </c>
      <c r="R46">
        <v>97.278522392938868</v>
      </c>
      <c r="S46">
        <v>97.297426347705667</v>
      </c>
      <c r="T46">
        <v>97.164493344199897</v>
      </c>
      <c r="U46">
        <v>97.341324984513392</v>
      </c>
      <c r="V46">
        <v>97.32</v>
      </c>
      <c r="W46">
        <v>93.25</v>
      </c>
      <c r="X46">
        <v>96.96</v>
      </c>
      <c r="Y46">
        <v>98.78</v>
      </c>
      <c r="Z46">
        <v>97.92</v>
      </c>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97.56</v>
      </c>
      <c r="D47">
        <v>97.54</v>
      </c>
      <c r="E47">
        <v>97.77</v>
      </c>
      <c r="F47">
        <v>97.592595527521127</v>
      </c>
      <c r="G47">
        <v>97.35024431441154</v>
      </c>
      <c r="H47">
        <v>97.652123995407507</v>
      </c>
      <c r="I47">
        <v>97.992751975822088</v>
      </c>
      <c r="J47">
        <v>97.61</v>
      </c>
      <c r="K47">
        <v>96.69</v>
      </c>
      <c r="L47">
        <v>97.23</v>
      </c>
      <c r="M47">
        <v>99.01</v>
      </c>
      <c r="N47">
        <v>99.27</v>
      </c>
      <c r="O47">
        <v>99.1</v>
      </c>
      <c r="P47">
        <v>99.16</v>
      </c>
      <c r="Q47">
        <v>99.24</v>
      </c>
      <c r="R47">
        <v>99.227814919428582</v>
      </c>
      <c r="S47">
        <v>99.151421861740957</v>
      </c>
      <c r="T47">
        <v>99.085174975470693</v>
      </c>
      <c r="U47">
        <v>98.671500828073945</v>
      </c>
      <c r="V47">
        <v>98.6</v>
      </c>
      <c r="W47">
        <v>98.34</v>
      </c>
      <c r="X47">
        <v>97.22</v>
      </c>
      <c r="Y47">
        <v>99.01</v>
      </c>
      <c r="Z47">
        <v>99.21</v>
      </c>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96.77</v>
      </c>
      <c r="D48">
        <v>96.25</v>
      </c>
      <c r="E48">
        <v>96.54</v>
      </c>
      <c r="F48">
        <v>96.256652463336593</v>
      </c>
      <c r="G48">
        <v>96.321563108001811</v>
      </c>
      <c r="H48">
        <v>96.352990579417295</v>
      </c>
      <c r="I48">
        <v>96.377496705800027</v>
      </c>
      <c r="J48">
        <v>95.35</v>
      </c>
      <c r="K48">
        <v>91</v>
      </c>
      <c r="L48">
        <v>94.15</v>
      </c>
      <c r="M48">
        <v>94</v>
      </c>
      <c r="N48">
        <v>94.08</v>
      </c>
      <c r="O48">
        <v>99.18</v>
      </c>
      <c r="P48">
        <v>99.37</v>
      </c>
      <c r="Q48">
        <v>99.78</v>
      </c>
      <c r="R48">
        <v>99.672919339366402</v>
      </c>
      <c r="S48">
        <v>99.009059214893398</v>
      </c>
      <c r="T48">
        <v>99.269951286494205</v>
      </c>
      <c r="U48">
        <v>99.526938688580145</v>
      </c>
      <c r="V48">
        <v>99</v>
      </c>
      <c r="W48">
        <v>92.45</v>
      </c>
      <c r="X48">
        <v>96.29</v>
      </c>
      <c r="Y48">
        <v>96.47</v>
      </c>
      <c r="Z48">
        <v>96.63</v>
      </c>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97.75</v>
      </c>
      <c r="D49">
        <v>96.03</v>
      </c>
      <c r="E49">
        <v>96.57</v>
      </c>
      <c r="F49">
        <v>97.490296294510472</v>
      </c>
      <c r="G49">
        <v>97.308622078968583</v>
      </c>
      <c r="H49">
        <v>97.398518390157193</v>
      </c>
      <c r="I49">
        <v>97.360567810622257</v>
      </c>
      <c r="J49">
        <v>97.06</v>
      </c>
      <c r="K49">
        <v>95.92</v>
      </c>
      <c r="L49">
        <v>96.2</v>
      </c>
      <c r="M49">
        <v>95.84</v>
      </c>
      <c r="N49">
        <v>96.76</v>
      </c>
      <c r="O49">
        <v>97.28</v>
      </c>
      <c r="P49">
        <v>96.04</v>
      </c>
      <c r="Q49">
        <v>97.18</v>
      </c>
      <c r="R49">
        <v>97.995587101576419</v>
      </c>
      <c r="S49">
        <v>98.147999679307304</v>
      </c>
      <c r="T49">
        <v>98.438823671789905</v>
      </c>
      <c r="U49">
        <v>98.921673184026545</v>
      </c>
      <c r="V49">
        <v>98.72</v>
      </c>
      <c r="W49">
        <v>95.58</v>
      </c>
      <c r="X49">
        <v>97.2</v>
      </c>
      <c r="Y49">
        <v>96.58</v>
      </c>
      <c r="Z49">
        <v>97.32</v>
      </c>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98.9</v>
      </c>
      <c r="D50">
        <v>98.72</v>
      </c>
      <c r="E50">
        <v>98.84</v>
      </c>
      <c r="F50">
        <v>98.660175534832689</v>
      </c>
      <c r="G50">
        <v>98.741883116883116</v>
      </c>
      <c r="H50">
        <v>98.519373495172104</v>
      </c>
      <c r="I50">
        <v>98.463515803002863</v>
      </c>
      <c r="J50">
        <v>98.05</v>
      </c>
      <c r="K50">
        <v>97.26</v>
      </c>
      <c r="L50">
        <v>97.45</v>
      </c>
      <c r="M50">
        <v>97.48</v>
      </c>
      <c r="N50">
        <v>96.51</v>
      </c>
      <c r="O50">
        <v>99.3</v>
      </c>
      <c r="P50">
        <v>99.58</v>
      </c>
      <c r="Q50">
        <v>100</v>
      </c>
      <c r="R50">
        <v>99.014026863117166</v>
      </c>
      <c r="S50">
        <v>99.551553289211952</v>
      </c>
      <c r="T50">
        <v>99.886342804766201</v>
      </c>
      <c r="U50">
        <v>99.396227791762428</v>
      </c>
      <c r="V50">
        <v>98.19</v>
      </c>
      <c r="W50">
        <v>93.88</v>
      </c>
      <c r="X50">
        <v>96.04</v>
      </c>
      <c r="Y50">
        <v>99.6</v>
      </c>
      <c r="Z50">
        <v>97.49</v>
      </c>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98.65</v>
      </c>
      <c r="D51">
        <v>97.97</v>
      </c>
      <c r="E51">
        <v>98.23</v>
      </c>
      <c r="F51">
        <v>98.118550618926051</v>
      </c>
      <c r="G51">
        <v>98.178794349540084</v>
      </c>
      <c r="H51">
        <v>98.335609254091693</v>
      </c>
      <c r="I51">
        <v>98.183624503261598</v>
      </c>
      <c r="J51">
        <v>97.95</v>
      </c>
      <c r="K51">
        <v>96.2</v>
      </c>
      <c r="L51">
        <v>97.21</v>
      </c>
      <c r="M51">
        <v>97.53</v>
      </c>
      <c r="N51">
        <v>97.51</v>
      </c>
      <c r="O51">
        <v>98.59</v>
      </c>
      <c r="P51">
        <v>98.55</v>
      </c>
      <c r="Q51">
        <v>98.41</v>
      </c>
      <c r="R51">
        <v>99.298820445609437</v>
      </c>
      <c r="S51">
        <v>98.937055772555553</v>
      </c>
      <c r="T51">
        <v>98.912746170678304</v>
      </c>
      <c r="U51">
        <v>99.022289074251333</v>
      </c>
      <c r="V51">
        <v>99.03</v>
      </c>
      <c r="W51">
        <v>95.76</v>
      </c>
      <c r="X51">
        <v>96.27</v>
      </c>
      <c r="Y51">
        <v>98.96</v>
      </c>
      <c r="Z51">
        <v>97.58</v>
      </c>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97.89</v>
      </c>
      <c r="D52">
        <v>97.4</v>
      </c>
      <c r="E52">
        <v>97.75</v>
      </c>
      <c r="F52">
        <v>97.802969502407706</v>
      </c>
      <c r="G52">
        <v>97.99907265399294</v>
      </c>
      <c r="H52">
        <v>97.9433467154103</v>
      </c>
      <c r="I52">
        <v>97.975531987540123</v>
      </c>
      <c r="J52">
        <v>97.84</v>
      </c>
      <c r="K52">
        <v>96.91</v>
      </c>
      <c r="L52">
        <v>97.37</v>
      </c>
      <c r="M52">
        <v>97.68</v>
      </c>
      <c r="N52">
        <v>97.55</v>
      </c>
      <c r="O52">
        <v>98.65</v>
      </c>
      <c r="P52">
        <v>98.52</v>
      </c>
      <c r="Q52">
        <v>98.95</v>
      </c>
      <c r="R52">
        <v>98.553552698977981</v>
      </c>
      <c r="S52">
        <v>99.036984385389687</v>
      </c>
      <c r="T52">
        <v>98.515496236875094</v>
      </c>
      <c r="U52">
        <v>99.411547126668694</v>
      </c>
      <c r="V52">
        <v>99.01</v>
      </c>
      <c r="W52">
        <v>96.45</v>
      </c>
      <c r="X52">
        <v>97.32</v>
      </c>
      <c r="Y52">
        <v>97.15</v>
      </c>
      <c r="Z52">
        <v>98.47</v>
      </c>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97.92</v>
      </c>
      <c r="D53">
        <v>97.73</v>
      </c>
      <c r="E53">
        <v>97.65</v>
      </c>
      <c r="F53">
        <v>97.68509279584913</v>
      </c>
      <c r="G53">
        <v>97.79351771925883</v>
      </c>
      <c r="H53">
        <v>97.744428067354505</v>
      </c>
      <c r="I53">
        <v>97.520062127879882</v>
      </c>
      <c r="J53">
        <v>97.63</v>
      </c>
      <c r="K53">
        <v>97.38</v>
      </c>
      <c r="L53">
        <v>97.21</v>
      </c>
      <c r="M53">
        <v>96.97</v>
      </c>
      <c r="N53">
        <v>96.76</v>
      </c>
      <c r="O53">
        <v>98.77</v>
      </c>
      <c r="P53">
        <v>98.14</v>
      </c>
      <c r="Q53">
        <v>98.31</v>
      </c>
      <c r="R53">
        <v>98.632742570712495</v>
      </c>
      <c r="S53">
        <v>98.790009490121648</v>
      </c>
      <c r="T53">
        <v>98.689215033199304</v>
      </c>
      <c r="U53">
        <v>98.595728674718941</v>
      </c>
      <c r="V53">
        <v>98.77</v>
      </c>
      <c r="W53">
        <v>95.66</v>
      </c>
      <c r="X53">
        <v>96.47</v>
      </c>
      <c r="Y53">
        <v>97.52</v>
      </c>
      <c r="Z53">
        <v>98.09</v>
      </c>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98.52</v>
      </c>
      <c r="D54">
        <v>98.14</v>
      </c>
      <c r="E54">
        <v>98</v>
      </c>
      <c r="F54">
        <v>98.061831779638695</v>
      </c>
      <c r="G54">
        <v>97.763135597444148</v>
      </c>
      <c r="H54">
        <v>97.575636335924401</v>
      </c>
      <c r="I54">
        <v>97.457156173813274</v>
      </c>
      <c r="J54">
        <v>97.21</v>
      </c>
      <c r="K54">
        <v>96.6</v>
      </c>
      <c r="L54">
        <v>96.93</v>
      </c>
      <c r="M54">
        <v>96.78</v>
      </c>
      <c r="N54">
        <v>96.59</v>
      </c>
      <c r="O54">
        <v>97.22</v>
      </c>
      <c r="P54">
        <v>97.21</v>
      </c>
      <c r="Q54">
        <v>96.77</v>
      </c>
      <c r="R54">
        <v>97.866166353971224</v>
      </c>
      <c r="S54">
        <v>97.651191539883229</v>
      </c>
      <c r="T54">
        <v>98.290587787103803</v>
      </c>
      <c r="U54">
        <v>97.525917522538279</v>
      </c>
      <c r="V54">
        <v>97.76</v>
      </c>
      <c r="W54">
        <v>94.96</v>
      </c>
      <c r="X54">
        <v>95.31</v>
      </c>
      <c r="Y54">
        <v>96.18</v>
      </c>
      <c r="Z54">
        <v>96.26</v>
      </c>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98.22</v>
      </c>
      <c r="D55">
        <v>98.1</v>
      </c>
      <c r="E55">
        <v>98.07</v>
      </c>
      <c r="F55">
        <v>98.16512246279872</v>
      </c>
      <c r="G55">
        <v>98.324802964172449</v>
      </c>
      <c r="H55">
        <v>98.295037796572103</v>
      </c>
      <c r="I55">
        <v>98.323919536812895</v>
      </c>
      <c r="J55">
        <v>97.88</v>
      </c>
      <c r="K55">
        <v>97.53</v>
      </c>
      <c r="L55">
        <v>98.31</v>
      </c>
      <c r="M55">
        <v>98.23</v>
      </c>
      <c r="N55">
        <v>98.32</v>
      </c>
      <c r="O55">
        <v>97.98</v>
      </c>
      <c r="P55">
        <v>98.4</v>
      </c>
      <c r="Q55">
        <v>98.12</v>
      </c>
      <c r="R55">
        <v>98.467269065568814</v>
      </c>
      <c r="S55">
        <v>98.862047606406506</v>
      </c>
      <c r="T55">
        <v>98.740196600305097</v>
      </c>
      <c r="U55">
        <v>98.828977953088682</v>
      </c>
      <c r="V55">
        <v>98.24</v>
      </c>
      <c r="W55">
        <v>90.72</v>
      </c>
      <c r="X55">
        <v>97.43</v>
      </c>
      <c r="Y55">
        <v>98.31</v>
      </c>
      <c r="Z55">
        <v>98.56</v>
      </c>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98.5</v>
      </c>
      <c r="D56">
        <v>98.24</v>
      </c>
      <c r="E56">
        <v>98.49</v>
      </c>
      <c r="F56">
        <v>99.056520920895807</v>
      </c>
      <c r="G56">
        <v>98.35053979116276</v>
      </c>
      <c r="H56">
        <v>97.867545846099105</v>
      </c>
      <c r="I56">
        <v>98.265079478807365</v>
      </c>
      <c r="J56">
        <v>98.03</v>
      </c>
      <c r="K56">
        <v>97.46</v>
      </c>
      <c r="L56">
        <v>98.07</v>
      </c>
      <c r="M56">
        <v>98.05</v>
      </c>
      <c r="N56">
        <v>98.02</v>
      </c>
      <c r="O56">
        <v>98.93</v>
      </c>
      <c r="P56">
        <v>99.22</v>
      </c>
      <c r="Q56">
        <v>99.46</v>
      </c>
      <c r="R56">
        <v>98.872081378801454</v>
      </c>
      <c r="S56">
        <v>98.889550384386411</v>
      </c>
      <c r="T56">
        <v>92.314041060559106</v>
      </c>
      <c r="U56">
        <v>98.449217327994177</v>
      </c>
      <c r="V56">
        <v>98.5</v>
      </c>
      <c r="W56">
        <v>97.61</v>
      </c>
      <c r="X56">
        <v>97.84</v>
      </c>
      <c r="Y56">
        <v>98.71</v>
      </c>
      <c r="Z56">
        <v>98.63</v>
      </c>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98.2</v>
      </c>
      <c r="D57">
        <v>98.05</v>
      </c>
      <c r="E57">
        <v>97.92</v>
      </c>
      <c r="F57">
        <v>98.056327606977874</v>
      </c>
      <c r="G57">
        <v>98.262390303553445</v>
      </c>
      <c r="H57">
        <v>98.238297656144098</v>
      </c>
      <c r="I57">
        <v>98.186297078950574</v>
      </c>
      <c r="J57">
        <v>97.91</v>
      </c>
      <c r="K57">
        <v>97.39</v>
      </c>
      <c r="L57">
        <v>97.8</v>
      </c>
      <c r="M57">
        <v>98.19</v>
      </c>
      <c r="N57">
        <v>97.94</v>
      </c>
      <c r="O57">
        <v>97.89</v>
      </c>
      <c r="P57">
        <v>98.2</v>
      </c>
      <c r="Q57">
        <v>98.12</v>
      </c>
      <c r="R57">
        <v>98.359884943024667</v>
      </c>
      <c r="S57">
        <v>97.668004348584688</v>
      </c>
      <c r="T57">
        <v>98.324753937350593</v>
      </c>
      <c r="U57">
        <v>98.454065121647886</v>
      </c>
      <c r="V57">
        <v>98.23</v>
      </c>
      <c r="W57">
        <v>92.39</v>
      </c>
      <c r="X57">
        <v>95.59</v>
      </c>
      <c r="Y57">
        <v>98.23</v>
      </c>
      <c r="Z57">
        <v>97.7</v>
      </c>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98.28</v>
      </c>
      <c r="D58">
        <v>97.64</v>
      </c>
      <c r="E58">
        <v>97.47</v>
      </c>
      <c r="F58">
        <v>97.747350821301879</v>
      </c>
      <c r="G58">
        <v>97.682161745498149</v>
      </c>
      <c r="H58">
        <v>97.325997304718697</v>
      </c>
      <c r="I58">
        <v>97.307797357243103</v>
      </c>
      <c r="J58">
        <v>97.23</v>
      </c>
      <c r="K58">
        <v>97</v>
      </c>
      <c r="L58">
        <v>96.83</v>
      </c>
      <c r="M58">
        <v>96.94</v>
      </c>
      <c r="N58">
        <v>96.98</v>
      </c>
      <c r="O58">
        <v>98.44</v>
      </c>
      <c r="P58">
        <v>98.43</v>
      </c>
      <c r="Q58">
        <v>97.45</v>
      </c>
      <c r="R58">
        <v>99.153568581634076</v>
      </c>
      <c r="S58">
        <v>98.324902952593817</v>
      </c>
      <c r="T58">
        <v>98.789060157140199</v>
      </c>
      <c r="U58">
        <v>98.417765190834189</v>
      </c>
      <c r="V58">
        <v>98.26</v>
      </c>
      <c r="W58">
        <v>94.15</v>
      </c>
      <c r="X58">
        <v>97.87</v>
      </c>
      <c r="Y58">
        <v>97.97</v>
      </c>
      <c r="Z58">
        <v>98.05</v>
      </c>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96.83</v>
      </c>
      <c r="D59">
        <v>96.59</v>
      </c>
      <c r="E59">
        <v>96.5</v>
      </c>
      <c r="F59">
        <v>97.210354940766237</v>
      </c>
      <c r="G59">
        <v>97.219768571680945</v>
      </c>
      <c r="H59">
        <v>96.899224806201502</v>
      </c>
      <c r="I59">
        <v>96.836040232077252</v>
      </c>
      <c r="J59">
        <v>96.73</v>
      </c>
      <c r="K59">
        <v>95.46</v>
      </c>
      <c r="L59">
        <v>95.51</v>
      </c>
      <c r="M59">
        <v>96.05</v>
      </c>
      <c r="N59">
        <v>96.31</v>
      </c>
      <c r="O59">
        <v>97.46</v>
      </c>
      <c r="P59">
        <v>97.72</v>
      </c>
      <c r="Q59">
        <v>97.4</v>
      </c>
      <c r="R59">
        <v>97.963904354608786</v>
      </c>
      <c r="S59">
        <v>97.915367020170521</v>
      </c>
      <c r="T59">
        <v>98.081622999500595</v>
      </c>
      <c r="U59">
        <v>97.300598205383849</v>
      </c>
      <c r="V59">
        <v>98.24</v>
      </c>
      <c r="W59">
        <v>94.71</v>
      </c>
      <c r="X59">
        <v>97.05</v>
      </c>
      <c r="Y59">
        <v>97.26</v>
      </c>
      <c r="Z59">
        <v>97.28</v>
      </c>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98.2</v>
      </c>
      <c r="D60">
        <v>98.12</v>
      </c>
      <c r="E60">
        <v>98.12</v>
      </c>
      <c r="F60">
        <v>98.259923158626293</v>
      </c>
      <c r="G60">
        <v>98.334826762246124</v>
      </c>
      <c r="H60">
        <v>98.363479758828504</v>
      </c>
      <c r="I60">
        <v>97.818391646415222</v>
      </c>
      <c r="J60">
        <v>97.65</v>
      </c>
      <c r="K60">
        <v>97.17</v>
      </c>
      <c r="L60">
        <v>97.79</v>
      </c>
      <c r="M60">
        <v>97.62</v>
      </c>
      <c r="N60">
        <v>97.71</v>
      </c>
      <c r="O60">
        <v>97.71</v>
      </c>
      <c r="P60">
        <v>98</v>
      </c>
      <c r="Q60">
        <v>98.08</v>
      </c>
      <c r="R60">
        <v>98.196641410784707</v>
      </c>
      <c r="S60">
        <v>97.704575618459131</v>
      </c>
      <c r="T60">
        <v>97.819117522989899</v>
      </c>
      <c r="U60">
        <v>97.206692635275587</v>
      </c>
      <c r="V60">
        <v>97.05</v>
      </c>
      <c r="W60">
        <v>95.59</v>
      </c>
      <c r="X60">
        <v>97.12</v>
      </c>
      <c r="Y60">
        <v>97.19</v>
      </c>
      <c r="Z60">
        <v>97.6</v>
      </c>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98.14</v>
      </c>
      <c r="D61">
        <v>97.65</v>
      </c>
      <c r="E61">
        <v>97.81</v>
      </c>
      <c r="F61">
        <v>97.863420733276953</v>
      </c>
      <c r="G61">
        <v>98.022584079445693</v>
      </c>
      <c r="H61">
        <v>98.163346349857704</v>
      </c>
      <c r="I61">
        <v>98.140776399432212</v>
      </c>
      <c r="J61">
        <v>97.88</v>
      </c>
      <c r="K61">
        <v>96.98</v>
      </c>
      <c r="L61">
        <v>97.15</v>
      </c>
      <c r="M61">
        <v>97.19</v>
      </c>
      <c r="N61">
        <v>96.9</v>
      </c>
      <c r="O61">
        <v>97.08</v>
      </c>
      <c r="P61">
        <v>97.08</v>
      </c>
      <c r="Q61">
        <v>97.95</v>
      </c>
      <c r="R61">
        <v>97.606866952789701</v>
      </c>
      <c r="S61">
        <v>97.911903160726297</v>
      </c>
      <c r="T61">
        <v>98.927935458080398</v>
      </c>
      <c r="U61">
        <v>98.661995453020751</v>
      </c>
      <c r="V61">
        <v>98.15</v>
      </c>
      <c r="W61">
        <v>96.35</v>
      </c>
      <c r="X61">
        <v>97.43</v>
      </c>
      <c r="Y61">
        <v>97.73</v>
      </c>
      <c r="Z61">
        <v>97.98</v>
      </c>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99.45</v>
      </c>
      <c r="D62">
        <v>98.25</v>
      </c>
      <c r="E62">
        <v>99.13</v>
      </c>
      <c r="F62">
        <v>98.95213820447465</v>
      </c>
      <c r="G62">
        <v>98.9</v>
      </c>
      <c r="H62">
        <v>98.281738142573104</v>
      </c>
      <c r="I62">
        <v>98.340193865356525</v>
      </c>
      <c r="J62">
        <v>97.84</v>
      </c>
      <c r="K62">
        <v>94.39</v>
      </c>
      <c r="L62">
        <v>96.27</v>
      </c>
      <c r="M62">
        <v>96.76</v>
      </c>
      <c r="N62">
        <v>97.58</v>
      </c>
      <c r="O62">
        <v>98.62</v>
      </c>
      <c r="P62">
        <v>98.89</v>
      </c>
      <c r="Q62">
        <v>99.09</v>
      </c>
      <c r="R62">
        <v>98.619967130917345</v>
      </c>
      <c r="S62">
        <v>99.287698745489649</v>
      </c>
      <c r="T62">
        <v>99.518784198675107</v>
      </c>
      <c r="U62">
        <v>99.411135725285348</v>
      </c>
      <c r="V62">
        <v>99.56</v>
      </c>
      <c r="W62">
        <v>97.37</v>
      </c>
      <c r="X62">
        <v>97.63</v>
      </c>
      <c r="Y62">
        <v>98.93</v>
      </c>
      <c r="Z62">
        <v>99.82</v>
      </c>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97.85</v>
      </c>
      <c r="D63">
        <v>97.31</v>
      </c>
      <c r="E63">
        <v>97.35</v>
      </c>
      <c r="F63">
        <v>97.590962506374581</v>
      </c>
      <c r="G63">
        <v>97.84724426108113</v>
      </c>
      <c r="H63">
        <v>97.848344103392506</v>
      </c>
      <c r="I63">
        <v>97.910063672573486</v>
      </c>
      <c r="J63">
        <v>97.8</v>
      </c>
      <c r="K63">
        <v>97.82</v>
      </c>
      <c r="L63">
        <v>97.92</v>
      </c>
      <c r="M63">
        <v>97.81</v>
      </c>
      <c r="N63">
        <v>97.63</v>
      </c>
      <c r="O63">
        <v>97.87</v>
      </c>
      <c r="P63">
        <v>97.65</v>
      </c>
      <c r="Q63">
        <v>97.51</v>
      </c>
      <c r="R63">
        <v>98.281561876247508</v>
      </c>
      <c r="S63">
        <v>98.485789130994377</v>
      </c>
      <c r="T63">
        <v>99.140906769035396</v>
      </c>
      <c r="U63">
        <v>99.360328284352178</v>
      </c>
      <c r="V63">
        <v>98.7</v>
      </c>
      <c r="W63">
        <v>90.36</v>
      </c>
      <c r="X63">
        <v>96.25</v>
      </c>
      <c r="Y63">
        <v>98.01</v>
      </c>
      <c r="Z63">
        <v>97.81</v>
      </c>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97.8</v>
      </c>
      <c r="D64">
        <v>97.13</v>
      </c>
      <c r="E64">
        <v>97.31</v>
      </c>
      <c r="F64">
        <v>97.232805362839045</v>
      </c>
      <c r="G64">
        <v>97.447334846168076</v>
      </c>
      <c r="H64">
        <v>97.484456755924896</v>
      </c>
      <c r="I64">
        <v>97.457639377081136</v>
      </c>
      <c r="J64">
        <v>97.29</v>
      </c>
      <c r="K64">
        <v>96.85</v>
      </c>
      <c r="L64">
        <v>97.24</v>
      </c>
      <c r="M64">
        <v>97.21</v>
      </c>
      <c r="N64">
        <v>97</v>
      </c>
      <c r="O64">
        <v>96.91</v>
      </c>
      <c r="P64">
        <v>96.79</v>
      </c>
      <c r="Q64">
        <v>97.16</v>
      </c>
      <c r="R64">
        <v>97.510451230714438</v>
      </c>
      <c r="S64">
        <v>98.050114005431126</v>
      </c>
      <c r="T64">
        <v>97.954759249683804</v>
      </c>
      <c r="U64">
        <v>97.753285804355201</v>
      </c>
      <c r="V64">
        <v>97.73</v>
      </c>
      <c r="W64">
        <v>94.28</v>
      </c>
      <c r="X64">
        <v>97.31</v>
      </c>
      <c r="Y64">
        <v>97.61</v>
      </c>
      <c r="Z64">
        <v>97.69</v>
      </c>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98.9</v>
      </c>
      <c r="D65">
        <v>98.9</v>
      </c>
      <c r="E65">
        <v>98.81</v>
      </c>
      <c r="F65">
        <v>98.904968134924829</v>
      </c>
      <c r="G65">
        <v>99.343803607414685</v>
      </c>
      <c r="H65">
        <v>99.115848879134603</v>
      </c>
      <c r="I65">
        <v>98.817977329863709</v>
      </c>
      <c r="J65">
        <v>98.84</v>
      </c>
      <c r="K65">
        <v>97.11</v>
      </c>
      <c r="L65">
        <v>96.08</v>
      </c>
      <c r="M65">
        <v>97.97</v>
      </c>
      <c r="N65">
        <v>98.32</v>
      </c>
      <c r="O65">
        <v>98.21</v>
      </c>
      <c r="P65">
        <v>98.29</v>
      </c>
      <c r="Q65">
        <v>98.24</v>
      </c>
      <c r="R65">
        <v>98.289695248786614</v>
      </c>
      <c r="S65">
        <v>97.341653666146641</v>
      </c>
      <c r="T65">
        <v>98.731667401019706</v>
      </c>
      <c r="U65">
        <v>97.986758141346357</v>
      </c>
      <c r="V65">
        <v>97.7</v>
      </c>
      <c r="W65">
        <v>90.97</v>
      </c>
      <c r="X65">
        <v>91.1</v>
      </c>
      <c r="Y65">
        <v>94.07</v>
      </c>
      <c r="Z65">
        <v>96.91</v>
      </c>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95.89</v>
      </c>
      <c r="D66">
        <v>95.59</v>
      </c>
      <c r="E66">
        <v>95.45</v>
      </c>
      <c r="F66">
        <v>95.794198321004075</v>
      </c>
      <c r="G66">
        <v>95.835183512226493</v>
      </c>
      <c r="H66">
        <v>95.910580322497097</v>
      </c>
      <c r="I66">
        <v>95.690175208118291</v>
      </c>
      <c r="J66">
        <v>95.51</v>
      </c>
      <c r="K66">
        <v>94.35</v>
      </c>
      <c r="L66">
        <v>94.05</v>
      </c>
      <c r="M66">
        <v>94.31</v>
      </c>
      <c r="N66">
        <v>93.65</v>
      </c>
      <c r="O66">
        <v>97.96</v>
      </c>
      <c r="P66">
        <v>97.79</v>
      </c>
      <c r="Q66">
        <v>96.86</v>
      </c>
      <c r="R66">
        <v>97.836289487312271</v>
      </c>
      <c r="S66">
        <v>97.844291319743519</v>
      </c>
      <c r="T66">
        <v>98.188806614933597</v>
      </c>
      <c r="U66">
        <v>98.17852980185684</v>
      </c>
      <c r="V66">
        <v>97.99</v>
      </c>
      <c r="W66">
        <v>91.29</v>
      </c>
      <c r="X66">
        <v>95.69</v>
      </c>
      <c r="Y66">
        <v>98.03</v>
      </c>
      <c r="Z66">
        <v>95.62</v>
      </c>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98.51</v>
      </c>
      <c r="D67">
        <v>98.25</v>
      </c>
      <c r="E67">
        <v>98.37</v>
      </c>
      <c r="F67">
        <v>98.640580879386846</v>
      </c>
      <c r="G67">
        <v>98.630320934604541</v>
      </c>
      <c r="H67">
        <v>98.578017610704904</v>
      </c>
      <c r="I67">
        <v>98.32310558793867</v>
      </c>
      <c r="J67">
        <v>98.08</v>
      </c>
      <c r="K67">
        <v>96.63</v>
      </c>
      <c r="L67">
        <v>97.56</v>
      </c>
      <c r="M67">
        <v>97.57</v>
      </c>
      <c r="N67">
        <v>97.06</v>
      </c>
      <c r="O67">
        <v>98.15</v>
      </c>
      <c r="P67">
        <v>98.91</v>
      </c>
      <c r="Q67">
        <v>98.81</v>
      </c>
      <c r="R67">
        <v>98.889575883158983</v>
      </c>
      <c r="S67">
        <v>98.283918455113096</v>
      </c>
      <c r="T67">
        <v>99.078255838248694</v>
      </c>
      <c r="U67">
        <v>98.750906977288508</v>
      </c>
      <c r="V67">
        <v>99.11</v>
      </c>
      <c r="W67">
        <v>97</v>
      </c>
      <c r="X67">
        <v>98.24</v>
      </c>
      <c r="Y67">
        <v>98.18</v>
      </c>
      <c r="Z67">
        <v>98.29</v>
      </c>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96.55</v>
      </c>
      <c r="D68">
        <v>96.21</v>
      </c>
      <c r="E68">
        <v>97.06</v>
      </c>
      <c r="F68">
        <v>96.954941901279909</v>
      </c>
      <c r="G68">
        <v>97.272722375742688</v>
      </c>
      <c r="H68">
        <v>97.356683055400595</v>
      </c>
      <c r="I68">
        <v>97.182409649997624</v>
      </c>
      <c r="J68">
        <v>97.12</v>
      </c>
      <c r="K68">
        <v>95.61</v>
      </c>
      <c r="L68">
        <v>95.78</v>
      </c>
      <c r="M68">
        <v>95.88</v>
      </c>
      <c r="N68">
        <v>94.6</v>
      </c>
      <c r="O68">
        <v>97.17</v>
      </c>
      <c r="P68">
        <v>98.09</v>
      </c>
      <c r="Q68">
        <v>98.59</v>
      </c>
      <c r="R68">
        <v>98.604381849300495</v>
      </c>
      <c r="S68">
        <v>99.922244153358449</v>
      </c>
      <c r="T68">
        <v>98.954109385817404</v>
      </c>
      <c r="U68">
        <v>99.971936607915438</v>
      </c>
      <c r="V68">
        <v>99.1</v>
      </c>
      <c r="W68">
        <v>95.54</v>
      </c>
      <c r="X68">
        <v>99.37</v>
      </c>
      <c r="Y68">
        <v>99.39</v>
      </c>
      <c r="Z68">
        <v>99.7</v>
      </c>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898</v>
      </c>
      <c r="B69" s="134"/>
      <c r="C69" t="s">
        <v>879</v>
      </c>
      <c r="D69" t="s">
        <v>879</v>
      </c>
      <c r="E69" t="s">
        <v>879</v>
      </c>
      <c r="F69" t="s">
        <v>879</v>
      </c>
      <c r="G69" t="s">
        <v>879</v>
      </c>
      <c r="H69" t="s">
        <v>879</v>
      </c>
      <c r="I69" t="s">
        <v>879</v>
      </c>
      <c r="J69" t="s">
        <v>879</v>
      </c>
      <c r="K69" t="s">
        <v>879</v>
      </c>
      <c r="L69" t="s">
        <v>879</v>
      </c>
      <c r="M69" t="s">
        <v>879</v>
      </c>
      <c r="N69">
        <v>96.26</v>
      </c>
      <c r="O69" t="s">
        <v>879</v>
      </c>
      <c r="P69" t="s">
        <v>879</v>
      </c>
      <c r="Q69" t="s">
        <v>879</v>
      </c>
      <c r="R69" t="s">
        <v>879</v>
      </c>
      <c r="S69" t="s">
        <v>879</v>
      </c>
      <c r="T69" t="s">
        <v>879</v>
      </c>
      <c r="U69" t="s">
        <v>879</v>
      </c>
      <c r="V69" t="s">
        <v>879</v>
      </c>
      <c r="W69" t="s">
        <v>879</v>
      </c>
      <c r="X69" t="s">
        <v>879</v>
      </c>
      <c r="Y69" t="s">
        <v>879</v>
      </c>
      <c r="Z69">
        <v>97.59</v>
      </c>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97.79</v>
      </c>
      <c r="D70">
        <v>97.74</v>
      </c>
      <c r="E70">
        <v>97.69</v>
      </c>
      <c r="F70">
        <v>97.960552797531193</v>
      </c>
      <c r="G70">
        <v>98.362890634103138</v>
      </c>
      <c r="H70">
        <v>98.446702407556202</v>
      </c>
      <c r="I70">
        <v>98.26999958784981</v>
      </c>
      <c r="J70">
        <v>97.99</v>
      </c>
      <c r="K70">
        <v>96.83</v>
      </c>
      <c r="L70">
        <v>97.21</v>
      </c>
      <c r="M70">
        <v>97.39</v>
      </c>
      <c r="N70">
        <v>97.14</v>
      </c>
      <c r="O70">
        <v>98.49</v>
      </c>
      <c r="P70">
        <v>98.07</v>
      </c>
      <c r="Q70">
        <v>98.07</v>
      </c>
      <c r="R70">
        <v>98.284192269573836</v>
      </c>
      <c r="S70">
        <v>97.866859980874239</v>
      </c>
      <c r="T70">
        <v>98.27460245908</v>
      </c>
      <c r="U70">
        <v>98.103609162878897</v>
      </c>
      <c r="V70">
        <v>98.6</v>
      </c>
      <c r="W70">
        <v>93.5</v>
      </c>
      <c r="X70">
        <v>95.06</v>
      </c>
      <c r="Y70">
        <v>95.99</v>
      </c>
      <c r="Z70">
        <v>97.62</v>
      </c>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95.94</v>
      </c>
      <c r="D71">
        <v>95.24</v>
      </c>
      <c r="E71">
        <v>95.19</v>
      </c>
      <c r="F71">
        <v>95.171727227476353</v>
      </c>
      <c r="G71">
        <v>95.808097857383984</v>
      </c>
      <c r="H71">
        <v>95.601518523366906</v>
      </c>
      <c r="I71">
        <v>96.022222609240842</v>
      </c>
      <c r="J71">
        <v>96.24</v>
      </c>
      <c r="K71">
        <v>95.75</v>
      </c>
      <c r="L71">
        <v>94.87</v>
      </c>
      <c r="M71">
        <v>96.09</v>
      </c>
      <c r="N71">
        <v>96.39</v>
      </c>
      <c r="O71">
        <v>95.76</v>
      </c>
      <c r="P71">
        <v>96.95</v>
      </c>
      <c r="Q71">
        <v>97.99</v>
      </c>
      <c r="R71">
        <v>98.403707518022657</v>
      </c>
      <c r="S71">
        <v>97.90746466431095</v>
      </c>
      <c r="T71">
        <v>98.884822637812206</v>
      </c>
      <c r="U71">
        <v>97.668673330304415</v>
      </c>
      <c r="V71">
        <v>99.38</v>
      </c>
      <c r="W71">
        <v>97.05</v>
      </c>
      <c r="X71">
        <v>98.08</v>
      </c>
      <c r="Y71">
        <v>99.79</v>
      </c>
      <c r="Z71">
        <v>99.97</v>
      </c>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97.33</v>
      </c>
      <c r="D72">
        <v>97.06</v>
      </c>
      <c r="E72">
        <v>97.14</v>
      </c>
      <c r="F72">
        <v>97.305565584205823</v>
      </c>
      <c r="G72">
        <v>97.172879659744808</v>
      </c>
      <c r="H72">
        <v>97.025495750708203</v>
      </c>
      <c r="I72">
        <v>96.923100627089653</v>
      </c>
      <c r="J72">
        <v>96.86</v>
      </c>
      <c r="K72">
        <v>95.89</v>
      </c>
      <c r="L72">
        <v>96.33</v>
      </c>
      <c r="M72">
        <v>96.49</v>
      </c>
      <c r="N72">
        <v>96.23</v>
      </c>
      <c r="O72">
        <v>98.83</v>
      </c>
      <c r="P72">
        <v>98.59</v>
      </c>
      <c r="Q72">
        <v>97.87</v>
      </c>
      <c r="R72">
        <v>98.830733731224072</v>
      </c>
      <c r="S72">
        <v>98.898607778306115</v>
      </c>
      <c r="T72">
        <v>98.9199868291076</v>
      </c>
      <c r="U72">
        <v>98.574286079073929</v>
      </c>
      <c r="V72">
        <v>97.37</v>
      </c>
      <c r="W72">
        <v>90.59</v>
      </c>
      <c r="X72">
        <v>93.42</v>
      </c>
      <c r="Y72">
        <v>96.79</v>
      </c>
      <c r="Z72">
        <v>96.46</v>
      </c>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94.8</v>
      </c>
      <c r="D73">
        <v>93.3</v>
      </c>
      <c r="E73">
        <v>93.57</v>
      </c>
      <c r="F73">
        <v>93.797169561673712</v>
      </c>
      <c r="G73">
        <v>94.087600819680404</v>
      </c>
      <c r="H73">
        <v>94.143128132048503</v>
      </c>
      <c r="I73">
        <v>94.086116147657862</v>
      </c>
      <c r="J73">
        <v>93.62</v>
      </c>
      <c r="K73">
        <v>92.25</v>
      </c>
      <c r="L73">
        <v>92.57</v>
      </c>
      <c r="M73">
        <v>93.1</v>
      </c>
      <c r="N73">
        <v>93.24</v>
      </c>
      <c r="O73">
        <v>95.93</v>
      </c>
      <c r="P73">
        <v>95.32</v>
      </c>
      <c r="Q73">
        <v>96.77</v>
      </c>
      <c r="R73">
        <v>96.881312022481779</v>
      </c>
      <c r="S73">
        <v>96.066711655258842</v>
      </c>
      <c r="T73">
        <v>96.777484068398905</v>
      </c>
      <c r="U73">
        <v>97.045969482534602</v>
      </c>
      <c r="V73">
        <v>96.85</v>
      </c>
      <c r="W73">
        <v>90.22</v>
      </c>
      <c r="X73">
        <v>95.95</v>
      </c>
      <c r="Y73">
        <v>96.34</v>
      </c>
      <c r="Z73">
        <v>95.07</v>
      </c>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98.39</v>
      </c>
      <c r="D74">
        <v>98.27</v>
      </c>
      <c r="E74">
        <v>98.14</v>
      </c>
      <c r="F74">
        <v>98.100275482093664</v>
      </c>
      <c r="G74">
        <v>98.662440570522975</v>
      </c>
      <c r="H74">
        <v>98.805885567406705</v>
      </c>
      <c r="I74">
        <v>98.68845533451109</v>
      </c>
      <c r="J74">
        <v>98.52</v>
      </c>
      <c r="K74">
        <v>97.51</v>
      </c>
      <c r="L74">
        <v>98.08</v>
      </c>
      <c r="M74">
        <v>97.76</v>
      </c>
      <c r="N74">
        <v>97.82</v>
      </c>
      <c r="O74">
        <v>97.54</v>
      </c>
      <c r="P74">
        <v>97.64</v>
      </c>
      <c r="Q74">
        <v>97.36</v>
      </c>
      <c r="R74">
        <v>97.581475128644939</v>
      </c>
      <c r="S74">
        <v>97.727644270067032</v>
      </c>
      <c r="T74">
        <v>97.923162583518902</v>
      </c>
      <c r="U74">
        <v>98.069970225435981</v>
      </c>
      <c r="V74">
        <v>97.59</v>
      </c>
      <c r="W74">
        <v>92.16</v>
      </c>
      <c r="X74">
        <v>97.9</v>
      </c>
      <c r="Y74">
        <v>97</v>
      </c>
      <c r="Z74">
        <v>97.31</v>
      </c>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94.9</v>
      </c>
      <c r="D75">
        <v>93.83</v>
      </c>
      <c r="E75">
        <v>93.93</v>
      </c>
      <c r="F75">
        <v>94.11342690531815</v>
      </c>
      <c r="G75">
        <v>94.649871680720693</v>
      </c>
      <c r="H75">
        <v>94.798151409178402</v>
      </c>
      <c r="I75">
        <v>94.65719459967822</v>
      </c>
      <c r="J75">
        <v>94.74</v>
      </c>
      <c r="K75">
        <v>93.44</v>
      </c>
      <c r="L75">
        <v>94.56</v>
      </c>
      <c r="M75">
        <v>94.38</v>
      </c>
      <c r="N75">
        <v>94.01</v>
      </c>
      <c r="O75">
        <v>96.43</v>
      </c>
      <c r="P75">
        <v>96.11</v>
      </c>
      <c r="Q75">
        <v>96.5</v>
      </c>
      <c r="R75">
        <v>96.01579658290629</v>
      </c>
      <c r="S75">
        <v>96.958936538286451</v>
      </c>
      <c r="T75">
        <v>97.307904642409</v>
      </c>
      <c r="U75">
        <v>97.822457214414911</v>
      </c>
      <c r="V75">
        <v>97.22</v>
      </c>
      <c r="W75">
        <v>92.64</v>
      </c>
      <c r="X75">
        <v>96.91</v>
      </c>
      <c r="Y75">
        <v>97.25</v>
      </c>
      <c r="Z75">
        <v>96.98</v>
      </c>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t="s">
        <v>879</v>
      </c>
      <c r="D76" t="s">
        <v>879</v>
      </c>
      <c r="E76" t="s">
        <v>879</v>
      </c>
      <c r="F76" t="s">
        <v>879</v>
      </c>
      <c r="G76" t="s">
        <v>879</v>
      </c>
      <c r="H76" t="s">
        <v>879</v>
      </c>
      <c r="I76" t="s">
        <v>879</v>
      </c>
      <c r="J76">
        <v>97.94</v>
      </c>
      <c r="K76">
        <v>95.15</v>
      </c>
      <c r="L76">
        <v>95.96</v>
      </c>
      <c r="M76">
        <v>96.09</v>
      </c>
      <c r="N76">
        <v>96.23</v>
      </c>
      <c r="O76" t="s">
        <v>879</v>
      </c>
      <c r="P76" t="s">
        <v>879</v>
      </c>
      <c r="Q76" t="s">
        <v>879</v>
      </c>
      <c r="R76" t="s">
        <v>879</v>
      </c>
      <c r="S76" t="s">
        <v>879</v>
      </c>
      <c r="T76" t="s">
        <v>879</v>
      </c>
      <c r="U76" t="s">
        <v>879</v>
      </c>
      <c r="V76">
        <v>97.67</v>
      </c>
      <c r="W76">
        <v>88.34</v>
      </c>
      <c r="X76">
        <v>93.24</v>
      </c>
      <c r="Y76">
        <v>92.07</v>
      </c>
      <c r="Z76">
        <v>96.17</v>
      </c>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98.02</v>
      </c>
      <c r="D77">
        <v>97.74</v>
      </c>
      <c r="E77">
        <v>97.86</v>
      </c>
      <c r="F77">
        <v>97.919524055503103</v>
      </c>
      <c r="G77">
        <v>97.993085420355854</v>
      </c>
      <c r="H77">
        <v>97.868722186903994</v>
      </c>
      <c r="I77">
        <v>97.65466380031053</v>
      </c>
      <c r="J77">
        <v>97.23</v>
      </c>
      <c r="K77">
        <v>96.87</v>
      </c>
      <c r="L77">
        <v>96.98</v>
      </c>
      <c r="M77">
        <v>97.16</v>
      </c>
      <c r="N77">
        <v>96.48</v>
      </c>
      <c r="O77">
        <v>95.83</v>
      </c>
      <c r="P77">
        <v>98.17</v>
      </c>
      <c r="Q77">
        <v>98.83</v>
      </c>
      <c r="R77">
        <v>99.308902956036931</v>
      </c>
      <c r="S77">
        <v>98.854299928926793</v>
      </c>
      <c r="T77">
        <v>99.021933987134801</v>
      </c>
      <c r="U77">
        <v>98.207817865374665</v>
      </c>
      <c r="V77">
        <v>99.2</v>
      </c>
      <c r="W77">
        <v>97.13</v>
      </c>
      <c r="X77">
        <v>98.07</v>
      </c>
      <c r="Y77">
        <v>98.38</v>
      </c>
      <c r="Z77">
        <v>95.61</v>
      </c>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98.04</v>
      </c>
      <c r="D78">
        <v>97.76</v>
      </c>
      <c r="E78">
        <v>97.65</v>
      </c>
      <c r="F78">
        <v>97.170644665477084</v>
      </c>
      <c r="G78">
        <v>97.133381303294215</v>
      </c>
      <c r="H78">
        <v>97.010308468960702</v>
      </c>
      <c r="I78">
        <v>96.816587488345249</v>
      </c>
      <c r="J78">
        <v>97.12</v>
      </c>
      <c r="K78">
        <v>96.41</v>
      </c>
      <c r="L78">
        <v>96.02</v>
      </c>
      <c r="M78">
        <v>96.41</v>
      </c>
      <c r="N78">
        <v>96.46</v>
      </c>
      <c r="O78">
        <v>97.15</v>
      </c>
      <c r="P78">
        <v>97.16</v>
      </c>
      <c r="Q78">
        <v>97.42</v>
      </c>
      <c r="R78">
        <v>96.674177465564185</v>
      </c>
      <c r="S78">
        <v>95.685228872192368</v>
      </c>
      <c r="T78">
        <v>96.165396659149906</v>
      </c>
      <c r="U78">
        <v>97.516480647477323</v>
      </c>
      <c r="V78">
        <v>97.03</v>
      </c>
      <c r="W78">
        <v>93.58</v>
      </c>
      <c r="X78">
        <v>95.93</v>
      </c>
      <c r="Y78">
        <v>97.48</v>
      </c>
      <c r="Z78">
        <v>96.36</v>
      </c>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95</v>
      </c>
      <c r="D79">
        <v>95.44</v>
      </c>
      <c r="E79">
        <v>95.8</v>
      </c>
      <c r="F79">
        <v>96.317041322822732</v>
      </c>
      <c r="G79">
        <v>96.687336814621403</v>
      </c>
      <c r="H79">
        <v>96.833479099524297</v>
      </c>
      <c r="I79">
        <v>96.651772258725671</v>
      </c>
      <c r="J79">
        <v>96.37</v>
      </c>
      <c r="K79">
        <v>93.72</v>
      </c>
      <c r="L79">
        <v>95.46</v>
      </c>
      <c r="M79">
        <v>95.91</v>
      </c>
      <c r="N79">
        <v>95.37</v>
      </c>
      <c r="O79">
        <v>95.91</v>
      </c>
      <c r="P79">
        <v>96.6</v>
      </c>
      <c r="Q79">
        <v>97.19</v>
      </c>
      <c r="R79">
        <v>97.405204460966544</v>
      </c>
      <c r="S79">
        <v>97.783187695482539</v>
      </c>
      <c r="T79">
        <v>98.417391011387295</v>
      </c>
      <c r="U79">
        <v>97.894988736415627</v>
      </c>
      <c r="V79">
        <v>97.91</v>
      </c>
      <c r="W79">
        <v>93.43</v>
      </c>
      <c r="X79">
        <v>98.38</v>
      </c>
      <c r="Y79">
        <v>96.36</v>
      </c>
      <c r="Z79">
        <v>98.69</v>
      </c>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97.43</v>
      </c>
      <c r="D80">
        <v>96.76</v>
      </c>
      <c r="E80">
        <v>96.18</v>
      </c>
      <c r="F80">
        <v>96.551563477589482</v>
      </c>
      <c r="G80">
        <v>97.260273972602747</v>
      </c>
      <c r="H80">
        <v>96.991780086989195</v>
      </c>
      <c r="I80">
        <v>96.957591753753974</v>
      </c>
      <c r="J80">
        <v>96.84</v>
      </c>
      <c r="K80">
        <v>95.45</v>
      </c>
      <c r="L80">
        <v>95.83</v>
      </c>
      <c r="M80">
        <v>96.84</v>
      </c>
      <c r="N80">
        <v>96.31</v>
      </c>
      <c r="O80">
        <v>96.83</v>
      </c>
      <c r="P80">
        <v>95.79</v>
      </c>
      <c r="Q80">
        <v>96.33</v>
      </c>
      <c r="R80">
        <v>96.092924328894526</v>
      </c>
      <c r="S80">
        <v>97.00560075539056</v>
      </c>
      <c r="T80">
        <v>98.035996130543197</v>
      </c>
      <c r="U80">
        <v>97.225585912863593</v>
      </c>
      <c r="V80">
        <v>96.63</v>
      </c>
      <c r="W80">
        <v>90.57</v>
      </c>
      <c r="X80">
        <v>92.71</v>
      </c>
      <c r="Y80">
        <v>94.82</v>
      </c>
      <c r="Z80">
        <v>96.35</v>
      </c>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98.67</v>
      </c>
      <c r="D81">
        <v>98.54</v>
      </c>
      <c r="E81">
        <v>98.39</v>
      </c>
      <c r="F81">
        <v>98.50243763800529</v>
      </c>
      <c r="G81">
        <v>98.453641049572582</v>
      </c>
      <c r="H81">
        <v>98.317005259358496</v>
      </c>
      <c r="I81">
        <v>98.240435035929309</v>
      </c>
      <c r="J81">
        <v>98.2</v>
      </c>
      <c r="K81">
        <v>98.13</v>
      </c>
      <c r="L81">
        <v>98.35</v>
      </c>
      <c r="M81">
        <v>98.19</v>
      </c>
      <c r="N81">
        <v>97.8</v>
      </c>
      <c r="O81">
        <v>98.7</v>
      </c>
      <c r="P81">
        <v>98.7</v>
      </c>
      <c r="Q81">
        <v>98.3</v>
      </c>
      <c r="R81">
        <v>97.403545359749742</v>
      </c>
      <c r="S81">
        <v>98.690565098332087</v>
      </c>
      <c r="T81">
        <v>97.557878284653697</v>
      </c>
      <c r="U81">
        <v>98.516155872971851</v>
      </c>
      <c r="V81">
        <v>98.99</v>
      </c>
      <c r="W81">
        <v>96.7</v>
      </c>
      <c r="X81">
        <v>96.5</v>
      </c>
      <c r="Y81">
        <v>97.37</v>
      </c>
      <c r="Z81">
        <v>97.32</v>
      </c>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98.66</v>
      </c>
      <c r="D82">
        <v>98.56</v>
      </c>
      <c r="E82">
        <v>98.83</v>
      </c>
      <c r="F82">
        <v>98.938335751318647</v>
      </c>
      <c r="G82">
        <v>99.014584573518164</v>
      </c>
      <c r="H82">
        <v>98.979673176564305</v>
      </c>
      <c r="I82">
        <v>98.811301037545718</v>
      </c>
      <c r="J82">
        <v>98.69</v>
      </c>
      <c r="K82">
        <v>98.7</v>
      </c>
      <c r="L82">
        <v>98.88</v>
      </c>
      <c r="M82">
        <v>98.74</v>
      </c>
      <c r="N82">
        <v>98.64</v>
      </c>
      <c r="O82">
        <v>98.66</v>
      </c>
      <c r="P82">
        <v>98.44</v>
      </c>
      <c r="Q82">
        <v>98.48</v>
      </c>
      <c r="R82">
        <v>97.827005492847235</v>
      </c>
      <c r="S82">
        <v>98.706601187756974</v>
      </c>
      <c r="T82">
        <v>99.195004291337398</v>
      </c>
      <c r="U82">
        <v>99.405989604818075</v>
      </c>
      <c r="V82">
        <v>97.91</v>
      </c>
      <c r="W82">
        <v>93.01</v>
      </c>
      <c r="X82">
        <v>97.37</v>
      </c>
      <c r="Y82">
        <v>97.58</v>
      </c>
      <c r="Z82">
        <v>98.43</v>
      </c>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98.8</v>
      </c>
      <c r="D83">
        <v>98.8</v>
      </c>
      <c r="E83">
        <v>98.74</v>
      </c>
      <c r="F83">
        <v>98.781792505313618</v>
      </c>
      <c r="G83">
        <v>98.856470652605083</v>
      </c>
      <c r="H83">
        <v>98.871770930594394</v>
      </c>
      <c r="I83">
        <v>98.778469159668944</v>
      </c>
      <c r="J83">
        <v>98.5</v>
      </c>
      <c r="K83">
        <v>98.13</v>
      </c>
      <c r="L83">
        <v>98.3</v>
      </c>
      <c r="M83">
        <v>98.19</v>
      </c>
      <c r="N83">
        <v>98.35</v>
      </c>
      <c r="O83">
        <v>98.96</v>
      </c>
      <c r="P83">
        <v>99</v>
      </c>
      <c r="Q83">
        <v>99.16</v>
      </c>
      <c r="R83">
        <v>98.654073199527744</v>
      </c>
      <c r="S83">
        <v>98.525695029486101</v>
      </c>
      <c r="T83">
        <v>98.141733303117604</v>
      </c>
      <c r="U83">
        <v>98.760804238049502</v>
      </c>
      <c r="V83">
        <v>97.91</v>
      </c>
      <c r="W83">
        <v>95.83</v>
      </c>
      <c r="X83">
        <v>95.89</v>
      </c>
      <c r="Y83">
        <v>97.46</v>
      </c>
      <c r="Z83">
        <v>97.81</v>
      </c>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98.42</v>
      </c>
      <c r="D84">
        <v>98.13</v>
      </c>
      <c r="E84">
        <v>98.16</v>
      </c>
      <c r="F84">
        <v>98.356161227522492</v>
      </c>
      <c r="G84">
        <v>98.418090275487543</v>
      </c>
      <c r="H84">
        <v>98.237382440259907</v>
      </c>
      <c r="I84">
        <v>98.133772142096603</v>
      </c>
      <c r="J84">
        <v>97.86</v>
      </c>
      <c r="K84">
        <v>97.14</v>
      </c>
      <c r="L84">
        <v>98.04</v>
      </c>
      <c r="M84">
        <v>96.77</v>
      </c>
      <c r="N84">
        <v>96.92</v>
      </c>
      <c r="O84">
        <v>96.96</v>
      </c>
      <c r="P84">
        <v>97</v>
      </c>
      <c r="Q84">
        <v>97.19</v>
      </c>
      <c r="R84">
        <v>97.787881437439879</v>
      </c>
      <c r="S84">
        <v>98.081647476020592</v>
      </c>
      <c r="T84">
        <v>98.392943985145195</v>
      </c>
      <c r="U84">
        <v>98.981086695091292</v>
      </c>
      <c r="V84">
        <v>98.52</v>
      </c>
      <c r="W84">
        <v>96.94</v>
      </c>
      <c r="X84">
        <v>96.94</v>
      </c>
      <c r="Y84">
        <v>98.18</v>
      </c>
      <c r="Z84">
        <v>97.58</v>
      </c>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97.99</v>
      </c>
      <c r="D85">
        <v>97.27</v>
      </c>
      <c r="E85">
        <v>97.1</v>
      </c>
      <c r="F85">
        <v>97.169658479683747</v>
      </c>
      <c r="G85">
        <v>97.319167335845322</v>
      </c>
      <c r="H85">
        <v>97.218923634017898</v>
      </c>
      <c r="I85">
        <v>97.029526125606253</v>
      </c>
      <c r="J85">
        <v>96.84</v>
      </c>
      <c r="K85">
        <v>96.36</v>
      </c>
      <c r="L85">
        <v>96.28</v>
      </c>
      <c r="M85">
        <v>95.91</v>
      </c>
      <c r="N85">
        <v>95.37</v>
      </c>
      <c r="O85">
        <v>96.61</v>
      </c>
      <c r="P85">
        <v>97.08</v>
      </c>
      <c r="Q85">
        <v>97.12</v>
      </c>
      <c r="R85">
        <v>96.033323589593692</v>
      </c>
      <c r="S85">
        <v>97.032706414428333</v>
      </c>
      <c r="T85">
        <v>97.166456670866495</v>
      </c>
      <c r="U85">
        <v>96.660689055537446</v>
      </c>
      <c r="V85">
        <v>96.25</v>
      </c>
      <c r="W85">
        <v>93.9</v>
      </c>
      <c r="X85">
        <v>95.19</v>
      </c>
      <c r="Y85">
        <v>86.59</v>
      </c>
      <c r="Z85">
        <v>93.77</v>
      </c>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98.12</v>
      </c>
      <c r="D86">
        <v>97.58</v>
      </c>
      <c r="E86">
        <v>97.57</v>
      </c>
      <c r="F86">
        <v>97.754839464296168</v>
      </c>
      <c r="G86">
        <v>97.953431372549019</v>
      </c>
      <c r="H86">
        <v>97.908338950459495</v>
      </c>
      <c r="I86">
        <v>97.564801016294922</v>
      </c>
      <c r="J86">
        <v>97.44</v>
      </c>
      <c r="K86">
        <v>97.35</v>
      </c>
      <c r="L86">
        <v>97.36</v>
      </c>
      <c r="M86">
        <v>97.26</v>
      </c>
      <c r="N86">
        <v>97.03</v>
      </c>
      <c r="O86">
        <v>98.35</v>
      </c>
      <c r="P86">
        <v>98.39</v>
      </c>
      <c r="Q86">
        <v>98.22</v>
      </c>
      <c r="R86">
        <v>98.539107829101042</v>
      </c>
      <c r="S86">
        <v>98.594348744762385</v>
      </c>
      <c r="T86">
        <v>98.885768050650199</v>
      </c>
      <c r="U86">
        <v>98.81228090728041</v>
      </c>
      <c r="V86">
        <v>98.87</v>
      </c>
      <c r="W86">
        <v>95.3</v>
      </c>
      <c r="X86">
        <v>96.7</v>
      </c>
      <c r="Y86">
        <v>96.93</v>
      </c>
      <c r="Z86">
        <v>97.66</v>
      </c>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98.45</v>
      </c>
      <c r="D87">
        <v>98.21</v>
      </c>
      <c r="E87">
        <v>97.84</v>
      </c>
      <c r="F87">
        <v>97.320658491768853</v>
      </c>
      <c r="G87">
        <v>97.513634905357719</v>
      </c>
      <c r="H87">
        <v>97.824617152902206</v>
      </c>
      <c r="I87">
        <v>97.78700298328414</v>
      </c>
      <c r="J87">
        <v>97.59</v>
      </c>
      <c r="K87">
        <v>97.02</v>
      </c>
      <c r="L87">
        <v>96.97</v>
      </c>
      <c r="M87">
        <v>96.66</v>
      </c>
      <c r="N87">
        <v>97.55</v>
      </c>
      <c r="O87">
        <v>98.35</v>
      </c>
      <c r="P87">
        <v>98.67</v>
      </c>
      <c r="Q87">
        <v>99.38</v>
      </c>
      <c r="R87">
        <v>97.533802428256067</v>
      </c>
      <c r="S87">
        <v>98.211294061902422</v>
      </c>
      <c r="T87">
        <v>97.828183665736603</v>
      </c>
      <c r="U87">
        <v>98.596228215131433</v>
      </c>
      <c r="V87">
        <v>98.29</v>
      </c>
      <c r="W87">
        <v>95.09</v>
      </c>
      <c r="X87">
        <v>98.67</v>
      </c>
      <c r="Y87">
        <v>97.87</v>
      </c>
      <c r="Z87">
        <v>99.99</v>
      </c>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893</v>
      </c>
      <c r="B88" s="134"/>
      <c r="C88" t="s">
        <v>879</v>
      </c>
      <c r="D88" t="s">
        <v>879</v>
      </c>
      <c r="E88" t="s">
        <v>879</v>
      </c>
      <c r="F88" t="s">
        <v>879</v>
      </c>
      <c r="G88" t="s">
        <v>879</v>
      </c>
      <c r="H88" t="s">
        <v>879</v>
      </c>
      <c r="I88" t="s">
        <v>879</v>
      </c>
      <c r="J88">
        <v>97.61</v>
      </c>
      <c r="K88">
        <v>97.55</v>
      </c>
      <c r="L88">
        <v>97.87</v>
      </c>
      <c r="M88">
        <v>97.88</v>
      </c>
      <c r="N88">
        <v>97.55</v>
      </c>
      <c r="O88" t="s">
        <v>879</v>
      </c>
      <c r="P88" t="s">
        <v>879</v>
      </c>
      <c r="Q88" t="s">
        <v>879</v>
      </c>
      <c r="R88" t="s">
        <v>879</v>
      </c>
      <c r="S88" t="s">
        <v>879</v>
      </c>
      <c r="T88" t="s">
        <v>879</v>
      </c>
      <c r="U88" t="s">
        <v>879</v>
      </c>
      <c r="V88">
        <v>98.22</v>
      </c>
      <c r="W88">
        <v>97.16</v>
      </c>
      <c r="X88">
        <v>98.24</v>
      </c>
      <c r="Y88">
        <v>97.14</v>
      </c>
      <c r="Z88">
        <v>97.04</v>
      </c>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97.13</v>
      </c>
      <c r="D89">
        <v>96.97</v>
      </c>
      <c r="E89">
        <v>96.77</v>
      </c>
      <c r="F89">
        <v>97.037951249614324</v>
      </c>
      <c r="G89">
        <v>97.053164556962031</v>
      </c>
      <c r="H89">
        <v>96.989316410956704</v>
      </c>
      <c r="I89">
        <v>96.625938288199848</v>
      </c>
      <c r="J89">
        <v>96.52</v>
      </c>
      <c r="K89">
        <v>95.89</v>
      </c>
      <c r="L89">
        <v>96.28</v>
      </c>
      <c r="M89">
        <v>96.4</v>
      </c>
      <c r="N89">
        <v>95.19</v>
      </c>
      <c r="O89">
        <v>98.75</v>
      </c>
      <c r="P89">
        <v>97.63</v>
      </c>
      <c r="Q89">
        <v>97.35</v>
      </c>
      <c r="R89">
        <v>97.68701934281053</v>
      </c>
      <c r="S89">
        <v>99.14073052274621</v>
      </c>
      <c r="T89">
        <v>98.263336131291695</v>
      </c>
      <c r="U89">
        <v>97.064640072324565</v>
      </c>
      <c r="V89">
        <v>95.82</v>
      </c>
      <c r="W89">
        <v>94.69</v>
      </c>
      <c r="X89">
        <v>96.42</v>
      </c>
      <c r="Y89">
        <v>96.1</v>
      </c>
      <c r="Z89">
        <v>96.78</v>
      </c>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98.57</v>
      </c>
      <c r="D90">
        <v>98.51</v>
      </c>
      <c r="E90">
        <v>98.33</v>
      </c>
      <c r="F90">
        <v>98.62067883314765</v>
      </c>
      <c r="G90">
        <v>98.491163596707452</v>
      </c>
      <c r="H90">
        <v>97.914494264859201</v>
      </c>
      <c r="I90">
        <v>97.670791170764957</v>
      </c>
      <c r="J90">
        <v>97.25</v>
      </c>
      <c r="K90">
        <v>96.29</v>
      </c>
      <c r="L90">
        <v>96.92</v>
      </c>
      <c r="M90">
        <v>95.52</v>
      </c>
      <c r="N90">
        <v>97.01</v>
      </c>
      <c r="O90">
        <v>98.91</v>
      </c>
      <c r="P90">
        <v>98.13</v>
      </c>
      <c r="Q90">
        <v>98.7</v>
      </c>
      <c r="R90">
        <v>98.510856931085016</v>
      </c>
      <c r="S90">
        <v>98.724699687345733</v>
      </c>
      <c r="T90">
        <v>98.9523621269025</v>
      </c>
      <c r="U90">
        <v>98.830457453983186</v>
      </c>
      <c r="V90">
        <v>98.36</v>
      </c>
      <c r="W90">
        <v>90.69</v>
      </c>
      <c r="X90">
        <v>97.95</v>
      </c>
      <c r="Y90">
        <v>98.08</v>
      </c>
      <c r="Z90">
        <v>98.46</v>
      </c>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98.92</v>
      </c>
      <c r="D91">
        <v>98.8</v>
      </c>
      <c r="E91">
        <v>98.81</v>
      </c>
      <c r="F91">
        <v>98.765896678824376</v>
      </c>
      <c r="G91">
        <v>98.869382736592996</v>
      </c>
      <c r="H91">
        <v>98.868808155144905</v>
      </c>
      <c r="I91">
        <v>98.895234295119579</v>
      </c>
      <c r="J91">
        <v>98.71</v>
      </c>
      <c r="K91">
        <v>98.44</v>
      </c>
      <c r="L91">
        <v>98.58</v>
      </c>
      <c r="M91">
        <v>98.5</v>
      </c>
      <c r="N91">
        <v>98.4</v>
      </c>
      <c r="O91">
        <v>98.72</v>
      </c>
      <c r="P91">
        <v>98.53</v>
      </c>
      <c r="Q91">
        <v>98.86</v>
      </c>
      <c r="R91">
        <v>98.413434112949233</v>
      </c>
      <c r="S91">
        <v>99.04168663152852</v>
      </c>
      <c r="T91">
        <v>99.242264786360707</v>
      </c>
      <c r="U91">
        <v>98.738797508659118</v>
      </c>
      <c r="V91">
        <v>98.37</v>
      </c>
      <c r="W91">
        <v>94.63</v>
      </c>
      <c r="X91">
        <v>96.38</v>
      </c>
      <c r="Y91">
        <v>97.18</v>
      </c>
      <c r="Z91">
        <v>97.39</v>
      </c>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95.86</v>
      </c>
      <c r="D92">
        <v>94.86</v>
      </c>
      <c r="E92">
        <v>95.48</v>
      </c>
      <c r="F92">
        <v>95.745892792900818</v>
      </c>
      <c r="G92">
        <v>95.880537768377138</v>
      </c>
      <c r="H92">
        <v>95.997173668468506</v>
      </c>
      <c r="I92">
        <v>95.727761396550363</v>
      </c>
      <c r="J92">
        <v>95.5</v>
      </c>
      <c r="K92">
        <v>93.99</v>
      </c>
      <c r="L92">
        <v>93.73</v>
      </c>
      <c r="M92">
        <v>93.34</v>
      </c>
      <c r="N92">
        <v>93.56</v>
      </c>
      <c r="O92">
        <v>98.86</v>
      </c>
      <c r="P92">
        <v>98.77</v>
      </c>
      <c r="Q92">
        <v>98.78</v>
      </c>
      <c r="R92">
        <v>98.715220304248447</v>
      </c>
      <c r="S92">
        <v>98.831835686777922</v>
      </c>
      <c r="T92">
        <v>99.128796797739497</v>
      </c>
      <c r="U92">
        <v>99.025374713888411</v>
      </c>
      <c r="V92">
        <v>98.6</v>
      </c>
      <c r="W92">
        <v>86.32</v>
      </c>
      <c r="X92">
        <v>90.89</v>
      </c>
      <c r="Y92">
        <v>96.02</v>
      </c>
      <c r="Z92">
        <v>95.13</v>
      </c>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97.82</v>
      </c>
      <c r="D93">
        <v>97.62</v>
      </c>
      <c r="E93">
        <v>97.79</v>
      </c>
      <c r="F93">
        <v>98.031193746144837</v>
      </c>
      <c r="G93">
        <v>97.991813609573995</v>
      </c>
      <c r="H93">
        <v>97.8190592744821</v>
      </c>
      <c r="I93">
        <v>97.811412930874681</v>
      </c>
      <c r="J93">
        <v>97.62</v>
      </c>
      <c r="K93">
        <v>95.4</v>
      </c>
      <c r="L93">
        <v>96.46</v>
      </c>
      <c r="M93">
        <v>96.58</v>
      </c>
      <c r="N93">
        <v>96.94</v>
      </c>
      <c r="O93">
        <v>96.85</v>
      </c>
      <c r="P93">
        <v>98.09</v>
      </c>
      <c r="Q93">
        <v>97.86</v>
      </c>
      <c r="R93">
        <v>97.84288292352808</v>
      </c>
      <c r="S93">
        <v>97.747735494926971</v>
      </c>
      <c r="T93">
        <v>97.699639433155298</v>
      </c>
      <c r="U93">
        <v>98.042176797368001</v>
      </c>
      <c r="V93">
        <v>96.55</v>
      </c>
      <c r="W93">
        <v>90.48</v>
      </c>
      <c r="X93">
        <v>94.86</v>
      </c>
      <c r="Y93">
        <v>96.71</v>
      </c>
      <c r="Z93">
        <v>96.2</v>
      </c>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98.79</v>
      </c>
      <c r="D94">
        <v>98.75</v>
      </c>
      <c r="E94">
        <v>99.07</v>
      </c>
      <c r="F94">
        <v>99.059838939621628</v>
      </c>
      <c r="G94">
        <v>99.062413824800075</v>
      </c>
      <c r="H94">
        <v>98.979716200922695</v>
      </c>
      <c r="I94">
        <v>99.051735471995798</v>
      </c>
      <c r="J94">
        <v>99.07</v>
      </c>
      <c r="K94">
        <v>98.05</v>
      </c>
      <c r="L94">
        <v>98.52</v>
      </c>
      <c r="M94">
        <v>98.96</v>
      </c>
      <c r="N94">
        <v>98.96</v>
      </c>
      <c r="O94">
        <v>97.95</v>
      </c>
      <c r="P94">
        <v>98.63</v>
      </c>
      <c r="Q94">
        <v>99.2</v>
      </c>
      <c r="R94">
        <v>99.291312322828091</v>
      </c>
      <c r="S94">
        <v>99.357342569795108</v>
      </c>
      <c r="T94">
        <v>99.209127981216696</v>
      </c>
      <c r="U94">
        <v>99.277290235476315</v>
      </c>
      <c r="V94">
        <v>99.01</v>
      </c>
      <c r="W94">
        <v>97.15</v>
      </c>
      <c r="X94">
        <v>98.76</v>
      </c>
      <c r="Y94">
        <v>99.21</v>
      </c>
      <c r="Z94">
        <v>99.61</v>
      </c>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97.83</v>
      </c>
      <c r="D95">
        <v>97.23</v>
      </c>
      <c r="E95">
        <v>97.1</v>
      </c>
      <c r="F95">
        <v>97.26049279182142</v>
      </c>
      <c r="G95">
        <v>97.531759050852628</v>
      </c>
      <c r="H95">
        <v>97.397327874545297</v>
      </c>
      <c r="I95">
        <v>97.307194058208822</v>
      </c>
      <c r="J95">
        <v>96.89</v>
      </c>
      <c r="K95">
        <v>94.64</v>
      </c>
      <c r="L95">
        <v>94.72</v>
      </c>
      <c r="M95">
        <v>95.82</v>
      </c>
      <c r="N95">
        <v>95.84</v>
      </c>
      <c r="O95">
        <v>97.8</v>
      </c>
      <c r="P95">
        <v>98.51</v>
      </c>
      <c r="Q95">
        <v>97.78</v>
      </c>
      <c r="R95">
        <v>98.161736309569775</v>
      </c>
      <c r="S95">
        <v>98.018251937836496</v>
      </c>
      <c r="T95">
        <v>98.290666880667601</v>
      </c>
      <c r="U95">
        <v>98.144568998840356</v>
      </c>
      <c r="V95">
        <v>98.44</v>
      </c>
      <c r="W95">
        <v>87.76</v>
      </c>
      <c r="X95">
        <v>95.39</v>
      </c>
      <c r="Y95">
        <v>96.65</v>
      </c>
      <c r="Z95">
        <v>96.53</v>
      </c>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97.32</v>
      </c>
      <c r="D96">
        <v>96.5</v>
      </c>
      <c r="E96">
        <v>95.4</v>
      </c>
      <c r="F96">
        <v>96.495673894942627</v>
      </c>
      <c r="G96">
        <v>96.805128205128213</v>
      </c>
      <c r="H96">
        <v>95.638069491929699</v>
      </c>
      <c r="I96">
        <v>97.087054756092016</v>
      </c>
      <c r="J96">
        <v>96.95</v>
      </c>
      <c r="K96">
        <v>96.08</v>
      </c>
      <c r="L96">
        <v>96.52</v>
      </c>
      <c r="M96">
        <v>95.77</v>
      </c>
      <c r="N96">
        <v>96.5</v>
      </c>
      <c r="O96">
        <v>98.15</v>
      </c>
      <c r="P96">
        <v>98.51</v>
      </c>
      <c r="Q96">
        <v>98.75</v>
      </c>
      <c r="R96">
        <v>98.592846866402482</v>
      </c>
      <c r="S96">
        <v>97.165232737701302</v>
      </c>
      <c r="T96">
        <v>98.069273189168996</v>
      </c>
      <c r="U96">
        <v>98.384047587510679</v>
      </c>
      <c r="V96">
        <v>98.1</v>
      </c>
      <c r="W96">
        <v>95.84</v>
      </c>
      <c r="X96">
        <v>98.27</v>
      </c>
      <c r="Y96">
        <v>98.34</v>
      </c>
      <c r="Z96">
        <v>98.82</v>
      </c>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98.36</v>
      </c>
      <c r="D97">
        <v>98.66</v>
      </c>
      <c r="E97">
        <v>98.61</v>
      </c>
      <c r="F97">
        <v>98.929814979176626</v>
      </c>
      <c r="G97">
        <v>99.054412197755454</v>
      </c>
      <c r="H97">
        <v>99.111539118683993</v>
      </c>
      <c r="I97">
        <v>98.749580518552023</v>
      </c>
      <c r="J97">
        <v>98.44</v>
      </c>
      <c r="K97">
        <v>98.37</v>
      </c>
      <c r="L97">
        <v>98.49</v>
      </c>
      <c r="M97">
        <v>98.33</v>
      </c>
      <c r="N97">
        <v>98.08</v>
      </c>
      <c r="O97">
        <v>98.12</v>
      </c>
      <c r="P97">
        <v>99.32</v>
      </c>
      <c r="Q97">
        <v>99.04</v>
      </c>
      <c r="R97">
        <v>98.954489544895452</v>
      </c>
      <c r="S97">
        <v>98.799357796030435</v>
      </c>
      <c r="T97">
        <v>99.278892072588306</v>
      </c>
      <c r="U97">
        <v>99.056272393040302</v>
      </c>
      <c r="V97">
        <v>98.94</v>
      </c>
      <c r="W97">
        <v>92.49</v>
      </c>
      <c r="X97">
        <v>98.43</v>
      </c>
      <c r="Y97">
        <v>96.38</v>
      </c>
      <c r="Z97">
        <v>99.14</v>
      </c>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97.99</v>
      </c>
      <c r="D98">
        <v>97.71</v>
      </c>
      <c r="E98">
        <v>97.29</v>
      </c>
      <c r="F98">
        <v>97.24190605507701</v>
      </c>
      <c r="G98">
        <v>97.038970573240618</v>
      </c>
      <c r="H98">
        <v>96.882235215633898</v>
      </c>
      <c r="I98">
        <v>96.839866863905328</v>
      </c>
      <c r="J98">
        <v>96.76</v>
      </c>
      <c r="K98">
        <v>96.71</v>
      </c>
      <c r="L98">
        <v>96.7</v>
      </c>
      <c r="M98">
        <v>96.76</v>
      </c>
      <c r="N98">
        <v>96.28</v>
      </c>
      <c r="O98">
        <v>97.51</v>
      </c>
      <c r="P98">
        <v>98.47</v>
      </c>
      <c r="Q98">
        <v>98.02</v>
      </c>
      <c r="R98">
        <v>97.931502204137004</v>
      </c>
      <c r="S98">
        <v>97.932683465146226</v>
      </c>
      <c r="T98">
        <v>98.003334237971501</v>
      </c>
      <c r="U98">
        <v>97.695371408684892</v>
      </c>
      <c r="V98">
        <v>96.84</v>
      </c>
      <c r="W98">
        <v>97.23</v>
      </c>
      <c r="X98">
        <v>96.04</v>
      </c>
      <c r="Y98">
        <v>97.1</v>
      </c>
      <c r="Z98">
        <v>96.58</v>
      </c>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889</v>
      </c>
      <c r="B99" s="134"/>
      <c r="C99">
        <v>97.62</v>
      </c>
      <c r="D99">
        <v>97.42</v>
      </c>
      <c r="E99">
        <v>97.09</v>
      </c>
      <c r="F99">
        <v>97.918717957423695</v>
      </c>
      <c r="G99">
        <v>98.000740466493895</v>
      </c>
      <c r="H99">
        <v>97.555175182149995</v>
      </c>
      <c r="I99">
        <v>97.418381578572848</v>
      </c>
      <c r="J99">
        <v>97.48</v>
      </c>
      <c r="K99">
        <v>96.13</v>
      </c>
      <c r="L99">
        <v>96.3</v>
      </c>
      <c r="M99">
        <v>97.12</v>
      </c>
      <c r="N99">
        <v>96.8</v>
      </c>
      <c r="O99">
        <v>97.84</v>
      </c>
      <c r="P99">
        <v>97.98</v>
      </c>
      <c r="Q99">
        <v>98.27</v>
      </c>
      <c r="R99">
        <v>98.753323894049799</v>
      </c>
      <c r="S99">
        <v>99.32213678672602</v>
      </c>
      <c r="T99">
        <v>99.410690285005302</v>
      </c>
      <c r="U99">
        <v>98.703847845950804</v>
      </c>
      <c r="V99">
        <v>98.03</v>
      </c>
      <c r="W99">
        <v>94.11</v>
      </c>
      <c r="X99">
        <v>96.81</v>
      </c>
      <c r="Y99">
        <v>98.26</v>
      </c>
      <c r="Z99">
        <v>99.55</v>
      </c>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98.25</v>
      </c>
      <c r="D100">
        <v>98.26</v>
      </c>
      <c r="E100">
        <v>98.37</v>
      </c>
      <c r="F100">
        <v>98.378973506055416</v>
      </c>
      <c r="G100">
        <v>98.468681637573113</v>
      </c>
      <c r="H100">
        <v>98.509902145995596</v>
      </c>
      <c r="I100">
        <v>98.500040105879521</v>
      </c>
      <c r="J100">
        <v>98.24</v>
      </c>
      <c r="K100">
        <v>97.13</v>
      </c>
      <c r="L100">
        <v>97.32</v>
      </c>
      <c r="M100">
        <v>97.76</v>
      </c>
      <c r="N100">
        <v>97.58</v>
      </c>
      <c r="O100">
        <v>95.44</v>
      </c>
      <c r="P100">
        <v>98.26</v>
      </c>
      <c r="Q100">
        <v>98.38</v>
      </c>
      <c r="R100">
        <v>97.887037789516455</v>
      </c>
      <c r="S100">
        <v>98.745035742652902</v>
      </c>
      <c r="T100">
        <v>97.592531935800807</v>
      </c>
      <c r="U100">
        <v>98.479596659839302</v>
      </c>
      <c r="V100">
        <v>99.21</v>
      </c>
      <c r="W100">
        <v>93.22</v>
      </c>
      <c r="X100">
        <v>97.94</v>
      </c>
      <c r="Y100">
        <v>95.97</v>
      </c>
      <c r="Z100">
        <v>98.49</v>
      </c>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97.97</v>
      </c>
      <c r="D101">
        <v>97.82</v>
      </c>
      <c r="E101">
        <v>96.77</v>
      </c>
      <c r="F101">
        <v>96.392547240452814</v>
      </c>
      <c r="G101">
        <v>96.168365420913545</v>
      </c>
      <c r="H101">
        <v>96.837055615271296</v>
      </c>
      <c r="I101">
        <v>97.090936145676395</v>
      </c>
      <c r="J101">
        <v>96.77</v>
      </c>
      <c r="K101">
        <v>95.15</v>
      </c>
      <c r="L101">
        <v>95.98</v>
      </c>
      <c r="M101">
        <v>96.6</v>
      </c>
      <c r="N101">
        <v>96.61</v>
      </c>
      <c r="O101">
        <v>98.03</v>
      </c>
      <c r="P101">
        <v>97.54</v>
      </c>
      <c r="Q101">
        <v>96.29</v>
      </c>
      <c r="R101">
        <v>97.007850127043113</v>
      </c>
      <c r="S101">
        <v>97.066686197678251</v>
      </c>
      <c r="T101">
        <v>98.828763737308407</v>
      </c>
      <c r="U101">
        <v>97.912650155717046</v>
      </c>
      <c r="V101">
        <v>97.56</v>
      </c>
      <c r="W101">
        <v>93.16</v>
      </c>
      <c r="X101">
        <v>94.37</v>
      </c>
      <c r="Y101">
        <v>98.39</v>
      </c>
      <c r="Z101">
        <v>98.05</v>
      </c>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96.57</v>
      </c>
      <c r="D102">
        <v>96.19</v>
      </c>
      <c r="E102">
        <v>95.37</v>
      </c>
      <c r="F102">
        <v>95.593131032500651</v>
      </c>
      <c r="G102">
        <v>95.825804325344066</v>
      </c>
      <c r="H102">
        <v>95.860118282334696</v>
      </c>
      <c r="I102">
        <v>95.691923111814447</v>
      </c>
      <c r="J102">
        <v>95.88</v>
      </c>
      <c r="K102">
        <v>94.12</v>
      </c>
      <c r="L102">
        <v>94.51</v>
      </c>
      <c r="M102">
        <v>93.18</v>
      </c>
      <c r="N102">
        <v>93.84</v>
      </c>
      <c r="O102">
        <v>96.28</v>
      </c>
      <c r="P102">
        <v>96.96</v>
      </c>
      <c r="Q102">
        <v>96.19</v>
      </c>
      <c r="R102">
        <v>97.563402889245594</v>
      </c>
      <c r="S102">
        <v>97.293223704042504</v>
      </c>
      <c r="T102">
        <v>98.550165143911101</v>
      </c>
      <c r="U102">
        <v>98.002989156358325</v>
      </c>
      <c r="V102">
        <v>97.49</v>
      </c>
      <c r="W102">
        <v>88.37</v>
      </c>
      <c r="X102">
        <v>93.38</v>
      </c>
      <c r="Y102">
        <v>94.96</v>
      </c>
      <c r="Z102">
        <v>95.15</v>
      </c>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98.5</v>
      </c>
      <c r="D103">
        <v>98.35</v>
      </c>
      <c r="E103">
        <v>98.19</v>
      </c>
      <c r="F103">
        <v>98.37856773483243</v>
      </c>
      <c r="G103">
        <v>98.373696872493994</v>
      </c>
      <c r="H103">
        <v>98.489139253294894</v>
      </c>
      <c r="I103">
        <v>98.455989919033613</v>
      </c>
      <c r="J103">
        <v>98.37</v>
      </c>
      <c r="K103">
        <v>98.06</v>
      </c>
      <c r="L103">
        <v>97.97</v>
      </c>
      <c r="M103">
        <v>97.81</v>
      </c>
      <c r="N103">
        <v>97.63</v>
      </c>
      <c r="O103">
        <v>99.14</v>
      </c>
      <c r="P103">
        <v>98.68</v>
      </c>
      <c r="Q103">
        <v>98.99</v>
      </c>
      <c r="R103">
        <v>98.901396989013961</v>
      </c>
      <c r="S103">
        <v>98.710727800756842</v>
      </c>
      <c r="T103">
        <v>99.026872600660596</v>
      </c>
      <c r="U103">
        <v>97.912598186000082</v>
      </c>
      <c r="V103">
        <v>97.81</v>
      </c>
      <c r="W103">
        <v>95.05</v>
      </c>
      <c r="X103">
        <v>98.2</v>
      </c>
      <c r="Y103">
        <v>98.27</v>
      </c>
      <c r="Z103">
        <v>97.88</v>
      </c>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v>97.27</v>
      </c>
      <c r="D104">
        <v>96.93</v>
      </c>
      <c r="E104">
        <v>96.71</v>
      </c>
      <c r="F104">
        <v>96.814707628376368</v>
      </c>
      <c r="G104">
        <v>97.126477208778837</v>
      </c>
      <c r="H104">
        <v>97.105404138485198</v>
      </c>
      <c r="I104">
        <v>96.712983477875554</v>
      </c>
      <c r="J104">
        <v>96.62</v>
      </c>
      <c r="K104">
        <v>95.94</v>
      </c>
      <c r="L104">
        <v>95.26</v>
      </c>
      <c r="M104">
        <v>93.51</v>
      </c>
      <c r="N104">
        <v>95.93</v>
      </c>
      <c r="O104">
        <v>98</v>
      </c>
      <c r="P104">
        <v>97.89</v>
      </c>
      <c r="Q104">
        <v>97.6</v>
      </c>
      <c r="R104">
        <v>98.026991345166493</v>
      </c>
      <c r="S104">
        <v>98.442208302134887</v>
      </c>
      <c r="T104">
        <v>98.566783528001295</v>
      </c>
      <c r="U104">
        <v>98.159542608222168</v>
      </c>
      <c r="V104">
        <v>97.77</v>
      </c>
      <c r="W104">
        <v>96.06</v>
      </c>
      <c r="X104">
        <v>95.99</v>
      </c>
      <c r="Y104">
        <v>97.63</v>
      </c>
      <c r="Z104">
        <v>98.15</v>
      </c>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97.57</v>
      </c>
      <c r="D105">
        <v>95.6</v>
      </c>
      <c r="E105">
        <v>95.31</v>
      </c>
      <c r="F105">
        <v>96.130710026530778</v>
      </c>
      <c r="G105">
        <v>96.181576104705201</v>
      </c>
      <c r="H105">
        <v>96.1611419357898</v>
      </c>
      <c r="I105">
        <v>95.964225824482952</v>
      </c>
      <c r="J105">
        <v>95.42</v>
      </c>
      <c r="K105">
        <v>94.56</v>
      </c>
      <c r="L105" t="s">
        <v>915</v>
      </c>
      <c r="M105">
        <v>96.06</v>
      </c>
      <c r="N105">
        <v>93.63</v>
      </c>
      <c r="O105">
        <v>96.31</v>
      </c>
      <c r="P105">
        <v>97.5</v>
      </c>
      <c r="Q105">
        <v>96.86</v>
      </c>
      <c r="R105">
        <v>97.281787979462393</v>
      </c>
      <c r="S105">
        <v>97.79099905749294</v>
      </c>
      <c r="T105">
        <v>98.791559317875098</v>
      </c>
      <c r="U105">
        <v>97.857142857142847</v>
      </c>
      <c r="V105">
        <v>96.78</v>
      </c>
      <c r="W105">
        <v>92.73</v>
      </c>
      <c r="X105" t="s">
        <v>915</v>
      </c>
      <c r="Y105">
        <v>93.32</v>
      </c>
      <c r="Z105">
        <v>93.36</v>
      </c>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97.05</v>
      </c>
      <c r="D106">
        <v>96.77</v>
      </c>
      <c r="E106">
        <v>96.92</v>
      </c>
      <c r="F106">
        <v>96.862912747852278</v>
      </c>
      <c r="G106">
        <v>96.948816987247923</v>
      </c>
      <c r="H106">
        <v>97.039711191335698</v>
      </c>
      <c r="I106">
        <v>96.874563486520458</v>
      </c>
      <c r="J106">
        <v>96.47</v>
      </c>
      <c r="K106">
        <v>94.47</v>
      </c>
      <c r="L106">
        <v>95.47</v>
      </c>
      <c r="M106">
        <v>96.08</v>
      </c>
      <c r="N106">
        <v>95.15</v>
      </c>
      <c r="O106">
        <v>97.92</v>
      </c>
      <c r="P106">
        <v>97.9</v>
      </c>
      <c r="Q106">
        <v>98.4</v>
      </c>
      <c r="R106">
        <v>98.511116461995343</v>
      </c>
      <c r="S106">
        <v>99.109616145627228</v>
      </c>
      <c r="T106">
        <v>98.054635761589395</v>
      </c>
      <c r="U106">
        <v>99.113677020653768</v>
      </c>
      <c r="V106">
        <v>98.35</v>
      </c>
      <c r="W106">
        <v>96.53</v>
      </c>
      <c r="X106">
        <v>96.05</v>
      </c>
      <c r="Y106">
        <v>96.4</v>
      </c>
      <c r="Z106">
        <v>98.68</v>
      </c>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97.47</v>
      </c>
      <c r="D107">
        <v>96.9</v>
      </c>
      <c r="E107">
        <v>96.51</v>
      </c>
      <c r="F107">
        <v>96.13691691051713</v>
      </c>
      <c r="G107">
        <v>96.154025779936475</v>
      </c>
      <c r="H107">
        <v>95.735704549879898</v>
      </c>
      <c r="I107">
        <v>95.852366161154762</v>
      </c>
      <c r="J107">
        <v>95.47</v>
      </c>
      <c r="K107">
        <v>94.62</v>
      </c>
      <c r="L107">
        <v>96.02</v>
      </c>
      <c r="M107">
        <v>95.98</v>
      </c>
      <c r="N107">
        <v>95.66</v>
      </c>
      <c r="O107">
        <v>98.59</v>
      </c>
      <c r="P107">
        <v>98.25</v>
      </c>
      <c r="Q107">
        <v>97.73</v>
      </c>
      <c r="R107">
        <v>97.059104667834944</v>
      </c>
      <c r="S107">
        <v>97.124681132491418</v>
      </c>
      <c r="T107">
        <v>97.614985893314</v>
      </c>
      <c r="U107">
        <v>97.996270661483521</v>
      </c>
      <c r="V107">
        <v>96.49</v>
      </c>
      <c r="W107">
        <v>90.31</v>
      </c>
      <c r="X107">
        <v>98.04</v>
      </c>
      <c r="Y107">
        <v>97.82</v>
      </c>
      <c r="Z107">
        <v>98.16</v>
      </c>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94.24</v>
      </c>
      <c r="D108">
        <v>93.14</v>
      </c>
      <c r="E108">
        <v>93.61</v>
      </c>
      <c r="F108">
        <v>94.139622226883617</v>
      </c>
      <c r="G108">
        <v>94.307187366217946</v>
      </c>
      <c r="H108">
        <v>94.652311251501501</v>
      </c>
      <c r="I108">
        <v>94.472674818870274</v>
      </c>
      <c r="J108">
        <v>94.67</v>
      </c>
      <c r="K108">
        <v>93.08</v>
      </c>
      <c r="L108">
        <v>94</v>
      </c>
      <c r="M108">
        <v>94.46</v>
      </c>
      <c r="N108">
        <v>94</v>
      </c>
      <c r="O108">
        <v>97.45</v>
      </c>
      <c r="P108">
        <v>97.52</v>
      </c>
      <c r="Q108">
        <v>97.78</v>
      </c>
      <c r="R108">
        <v>98.249502061884584</v>
      </c>
      <c r="S108">
        <v>98.193044927646028</v>
      </c>
      <c r="T108">
        <v>98.359586168328804</v>
      </c>
      <c r="U108">
        <v>98.239953381965734</v>
      </c>
      <c r="V108">
        <v>98.22</v>
      </c>
      <c r="W108">
        <v>90.33</v>
      </c>
      <c r="X108">
        <v>93.24</v>
      </c>
      <c r="Y108">
        <v>96.56</v>
      </c>
      <c r="Z108">
        <v>95.81</v>
      </c>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99.24</v>
      </c>
      <c r="D109">
        <v>99.04</v>
      </c>
      <c r="E109">
        <v>99.13</v>
      </c>
      <c r="F109">
        <v>99.315648684797139</v>
      </c>
      <c r="G109">
        <v>99.270406321021227</v>
      </c>
      <c r="H109">
        <v>99.117867487694696</v>
      </c>
      <c r="I109">
        <v>98.884420185770367</v>
      </c>
      <c r="J109">
        <v>98.6</v>
      </c>
      <c r="K109">
        <v>97.53</v>
      </c>
      <c r="L109">
        <v>97.53</v>
      </c>
      <c r="M109">
        <v>97.69</v>
      </c>
      <c r="N109">
        <v>97.81</v>
      </c>
      <c r="O109">
        <v>99.04</v>
      </c>
      <c r="P109">
        <v>99.16</v>
      </c>
      <c r="Q109">
        <v>99.27</v>
      </c>
      <c r="R109">
        <v>99.479248474596744</v>
      </c>
      <c r="S109">
        <v>99.29001928640308</v>
      </c>
      <c r="T109">
        <v>99.380068931784805</v>
      </c>
      <c r="U109">
        <v>99.402516071211238</v>
      </c>
      <c r="V109">
        <v>97.84</v>
      </c>
      <c r="W109">
        <v>95.48</v>
      </c>
      <c r="X109">
        <v>95.5</v>
      </c>
      <c r="Y109">
        <v>97.36</v>
      </c>
      <c r="Z109">
        <v>97.8</v>
      </c>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93.47</v>
      </c>
      <c r="D110">
        <v>93.55</v>
      </c>
      <c r="E110">
        <v>94.02</v>
      </c>
      <c r="F110">
        <v>94.116198916789756</v>
      </c>
      <c r="G110">
        <v>94.536294691224271</v>
      </c>
      <c r="H110">
        <v>95.011449637000197</v>
      </c>
      <c r="I110">
        <v>95.01551873437181</v>
      </c>
      <c r="J110">
        <v>94.68</v>
      </c>
      <c r="K110">
        <v>84.65</v>
      </c>
      <c r="L110">
        <v>63.78</v>
      </c>
      <c r="M110">
        <v>78.25</v>
      </c>
      <c r="N110">
        <v>88.81</v>
      </c>
      <c r="O110">
        <v>95.56</v>
      </c>
      <c r="P110">
        <v>96.2</v>
      </c>
      <c r="Q110">
        <v>95.7</v>
      </c>
      <c r="R110">
        <v>95.830516839948061</v>
      </c>
      <c r="S110">
        <v>96.565146547041905</v>
      </c>
      <c r="T110">
        <v>98.091680040692097</v>
      </c>
      <c r="U110">
        <v>97.311042852107349</v>
      </c>
      <c r="V110">
        <v>96.2</v>
      </c>
      <c r="W110">
        <v>72.37</v>
      </c>
      <c r="X110">
        <v>59.52</v>
      </c>
      <c r="Y110">
        <v>77.900000000000006</v>
      </c>
      <c r="Z110">
        <v>89.22</v>
      </c>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97.09</v>
      </c>
      <c r="D111">
        <v>95.8</v>
      </c>
      <c r="E111">
        <v>95.44</v>
      </c>
      <c r="F111">
        <v>95.186725408654837</v>
      </c>
      <c r="G111">
        <v>95.010976628523693</v>
      </c>
      <c r="H111">
        <v>94.592340055128304</v>
      </c>
      <c r="I111">
        <v>94.721382729464494</v>
      </c>
      <c r="J111">
        <v>94.5</v>
      </c>
      <c r="K111">
        <v>94.12</v>
      </c>
      <c r="L111">
        <v>94.12</v>
      </c>
      <c r="M111">
        <v>93.89</v>
      </c>
      <c r="N111">
        <v>93.78</v>
      </c>
      <c r="O111">
        <v>97.13</v>
      </c>
      <c r="P111">
        <v>96.99</v>
      </c>
      <c r="Q111">
        <v>97.04</v>
      </c>
      <c r="R111">
        <v>96.885008259447801</v>
      </c>
      <c r="S111">
        <v>97.648845281003872</v>
      </c>
      <c r="T111">
        <v>98.211002687031495</v>
      </c>
      <c r="U111">
        <v>98.314695227594896</v>
      </c>
      <c r="V111">
        <v>97.05</v>
      </c>
      <c r="W111">
        <v>96.18</v>
      </c>
      <c r="X111">
        <v>97.38</v>
      </c>
      <c r="Y111">
        <v>97.6</v>
      </c>
      <c r="Z111">
        <v>96.69</v>
      </c>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96.27</v>
      </c>
      <c r="D112">
        <v>96.29</v>
      </c>
      <c r="E112">
        <v>96.29</v>
      </c>
      <c r="F112">
        <v>96.332822921803213</v>
      </c>
      <c r="G112">
        <v>96.979250109821962</v>
      </c>
      <c r="H112">
        <v>96.613293543816496</v>
      </c>
      <c r="I112">
        <v>96.75741558660971</v>
      </c>
      <c r="J112">
        <v>95.87</v>
      </c>
      <c r="K112">
        <v>93.31</v>
      </c>
      <c r="L112">
        <v>93.91</v>
      </c>
      <c r="M112">
        <v>92.45</v>
      </c>
      <c r="N112">
        <v>93.66</v>
      </c>
      <c r="O112">
        <v>96.34</v>
      </c>
      <c r="P112">
        <v>97.12</v>
      </c>
      <c r="Q112">
        <v>98.13</v>
      </c>
      <c r="R112">
        <v>98.243709513834744</v>
      </c>
      <c r="S112">
        <v>98.613171052430388</v>
      </c>
      <c r="T112">
        <v>98.346323708714493</v>
      </c>
      <c r="U112">
        <v>97.982474264393105</v>
      </c>
      <c r="V112">
        <v>96.69</v>
      </c>
      <c r="W112">
        <v>91.86</v>
      </c>
      <c r="X112">
        <v>90.86</v>
      </c>
      <c r="Y112">
        <v>93.27</v>
      </c>
      <c r="Z112">
        <v>91.37</v>
      </c>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98.37</v>
      </c>
      <c r="D113">
        <v>98.56</v>
      </c>
      <c r="E113">
        <v>98.62</v>
      </c>
      <c r="F113">
        <v>98.420969211871451</v>
      </c>
      <c r="G113">
        <v>98.530570881657482</v>
      </c>
      <c r="H113">
        <v>98.601299047957994</v>
      </c>
      <c r="I113">
        <v>98.604142864239236</v>
      </c>
      <c r="J113">
        <v>98.39</v>
      </c>
      <c r="K113">
        <v>97.64</v>
      </c>
      <c r="L113">
        <v>98.07</v>
      </c>
      <c r="M113">
        <v>98.27</v>
      </c>
      <c r="N113">
        <v>98.01</v>
      </c>
      <c r="O113">
        <v>98.43</v>
      </c>
      <c r="P113">
        <v>99.02</v>
      </c>
      <c r="Q113">
        <v>99.25</v>
      </c>
      <c r="R113">
        <v>99.646067996279839</v>
      </c>
      <c r="S113">
        <v>99.577082866880616</v>
      </c>
      <c r="T113">
        <v>99.670807602662293</v>
      </c>
      <c r="U113">
        <v>99.311263661819169</v>
      </c>
      <c r="V113">
        <v>99.13</v>
      </c>
      <c r="W113">
        <v>91.98</v>
      </c>
      <c r="X113">
        <v>99.25</v>
      </c>
      <c r="Y113">
        <v>98.65</v>
      </c>
      <c r="Z113">
        <v>98.69</v>
      </c>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95.15</v>
      </c>
      <c r="D114">
        <v>95.07</v>
      </c>
      <c r="E114">
        <v>95.93</v>
      </c>
      <c r="F114">
        <v>95.495886431867092</v>
      </c>
      <c r="G114">
        <v>96.150599503858885</v>
      </c>
      <c r="H114">
        <v>96.232283399607297</v>
      </c>
      <c r="I114">
        <v>96.465735740936069</v>
      </c>
      <c r="J114">
        <v>96.48</v>
      </c>
      <c r="K114">
        <v>94.2</v>
      </c>
      <c r="L114">
        <v>94.63</v>
      </c>
      <c r="M114">
        <v>96.18</v>
      </c>
      <c r="N114">
        <v>95.17</v>
      </c>
      <c r="O114">
        <v>96.85</v>
      </c>
      <c r="P114">
        <v>96.66</v>
      </c>
      <c r="Q114">
        <v>97.53</v>
      </c>
      <c r="R114">
        <v>98.340343818580834</v>
      </c>
      <c r="S114">
        <v>98.404309677796107</v>
      </c>
      <c r="T114">
        <v>98.066708549888602</v>
      </c>
      <c r="U114">
        <v>95.313599220737061</v>
      </c>
      <c r="V114">
        <v>96.37</v>
      </c>
      <c r="W114">
        <v>82.71</v>
      </c>
      <c r="X114">
        <v>90.25</v>
      </c>
      <c r="Y114">
        <v>95.01</v>
      </c>
      <c r="Z114">
        <v>93.65</v>
      </c>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96.3</v>
      </c>
      <c r="D115">
        <v>95.67</v>
      </c>
      <c r="E115">
        <v>95.8</v>
      </c>
      <c r="F115">
        <v>96.217723662259402</v>
      </c>
      <c r="G115">
        <v>96.086679112413449</v>
      </c>
      <c r="H115">
        <v>95.840292511172294</v>
      </c>
      <c r="I115">
        <v>95.869301106208837</v>
      </c>
      <c r="J115">
        <v>95.52</v>
      </c>
      <c r="K115">
        <v>92.72</v>
      </c>
      <c r="L115">
        <v>94.16</v>
      </c>
      <c r="M115">
        <v>94.8</v>
      </c>
      <c r="N115">
        <v>94.55</v>
      </c>
      <c r="O115">
        <v>98.49</v>
      </c>
      <c r="P115">
        <v>98.53</v>
      </c>
      <c r="Q115">
        <v>98.49</v>
      </c>
      <c r="R115">
        <v>98.874882800291701</v>
      </c>
      <c r="S115">
        <v>98.957698531111433</v>
      </c>
      <c r="T115">
        <v>98.027961736571001</v>
      </c>
      <c r="U115">
        <v>97.38077434363575</v>
      </c>
      <c r="V115">
        <v>97.49</v>
      </c>
      <c r="W115">
        <v>93.07</v>
      </c>
      <c r="X115">
        <v>94.15</v>
      </c>
      <c r="Y115">
        <v>97.14</v>
      </c>
      <c r="Z115">
        <v>96.87</v>
      </c>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97.71</v>
      </c>
      <c r="D116">
        <v>97.5</v>
      </c>
      <c r="E116">
        <v>97.3</v>
      </c>
      <c r="F116">
        <v>97.3507657942626</v>
      </c>
      <c r="G116">
        <v>97.444697842105654</v>
      </c>
      <c r="H116">
        <v>97.718717919470706</v>
      </c>
      <c r="I116">
        <v>97.337621969348859</v>
      </c>
      <c r="J116">
        <v>97.57</v>
      </c>
      <c r="K116">
        <v>95.35</v>
      </c>
      <c r="L116">
        <v>96.72</v>
      </c>
      <c r="M116">
        <v>96.63</v>
      </c>
      <c r="N116">
        <v>96.69</v>
      </c>
      <c r="O116">
        <v>95.37</v>
      </c>
      <c r="P116">
        <v>95.72</v>
      </c>
      <c r="Q116">
        <v>96.28</v>
      </c>
      <c r="R116">
        <v>94.097636317425554</v>
      </c>
      <c r="S116">
        <v>97.664827296507738</v>
      </c>
      <c r="T116">
        <v>96.805117886024505</v>
      </c>
      <c r="U116">
        <v>96.036784444605672</v>
      </c>
      <c r="V116">
        <v>96.67</v>
      </c>
      <c r="W116">
        <v>89.07</v>
      </c>
      <c r="X116">
        <v>95.07</v>
      </c>
      <c r="Y116">
        <v>91.94</v>
      </c>
      <c r="Z116">
        <v>92.74</v>
      </c>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98.71</v>
      </c>
      <c r="D117">
        <v>98.69</v>
      </c>
      <c r="E117">
        <v>98.69</v>
      </c>
      <c r="F117">
        <v>98.751014359806661</v>
      </c>
      <c r="G117">
        <v>98.76851805562498</v>
      </c>
      <c r="H117">
        <v>98.112555743985894</v>
      </c>
      <c r="I117">
        <v>98.707478996533695</v>
      </c>
      <c r="J117">
        <v>98.87</v>
      </c>
      <c r="K117">
        <v>96.93</v>
      </c>
      <c r="L117">
        <v>98.09</v>
      </c>
      <c r="M117">
        <v>98.52</v>
      </c>
      <c r="N117">
        <v>98.48</v>
      </c>
      <c r="O117">
        <v>97.92</v>
      </c>
      <c r="P117">
        <v>98.55</v>
      </c>
      <c r="Q117">
        <v>98.56</v>
      </c>
      <c r="R117">
        <v>98.280595785572103</v>
      </c>
      <c r="S117">
        <v>98.452907174430464</v>
      </c>
      <c r="T117">
        <v>97.390292553191401</v>
      </c>
      <c r="U117">
        <v>98.491500247565597</v>
      </c>
      <c r="V117">
        <v>98.64</v>
      </c>
      <c r="W117">
        <v>85.58</v>
      </c>
      <c r="X117">
        <v>92.36</v>
      </c>
      <c r="Y117">
        <v>95.09</v>
      </c>
      <c r="Z117">
        <v>96.02</v>
      </c>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96.99</v>
      </c>
      <c r="D118">
        <v>96.06</v>
      </c>
      <c r="E118">
        <v>95.44</v>
      </c>
      <c r="F118">
        <v>95.391118354043584</v>
      </c>
      <c r="G118">
        <v>95.26110072588672</v>
      </c>
      <c r="H118">
        <v>95.736984294152606</v>
      </c>
      <c r="I118">
        <v>95.675885408807744</v>
      </c>
      <c r="J118">
        <v>95.19</v>
      </c>
      <c r="K118">
        <v>93.19</v>
      </c>
      <c r="L118">
        <v>91.6</v>
      </c>
      <c r="M118">
        <v>92.14</v>
      </c>
      <c r="N118">
        <v>92.48</v>
      </c>
      <c r="O118">
        <v>98.03</v>
      </c>
      <c r="P118">
        <v>98.53</v>
      </c>
      <c r="Q118">
        <v>98</v>
      </c>
      <c r="R118">
        <v>98.543349078165477</v>
      </c>
      <c r="S118">
        <v>98.41570671325772</v>
      </c>
      <c r="T118">
        <v>98.888820864454502</v>
      </c>
      <c r="U118">
        <v>99.500210754501111</v>
      </c>
      <c r="V118">
        <v>98.62</v>
      </c>
      <c r="W118">
        <v>96.38</v>
      </c>
      <c r="X118">
        <v>96.46</v>
      </c>
      <c r="Y118">
        <v>98.22</v>
      </c>
      <c r="Z118">
        <v>98.74</v>
      </c>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96.61</v>
      </c>
      <c r="D119">
        <v>96.33</v>
      </c>
      <c r="E119">
        <v>96.43</v>
      </c>
      <c r="F119">
        <v>96.222034613761082</v>
      </c>
      <c r="G119">
        <v>96.246583257405717</v>
      </c>
      <c r="H119">
        <v>95.065679384203406</v>
      </c>
      <c r="I119">
        <v>93.869273874368119</v>
      </c>
      <c r="J119">
        <v>94.6</v>
      </c>
      <c r="K119">
        <v>93.29</v>
      </c>
      <c r="L119">
        <v>94.98</v>
      </c>
      <c r="M119">
        <v>94.51</v>
      </c>
      <c r="N119">
        <v>94.41</v>
      </c>
      <c r="O119">
        <v>97.35</v>
      </c>
      <c r="P119">
        <v>97.83</v>
      </c>
      <c r="Q119">
        <v>98.51</v>
      </c>
      <c r="R119">
        <v>98.253394906497192</v>
      </c>
      <c r="S119">
        <v>98.800775438438308</v>
      </c>
      <c r="T119">
        <v>98.472385428907103</v>
      </c>
      <c r="U119">
        <v>97.602213341530899</v>
      </c>
      <c r="V119">
        <v>97.41</v>
      </c>
      <c r="W119">
        <v>93.47</v>
      </c>
      <c r="X119">
        <v>94.82</v>
      </c>
      <c r="Y119">
        <v>97.17</v>
      </c>
      <c r="Z119">
        <v>97.45</v>
      </c>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97.47</v>
      </c>
      <c r="D120">
        <v>97.06</v>
      </c>
      <c r="E120">
        <v>97</v>
      </c>
      <c r="F120">
        <v>97.127437325905291</v>
      </c>
      <c r="G120">
        <v>97.230897009966782</v>
      </c>
      <c r="H120">
        <v>96.803010419466503</v>
      </c>
      <c r="I120">
        <v>96.822188201370423</v>
      </c>
      <c r="J120">
        <v>96.98</v>
      </c>
      <c r="K120">
        <v>95.96</v>
      </c>
      <c r="L120">
        <v>95.9</v>
      </c>
      <c r="M120">
        <v>96.36</v>
      </c>
      <c r="N120">
        <v>96.28</v>
      </c>
      <c r="O120">
        <v>98.88</v>
      </c>
      <c r="P120">
        <v>98.95</v>
      </c>
      <c r="Q120">
        <v>99.03</v>
      </c>
      <c r="R120">
        <v>99.057178497867767</v>
      </c>
      <c r="S120">
        <v>98.762607000593277</v>
      </c>
      <c r="T120">
        <v>99.429864771945901</v>
      </c>
      <c r="U120">
        <v>99.202685690306339</v>
      </c>
      <c r="V120">
        <v>99.28</v>
      </c>
      <c r="W120">
        <v>94.95</v>
      </c>
      <c r="X120">
        <v>95.24</v>
      </c>
      <c r="Y120">
        <v>97.37</v>
      </c>
      <c r="Z120">
        <v>98.27</v>
      </c>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96.98</v>
      </c>
      <c r="D121">
        <v>97.14</v>
      </c>
      <c r="E121">
        <v>97.17</v>
      </c>
      <c r="F121">
        <v>96.765970515970508</v>
      </c>
      <c r="G121">
        <v>96.850650796242149</v>
      </c>
      <c r="H121">
        <v>97.072948609401493</v>
      </c>
      <c r="I121">
        <v>96.985061421717091</v>
      </c>
      <c r="J121">
        <v>96.94</v>
      </c>
      <c r="K121">
        <v>96.19</v>
      </c>
      <c r="L121">
        <v>96.43</v>
      </c>
      <c r="M121">
        <v>96.48</v>
      </c>
      <c r="N121">
        <v>96.28</v>
      </c>
      <c r="O121">
        <v>96.14</v>
      </c>
      <c r="P121">
        <v>97.42</v>
      </c>
      <c r="Q121">
        <v>97.23</v>
      </c>
      <c r="R121">
        <v>98.530225936569039</v>
      </c>
      <c r="S121">
        <v>98.638528728471499</v>
      </c>
      <c r="T121">
        <v>98.758140239285098</v>
      </c>
      <c r="U121">
        <v>99.036816886031417</v>
      </c>
      <c r="V121">
        <v>98.49</v>
      </c>
      <c r="W121">
        <v>98.58</v>
      </c>
      <c r="X121">
        <v>98.32</v>
      </c>
      <c r="Y121">
        <v>98.39</v>
      </c>
      <c r="Z121">
        <v>99.15</v>
      </c>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98.61</v>
      </c>
      <c r="D122">
        <v>98.4</v>
      </c>
      <c r="E122">
        <v>98.12</v>
      </c>
      <c r="F122">
        <v>97.903550089200593</v>
      </c>
      <c r="G122">
        <v>97.96647282647713</v>
      </c>
      <c r="H122">
        <v>98.263005978970497</v>
      </c>
      <c r="I122">
        <v>98.161737875335504</v>
      </c>
      <c r="J122">
        <v>98</v>
      </c>
      <c r="K122">
        <v>97.62</v>
      </c>
      <c r="L122">
        <v>98.03</v>
      </c>
      <c r="M122">
        <v>97.73</v>
      </c>
      <c r="N122">
        <v>97.41</v>
      </c>
      <c r="O122">
        <v>99.1</v>
      </c>
      <c r="P122">
        <v>98.45</v>
      </c>
      <c r="Q122">
        <v>98.9</v>
      </c>
      <c r="R122">
        <v>98.528814110379585</v>
      </c>
      <c r="S122">
        <v>98.592772415970956</v>
      </c>
      <c r="T122">
        <v>98.635039533915901</v>
      </c>
      <c r="U122">
        <v>98.240167759708882</v>
      </c>
      <c r="V122">
        <v>97.78</v>
      </c>
      <c r="W122">
        <v>94.05</v>
      </c>
      <c r="X122">
        <v>96.17</v>
      </c>
      <c r="Y122">
        <v>96.37</v>
      </c>
      <c r="Z122">
        <v>96.67</v>
      </c>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97.97</v>
      </c>
      <c r="D123">
        <v>97.66</v>
      </c>
      <c r="E123">
        <v>98.15</v>
      </c>
      <c r="F123">
        <v>98.275891298082627</v>
      </c>
      <c r="G123">
        <v>98.454549863399023</v>
      </c>
      <c r="H123">
        <v>98.253929423276801</v>
      </c>
      <c r="I123">
        <v>97.956715377281981</v>
      </c>
      <c r="J123">
        <v>97.99</v>
      </c>
      <c r="K123">
        <v>97.7</v>
      </c>
      <c r="L123">
        <v>96.62</v>
      </c>
      <c r="M123">
        <v>96.56</v>
      </c>
      <c r="N123">
        <v>96.09</v>
      </c>
      <c r="O123">
        <v>98.15</v>
      </c>
      <c r="P123">
        <v>98.39</v>
      </c>
      <c r="Q123">
        <v>98.49</v>
      </c>
      <c r="R123">
        <v>98.684734954165009</v>
      </c>
      <c r="S123">
        <v>99.087542157207594</v>
      </c>
      <c r="T123">
        <v>99.646947567510693</v>
      </c>
      <c r="U123">
        <v>98.272182549454158</v>
      </c>
      <c r="V123">
        <v>98.31</v>
      </c>
      <c r="W123">
        <v>95.15</v>
      </c>
      <c r="X123">
        <v>96.18</v>
      </c>
      <c r="Y123">
        <v>95.55</v>
      </c>
      <c r="Z123">
        <v>95.78</v>
      </c>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98.38</v>
      </c>
      <c r="D124">
        <v>98.24</v>
      </c>
      <c r="E124">
        <v>98.55</v>
      </c>
      <c r="F124">
        <v>98.67675675675676</v>
      </c>
      <c r="G124">
        <v>98.408827905438912</v>
      </c>
      <c r="H124">
        <v>98.353779184804097</v>
      </c>
      <c r="I124">
        <v>98.428763140237081</v>
      </c>
      <c r="J124">
        <v>98.41</v>
      </c>
      <c r="K124">
        <v>97.84</v>
      </c>
      <c r="L124">
        <v>98.1</v>
      </c>
      <c r="M124">
        <v>97.87</v>
      </c>
      <c r="N124">
        <v>98.28</v>
      </c>
      <c r="O124">
        <v>98.58</v>
      </c>
      <c r="P124">
        <v>98.61</v>
      </c>
      <c r="Q124">
        <v>98.16</v>
      </c>
      <c r="R124">
        <v>98.43989976558079</v>
      </c>
      <c r="S124">
        <v>98.514870986803231</v>
      </c>
      <c r="T124">
        <v>98.735234458895107</v>
      </c>
      <c r="U124">
        <v>99.086516684282046</v>
      </c>
      <c r="V124">
        <v>98.39</v>
      </c>
      <c r="W124">
        <v>98.12</v>
      </c>
      <c r="X124">
        <v>98.7</v>
      </c>
      <c r="Y124">
        <v>98.8</v>
      </c>
      <c r="Z124">
        <v>98.68</v>
      </c>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97.31</v>
      </c>
      <c r="D125">
        <v>97.88</v>
      </c>
      <c r="E125">
        <v>97.31</v>
      </c>
      <c r="F125">
        <v>95.121631115331468</v>
      </c>
      <c r="G125">
        <v>97.28751169175996</v>
      </c>
      <c r="H125">
        <v>97.313974859572298</v>
      </c>
      <c r="I125">
        <v>97.146166352531552</v>
      </c>
      <c r="J125">
        <v>96.81</v>
      </c>
      <c r="K125">
        <v>95.6</v>
      </c>
      <c r="L125">
        <v>96.39</v>
      </c>
      <c r="M125">
        <v>97.01</v>
      </c>
      <c r="N125">
        <v>96.3</v>
      </c>
      <c r="O125">
        <v>98.76</v>
      </c>
      <c r="P125">
        <v>99.08</v>
      </c>
      <c r="Q125">
        <v>98.69</v>
      </c>
      <c r="R125">
        <v>99.302454078676064</v>
      </c>
      <c r="S125">
        <v>98.749960566579389</v>
      </c>
      <c r="T125">
        <v>99.239520958083801</v>
      </c>
      <c r="U125">
        <v>99.110017430534185</v>
      </c>
      <c r="V125">
        <v>98.98</v>
      </c>
      <c r="W125">
        <v>94.8</v>
      </c>
      <c r="X125">
        <v>96.69</v>
      </c>
      <c r="Y125">
        <v>97.15</v>
      </c>
      <c r="Z125">
        <v>97.22</v>
      </c>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98.16</v>
      </c>
      <c r="D126">
        <v>97.99</v>
      </c>
      <c r="E126">
        <v>97.99</v>
      </c>
      <c r="F126">
        <v>97.733480989294947</v>
      </c>
      <c r="G126">
        <v>98.090169067000616</v>
      </c>
      <c r="H126">
        <v>98.1000330141961</v>
      </c>
      <c r="I126">
        <v>98.112509822652953</v>
      </c>
      <c r="J126">
        <v>97.93</v>
      </c>
      <c r="K126">
        <v>97.24</v>
      </c>
      <c r="L126">
        <v>97.46</v>
      </c>
      <c r="M126">
        <v>97.74</v>
      </c>
      <c r="N126">
        <v>97.52</v>
      </c>
      <c r="O126">
        <v>97.61</v>
      </c>
      <c r="P126">
        <v>97.89</v>
      </c>
      <c r="Q126">
        <v>98.42</v>
      </c>
      <c r="R126">
        <v>98.536910514914183</v>
      </c>
      <c r="S126">
        <v>98.927012609117355</v>
      </c>
      <c r="T126">
        <v>98.847849217206203</v>
      </c>
      <c r="U126">
        <v>99.227845449375991</v>
      </c>
      <c r="V126">
        <v>98.53</v>
      </c>
      <c r="W126">
        <v>90.49</v>
      </c>
      <c r="X126">
        <v>97.27</v>
      </c>
      <c r="Y126">
        <v>98.15</v>
      </c>
      <c r="Z126">
        <v>98.45</v>
      </c>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98.59</v>
      </c>
      <c r="D127">
        <v>98.36</v>
      </c>
      <c r="E127">
        <v>98.66</v>
      </c>
      <c r="F127">
        <v>98.663740832707745</v>
      </c>
      <c r="G127">
        <v>98.744138589788122</v>
      </c>
      <c r="H127">
        <v>98.834223500410801</v>
      </c>
      <c r="I127">
        <v>98.568312626713933</v>
      </c>
      <c r="J127">
        <v>98.53</v>
      </c>
      <c r="K127">
        <v>98.31</v>
      </c>
      <c r="L127">
        <v>98.49</v>
      </c>
      <c r="M127">
        <v>98.33</v>
      </c>
      <c r="N127">
        <v>98.36</v>
      </c>
      <c r="O127">
        <v>97.49</v>
      </c>
      <c r="P127">
        <v>96.92</v>
      </c>
      <c r="Q127">
        <v>97.42</v>
      </c>
      <c r="R127">
        <v>97.466962928312469</v>
      </c>
      <c r="S127">
        <v>97.456480355955151</v>
      </c>
      <c r="T127">
        <v>97.470571748878896</v>
      </c>
      <c r="U127">
        <v>96.335447498238196</v>
      </c>
      <c r="V127">
        <v>97.56</v>
      </c>
      <c r="W127">
        <v>94.97</v>
      </c>
      <c r="X127">
        <v>97.42</v>
      </c>
      <c r="Y127">
        <v>96.92</v>
      </c>
      <c r="Z127">
        <v>97.86</v>
      </c>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97.78</v>
      </c>
      <c r="D128">
        <v>96.65</v>
      </c>
      <c r="E128">
        <v>97.75</v>
      </c>
      <c r="F128">
        <v>97.765234623823332</v>
      </c>
      <c r="G128">
        <v>96.790600858742891</v>
      </c>
      <c r="H128">
        <v>97.828372728401703</v>
      </c>
      <c r="I128">
        <v>98.086693500744374</v>
      </c>
      <c r="J128">
        <v>98.15</v>
      </c>
      <c r="K128">
        <v>95.83</v>
      </c>
      <c r="L128">
        <v>96.37</v>
      </c>
      <c r="M128">
        <v>97.47</v>
      </c>
      <c r="N128">
        <v>97.27</v>
      </c>
      <c r="O128">
        <v>98.36</v>
      </c>
      <c r="P128">
        <v>99.13</v>
      </c>
      <c r="Q128">
        <v>99.39</v>
      </c>
      <c r="R128">
        <v>99.613064408019014</v>
      </c>
      <c r="S128">
        <v>99.893550856377374</v>
      </c>
      <c r="T128">
        <v>99.759046582522402</v>
      </c>
      <c r="U128">
        <v>99.882578212168013</v>
      </c>
      <c r="V128">
        <v>99.88</v>
      </c>
      <c r="W128">
        <v>93.5</v>
      </c>
      <c r="X128">
        <v>97.71</v>
      </c>
      <c r="Y128">
        <v>99.48</v>
      </c>
      <c r="Z128">
        <v>98.07</v>
      </c>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98.57</v>
      </c>
      <c r="D129">
        <v>98.28</v>
      </c>
      <c r="E129">
        <v>98.37</v>
      </c>
      <c r="F129">
        <v>98.525611955409772</v>
      </c>
      <c r="G129">
        <v>98.578571428571422</v>
      </c>
      <c r="H129">
        <v>98.504895869576004</v>
      </c>
      <c r="I129">
        <v>97.894440005639893</v>
      </c>
      <c r="J129">
        <v>98.1</v>
      </c>
      <c r="K129">
        <v>97.87</v>
      </c>
      <c r="L129">
        <v>97.84</v>
      </c>
      <c r="M129">
        <v>97.86</v>
      </c>
      <c r="N129">
        <v>97.8</v>
      </c>
      <c r="O129">
        <v>98.56</v>
      </c>
      <c r="P129">
        <v>98.77</v>
      </c>
      <c r="Q129">
        <v>98.83</v>
      </c>
      <c r="R129">
        <v>98.991975595198625</v>
      </c>
      <c r="S129">
        <v>99.010843606790161</v>
      </c>
      <c r="T129">
        <v>98.954715468875193</v>
      </c>
      <c r="U129">
        <v>93.967093235831811</v>
      </c>
      <c r="V129">
        <v>98.88</v>
      </c>
      <c r="W129">
        <v>97.82</v>
      </c>
      <c r="X129">
        <v>98.91</v>
      </c>
      <c r="Y129">
        <v>99.12</v>
      </c>
      <c r="Z129">
        <v>99.38</v>
      </c>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95.39</v>
      </c>
      <c r="D130">
        <v>94.44</v>
      </c>
      <c r="E130">
        <v>94.72</v>
      </c>
      <c r="F130">
        <v>94.821309386566341</v>
      </c>
      <c r="G130">
        <v>94.75972474158533</v>
      </c>
      <c r="H130">
        <v>94.898407468423898</v>
      </c>
      <c r="I130">
        <v>94.779271622108894</v>
      </c>
      <c r="J130">
        <v>94.89</v>
      </c>
      <c r="K130">
        <v>93.34</v>
      </c>
      <c r="L130">
        <v>93.79</v>
      </c>
      <c r="M130">
        <v>94.44</v>
      </c>
      <c r="N130">
        <v>94.37</v>
      </c>
      <c r="O130">
        <v>91.49</v>
      </c>
      <c r="P130">
        <v>94.32</v>
      </c>
      <c r="Q130">
        <v>94.99</v>
      </c>
      <c r="R130">
        <v>95.152530098669317</v>
      </c>
      <c r="S130">
        <v>93.841062448962049</v>
      </c>
      <c r="T130">
        <v>96.344509559035401</v>
      </c>
      <c r="U130">
        <v>96.803192000769158</v>
      </c>
      <c r="V130">
        <v>97.21</v>
      </c>
      <c r="W130">
        <v>89.32</v>
      </c>
      <c r="X130">
        <v>97.18</v>
      </c>
      <c r="Y130">
        <v>97.73</v>
      </c>
      <c r="Z130">
        <v>98.07</v>
      </c>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96.13</v>
      </c>
      <c r="D131">
        <v>95.94</v>
      </c>
      <c r="E131">
        <v>96.17</v>
      </c>
      <c r="F131">
        <v>96.206522810129087</v>
      </c>
      <c r="G131">
        <v>96.370500801091382</v>
      </c>
      <c r="H131">
        <v>96.178665361795794</v>
      </c>
      <c r="I131">
        <v>96.191484117894362</v>
      </c>
      <c r="J131">
        <v>95.86</v>
      </c>
      <c r="K131">
        <v>94.93</v>
      </c>
      <c r="L131">
        <v>95.09</v>
      </c>
      <c r="M131">
        <v>95.26</v>
      </c>
      <c r="N131">
        <v>95.44</v>
      </c>
      <c r="O131">
        <v>97.15</v>
      </c>
      <c r="P131">
        <v>97.48</v>
      </c>
      <c r="Q131">
        <v>98.41</v>
      </c>
      <c r="R131">
        <v>98.335389480634575</v>
      </c>
      <c r="S131">
        <v>97.79193351762504</v>
      </c>
      <c r="T131">
        <v>97.666317117821606</v>
      </c>
      <c r="U131">
        <v>97.759963513892785</v>
      </c>
      <c r="V131">
        <v>97.41</v>
      </c>
      <c r="W131">
        <v>94.07</v>
      </c>
      <c r="X131">
        <v>96.81</v>
      </c>
      <c r="Y131">
        <v>97.68</v>
      </c>
      <c r="Z131">
        <v>96.62</v>
      </c>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97.83</v>
      </c>
      <c r="D132">
        <v>97.7</v>
      </c>
      <c r="E132">
        <v>97.64</v>
      </c>
      <c r="F132">
        <v>97.743736505219047</v>
      </c>
      <c r="G132">
        <v>97.583049149834252</v>
      </c>
      <c r="H132">
        <v>97.4004234704623</v>
      </c>
      <c r="I132">
        <v>96.983261969637994</v>
      </c>
      <c r="J132">
        <v>96.67</v>
      </c>
      <c r="K132">
        <v>96.27</v>
      </c>
      <c r="L132">
        <v>96.64</v>
      </c>
      <c r="M132">
        <v>96.19</v>
      </c>
      <c r="N132">
        <v>95.71</v>
      </c>
      <c r="O132">
        <v>98.37</v>
      </c>
      <c r="P132">
        <v>97.7</v>
      </c>
      <c r="Q132">
        <v>97.88</v>
      </c>
      <c r="R132">
        <v>97.834097493741396</v>
      </c>
      <c r="S132">
        <v>97.937863866369227</v>
      </c>
      <c r="T132">
        <v>98.191910754223798</v>
      </c>
      <c r="U132">
        <v>97.504193564784231</v>
      </c>
      <c r="V132">
        <v>98.65</v>
      </c>
      <c r="W132">
        <v>96.62</v>
      </c>
      <c r="X132">
        <v>97.01</v>
      </c>
      <c r="Y132">
        <v>97.09</v>
      </c>
      <c r="Z132">
        <v>96.89</v>
      </c>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v>97.56</v>
      </c>
      <c r="D133">
        <v>97.64</v>
      </c>
      <c r="E133">
        <v>97.9</v>
      </c>
      <c r="F133">
        <v>96.458583433373349</v>
      </c>
      <c r="G133">
        <v>97.588334268087493</v>
      </c>
      <c r="H133">
        <v>92.436040044493794</v>
      </c>
      <c r="I133">
        <v>98.352816153028684</v>
      </c>
      <c r="J133">
        <v>98.31</v>
      </c>
      <c r="K133">
        <v>98.26</v>
      </c>
      <c r="L133">
        <v>98.04</v>
      </c>
      <c r="M133">
        <v>97.25</v>
      </c>
      <c r="N133">
        <v>97.15</v>
      </c>
      <c r="O133">
        <v>93.49</v>
      </c>
      <c r="P133">
        <v>87.35</v>
      </c>
      <c r="Q133">
        <v>98.83</v>
      </c>
      <c r="R133">
        <v>94.485749690210653</v>
      </c>
      <c r="S133">
        <v>90.164935858277346</v>
      </c>
      <c r="T133">
        <v>91.693705386112896</v>
      </c>
      <c r="U133">
        <v>97.288573273079407</v>
      </c>
      <c r="V133">
        <v>98.55</v>
      </c>
      <c r="W133">
        <v>94.23</v>
      </c>
      <c r="X133">
        <v>97.48</v>
      </c>
      <c r="Y133">
        <v>99.6</v>
      </c>
      <c r="Z133">
        <v>99.44</v>
      </c>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97.43</v>
      </c>
      <c r="D134">
        <v>95.78</v>
      </c>
      <c r="E134">
        <v>95.56</v>
      </c>
      <c r="F134">
        <v>95.578493924493031</v>
      </c>
      <c r="G134">
        <v>96.185512574803454</v>
      </c>
      <c r="H134">
        <v>96.213804322565593</v>
      </c>
      <c r="I134">
        <v>96.065805827924322</v>
      </c>
      <c r="J134">
        <v>95.33</v>
      </c>
      <c r="K134">
        <v>93.67</v>
      </c>
      <c r="L134">
        <v>94.1</v>
      </c>
      <c r="M134">
        <v>94.37</v>
      </c>
      <c r="N134">
        <v>94.32</v>
      </c>
      <c r="O134">
        <v>97.54</v>
      </c>
      <c r="P134">
        <v>98.16</v>
      </c>
      <c r="Q134">
        <v>96.31</v>
      </c>
      <c r="R134">
        <v>97.000182739749746</v>
      </c>
      <c r="S134">
        <v>97.133750563353445</v>
      </c>
      <c r="T134">
        <v>97.177186935446997</v>
      </c>
      <c r="U134">
        <v>96.566802678024644</v>
      </c>
      <c r="V134">
        <v>96.72</v>
      </c>
      <c r="W134">
        <v>92.98</v>
      </c>
      <c r="X134">
        <v>93.57</v>
      </c>
      <c r="Y134">
        <v>94.61</v>
      </c>
      <c r="Z134">
        <v>95.31</v>
      </c>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96.29</v>
      </c>
      <c r="D135">
        <v>97.04</v>
      </c>
      <c r="E135">
        <v>97.04</v>
      </c>
      <c r="F135">
        <v>96.899879951980793</v>
      </c>
      <c r="G135">
        <v>97.384944322436468</v>
      </c>
      <c r="H135">
        <v>97.419013018467993</v>
      </c>
      <c r="I135">
        <v>97.975261112893449</v>
      </c>
      <c r="J135">
        <v>97.35</v>
      </c>
      <c r="K135">
        <v>92.63</v>
      </c>
      <c r="L135">
        <v>95.3</v>
      </c>
      <c r="M135">
        <v>95.96</v>
      </c>
      <c r="N135">
        <v>97.35</v>
      </c>
      <c r="O135">
        <v>99.19</v>
      </c>
      <c r="P135">
        <v>99.17</v>
      </c>
      <c r="Q135">
        <v>99.08</v>
      </c>
      <c r="R135">
        <v>99.109990435614293</v>
      </c>
      <c r="S135">
        <v>98.919076732843308</v>
      </c>
      <c r="T135">
        <v>99.249480525756198</v>
      </c>
      <c r="U135">
        <v>99.17277239423305</v>
      </c>
      <c r="V135">
        <v>97.19</v>
      </c>
      <c r="W135">
        <v>80.25</v>
      </c>
      <c r="X135">
        <v>91.55</v>
      </c>
      <c r="Y135">
        <v>96.59</v>
      </c>
      <c r="Z135">
        <v>94.6</v>
      </c>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97.5</v>
      </c>
      <c r="D136">
        <v>97.07</v>
      </c>
      <c r="E136">
        <v>97.22</v>
      </c>
      <c r="F136">
        <v>97.602813852813853</v>
      </c>
      <c r="G136">
        <v>97.691516709511575</v>
      </c>
      <c r="H136">
        <v>97.688526178137195</v>
      </c>
      <c r="I136">
        <v>97.70719108251393</v>
      </c>
      <c r="J136">
        <v>97.52</v>
      </c>
      <c r="K136">
        <v>97.2</v>
      </c>
      <c r="L136">
        <v>97.46</v>
      </c>
      <c r="M136">
        <v>97.34</v>
      </c>
      <c r="N136">
        <v>97.16</v>
      </c>
      <c r="O136">
        <v>94.52</v>
      </c>
      <c r="P136">
        <v>97.28</v>
      </c>
      <c r="Q136">
        <v>98.53</v>
      </c>
      <c r="R136">
        <v>98.53642600457367</v>
      </c>
      <c r="S136">
        <v>99.098907638032898</v>
      </c>
      <c r="T136">
        <v>99.141958670260493</v>
      </c>
      <c r="U136">
        <v>99.031814864110601</v>
      </c>
      <c r="V136">
        <v>98.05</v>
      </c>
      <c r="W136">
        <v>97.59</v>
      </c>
      <c r="X136">
        <v>98.23</v>
      </c>
      <c r="Y136">
        <v>98.14</v>
      </c>
      <c r="Z136">
        <v>99.1</v>
      </c>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95.75</v>
      </c>
      <c r="D137">
        <v>94.21</v>
      </c>
      <c r="E137">
        <v>93.63</v>
      </c>
      <c r="F137">
        <v>93.64667093621766</v>
      </c>
      <c r="G137">
        <v>93.844959146464987</v>
      </c>
      <c r="H137">
        <v>93.701673732602501</v>
      </c>
      <c r="I137">
        <v>93.708638663418569</v>
      </c>
      <c r="J137">
        <v>93.44</v>
      </c>
      <c r="K137">
        <v>93.28</v>
      </c>
      <c r="L137">
        <v>92.9</v>
      </c>
      <c r="M137">
        <v>92.95</v>
      </c>
      <c r="N137">
        <v>92.43</v>
      </c>
      <c r="O137">
        <v>97.22</v>
      </c>
      <c r="P137">
        <v>96.87</v>
      </c>
      <c r="Q137">
        <v>97.19</v>
      </c>
      <c r="R137">
        <v>97.311648805236956</v>
      </c>
      <c r="S137">
        <v>97.698573460328404</v>
      </c>
      <c r="T137">
        <v>95.990611066811894</v>
      </c>
      <c r="U137">
        <v>98.276557145736746</v>
      </c>
      <c r="V137">
        <v>97.28</v>
      </c>
      <c r="W137">
        <v>93.19</v>
      </c>
      <c r="X137">
        <v>94.62</v>
      </c>
      <c r="Y137">
        <v>96.13</v>
      </c>
      <c r="Z137">
        <v>96.01</v>
      </c>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98.68</v>
      </c>
      <c r="D138">
        <v>98.62</v>
      </c>
      <c r="E138">
        <v>98.51</v>
      </c>
      <c r="F138">
        <v>98.855361054646636</v>
      </c>
      <c r="G138">
        <v>99.021058842876073</v>
      </c>
      <c r="H138">
        <v>99.007508018048597</v>
      </c>
      <c r="I138">
        <v>98.953224177726483</v>
      </c>
      <c r="J138">
        <v>98.7</v>
      </c>
      <c r="K138">
        <v>97.24</v>
      </c>
      <c r="L138">
        <v>98.23</v>
      </c>
      <c r="M138">
        <v>98.79</v>
      </c>
      <c r="N138">
        <v>98.57</v>
      </c>
      <c r="O138">
        <v>98.72</v>
      </c>
      <c r="P138">
        <v>97.66</v>
      </c>
      <c r="Q138">
        <v>98.15</v>
      </c>
      <c r="R138">
        <v>98.924118951875968</v>
      </c>
      <c r="S138">
        <v>97.434795236712162</v>
      </c>
      <c r="T138">
        <v>98.356151732736095</v>
      </c>
      <c r="U138">
        <v>98.90391186188387</v>
      </c>
      <c r="V138">
        <v>98.2</v>
      </c>
      <c r="W138">
        <v>91.04</v>
      </c>
      <c r="X138">
        <v>97</v>
      </c>
      <c r="Y138">
        <v>97.91</v>
      </c>
      <c r="Z138">
        <v>98.21</v>
      </c>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95.74</v>
      </c>
      <c r="D139">
        <v>94.82</v>
      </c>
      <c r="E139">
        <v>95.18</v>
      </c>
      <c r="F139">
        <v>95.573412700261443</v>
      </c>
      <c r="G139">
        <v>95.978710158664285</v>
      </c>
      <c r="H139">
        <v>95.781312715212195</v>
      </c>
      <c r="I139">
        <v>95.679060896238482</v>
      </c>
      <c r="J139">
        <v>95.41</v>
      </c>
      <c r="K139">
        <v>95.67</v>
      </c>
      <c r="L139">
        <v>95.78</v>
      </c>
      <c r="M139">
        <v>95.96</v>
      </c>
      <c r="N139">
        <v>95.22</v>
      </c>
      <c r="O139">
        <v>96.36</v>
      </c>
      <c r="P139">
        <v>96.52</v>
      </c>
      <c r="Q139">
        <v>96.65</v>
      </c>
      <c r="R139">
        <v>96.84967427751738</v>
      </c>
      <c r="S139">
        <v>96.523893741751877</v>
      </c>
      <c r="T139">
        <v>97.3631308007364</v>
      </c>
      <c r="U139">
        <v>97.168371884038976</v>
      </c>
      <c r="V139">
        <v>97.09</v>
      </c>
      <c r="W139">
        <v>80.319999999999993</v>
      </c>
      <c r="X139">
        <v>94.65</v>
      </c>
      <c r="Y139">
        <v>95.24</v>
      </c>
      <c r="Z139">
        <v>96.23</v>
      </c>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96.86</v>
      </c>
      <c r="D140">
        <v>94.66</v>
      </c>
      <c r="E140">
        <v>94.97</v>
      </c>
      <c r="F140">
        <v>94.888775349787764</v>
      </c>
      <c r="G140">
        <v>95.327570856210116</v>
      </c>
      <c r="H140">
        <v>95.327362355064906</v>
      </c>
      <c r="I140">
        <v>95.112836223074083</v>
      </c>
      <c r="J140">
        <v>94.73</v>
      </c>
      <c r="K140">
        <v>91.8</v>
      </c>
      <c r="L140">
        <v>89.27</v>
      </c>
      <c r="M140">
        <v>88.76</v>
      </c>
      <c r="N140">
        <v>86.99</v>
      </c>
      <c r="O140">
        <v>98.3</v>
      </c>
      <c r="P140">
        <v>98.62</v>
      </c>
      <c r="Q140">
        <v>99.15</v>
      </c>
      <c r="R140">
        <v>98.710038005812649</v>
      </c>
      <c r="S140">
        <v>98.43045843045843</v>
      </c>
      <c r="T140">
        <v>98.508775887740796</v>
      </c>
      <c r="U140">
        <v>98.526541978205103</v>
      </c>
      <c r="V140">
        <v>98.82</v>
      </c>
      <c r="W140">
        <v>95.61</v>
      </c>
      <c r="X140">
        <v>97.83</v>
      </c>
      <c r="Y140">
        <v>95.06</v>
      </c>
      <c r="Z140">
        <v>98.59</v>
      </c>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94.67</v>
      </c>
      <c r="D141">
        <v>94.54</v>
      </c>
      <c r="E141">
        <v>95</v>
      </c>
      <c r="F141">
        <v>95.201015260238776</v>
      </c>
      <c r="G141">
        <v>95.310317753904926</v>
      </c>
      <c r="H141">
        <v>95.133295519001706</v>
      </c>
      <c r="I141">
        <v>95.016942525739609</v>
      </c>
      <c r="J141">
        <v>95.03</v>
      </c>
      <c r="K141">
        <v>91.08</v>
      </c>
      <c r="L141">
        <v>93.16</v>
      </c>
      <c r="M141">
        <v>93.83</v>
      </c>
      <c r="N141">
        <v>93.73</v>
      </c>
      <c r="O141">
        <v>98.02</v>
      </c>
      <c r="P141">
        <v>98.16</v>
      </c>
      <c r="Q141">
        <v>98.5</v>
      </c>
      <c r="R141">
        <v>98.713206109294134</v>
      </c>
      <c r="S141">
        <v>98.976696738818575</v>
      </c>
      <c r="T141">
        <v>98.969100927669601</v>
      </c>
      <c r="U141">
        <v>98.975375247716642</v>
      </c>
      <c r="V141">
        <v>98</v>
      </c>
      <c r="W141">
        <v>90.18</v>
      </c>
      <c r="X141">
        <v>90.46</v>
      </c>
      <c r="Y141">
        <v>96.11</v>
      </c>
      <c r="Z141">
        <v>97.19</v>
      </c>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97.07</v>
      </c>
      <c r="D142">
        <v>96.84</v>
      </c>
      <c r="E142">
        <v>96.54</v>
      </c>
      <c r="F142">
        <v>96.505419834978156</v>
      </c>
      <c r="G142">
        <v>96.436303336455339</v>
      </c>
      <c r="H142">
        <v>96.043715846994502</v>
      </c>
      <c r="I142">
        <v>96.406940579472916</v>
      </c>
      <c r="J142">
        <v>95.89</v>
      </c>
      <c r="K142">
        <v>94.56</v>
      </c>
      <c r="L142">
        <v>94.14</v>
      </c>
      <c r="M142">
        <v>94.49</v>
      </c>
      <c r="N142">
        <v>94.41</v>
      </c>
      <c r="O142">
        <v>98.28</v>
      </c>
      <c r="P142">
        <v>98.35</v>
      </c>
      <c r="Q142">
        <v>98.72</v>
      </c>
      <c r="R142">
        <v>98.753450138005519</v>
      </c>
      <c r="S142">
        <v>99.011837057603032</v>
      </c>
      <c r="T142">
        <v>98.702804993437695</v>
      </c>
      <c r="U142">
        <v>98.378762238607521</v>
      </c>
      <c r="V142">
        <v>98.92</v>
      </c>
      <c r="W142">
        <v>97.15</v>
      </c>
      <c r="X142">
        <v>98.29</v>
      </c>
      <c r="Y142">
        <v>98.87</v>
      </c>
      <c r="Z142">
        <v>99.19</v>
      </c>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96.63</v>
      </c>
      <c r="D143">
        <v>95.73</v>
      </c>
      <c r="E143">
        <v>95.66</v>
      </c>
      <c r="F143">
        <v>95.884006549308225</v>
      </c>
      <c r="G143">
        <v>96.087675529711589</v>
      </c>
      <c r="H143">
        <v>96.099572706835204</v>
      </c>
      <c r="I143">
        <v>96.1140374937725</v>
      </c>
      <c r="J143">
        <v>95.93</v>
      </c>
      <c r="K143">
        <v>95.36</v>
      </c>
      <c r="L143">
        <v>94.55</v>
      </c>
      <c r="M143">
        <v>94.98</v>
      </c>
      <c r="N143">
        <v>94.01</v>
      </c>
      <c r="O143">
        <v>97.63</v>
      </c>
      <c r="P143">
        <v>97.05</v>
      </c>
      <c r="Q143">
        <v>97.34</v>
      </c>
      <c r="R143">
        <v>97.814264078204587</v>
      </c>
      <c r="S143">
        <v>97.538557048012891</v>
      </c>
      <c r="T143">
        <v>97.993578609400402</v>
      </c>
      <c r="U143">
        <v>97.755846131314101</v>
      </c>
      <c r="V143">
        <v>97.29</v>
      </c>
      <c r="W143">
        <v>90.21</v>
      </c>
      <c r="X143">
        <v>93.67</v>
      </c>
      <c r="Y143">
        <v>95.93</v>
      </c>
      <c r="Z143">
        <v>96.35</v>
      </c>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95.97</v>
      </c>
      <c r="D144">
        <v>94.81</v>
      </c>
      <c r="E144">
        <v>94.93</v>
      </c>
      <c r="F144">
        <v>94.996511790149299</v>
      </c>
      <c r="G144">
        <v>95.223938359779055</v>
      </c>
      <c r="H144">
        <v>95.276475791318404</v>
      </c>
      <c r="I144">
        <v>94.912877113282619</v>
      </c>
      <c r="J144">
        <v>94.7</v>
      </c>
      <c r="K144">
        <v>91.64</v>
      </c>
      <c r="L144">
        <v>92.97</v>
      </c>
      <c r="M144">
        <v>92.62</v>
      </c>
      <c r="N144">
        <v>92.6</v>
      </c>
      <c r="O144">
        <v>97.43</v>
      </c>
      <c r="P144">
        <v>96.99</v>
      </c>
      <c r="Q144">
        <v>97.56</v>
      </c>
      <c r="R144">
        <v>97.158571881881201</v>
      </c>
      <c r="S144">
        <v>96.707346656963182</v>
      </c>
      <c r="T144">
        <v>97.035924813702493</v>
      </c>
      <c r="U144">
        <v>97.533570105831942</v>
      </c>
      <c r="V144">
        <v>95.68</v>
      </c>
      <c r="W144">
        <v>89.66</v>
      </c>
      <c r="X144">
        <v>95.86</v>
      </c>
      <c r="Y144">
        <v>95.85</v>
      </c>
      <c r="Z144">
        <v>95</v>
      </c>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98.46</v>
      </c>
      <c r="D145">
        <v>98.37</v>
      </c>
      <c r="E145">
        <v>98.24</v>
      </c>
      <c r="F145">
        <v>98.237878214514879</v>
      </c>
      <c r="G145">
        <v>97.951623111001339</v>
      </c>
      <c r="H145">
        <v>97.9210985754316</v>
      </c>
      <c r="I145">
        <v>97.697141754637414</v>
      </c>
      <c r="J145">
        <v>97.34</v>
      </c>
      <c r="K145">
        <v>96.88</v>
      </c>
      <c r="L145">
        <v>97.41</v>
      </c>
      <c r="M145">
        <v>97.82</v>
      </c>
      <c r="N145">
        <v>96.76</v>
      </c>
      <c r="O145">
        <v>97.7</v>
      </c>
      <c r="P145">
        <v>98.51</v>
      </c>
      <c r="Q145">
        <v>98.89</v>
      </c>
      <c r="R145">
        <v>99.132425593444992</v>
      </c>
      <c r="S145">
        <v>97.895225566818851</v>
      </c>
      <c r="T145">
        <v>98.591323835441003</v>
      </c>
      <c r="U145">
        <v>98.128623117923979</v>
      </c>
      <c r="V145">
        <v>96.51</v>
      </c>
      <c r="W145">
        <v>95.42</v>
      </c>
      <c r="X145">
        <v>98.37</v>
      </c>
      <c r="Y145">
        <v>97.48</v>
      </c>
      <c r="Z145">
        <v>96.98</v>
      </c>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94.17</v>
      </c>
      <c r="D146">
        <v>94.14</v>
      </c>
      <c r="E146">
        <v>94.32</v>
      </c>
      <c r="F146">
        <v>94.50832582233997</v>
      </c>
      <c r="G146">
        <v>94.561297034853482</v>
      </c>
      <c r="H146">
        <v>93.816989715649697</v>
      </c>
      <c r="I146">
        <v>93.847662731274937</v>
      </c>
      <c r="J146">
        <v>93.71</v>
      </c>
      <c r="K146">
        <v>92.82</v>
      </c>
      <c r="L146">
        <v>92.4</v>
      </c>
      <c r="M146">
        <v>92.78</v>
      </c>
      <c r="N146">
        <v>92.18</v>
      </c>
      <c r="O146">
        <v>97.83</v>
      </c>
      <c r="P146">
        <v>99.05</v>
      </c>
      <c r="Q146">
        <v>99.61</v>
      </c>
      <c r="R146">
        <v>99.699045438599725</v>
      </c>
      <c r="S146">
        <v>99.435018083019955</v>
      </c>
      <c r="T146">
        <v>99.623527786412396</v>
      </c>
      <c r="U146">
        <v>99.653587050221887</v>
      </c>
      <c r="V146">
        <v>99.76</v>
      </c>
      <c r="W146">
        <v>91.61</v>
      </c>
      <c r="X146">
        <v>94</v>
      </c>
      <c r="Y146">
        <v>95.98</v>
      </c>
      <c r="Z146">
        <v>96.05</v>
      </c>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99.26</v>
      </c>
      <c r="D147">
        <v>98.87</v>
      </c>
      <c r="E147">
        <v>98.69</v>
      </c>
      <c r="F147">
        <v>98.81768522931408</v>
      </c>
      <c r="G147">
        <v>98.81349973633327</v>
      </c>
      <c r="H147">
        <v>98.857982435636202</v>
      </c>
      <c r="I147">
        <v>98.717131350199821</v>
      </c>
      <c r="J147">
        <v>98.52</v>
      </c>
      <c r="K147">
        <v>98.12</v>
      </c>
      <c r="L147">
        <v>98.25</v>
      </c>
      <c r="M147">
        <v>98.14</v>
      </c>
      <c r="N147">
        <v>98.41</v>
      </c>
      <c r="O147">
        <v>98.41</v>
      </c>
      <c r="P147">
        <v>99</v>
      </c>
      <c r="Q147">
        <v>98.4</v>
      </c>
      <c r="R147">
        <v>97.528900502740939</v>
      </c>
      <c r="S147">
        <v>97.506013769458349</v>
      </c>
      <c r="T147">
        <v>98.959078040550196</v>
      </c>
      <c r="U147">
        <v>98.808140320531876</v>
      </c>
      <c r="V147">
        <v>98.92</v>
      </c>
      <c r="W147">
        <v>98.04</v>
      </c>
      <c r="X147">
        <v>97.87</v>
      </c>
      <c r="Y147">
        <v>99.19</v>
      </c>
      <c r="Z147">
        <v>99.53</v>
      </c>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96.32</v>
      </c>
      <c r="D148">
        <v>96.6</v>
      </c>
      <c r="E148">
        <v>96.93</v>
      </c>
      <c r="F148">
        <v>97.102062699286094</v>
      </c>
      <c r="G148">
        <v>97.08972670840835</v>
      </c>
      <c r="H148">
        <v>97.171784147709801</v>
      </c>
      <c r="I148">
        <v>96.762994708741346</v>
      </c>
      <c r="J148">
        <v>96.77</v>
      </c>
      <c r="K148">
        <v>94.78</v>
      </c>
      <c r="L148">
        <v>94</v>
      </c>
      <c r="M148">
        <v>95.09</v>
      </c>
      <c r="N148">
        <v>94.04</v>
      </c>
      <c r="O148">
        <v>99.08</v>
      </c>
      <c r="P148">
        <v>99.3</v>
      </c>
      <c r="Q148">
        <v>99.46</v>
      </c>
      <c r="R148">
        <v>99.793549571041879</v>
      </c>
      <c r="S148">
        <v>99.42831215970962</v>
      </c>
      <c r="T148">
        <v>98.873044564950504</v>
      </c>
      <c r="U148">
        <v>99.811061877235204</v>
      </c>
      <c r="V148">
        <v>99.46</v>
      </c>
      <c r="W148">
        <v>98.96</v>
      </c>
      <c r="X148">
        <v>98.45</v>
      </c>
      <c r="Y148">
        <v>99.19</v>
      </c>
      <c r="Z148">
        <v>98.32</v>
      </c>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95.51</v>
      </c>
      <c r="D149">
        <v>94.6</v>
      </c>
      <c r="E149">
        <v>94.67</v>
      </c>
      <c r="F149">
        <v>94.494812540502451</v>
      </c>
      <c r="G149">
        <v>94.399287384478342</v>
      </c>
      <c r="H149">
        <v>94.710244074678897</v>
      </c>
      <c r="I149">
        <v>94.493555743459652</v>
      </c>
      <c r="J149">
        <v>92.6</v>
      </c>
      <c r="K149">
        <v>83.8</v>
      </c>
      <c r="L149">
        <v>83.91</v>
      </c>
      <c r="M149">
        <v>84.03</v>
      </c>
      <c r="N149">
        <v>85.55</v>
      </c>
      <c r="O149">
        <v>96.72</v>
      </c>
      <c r="P149">
        <v>97.32</v>
      </c>
      <c r="Q149">
        <v>97.47</v>
      </c>
      <c r="R149">
        <v>97.011464968152865</v>
      </c>
      <c r="S149">
        <v>97.176209826376052</v>
      </c>
      <c r="T149">
        <v>97.340402183084507</v>
      </c>
      <c r="U149">
        <v>97.399282235807206</v>
      </c>
      <c r="V149">
        <v>95.84</v>
      </c>
      <c r="W149">
        <v>86.45</v>
      </c>
      <c r="X149">
        <v>91.26</v>
      </c>
      <c r="Y149">
        <v>94.46</v>
      </c>
      <c r="Z149">
        <v>97.25</v>
      </c>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t="s">
        <v>879</v>
      </c>
      <c r="D150" t="s">
        <v>879</v>
      </c>
      <c r="E150">
        <v>0</v>
      </c>
      <c r="F150">
        <v>0</v>
      </c>
      <c r="G150" t="s">
        <v>879</v>
      </c>
      <c r="H150" t="s">
        <v>879</v>
      </c>
      <c r="I150" t="s">
        <v>879</v>
      </c>
      <c r="J150" t="s">
        <v>879</v>
      </c>
      <c r="K150" t="s">
        <v>879</v>
      </c>
      <c r="L150" t="s">
        <v>879</v>
      </c>
      <c r="M150" t="s">
        <v>879</v>
      </c>
      <c r="N150" t="e">
        <v>#N/A</v>
      </c>
      <c r="O150" t="s">
        <v>879</v>
      </c>
      <c r="P150" t="s">
        <v>879</v>
      </c>
      <c r="Q150">
        <v>0</v>
      </c>
      <c r="R150">
        <v>0</v>
      </c>
      <c r="S150" t="s">
        <v>879</v>
      </c>
      <c r="T150" t="s">
        <v>879</v>
      </c>
      <c r="U150" t="s">
        <v>879</v>
      </c>
      <c r="V150" t="s">
        <v>879</v>
      </c>
      <c r="W150" t="s">
        <v>879</v>
      </c>
      <c r="X150" t="s">
        <v>879</v>
      </c>
      <c r="Y150" t="s">
        <v>879</v>
      </c>
      <c r="Z150" t="e">
        <v>#N/A</v>
      </c>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96.18</v>
      </c>
      <c r="D151">
        <v>96.46</v>
      </c>
      <c r="E151">
        <v>96.78</v>
      </c>
      <c r="F151">
        <v>97.241313478426889</v>
      </c>
      <c r="G151">
        <v>96.877251071035914</v>
      </c>
      <c r="H151">
        <v>96.958622988286805</v>
      </c>
      <c r="I151">
        <v>97.21505123992803</v>
      </c>
      <c r="J151">
        <v>96.7</v>
      </c>
      <c r="K151">
        <v>90.94</v>
      </c>
      <c r="L151">
        <v>94.43</v>
      </c>
      <c r="M151">
        <v>94.88</v>
      </c>
      <c r="N151">
        <v>94.75</v>
      </c>
      <c r="O151">
        <v>96.09</v>
      </c>
      <c r="P151">
        <v>96.66</v>
      </c>
      <c r="Q151">
        <v>97.57</v>
      </c>
      <c r="R151">
        <v>98.090787336505855</v>
      </c>
      <c r="S151">
        <v>98.603136274936475</v>
      </c>
      <c r="T151">
        <v>98.426833316495106</v>
      </c>
      <c r="U151">
        <v>98.735559514914655</v>
      </c>
      <c r="V151">
        <v>98.54</v>
      </c>
      <c r="W151">
        <v>92.72</v>
      </c>
      <c r="X151">
        <v>99.02</v>
      </c>
      <c r="Y151">
        <v>96.04</v>
      </c>
      <c r="Z151">
        <v>94.88</v>
      </c>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98.3</v>
      </c>
      <c r="D152">
        <v>98.31</v>
      </c>
      <c r="E152">
        <v>98.37</v>
      </c>
      <c r="F152">
        <v>98.153944497101421</v>
      </c>
      <c r="G152">
        <v>98.111415029336229</v>
      </c>
      <c r="H152">
        <v>97.901310701944993</v>
      </c>
      <c r="I152">
        <v>97.775051274538527</v>
      </c>
      <c r="J152">
        <v>97.49</v>
      </c>
      <c r="K152">
        <v>96.77</v>
      </c>
      <c r="L152">
        <v>96.68</v>
      </c>
      <c r="M152">
        <v>96.76</v>
      </c>
      <c r="N152">
        <v>96.66</v>
      </c>
      <c r="O152">
        <v>97.6</v>
      </c>
      <c r="P152">
        <v>97.33</v>
      </c>
      <c r="Q152">
        <v>97.68</v>
      </c>
      <c r="R152">
        <v>97.93504376900718</v>
      </c>
      <c r="S152">
        <v>96.77962224691197</v>
      </c>
      <c r="T152">
        <v>98.598224752972698</v>
      </c>
      <c r="U152">
        <v>97.363462074163891</v>
      </c>
      <c r="V152">
        <v>97.52</v>
      </c>
      <c r="W152">
        <v>95.43</v>
      </c>
      <c r="X152">
        <v>97.04</v>
      </c>
      <c r="Y152">
        <v>97.65</v>
      </c>
      <c r="Z152">
        <v>98.39</v>
      </c>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98.41</v>
      </c>
      <c r="D153">
        <v>98.11</v>
      </c>
      <c r="E153">
        <v>98.32</v>
      </c>
      <c r="F153">
        <v>98.350994660100156</v>
      </c>
      <c r="G153">
        <v>98.404006851092547</v>
      </c>
      <c r="H153">
        <v>98.449535357550999</v>
      </c>
      <c r="I153">
        <v>98.550860353505797</v>
      </c>
      <c r="J153">
        <v>98.34</v>
      </c>
      <c r="K153">
        <v>96.56</v>
      </c>
      <c r="L153">
        <v>97.6</v>
      </c>
      <c r="M153">
        <v>98.04</v>
      </c>
      <c r="N153">
        <v>98.01</v>
      </c>
      <c r="O153">
        <v>96.86</v>
      </c>
      <c r="P153">
        <v>97.46</v>
      </c>
      <c r="Q153">
        <v>97.57</v>
      </c>
      <c r="R153">
        <v>97.865341545352749</v>
      </c>
      <c r="S153">
        <v>98.347052131432775</v>
      </c>
      <c r="T153">
        <v>98.511988716502103</v>
      </c>
      <c r="U153">
        <v>97.716305308230815</v>
      </c>
      <c r="V153">
        <v>98.35</v>
      </c>
      <c r="W153">
        <v>93.34</v>
      </c>
      <c r="X153">
        <v>97.6</v>
      </c>
      <c r="Y153">
        <v>98.5</v>
      </c>
      <c r="Z153">
        <v>99.03</v>
      </c>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98.66</v>
      </c>
      <c r="D154">
        <v>98.56</v>
      </c>
      <c r="E154">
        <v>98.76</v>
      </c>
      <c r="F154">
        <v>98.695496783416729</v>
      </c>
      <c r="G154">
        <v>98.914547195913599</v>
      </c>
      <c r="H154">
        <v>98.939255653584794</v>
      </c>
      <c r="I154">
        <v>98.982849932126257</v>
      </c>
      <c r="J154">
        <v>98.87</v>
      </c>
      <c r="K154">
        <v>98.68</v>
      </c>
      <c r="L154">
        <v>98.66</v>
      </c>
      <c r="M154">
        <v>96.7</v>
      </c>
      <c r="N154">
        <v>96.67</v>
      </c>
      <c r="O154">
        <v>97.93</v>
      </c>
      <c r="P154">
        <v>98.41</v>
      </c>
      <c r="Q154">
        <v>98.75</v>
      </c>
      <c r="R154">
        <v>98.181223421655218</v>
      </c>
      <c r="S154">
        <v>98.841840799068564</v>
      </c>
      <c r="T154">
        <v>98.657413412894002</v>
      </c>
      <c r="U154">
        <v>98.418000756334294</v>
      </c>
      <c r="V154">
        <v>98.54</v>
      </c>
      <c r="W154">
        <v>92.6</v>
      </c>
      <c r="X154">
        <v>96.87</v>
      </c>
      <c r="Y154">
        <v>96.41</v>
      </c>
      <c r="Z154">
        <v>97.16</v>
      </c>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92.94</v>
      </c>
      <c r="D155">
        <v>91.69</v>
      </c>
      <c r="E155">
        <v>91.78</v>
      </c>
      <c r="F155">
        <v>92.410850548437168</v>
      </c>
      <c r="G155">
        <v>92.680645555691413</v>
      </c>
      <c r="H155">
        <v>93.174767321613203</v>
      </c>
      <c r="I155">
        <v>92.973926535210069</v>
      </c>
      <c r="J155">
        <v>92.8</v>
      </c>
      <c r="K155">
        <v>90.15</v>
      </c>
      <c r="L155">
        <v>89.81</v>
      </c>
      <c r="M155">
        <v>88.25</v>
      </c>
      <c r="N155">
        <v>87.78</v>
      </c>
      <c r="O155">
        <v>95.24</v>
      </c>
      <c r="P155">
        <v>97.21</v>
      </c>
      <c r="Q155">
        <v>97.06</v>
      </c>
      <c r="R155">
        <v>97.590319298726357</v>
      </c>
      <c r="S155">
        <v>96.08646227359786</v>
      </c>
      <c r="T155">
        <v>96.582109254790495</v>
      </c>
      <c r="U155">
        <v>97.379283180200602</v>
      </c>
      <c r="V155">
        <v>97.77</v>
      </c>
      <c r="W155">
        <v>87.91</v>
      </c>
      <c r="X155">
        <v>94.79</v>
      </c>
      <c r="Y155">
        <v>97.47</v>
      </c>
      <c r="Z155">
        <v>98.05</v>
      </c>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97.31</v>
      </c>
      <c r="D156">
        <v>96.97</v>
      </c>
      <c r="E156">
        <v>96.98</v>
      </c>
      <c r="F156">
        <v>97.088715904585015</v>
      </c>
      <c r="G156">
        <v>97.306887272002399</v>
      </c>
      <c r="H156">
        <v>97.268955542021899</v>
      </c>
      <c r="I156">
        <v>97.383537716312816</v>
      </c>
      <c r="J156">
        <v>96.94</v>
      </c>
      <c r="K156">
        <v>95.91</v>
      </c>
      <c r="L156">
        <v>96.35</v>
      </c>
      <c r="M156">
        <v>96.37</v>
      </c>
      <c r="N156">
        <v>96.31</v>
      </c>
      <c r="O156">
        <v>98.22</v>
      </c>
      <c r="P156">
        <v>98.38</v>
      </c>
      <c r="Q156">
        <v>97.87</v>
      </c>
      <c r="R156">
        <v>97.927848359263535</v>
      </c>
      <c r="S156">
        <v>98.720176435206838</v>
      </c>
      <c r="T156">
        <v>98.675292667898901</v>
      </c>
      <c r="U156">
        <v>98.09945938685739</v>
      </c>
      <c r="V156">
        <v>98.28</v>
      </c>
      <c r="W156">
        <v>98.76</v>
      </c>
      <c r="X156">
        <v>99.39</v>
      </c>
      <c r="Y156">
        <v>96.87</v>
      </c>
      <c r="Z156">
        <v>99.05</v>
      </c>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96.41</v>
      </c>
      <c r="D157">
        <v>94.88</v>
      </c>
      <c r="E157">
        <v>95.61</v>
      </c>
      <c r="F157">
        <v>95.935823287575786</v>
      </c>
      <c r="G157">
        <v>95.481954819548193</v>
      </c>
      <c r="H157">
        <v>95.685067145244105</v>
      </c>
      <c r="I157">
        <v>95.534296028880874</v>
      </c>
      <c r="J157">
        <v>94.91</v>
      </c>
      <c r="K157">
        <v>94.04</v>
      </c>
      <c r="L157">
        <v>94.02</v>
      </c>
      <c r="M157">
        <v>94.77</v>
      </c>
      <c r="N157">
        <v>94.39</v>
      </c>
      <c r="O157">
        <v>98.65</v>
      </c>
      <c r="P157">
        <v>97</v>
      </c>
      <c r="Q157">
        <v>96.91</v>
      </c>
      <c r="R157">
        <v>97.755007805800474</v>
      </c>
      <c r="S157">
        <v>97.724794183684381</v>
      </c>
      <c r="T157">
        <v>97.962747380675196</v>
      </c>
      <c r="U157">
        <v>97.430177004188323</v>
      </c>
      <c r="V157">
        <v>96.78</v>
      </c>
      <c r="W157">
        <v>94.01</v>
      </c>
      <c r="X157">
        <v>97.37</v>
      </c>
      <c r="Y157">
        <v>97.27</v>
      </c>
      <c r="Z157">
        <v>96.36</v>
      </c>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98.02</v>
      </c>
      <c r="D158">
        <v>97.7</v>
      </c>
      <c r="E158">
        <v>97.8</v>
      </c>
      <c r="F158">
        <v>98.235081374321879</v>
      </c>
      <c r="G158">
        <v>98.168510874466691</v>
      </c>
      <c r="H158">
        <v>98.121770239830298</v>
      </c>
      <c r="I158">
        <v>98.009331259720071</v>
      </c>
      <c r="J158">
        <v>98.13</v>
      </c>
      <c r="K158">
        <v>98.35</v>
      </c>
      <c r="L158">
        <v>98.87</v>
      </c>
      <c r="M158">
        <v>98.39</v>
      </c>
      <c r="N158">
        <v>98.56</v>
      </c>
      <c r="O158">
        <v>97.95</v>
      </c>
      <c r="P158">
        <v>98.79</v>
      </c>
      <c r="Q158">
        <v>98.67</v>
      </c>
      <c r="R158">
        <v>98.887765419615775</v>
      </c>
      <c r="S158">
        <v>98.658843252305118</v>
      </c>
      <c r="T158">
        <v>97.995165647660997</v>
      </c>
      <c r="U158">
        <v>98.269074124355143</v>
      </c>
      <c r="V158">
        <v>98.78</v>
      </c>
      <c r="W158">
        <v>99.78</v>
      </c>
      <c r="X158">
        <v>98.82</v>
      </c>
      <c r="Y158">
        <v>98.28</v>
      </c>
      <c r="Z158">
        <v>98.43</v>
      </c>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96.9</v>
      </c>
      <c r="D159">
        <v>97.12</v>
      </c>
      <c r="E159">
        <v>97.3</v>
      </c>
      <c r="F159">
        <v>97.523633174154568</v>
      </c>
      <c r="G159">
        <v>97.680069199444077</v>
      </c>
      <c r="H159">
        <v>97.735419311477798</v>
      </c>
      <c r="I159">
        <v>98.021834217696835</v>
      </c>
      <c r="J159">
        <v>97.79</v>
      </c>
      <c r="K159">
        <v>96.81</v>
      </c>
      <c r="L159">
        <v>96.65</v>
      </c>
      <c r="M159">
        <v>97.3</v>
      </c>
      <c r="N159">
        <v>96.51</v>
      </c>
      <c r="O159">
        <v>95.63</v>
      </c>
      <c r="P159">
        <v>97.29</v>
      </c>
      <c r="Q159">
        <v>97.75</v>
      </c>
      <c r="R159">
        <v>97.700135218756444</v>
      </c>
      <c r="S159">
        <v>97.866369108000271</v>
      </c>
      <c r="T159">
        <v>98.683643832893395</v>
      </c>
      <c r="U159">
        <v>98.374497477856337</v>
      </c>
      <c r="V159">
        <v>97.9</v>
      </c>
      <c r="W159">
        <v>89.09</v>
      </c>
      <c r="X159">
        <v>98.69</v>
      </c>
      <c r="Y159">
        <v>97.81</v>
      </c>
      <c r="Z159">
        <v>98.8</v>
      </c>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98.11</v>
      </c>
      <c r="D160">
        <v>97.57</v>
      </c>
      <c r="E160">
        <v>97.75</v>
      </c>
      <c r="F160">
        <v>98.06629834254143</v>
      </c>
      <c r="G160">
        <v>98.102229932721201</v>
      </c>
      <c r="H160">
        <v>97.958695001496494</v>
      </c>
      <c r="I160">
        <v>97.787859472835663</v>
      </c>
      <c r="J160">
        <v>97.82</v>
      </c>
      <c r="K160">
        <v>96.96</v>
      </c>
      <c r="L160">
        <v>96.67</v>
      </c>
      <c r="M160">
        <v>97.05</v>
      </c>
      <c r="N160">
        <v>97.51</v>
      </c>
      <c r="O160">
        <v>97.57</v>
      </c>
      <c r="P160">
        <v>98.4</v>
      </c>
      <c r="Q160">
        <v>98.97</v>
      </c>
      <c r="R160">
        <v>99.082097695615886</v>
      </c>
      <c r="S160">
        <v>99.17734237628737</v>
      </c>
      <c r="T160">
        <v>99.218118091129597</v>
      </c>
      <c r="U160">
        <v>99.281656109188276</v>
      </c>
      <c r="V160">
        <v>98.82</v>
      </c>
      <c r="W160">
        <v>96.81</v>
      </c>
      <c r="X160">
        <v>98.58</v>
      </c>
      <c r="Y160">
        <v>96.87</v>
      </c>
      <c r="Z160">
        <v>99.39</v>
      </c>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97.81</v>
      </c>
      <c r="D161">
        <v>98.16</v>
      </c>
      <c r="E161">
        <v>98.43</v>
      </c>
      <c r="F161">
        <v>98.537251454331198</v>
      </c>
      <c r="G161">
        <v>98.5675430643699</v>
      </c>
      <c r="H161">
        <v>98.660255405146401</v>
      </c>
      <c r="I161">
        <v>98.573302722204005</v>
      </c>
      <c r="J161">
        <v>98.26</v>
      </c>
      <c r="K161">
        <v>97.83</v>
      </c>
      <c r="L161">
        <v>98.15</v>
      </c>
      <c r="M161">
        <v>98.2</v>
      </c>
      <c r="N161">
        <v>98.34</v>
      </c>
      <c r="O161">
        <v>96.96</v>
      </c>
      <c r="P161">
        <v>97.75</v>
      </c>
      <c r="Q161">
        <v>97.97</v>
      </c>
      <c r="R161">
        <v>98.460070272849521</v>
      </c>
      <c r="S161">
        <v>98.159482943115179</v>
      </c>
      <c r="T161">
        <v>98.967006545260205</v>
      </c>
      <c r="U161">
        <v>97.834517014509174</v>
      </c>
      <c r="V161">
        <v>98.01</v>
      </c>
      <c r="W161">
        <v>94.95</v>
      </c>
      <c r="X161">
        <v>97.47</v>
      </c>
      <c r="Y161">
        <v>98.33</v>
      </c>
      <c r="Z161">
        <v>96.85</v>
      </c>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98.52</v>
      </c>
      <c r="D162">
        <v>98.13</v>
      </c>
      <c r="E162">
        <v>98.53</v>
      </c>
      <c r="F162">
        <v>98.592749080005447</v>
      </c>
      <c r="G162">
        <v>98.574888326785427</v>
      </c>
      <c r="H162">
        <v>98.690116706112704</v>
      </c>
      <c r="I162">
        <v>98.304289544235928</v>
      </c>
      <c r="J162">
        <v>98.34</v>
      </c>
      <c r="K162">
        <v>98</v>
      </c>
      <c r="L162">
        <v>98.27</v>
      </c>
      <c r="M162">
        <v>97.92</v>
      </c>
      <c r="N162">
        <v>97.92</v>
      </c>
      <c r="O162">
        <v>97.05</v>
      </c>
      <c r="P162">
        <v>97.2</v>
      </c>
      <c r="Q162">
        <v>97.27</v>
      </c>
      <c r="R162">
        <v>95.786112610181689</v>
      </c>
      <c r="S162">
        <v>96.821931101407088</v>
      </c>
      <c r="T162">
        <v>96.634477272224999</v>
      </c>
      <c r="U162">
        <v>98.006658698992652</v>
      </c>
      <c r="V162">
        <v>96.62</v>
      </c>
      <c r="W162">
        <v>94.48</v>
      </c>
      <c r="X162">
        <v>96.92</v>
      </c>
      <c r="Y162">
        <v>97.53</v>
      </c>
      <c r="Z162">
        <v>97.56</v>
      </c>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95.95</v>
      </c>
      <c r="D163">
        <v>93.43</v>
      </c>
      <c r="E163">
        <v>93.55</v>
      </c>
      <c r="F163">
        <v>93.575622743353151</v>
      </c>
      <c r="G163">
        <v>92.543927715413929</v>
      </c>
      <c r="H163">
        <v>92.792423098388099</v>
      </c>
      <c r="I163">
        <v>92.579116863813709</v>
      </c>
      <c r="J163">
        <v>91.6</v>
      </c>
      <c r="K163">
        <v>92.04</v>
      </c>
      <c r="L163">
        <v>91.42</v>
      </c>
      <c r="M163">
        <v>92.81</v>
      </c>
      <c r="N163">
        <v>92.84</v>
      </c>
      <c r="O163">
        <v>98.83</v>
      </c>
      <c r="P163">
        <v>98.75</v>
      </c>
      <c r="Q163">
        <v>98.92</v>
      </c>
      <c r="R163">
        <v>99.015762071178955</v>
      </c>
      <c r="S163">
        <v>97.912540690659938</v>
      </c>
      <c r="T163">
        <v>98.887291072396806</v>
      </c>
      <c r="U163">
        <v>98.790484514894516</v>
      </c>
      <c r="V163">
        <v>98.61</v>
      </c>
      <c r="W163">
        <v>96.72</v>
      </c>
      <c r="X163">
        <v>98.37</v>
      </c>
      <c r="Y163">
        <v>96.99</v>
      </c>
      <c r="Z163">
        <v>95.75</v>
      </c>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98.09</v>
      </c>
      <c r="D164">
        <v>97.53</v>
      </c>
      <c r="E164">
        <v>97.82</v>
      </c>
      <c r="F164">
        <v>97.94972926565967</v>
      </c>
      <c r="G164">
        <v>98.221631848005472</v>
      </c>
      <c r="H164">
        <v>98.004284586762793</v>
      </c>
      <c r="I164">
        <v>98.06605156265266</v>
      </c>
      <c r="J164">
        <v>97.96</v>
      </c>
      <c r="K164">
        <v>97.66</v>
      </c>
      <c r="L164">
        <v>97.81</v>
      </c>
      <c r="M164">
        <v>97.24</v>
      </c>
      <c r="N164">
        <v>97.1</v>
      </c>
      <c r="O164">
        <v>97.17</v>
      </c>
      <c r="P164">
        <v>97.89</v>
      </c>
      <c r="Q164">
        <v>98.55</v>
      </c>
      <c r="R164">
        <v>98.295545610336461</v>
      </c>
      <c r="S164">
        <v>98.698525918218834</v>
      </c>
      <c r="T164">
        <v>98.435102615276307</v>
      </c>
      <c r="U164">
        <v>98.643976773067493</v>
      </c>
      <c r="V164">
        <v>98.63</v>
      </c>
      <c r="W164">
        <v>95.08</v>
      </c>
      <c r="X164">
        <v>98.46</v>
      </c>
      <c r="Y164">
        <v>98.15</v>
      </c>
      <c r="Z164">
        <v>98.5</v>
      </c>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98.99</v>
      </c>
      <c r="D165">
        <v>99.22</v>
      </c>
      <c r="E165">
        <v>99.3</v>
      </c>
      <c r="F165">
        <v>99.320920043811611</v>
      </c>
      <c r="G165">
        <v>99.162941405898408</v>
      </c>
      <c r="H165">
        <v>99.065980292897095</v>
      </c>
      <c r="I165">
        <v>99.127116942231737</v>
      </c>
      <c r="J165">
        <v>98.98</v>
      </c>
      <c r="K165">
        <v>98.49</v>
      </c>
      <c r="L165">
        <v>98.62</v>
      </c>
      <c r="M165">
        <v>98.56</v>
      </c>
      <c r="N165">
        <v>98.29</v>
      </c>
      <c r="O165">
        <v>98.81</v>
      </c>
      <c r="P165">
        <v>98.75</v>
      </c>
      <c r="Q165">
        <v>99.04</v>
      </c>
      <c r="R165">
        <v>97.591479924701517</v>
      </c>
      <c r="S165">
        <v>99.28624611671674</v>
      </c>
      <c r="T165">
        <v>99.551720813650803</v>
      </c>
      <c r="U165">
        <v>99.604836610586588</v>
      </c>
      <c r="V165">
        <v>97.91</v>
      </c>
      <c r="W165">
        <v>93.46</v>
      </c>
      <c r="X165">
        <v>95.92</v>
      </c>
      <c r="Y165">
        <v>95.22</v>
      </c>
      <c r="Z165">
        <v>95.54</v>
      </c>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99.38</v>
      </c>
      <c r="D166">
        <v>98.94</v>
      </c>
      <c r="E166">
        <v>98.96</v>
      </c>
      <c r="F166">
        <v>98.856052470082844</v>
      </c>
      <c r="G166">
        <v>98.989471748425359</v>
      </c>
      <c r="H166">
        <v>98.843885174990106</v>
      </c>
      <c r="I166">
        <v>98.774080560420316</v>
      </c>
      <c r="J166">
        <v>98.69</v>
      </c>
      <c r="K166">
        <v>98.31</v>
      </c>
      <c r="L166">
        <v>98.53</v>
      </c>
      <c r="M166">
        <v>98.6</v>
      </c>
      <c r="N166">
        <v>98.65</v>
      </c>
      <c r="O166">
        <v>98.4</v>
      </c>
      <c r="P166">
        <v>98.45</v>
      </c>
      <c r="Q166">
        <v>98.87</v>
      </c>
      <c r="R166">
        <v>99.286952589130934</v>
      </c>
      <c r="S166">
        <v>98.906762919061848</v>
      </c>
      <c r="T166">
        <v>99.124171360403395</v>
      </c>
      <c r="U166">
        <v>99.163719635920927</v>
      </c>
      <c r="V166">
        <v>98.97</v>
      </c>
      <c r="W166">
        <v>97.79</v>
      </c>
      <c r="X166">
        <v>98.45</v>
      </c>
      <c r="Y166">
        <v>98.82</v>
      </c>
      <c r="Z166">
        <v>98.96</v>
      </c>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97.9</v>
      </c>
      <c r="D167">
        <v>97.19</v>
      </c>
      <c r="E167">
        <v>96.96</v>
      </c>
      <c r="F167">
        <v>97.364549945030276</v>
      </c>
      <c r="G167">
        <v>97.746270861024968</v>
      </c>
      <c r="H167">
        <v>97.576394729464496</v>
      </c>
      <c r="I167">
        <v>97.475141998437692</v>
      </c>
      <c r="J167">
        <v>97.4</v>
      </c>
      <c r="K167">
        <v>97.29</v>
      </c>
      <c r="L167">
        <v>97.36</v>
      </c>
      <c r="M167">
        <v>97.11</v>
      </c>
      <c r="N167">
        <v>97.21</v>
      </c>
      <c r="O167">
        <v>98.19</v>
      </c>
      <c r="P167">
        <v>97.82</v>
      </c>
      <c r="Q167">
        <v>98.69</v>
      </c>
      <c r="R167">
        <v>98.458417849898581</v>
      </c>
      <c r="S167">
        <v>98.556973382514201</v>
      </c>
      <c r="T167">
        <v>98.60107421875</v>
      </c>
      <c r="U167">
        <v>98.870835768556404</v>
      </c>
      <c r="V167">
        <v>98.49</v>
      </c>
      <c r="W167">
        <v>96.96</v>
      </c>
      <c r="X167">
        <v>97.96</v>
      </c>
      <c r="Y167">
        <v>97.22</v>
      </c>
      <c r="Z167">
        <v>97.8</v>
      </c>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97.07</v>
      </c>
      <c r="D168">
        <v>96.91</v>
      </c>
      <c r="E168">
        <v>96.86</v>
      </c>
      <c r="F168">
        <v>97.056559076103056</v>
      </c>
      <c r="G168">
        <v>96.900742491965573</v>
      </c>
      <c r="H168">
        <v>96.884740612111997</v>
      </c>
      <c r="I168">
        <v>97.136764404346934</v>
      </c>
      <c r="J168">
        <v>97.02</v>
      </c>
      <c r="K168">
        <v>95.55</v>
      </c>
      <c r="L168">
        <v>96.76</v>
      </c>
      <c r="M168">
        <v>97.08</v>
      </c>
      <c r="N168">
        <v>97.09</v>
      </c>
      <c r="O168">
        <v>99.48</v>
      </c>
      <c r="P168">
        <v>99.27</v>
      </c>
      <c r="Q168">
        <v>99.1</v>
      </c>
      <c r="R168">
        <v>99.197565384765454</v>
      </c>
      <c r="S168">
        <v>99.140039700326568</v>
      </c>
      <c r="T168">
        <v>99.084991005215599</v>
      </c>
      <c r="U168">
        <v>99.119123746420641</v>
      </c>
      <c r="V168">
        <v>99.06</v>
      </c>
      <c r="W168">
        <v>94.24</v>
      </c>
      <c r="X168">
        <v>93.47</v>
      </c>
      <c r="Y168">
        <v>99.02</v>
      </c>
      <c r="Z168">
        <v>98.52</v>
      </c>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97.29</v>
      </c>
      <c r="D169">
        <v>96.64</v>
      </c>
      <c r="E169">
        <v>97.09</v>
      </c>
      <c r="F169">
        <v>97.302483280239954</v>
      </c>
      <c r="G169">
        <v>97.421830177854275</v>
      </c>
      <c r="H169">
        <v>97.744515070740206</v>
      </c>
      <c r="I169">
        <v>97.696928701422109</v>
      </c>
      <c r="J169">
        <v>97.29</v>
      </c>
      <c r="K169">
        <v>97.13</v>
      </c>
      <c r="L169">
        <v>96.8</v>
      </c>
      <c r="M169">
        <v>97.31</v>
      </c>
      <c r="N169">
        <v>97.83</v>
      </c>
      <c r="O169">
        <v>97.47</v>
      </c>
      <c r="P169">
        <v>96.91</v>
      </c>
      <c r="Q169">
        <v>96.56</v>
      </c>
      <c r="R169">
        <v>97.745270250813491</v>
      </c>
      <c r="S169">
        <v>97.936699279526778</v>
      </c>
      <c r="T169">
        <v>97.561045594100506</v>
      </c>
      <c r="U169">
        <v>98.874026413816466</v>
      </c>
      <c r="V169">
        <v>99.47</v>
      </c>
      <c r="W169">
        <v>89.2</v>
      </c>
      <c r="X169">
        <v>97.19</v>
      </c>
      <c r="Y169">
        <v>97.64</v>
      </c>
      <c r="Z169">
        <v>97.56</v>
      </c>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93.15</v>
      </c>
      <c r="D170">
        <v>92.51</v>
      </c>
      <c r="E170">
        <v>93.95</v>
      </c>
      <c r="F170">
        <v>95.618987039834622</v>
      </c>
      <c r="G170">
        <v>96.306310283179201</v>
      </c>
      <c r="H170">
        <v>96.125602748216707</v>
      </c>
      <c r="I170">
        <v>96.201474054844397</v>
      </c>
      <c r="J170">
        <v>95.9</v>
      </c>
      <c r="K170">
        <v>89.48</v>
      </c>
      <c r="L170">
        <v>89.41</v>
      </c>
      <c r="M170">
        <v>90.27</v>
      </c>
      <c r="N170">
        <v>89.4</v>
      </c>
      <c r="O170">
        <v>99.74</v>
      </c>
      <c r="P170">
        <v>99.78</v>
      </c>
      <c r="Q170">
        <v>99.79</v>
      </c>
      <c r="R170">
        <v>99.710354270581774</v>
      </c>
      <c r="S170">
        <v>99.742850347820919</v>
      </c>
      <c r="T170">
        <v>99.184391601142906</v>
      </c>
      <c r="U170">
        <v>99.508743088689528</v>
      </c>
      <c r="V170">
        <v>99.18</v>
      </c>
      <c r="W170">
        <v>95.27</v>
      </c>
      <c r="X170">
        <v>96.35</v>
      </c>
      <c r="Y170">
        <v>98.4</v>
      </c>
      <c r="Z170">
        <v>99.03</v>
      </c>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97.66</v>
      </c>
      <c r="D171">
        <v>96.81</v>
      </c>
      <c r="E171">
        <v>97.05</v>
      </c>
      <c r="F171">
        <v>97.107982655536659</v>
      </c>
      <c r="G171">
        <v>97.207200667803875</v>
      </c>
      <c r="H171">
        <v>97.034165997916901</v>
      </c>
      <c r="I171">
        <v>97.066128282779729</v>
      </c>
      <c r="J171">
        <v>96.81</v>
      </c>
      <c r="K171">
        <v>96</v>
      </c>
      <c r="L171">
        <v>96.89</v>
      </c>
      <c r="M171">
        <v>97.24</v>
      </c>
      <c r="N171">
        <v>96.98</v>
      </c>
      <c r="O171">
        <v>98.01</v>
      </c>
      <c r="P171">
        <v>97.4</v>
      </c>
      <c r="Q171">
        <v>97.93</v>
      </c>
      <c r="R171">
        <v>97.747145980082578</v>
      </c>
      <c r="S171">
        <v>96.111507333560724</v>
      </c>
      <c r="T171">
        <v>97.958102126067701</v>
      </c>
      <c r="U171">
        <v>97.039191671769757</v>
      </c>
      <c r="V171">
        <v>97.07</v>
      </c>
      <c r="W171">
        <v>95.23</v>
      </c>
      <c r="X171">
        <v>97.46</v>
      </c>
      <c r="Y171">
        <v>97.05</v>
      </c>
      <c r="Z171">
        <v>97.47</v>
      </c>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97.35</v>
      </c>
      <c r="D172">
        <v>97.19</v>
      </c>
      <c r="E172">
        <v>97.15</v>
      </c>
      <c r="F172">
        <v>97.157051607016115</v>
      </c>
      <c r="G172">
        <v>97.252438291354011</v>
      </c>
      <c r="H172">
        <v>97.250348351137902</v>
      </c>
      <c r="I172">
        <v>97.104297923869368</v>
      </c>
      <c r="J172">
        <v>96.9</v>
      </c>
      <c r="K172">
        <v>95.79</v>
      </c>
      <c r="L172">
        <v>95.87</v>
      </c>
      <c r="M172">
        <v>96.31</v>
      </c>
      <c r="N172">
        <v>96.64</v>
      </c>
      <c r="O172">
        <v>97.08</v>
      </c>
      <c r="P172">
        <v>97.36</v>
      </c>
      <c r="Q172">
        <v>97.57</v>
      </c>
      <c r="R172">
        <v>97.906141578915324</v>
      </c>
      <c r="S172">
        <v>97.738201246660722</v>
      </c>
      <c r="T172">
        <v>97.598200170254103</v>
      </c>
      <c r="U172">
        <v>98.177769965430358</v>
      </c>
      <c r="V172">
        <v>97.61</v>
      </c>
      <c r="W172">
        <v>87.77</v>
      </c>
      <c r="X172">
        <v>97.33</v>
      </c>
      <c r="Y172">
        <v>96.67</v>
      </c>
      <c r="Z172">
        <v>96.56</v>
      </c>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97.21</v>
      </c>
      <c r="D173">
        <v>96.46</v>
      </c>
      <c r="E173">
        <v>96.27</v>
      </c>
      <c r="F173">
        <v>95.953229053740131</v>
      </c>
      <c r="G173">
        <v>95.193975485661426</v>
      </c>
      <c r="H173">
        <v>94.315723167091093</v>
      </c>
      <c r="I173">
        <v>93.502583402436684</v>
      </c>
      <c r="J173">
        <v>93.25</v>
      </c>
      <c r="K173">
        <v>92.47</v>
      </c>
      <c r="L173">
        <v>93.06</v>
      </c>
      <c r="M173">
        <v>93.2</v>
      </c>
      <c r="N173">
        <v>92.88</v>
      </c>
      <c r="O173">
        <v>97.24</v>
      </c>
      <c r="P173">
        <v>96.39</v>
      </c>
      <c r="Q173">
        <v>97.87</v>
      </c>
      <c r="R173">
        <v>98.406112287529339</v>
      </c>
      <c r="S173">
        <v>99.988542129158859</v>
      </c>
      <c r="T173">
        <v>96.744358120606705</v>
      </c>
      <c r="U173">
        <v>97.188345853228313</v>
      </c>
      <c r="V173">
        <v>97.95</v>
      </c>
      <c r="W173">
        <v>96.68</v>
      </c>
      <c r="X173">
        <v>97.62</v>
      </c>
      <c r="Y173">
        <v>95.18</v>
      </c>
      <c r="Z173">
        <v>96.67</v>
      </c>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98.18</v>
      </c>
      <c r="D174">
        <v>97.81</v>
      </c>
      <c r="E174">
        <v>97.83</v>
      </c>
      <c r="F174">
        <v>98.133641186333534</v>
      </c>
      <c r="G174">
        <v>98.401658705579763</v>
      </c>
      <c r="H174">
        <v>99.247850115238705</v>
      </c>
      <c r="I174">
        <v>98.382250174703003</v>
      </c>
      <c r="J174">
        <v>98.13</v>
      </c>
      <c r="K174">
        <v>97.37</v>
      </c>
      <c r="L174">
        <v>98.4</v>
      </c>
      <c r="M174">
        <v>97.56</v>
      </c>
      <c r="N174">
        <v>97.9</v>
      </c>
      <c r="O174">
        <v>97.06</v>
      </c>
      <c r="P174">
        <v>97.39</v>
      </c>
      <c r="Q174">
        <v>96.94</v>
      </c>
      <c r="R174">
        <v>97.988855116514699</v>
      </c>
      <c r="S174">
        <v>98.547305686615346</v>
      </c>
      <c r="T174">
        <v>99.390038155059997</v>
      </c>
      <c r="U174">
        <v>98.312765630600637</v>
      </c>
      <c r="V174">
        <v>97.98</v>
      </c>
      <c r="W174">
        <v>94.77</v>
      </c>
      <c r="X174">
        <v>96.98</v>
      </c>
      <c r="Y174">
        <v>97.71</v>
      </c>
      <c r="Z174">
        <v>97.51</v>
      </c>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99.13</v>
      </c>
      <c r="D175">
        <v>99.16</v>
      </c>
      <c r="E175">
        <v>99.25</v>
      </c>
      <c r="F175">
        <v>99.145249560054921</v>
      </c>
      <c r="G175">
        <v>99.143453274277974</v>
      </c>
      <c r="H175">
        <v>99.198149307729693</v>
      </c>
      <c r="I175">
        <v>99.075661816340869</v>
      </c>
      <c r="J175">
        <v>98.89</v>
      </c>
      <c r="K175">
        <v>98.07</v>
      </c>
      <c r="L175">
        <v>98.38</v>
      </c>
      <c r="M175">
        <v>98.85</v>
      </c>
      <c r="N175">
        <v>98.48</v>
      </c>
      <c r="O175">
        <v>99.93</v>
      </c>
      <c r="P175">
        <v>99.53</v>
      </c>
      <c r="Q175">
        <v>99.78</v>
      </c>
      <c r="R175">
        <v>99.461641991924637</v>
      </c>
      <c r="S175">
        <v>99.091776378553703</v>
      </c>
      <c r="T175">
        <v>99.888551554513597</v>
      </c>
      <c r="U175">
        <v>99.420913916626446</v>
      </c>
      <c r="V175">
        <v>99.43</v>
      </c>
      <c r="W175">
        <v>97.21</v>
      </c>
      <c r="X175">
        <v>99.74</v>
      </c>
      <c r="Y175">
        <v>99.33</v>
      </c>
      <c r="Z175">
        <v>99.03</v>
      </c>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98.05</v>
      </c>
      <c r="D176">
        <v>97.58</v>
      </c>
      <c r="E176">
        <v>97.39</v>
      </c>
      <c r="F176">
        <v>97.159355882917737</v>
      </c>
      <c r="G176">
        <v>96.851941652140866</v>
      </c>
      <c r="H176">
        <v>96.208014653102595</v>
      </c>
      <c r="I176">
        <v>95.426664365038263</v>
      </c>
      <c r="J176">
        <v>95.25</v>
      </c>
      <c r="K176">
        <v>94.62</v>
      </c>
      <c r="L176">
        <v>94.55</v>
      </c>
      <c r="M176">
        <v>94.33</v>
      </c>
      <c r="N176">
        <v>94.31</v>
      </c>
      <c r="O176">
        <v>99.11</v>
      </c>
      <c r="P176">
        <v>99.4</v>
      </c>
      <c r="Q176">
        <v>97.86</v>
      </c>
      <c r="R176">
        <v>98.460546812053494</v>
      </c>
      <c r="S176">
        <v>98.89071309757837</v>
      </c>
      <c r="T176">
        <v>97.512729238949206</v>
      </c>
      <c r="U176">
        <v>97.808751591503054</v>
      </c>
      <c r="V176">
        <v>95.67</v>
      </c>
      <c r="W176">
        <v>96.47</v>
      </c>
      <c r="X176">
        <v>97.08</v>
      </c>
      <c r="Y176">
        <v>95.43</v>
      </c>
      <c r="Z176">
        <v>97.77</v>
      </c>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97.9</v>
      </c>
      <c r="D177">
        <v>98.08</v>
      </c>
      <c r="E177">
        <v>98.45</v>
      </c>
      <c r="F177">
        <v>98.564317881691665</v>
      </c>
      <c r="G177">
        <v>98.696326451487835</v>
      </c>
      <c r="H177">
        <v>98.738270930126603</v>
      </c>
      <c r="I177">
        <v>98.724737012120613</v>
      </c>
      <c r="J177">
        <v>98.51</v>
      </c>
      <c r="K177">
        <v>98.01</v>
      </c>
      <c r="L177">
        <v>98.1</v>
      </c>
      <c r="M177">
        <v>98.27</v>
      </c>
      <c r="N177">
        <v>98.37</v>
      </c>
      <c r="O177">
        <v>98.43</v>
      </c>
      <c r="P177">
        <v>99.12</v>
      </c>
      <c r="Q177">
        <v>99.33</v>
      </c>
      <c r="R177">
        <v>99.316032991349829</v>
      </c>
      <c r="S177">
        <v>99.364349990426959</v>
      </c>
      <c r="T177">
        <v>99.404971618711997</v>
      </c>
      <c r="U177">
        <v>99.154722528482182</v>
      </c>
      <c r="V177">
        <v>97.32</v>
      </c>
      <c r="W177">
        <v>98.41</v>
      </c>
      <c r="X177">
        <v>99.24</v>
      </c>
      <c r="Y177">
        <v>99.25</v>
      </c>
      <c r="Z177">
        <v>99.29</v>
      </c>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896</v>
      </c>
      <c r="B178" s="134"/>
      <c r="C178" t="s">
        <v>879</v>
      </c>
      <c r="D178" t="s">
        <v>879</v>
      </c>
      <c r="E178" t="s">
        <v>879</v>
      </c>
      <c r="F178" t="s">
        <v>879</v>
      </c>
      <c r="G178" t="s">
        <v>879</v>
      </c>
      <c r="H178" t="s">
        <v>879</v>
      </c>
      <c r="I178" t="s">
        <v>879</v>
      </c>
      <c r="J178" t="s">
        <v>879</v>
      </c>
      <c r="K178" t="s">
        <v>879</v>
      </c>
      <c r="L178">
        <v>96.33</v>
      </c>
      <c r="M178">
        <v>96.8</v>
      </c>
      <c r="N178">
        <v>96.04</v>
      </c>
      <c r="O178" t="s">
        <v>879</v>
      </c>
      <c r="P178" t="s">
        <v>879</v>
      </c>
      <c r="Q178" t="s">
        <v>879</v>
      </c>
      <c r="R178" t="s">
        <v>879</v>
      </c>
      <c r="S178" t="s">
        <v>879</v>
      </c>
      <c r="T178" t="s">
        <v>879</v>
      </c>
      <c r="U178" t="s">
        <v>879</v>
      </c>
      <c r="V178" t="s">
        <v>879</v>
      </c>
      <c r="W178" t="s">
        <v>879</v>
      </c>
      <c r="X178">
        <v>95.77</v>
      </c>
      <c r="Y178">
        <v>97.05</v>
      </c>
      <c r="Z178">
        <v>94.88</v>
      </c>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97.87</v>
      </c>
      <c r="D179">
        <v>97.47</v>
      </c>
      <c r="E179">
        <v>97.58</v>
      </c>
      <c r="F179">
        <v>97.702688035888713</v>
      </c>
      <c r="G179">
        <v>98.304471127737898</v>
      </c>
      <c r="H179">
        <v>98.357249210530597</v>
      </c>
      <c r="I179">
        <v>98.091256551292716</v>
      </c>
      <c r="J179">
        <v>98</v>
      </c>
      <c r="K179">
        <v>97.61</v>
      </c>
      <c r="L179">
        <v>98.01</v>
      </c>
      <c r="M179">
        <v>98.18</v>
      </c>
      <c r="N179">
        <v>97.98</v>
      </c>
      <c r="O179">
        <v>97.33</v>
      </c>
      <c r="P179">
        <v>97.64</v>
      </c>
      <c r="Q179">
        <v>97.91</v>
      </c>
      <c r="R179">
        <v>98.57821457821457</v>
      </c>
      <c r="S179">
        <v>98.659207400925126</v>
      </c>
      <c r="T179">
        <v>98.952316140978297</v>
      </c>
      <c r="U179">
        <v>98.283202006285123</v>
      </c>
      <c r="V179">
        <v>98.41</v>
      </c>
      <c r="W179">
        <v>89.81</v>
      </c>
      <c r="X179">
        <v>95.34</v>
      </c>
      <c r="Y179">
        <v>98.2</v>
      </c>
      <c r="Z179">
        <v>98.47</v>
      </c>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96.85</v>
      </c>
      <c r="D180">
        <v>96.49</v>
      </c>
      <c r="E180">
        <v>96.37</v>
      </c>
      <c r="F180">
        <v>96.607829718951322</v>
      </c>
      <c r="G180">
        <v>96.509826215875776</v>
      </c>
      <c r="H180">
        <v>96.1738103378609</v>
      </c>
      <c r="I180">
        <v>95.441515967679877</v>
      </c>
      <c r="J180">
        <v>94.96</v>
      </c>
      <c r="K180">
        <v>94.84</v>
      </c>
      <c r="L180">
        <v>94.79</v>
      </c>
      <c r="M180">
        <v>94.65</v>
      </c>
      <c r="N180">
        <v>94.84</v>
      </c>
      <c r="O180">
        <v>98.07</v>
      </c>
      <c r="P180">
        <v>97.94</v>
      </c>
      <c r="Q180">
        <v>97.99</v>
      </c>
      <c r="R180">
        <v>98.496440247606088</v>
      </c>
      <c r="S180">
        <v>97.75649839056662</v>
      </c>
      <c r="T180">
        <v>98.919222633527198</v>
      </c>
      <c r="U180">
        <v>99.758839769816717</v>
      </c>
      <c r="V180">
        <v>97.57</v>
      </c>
      <c r="W180">
        <v>92.2</v>
      </c>
      <c r="X180">
        <v>95.95</v>
      </c>
      <c r="Y180">
        <v>97.01</v>
      </c>
      <c r="Z180">
        <v>97.29</v>
      </c>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98.16</v>
      </c>
      <c r="D181">
        <v>97.96</v>
      </c>
      <c r="E181">
        <v>98.24</v>
      </c>
      <c r="F181">
        <v>98.395947657239347</v>
      </c>
      <c r="G181">
        <v>98.593048682241914</v>
      </c>
      <c r="H181">
        <v>98.621315941550407</v>
      </c>
      <c r="I181">
        <v>98.02287923109067</v>
      </c>
      <c r="J181">
        <v>97.09</v>
      </c>
      <c r="K181">
        <v>95.48</v>
      </c>
      <c r="L181">
        <v>95.2</v>
      </c>
      <c r="M181">
        <v>95.18</v>
      </c>
      <c r="N181">
        <v>96.26</v>
      </c>
      <c r="O181">
        <v>98.85</v>
      </c>
      <c r="P181">
        <v>98.94</v>
      </c>
      <c r="Q181">
        <v>99.27</v>
      </c>
      <c r="R181">
        <v>99.636634467816194</v>
      </c>
      <c r="S181">
        <v>99.572225529756793</v>
      </c>
      <c r="T181">
        <v>99.905052423183307</v>
      </c>
      <c r="U181">
        <v>99.130069020897466</v>
      </c>
      <c r="V181">
        <v>99.36</v>
      </c>
      <c r="W181">
        <v>93.7</v>
      </c>
      <c r="X181">
        <v>97.55</v>
      </c>
      <c r="Y181">
        <v>96.88</v>
      </c>
      <c r="Z181">
        <v>98.99</v>
      </c>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97.76</v>
      </c>
      <c r="D182">
        <v>97.42</v>
      </c>
      <c r="E182">
        <v>97.78</v>
      </c>
      <c r="F182">
        <v>97.433541462192238</v>
      </c>
      <c r="G182">
        <v>97.734251968503941</v>
      </c>
      <c r="H182">
        <v>97.780456146857006</v>
      </c>
      <c r="I182">
        <v>97.842935528120705</v>
      </c>
      <c r="J182">
        <v>97.63</v>
      </c>
      <c r="K182">
        <v>96.65</v>
      </c>
      <c r="L182">
        <v>96.89</v>
      </c>
      <c r="M182">
        <v>97.15</v>
      </c>
      <c r="N182">
        <v>97.17</v>
      </c>
      <c r="O182">
        <v>99.22</v>
      </c>
      <c r="P182">
        <v>97.73</v>
      </c>
      <c r="Q182">
        <v>99.08</v>
      </c>
      <c r="R182">
        <v>99.100298632377843</v>
      </c>
      <c r="S182">
        <v>99.288812114084095</v>
      </c>
      <c r="T182">
        <v>99.418624770737395</v>
      </c>
      <c r="U182">
        <v>99.123949716667752</v>
      </c>
      <c r="V182">
        <v>99.16</v>
      </c>
      <c r="W182">
        <v>96.85</v>
      </c>
      <c r="X182">
        <v>98.48</v>
      </c>
      <c r="Y182">
        <v>99.1</v>
      </c>
      <c r="Z182">
        <v>97.2</v>
      </c>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t="s">
        <v>879</v>
      </c>
      <c r="D183" t="s">
        <v>879</v>
      </c>
      <c r="E183" t="s">
        <v>879</v>
      </c>
      <c r="F183" t="s">
        <v>879</v>
      </c>
      <c r="G183" t="s">
        <v>879</v>
      </c>
      <c r="H183" t="s">
        <v>879</v>
      </c>
      <c r="I183" t="s">
        <v>879</v>
      </c>
      <c r="J183" t="s">
        <v>879</v>
      </c>
      <c r="K183" t="s">
        <v>879</v>
      </c>
      <c r="L183" t="s">
        <v>879</v>
      </c>
      <c r="M183" t="s">
        <v>879</v>
      </c>
      <c r="N183">
        <v>97.87</v>
      </c>
      <c r="O183" t="s">
        <v>879</v>
      </c>
      <c r="P183" t="s">
        <v>879</v>
      </c>
      <c r="Q183" t="s">
        <v>879</v>
      </c>
      <c r="R183" t="s">
        <v>879</v>
      </c>
      <c r="S183" t="s">
        <v>879</v>
      </c>
      <c r="T183" t="s">
        <v>879</v>
      </c>
      <c r="U183" t="s">
        <v>879</v>
      </c>
      <c r="V183" t="s">
        <v>879</v>
      </c>
      <c r="W183" t="s">
        <v>879</v>
      </c>
      <c r="X183" t="s">
        <v>879</v>
      </c>
      <c r="Y183" t="s">
        <v>879</v>
      </c>
      <c r="Z183">
        <v>97.85</v>
      </c>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97.74</v>
      </c>
      <c r="D184">
        <v>97.46</v>
      </c>
      <c r="E184">
        <v>97.69</v>
      </c>
      <c r="F184">
        <v>97.83267637960283</v>
      </c>
      <c r="G184">
        <v>97.887012120603842</v>
      </c>
      <c r="H184">
        <v>98.038388525627497</v>
      </c>
      <c r="I184">
        <v>98.067211530929313</v>
      </c>
      <c r="J184">
        <v>97.64</v>
      </c>
      <c r="K184">
        <v>97.02</v>
      </c>
      <c r="L184">
        <v>97.41</v>
      </c>
      <c r="M184">
        <v>97.26</v>
      </c>
      <c r="N184">
        <v>96.69</v>
      </c>
      <c r="O184">
        <v>97.59</v>
      </c>
      <c r="P184">
        <v>97.28</v>
      </c>
      <c r="Q184">
        <v>97.92</v>
      </c>
      <c r="R184">
        <v>98.135904268691235</v>
      </c>
      <c r="S184">
        <v>98.053596270714863</v>
      </c>
      <c r="T184">
        <v>98.071949500520901</v>
      </c>
      <c r="U184">
        <v>98.302567112687029</v>
      </c>
      <c r="V184">
        <v>97.66</v>
      </c>
      <c r="W184">
        <v>93.35</v>
      </c>
      <c r="X184">
        <v>95.66</v>
      </c>
      <c r="Y184">
        <v>95.12</v>
      </c>
      <c r="Z184">
        <v>96.39</v>
      </c>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95.15</v>
      </c>
      <c r="D185">
        <v>94.98</v>
      </c>
      <c r="E185">
        <v>95.18</v>
      </c>
      <c r="F185">
        <v>94.922089177381991</v>
      </c>
      <c r="G185">
        <v>95.310555873154655</v>
      </c>
      <c r="H185">
        <v>95.613584566494296</v>
      </c>
      <c r="I185">
        <v>95.741807706157715</v>
      </c>
      <c r="J185">
        <v>95.32</v>
      </c>
      <c r="K185">
        <v>93.61</v>
      </c>
      <c r="L185">
        <v>93.96</v>
      </c>
      <c r="M185">
        <v>93.85</v>
      </c>
      <c r="N185">
        <v>93.44</v>
      </c>
      <c r="O185">
        <v>98.49</v>
      </c>
      <c r="P185">
        <v>97.21</v>
      </c>
      <c r="Q185">
        <v>98.56</v>
      </c>
      <c r="R185">
        <v>98.488317117475802</v>
      </c>
      <c r="S185">
        <v>97.240457087284213</v>
      </c>
      <c r="T185">
        <v>97.881598962619293</v>
      </c>
      <c r="U185">
        <v>97.651771956856706</v>
      </c>
      <c r="V185">
        <v>97.18</v>
      </c>
      <c r="W185">
        <v>92.69</v>
      </c>
      <c r="X185">
        <v>95.86</v>
      </c>
      <c r="Y185">
        <v>95.78</v>
      </c>
      <c r="Z185">
        <v>96.59</v>
      </c>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93.49</v>
      </c>
      <c r="D186">
        <v>93.17</v>
      </c>
      <c r="E186">
        <v>92.5</v>
      </c>
      <c r="F186">
        <v>92.458772895247805</v>
      </c>
      <c r="G186">
        <v>93.085305317557456</v>
      </c>
      <c r="H186">
        <v>93.089037092783997</v>
      </c>
      <c r="I186">
        <v>93.228644531892925</v>
      </c>
      <c r="J186">
        <v>92.99</v>
      </c>
      <c r="K186">
        <v>93.73</v>
      </c>
      <c r="L186">
        <v>93.08</v>
      </c>
      <c r="M186">
        <v>93.01</v>
      </c>
      <c r="N186">
        <v>92.08</v>
      </c>
      <c r="O186">
        <v>97.46</v>
      </c>
      <c r="P186">
        <v>97.36</v>
      </c>
      <c r="Q186">
        <v>96.27</v>
      </c>
      <c r="R186">
        <v>97.648510080567448</v>
      </c>
      <c r="S186">
        <v>97.360574844586239</v>
      </c>
      <c r="T186">
        <v>98.009480737261597</v>
      </c>
      <c r="U186">
        <v>97.326916427326424</v>
      </c>
      <c r="V186">
        <v>97.35</v>
      </c>
      <c r="W186">
        <v>84.84</v>
      </c>
      <c r="X186">
        <v>89.78</v>
      </c>
      <c r="Y186">
        <v>89.32</v>
      </c>
      <c r="Z186">
        <v>90.5</v>
      </c>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97.5</v>
      </c>
      <c r="D187">
        <v>97.05</v>
      </c>
      <c r="E187">
        <v>97.24</v>
      </c>
      <c r="F187">
        <v>97.457820137708708</v>
      </c>
      <c r="G187">
        <v>97.471578141385223</v>
      </c>
      <c r="H187">
        <v>97.354128730900101</v>
      </c>
      <c r="I187">
        <v>97.03699340245052</v>
      </c>
      <c r="J187">
        <v>96.84</v>
      </c>
      <c r="K187">
        <v>97.23</v>
      </c>
      <c r="L187">
        <v>97.17</v>
      </c>
      <c r="M187">
        <v>96.66</v>
      </c>
      <c r="N187">
        <v>96.61</v>
      </c>
      <c r="O187">
        <v>97.6</v>
      </c>
      <c r="P187">
        <v>98.11</v>
      </c>
      <c r="Q187">
        <v>98.41</v>
      </c>
      <c r="R187">
        <v>98.155589039566934</v>
      </c>
      <c r="S187">
        <v>97.703543339453574</v>
      </c>
      <c r="T187">
        <v>98.104144887407102</v>
      </c>
      <c r="U187">
        <v>97.954464113647006</v>
      </c>
      <c r="V187">
        <v>97.4</v>
      </c>
      <c r="W187">
        <v>96.78</v>
      </c>
      <c r="X187">
        <v>97.26</v>
      </c>
      <c r="Y187">
        <v>96.99</v>
      </c>
      <c r="Z187">
        <v>97.53</v>
      </c>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98.84</v>
      </c>
      <c r="D188">
        <v>98.53</v>
      </c>
      <c r="E188">
        <v>98.36</v>
      </c>
      <c r="F188">
        <v>98.335457459545054</v>
      </c>
      <c r="G188">
        <v>98.284892298613158</v>
      </c>
      <c r="H188">
        <v>98.241206030150707</v>
      </c>
      <c r="I188">
        <v>97.887112386928806</v>
      </c>
      <c r="J188">
        <v>97.53</v>
      </c>
      <c r="K188">
        <v>96.42</v>
      </c>
      <c r="L188">
        <v>96.81</v>
      </c>
      <c r="M188">
        <v>96.92</v>
      </c>
      <c r="N188">
        <v>96.39</v>
      </c>
      <c r="O188">
        <v>98.17</v>
      </c>
      <c r="P188">
        <v>98.3</v>
      </c>
      <c r="Q188">
        <v>98.58</v>
      </c>
      <c r="R188">
        <v>98.290738762429115</v>
      </c>
      <c r="S188">
        <v>98.374760994263866</v>
      </c>
      <c r="T188">
        <v>99.226225143522697</v>
      </c>
      <c r="U188">
        <v>98.659517426273453</v>
      </c>
      <c r="V188">
        <v>97.88</v>
      </c>
      <c r="W188">
        <v>87.06</v>
      </c>
      <c r="X188">
        <v>94.39</v>
      </c>
      <c r="Y188">
        <v>96.24</v>
      </c>
      <c r="Z188">
        <v>95.78</v>
      </c>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95.73</v>
      </c>
      <c r="D189">
        <v>93.77</v>
      </c>
      <c r="E189">
        <v>93.13</v>
      </c>
      <c r="F189">
        <v>94.481498503514217</v>
      </c>
      <c r="G189">
        <v>94.612963456921847</v>
      </c>
      <c r="H189">
        <v>94.532366806914297</v>
      </c>
      <c r="I189">
        <v>94.458686460943937</v>
      </c>
      <c r="J189">
        <v>94.05</v>
      </c>
      <c r="K189">
        <v>93.29</v>
      </c>
      <c r="L189">
        <v>94.16</v>
      </c>
      <c r="M189">
        <v>94.18</v>
      </c>
      <c r="N189">
        <v>94.11</v>
      </c>
      <c r="O189">
        <v>95.46</v>
      </c>
      <c r="P189">
        <v>95.78</v>
      </c>
      <c r="Q189">
        <v>95.98</v>
      </c>
      <c r="R189">
        <v>96.484298170851631</v>
      </c>
      <c r="S189">
        <v>97.124075595727206</v>
      </c>
      <c r="T189">
        <v>97.193587254836302</v>
      </c>
      <c r="U189">
        <v>97.219385619820869</v>
      </c>
      <c r="V189">
        <v>96.19</v>
      </c>
      <c r="W189">
        <v>90.49</v>
      </c>
      <c r="X189">
        <v>95.56</v>
      </c>
      <c r="Y189">
        <v>97.13</v>
      </c>
      <c r="Z189">
        <v>96.22</v>
      </c>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97.01</v>
      </c>
      <c r="D190">
        <v>96.84</v>
      </c>
      <c r="E190">
        <v>97.67</v>
      </c>
      <c r="F190">
        <v>97.605008567997515</v>
      </c>
      <c r="G190">
        <v>97.86988987097692</v>
      </c>
      <c r="H190">
        <v>97.786700496360396</v>
      </c>
      <c r="I190">
        <v>97.719174844043678</v>
      </c>
      <c r="J190">
        <v>98.01</v>
      </c>
      <c r="K190">
        <v>97.54</v>
      </c>
      <c r="L190">
        <v>97.77</v>
      </c>
      <c r="M190">
        <v>95.39</v>
      </c>
      <c r="N190">
        <v>96.33</v>
      </c>
      <c r="O190">
        <v>97.38</v>
      </c>
      <c r="P190">
        <v>97.91</v>
      </c>
      <c r="Q190">
        <v>98.8</v>
      </c>
      <c r="R190">
        <v>98.324066540095828</v>
      </c>
      <c r="S190">
        <v>97.865171054988352</v>
      </c>
      <c r="T190">
        <v>96.186640656954907</v>
      </c>
      <c r="U190">
        <v>98.15906641046071</v>
      </c>
      <c r="V190">
        <v>97.42</v>
      </c>
      <c r="W190">
        <v>95.76</v>
      </c>
      <c r="X190">
        <v>89.8</v>
      </c>
      <c r="Y190">
        <v>97.41</v>
      </c>
      <c r="Z190">
        <v>98.61</v>
      </c>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96.76</v>
      </c>
      <c r="D191">
        <v>95.9</v>
      </c>
      <c r="E191">
        <v>95.98</v>
      </c>
      <c r="F191">
        <v>96.339918946301921</v>
      </c>
      <c r="G191">
        <v>96.442602529704871</v>
      </c>
      <c r="H191">
        <v>96.515567765567695</v>
      </c>
      <c r="I191">
        <v>96.340890653686856</v>
      </c>
      <c r="J191">
        <v>96.33</v>
      </c>
      <c r="K191">
        <v>94.22</v>
      </c>
      <c r="L191">
        <v>95.36</v>
      </c>
      <c r="M191">
        <v>95.75</v>
      </c>
      <c r="N191">
        <v>95.64</v>
      </c>
      <c r="O191">
        <v>96.65</v>
      </c>
      <c r="P191">
        <v>97.96</v>
      </c>
      <c r="Q191">
        <v>98.58</v>
      </c>
      <c r="R191">
        <v>99.135631729724395</v>
      </c>
      <c r="S191">
        <v>98.868723824194873</v>
      </c>
      <c r="T191">
        <v>98.088032309186602</v>
      </c>
      <c r="U191">
        <v>98.170949777755069</v>
      </c>
      <c r="V191">
        <v>98.49</v>
      </c>
      <c r="W191">
        <v>96.44</v>
      </c>
      <c r="X191">
        <v>95.96</v>
      </c>
      <c r="Y191">
        <v>94.44</v>
      </c>
      <c r="Z191">
        <v>95.89</v>
      </c>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96.15</v>
      </c>
      <c r="D192">
        <v>95.26</v>
      </c>
      <c r="E192">
        <v>94.78</v>
      </c>
      <c r="F192">
        <v>94.944092033114728</v>
      </c>
      <c r="G192">
        <v>95.461559867439092</v>
      </c>
      <c r="H192">
        <v>95.891157752521295</v>
      </c>
      <c r="I192">
        <v>95.828486138852924</v>
      </c>
      <c r="J192">
        <v>95.74</v>
      </c>
      <c r="K192">
        <v>95.16</v>
      </c>
      <c r="L192">
        <v>95.86</v>
      </c>
      <c r="M192">
        <v>95.91</v>
      </c>
      <c r="N192">
        <v>95.7</v>
      </c>
      <c r="O192">
        <v>97.22</v>
      </c>
      <c r="P192">
        <v>96.92</v>
      </c>
      <c r="Q192">
        <v>97.78</v>
      </c>
      <c r="R192">
        <v>96.514146070094569</v>
      </c>
      <c r="S192">
        <v>97.37641128437933</v>
      </c>
      <c r="T192">
        <v>97.8080610000099</v>
      </c>
      <c r="U192">
        <v>97.899205398933276</v>
      </c>
      <c r="V192">
        <v>97.4</v>
      </c>
      <c r="W192">
        <v>84.53</v>
      </c>
      <c r="X192">
        <v>97.97</v>
      </c>
      <c r="Y192">
        <v>98.36</v>
      </c>
      <c r="Z192">
        <v>98.39</v>
      </c>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96.45</v>
      </c>
      <c r="D193">
        <v>95.83</v>
      </c>
      <c r="E193">
        <v>96.13</v>
      </c>
      <c r="F193">
        <v>96.744336270936188</v>
      </c>
      <c r="G193">
        <v>96.920243105918374</v>
      </c>
      <c r="H193">
        <v>96.987007734694899</v>
      </c>
      <c r="I193">
        <v>96.772948230085007</v>
      </c>
      <c r="J193">
        <v>96.44</v>
      </c>
      <c r="K193">
        <v>98.24</v>
      </c>
      <c r="L193">
        <v>96.75</v>
      </c>
      <c r="M193">
        <v>96.66</v>
      </c>
      <c r="N193">
        <v>96.5</v>
      </c>
      <c r="O193">
        <v>96.73</v>
      </c>
      <c r="P193">
        <v>97.63</v>
      </c>
      <c r="Q193">
        <v>97.9</v>
      </c>
      <c r="R193">
        <v>99.46799213458597</v>
      </c>
      <c r="S193">
        <v>98.938056834015967</v>
      </c>
      <c r="T193">
        <v>98.606723458027403</v>
      </c>
      <c r="U193">
        <v>99.016296361283523</v>
      </c>
      <c r="V193">
        <v>98.97</v>
      </c>
      <c r="W193">
        <v>98.53</v>
      </c>
      <c r="X193">
        <v>98.4</v>
      </c>
      <c r="Y193">
        <v>99.09</v>
      </c>
      <c r="Z193">
        <v>98.8</v>
      </c>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95.05</v>
      </c>
      <c r="D194">
        <v>93.95</v>
      </c>
      <c r="E194">
        <v>94.54</v>
      </c>
      <c r="F194">
        <v>95.383377521005627</v>
      </c>
      <c r="G194">
        <v>95.333872674092973</v>
      </c>
      <c r="H194">
        <v>94.595663042846297</v>
      </c>
      <c r="I194">
        <v>93.804296879257905</v>
      </c>
      <c r="J194">
        <v>93.29</v>
      </c>
      <c r="K194">
        <v>90.98</v>
      </c>
      <c r="L194">
        <v>89.4</v>
      </c>
      <c r="M194">
        <v>90.91</v>
      </c>
      <c r="N194">
        <v>91.77</v>
      </c>
      <c r="O194">
        <v>98.01</v>
      </c>
      <c r="P194">
        <v>97.83</v>
      </c>
      <c r="Q194">
        <v>98.26</v>
      </c>
      <c r="R194">
        <v>99.617297220680129</v>
      </c>
      <c r="S194">
        <v>99.799416484318016</v>
      </c>
      <c r="T194">
        <v>97.515069643890897</v>
      </c>
      <c r="U194">
        <v>97.166456856379341</v>
      </c>
      <c r="V194">
        <v>96.86</v>
      </c>
      <c r="W194">
        <v>93.53</v>
      </c>
      <c r="X194">
        <v>95.28</v>
      </c>
      <c r="Y194">
        <v>96.61</v>
      </c>
      <c r="Z194">
        <v>96.03</v>
      </c>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96.29</v>
      </c>
      <c r="D195">
        <v>94.55</v>
      </c>
      <c r="E195">
        <v>94.59</v>
      </c>
      <c r="F195">
        <v>94.131451464203693</v>
      </c>
      <c r="G195">
        <v>94.218987443013674</v>
      </c>
      <c r="H195">
        <v>93.891567361047905</v>
      </c>
      <c r="I195">
        <v>93.594405204719905</v>
      </c>
      <c r="J195">
        <v>92.85</v>
      </c>
      <c r="K195">
        <v>90.17</v>
      </c>
      <c r="L195">
        <v>90.25</v>
      </c>
      <c r="M195">
        <v>90.8</v>
      </c>
      <c r="N195">
        <v>90.17</v>
      </c>
      <c r="O195">
        <v>96.47</v>
      </c>
      <c r="P195">
        <v>96.83</v>
      </c>
      <c r="Q195">
        <v>96.72</v>
      </c>
      <c r="R195">
        <v>96.592699859448871</v>
      </c>
      <c r="S195">
        <v>96.07435150506312</v>
      </c>
      <c r="T195">
        <v>95.478382646524196</v>
      </c>
      <c r="U195">
        <v>95.633915889581928</v>
      </c>
      <c r="V195">
        <v>95.17</v>
      </c>
      <c r="W195">
        <v>90.45</v>
      </c>
      <c r="X195">
        <v>94.27</v>
      </c>
      <c r="Y195">
        <v>94.83</v>
      </c>
      <c r="Z195">
        <v>95.69</v>
      </c>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97.54</v>
      </c>
      <c r="D196">
        <v>96.93</v>
      </c>
      <c r="E196">
        <v>96.5</v>
      </c>
      <c r="F196">
        <v>96.841690182499292</v>
      </c>
      <c r="G196">
        <v>96.677321474069444</v>
      </c>
      <c r="H196">
        <v>96.5958224880073</v>
      </c>
      <c r="I196">
        <v>96.43617495321179</v>
      </c>
      <c r="J196">
        <v>96.17</v>
      </c>
      <c r="K196">
        <v>95.43</v>
      </c>
      <c r="L196">
        <v>95.53</v>
      </c>
      <c r="M196">
        <v>96.07</v>
      </c>
      <c r="N196">
        <v>95.67</v>
      </c>
      <c r="O196">
        <v>98.17</v>
      </c>
      <c r="P196">
        <v>97.28</v>
      </c>
      <c r="Q196">
        <v>96.95</v>
      </c>
      <c r="R196">
        <v>97.903793648512718</v>
      </c>
      <c r="S196">
        <v>97.45060437510304</v>
      </c>
      <c r="T196">
        <v>96.281693183747095</v>
      </c>
      <c r="U196">
        <v>97.893867138239429</v>
      </c>
      <c r="V196">
        <v>97.71</v>
      </c>
      <c r="W196">
        <v>94.23</v>
      </c>
      <c r="X196">
        <v>95.6</v>
      </c>
      <c r="Y196">
        <v>96.61</v>
      </c>
      <c r="Z196">
        <v>96.93</v>
      </c>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96.28</v>
      </c>
      <c r="D197">
        <v>96.61</v>
      </c>
      <c r="E197">
        <v>96.98</v>
      </c>
      <c r="F197">
        <v>97.199739510652151</v>
      </c>
      <c r="G197">
        <v>97.24811362627608</v>
      </c>
      <c r="H197">
        <v>97.213281510946402</v>
      </c>
      <c r="I197">
        <v>97.255194990037012</v>
      </c>
      <c r="J197">
        <v>97.13</v>
      </c>
      <c r="K197">
        <v>96.36</v>
      </c>
      <c r="L197">
        <v>96.6</v>
      </c>
      <c r="M197">
        <v>96.94</v>
      </c>
      <c r="N197">
        <v>96.77</v>
      </c>
      <c r="O197">
        <v>96.86</v>
      </c>
      <c r="P197">
        <v>97.1</v>
      </c>
      <c r="Q197">
        <v>97.66</v>
      </c>
      <c r="R197">
        <v>97.365353660567266</v>
      </c>
      <c r="S197">
        <v>98.780942903346187</v>
      </c>
      <c r="T197">
        <v>98.027959871065804</v>
      </c>
      <c r="U197">
        <v>97.434374836264553</v>
      </c>
      <c r="V197">
        <v>96.26</v>
      </c>
      <c r="W197">
        <v>85.48</v>
      </c>
      <c r="X197">
        <v>93.82</v>
      </c>
      <c r="Y197">
        <v>94.84</v>
      </c>
      <c r="Z197">
        <v>93.79</v>
      </c>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96.81</v>
      </c>
      <c r="D198">
        <v>95.36</v>
      </c>
      <c r="E198">
        <v>95.45</v>
      </c>
      <c r="F198">
        <v>95.904179184296211</v>
      </c>
      <c r="G198">
        <v>94.063710257627022</v>
      </c>
      <c r="H198">
        <v>94.539159398693897</v>
      </c>
      <c r="I198">
        <v>94.616399361244191</v>
      </c>
      <c r="J198">
        <v>93.75</v>
      </c>
      <c r="K198">
        <v>92.81</v>
      </c>
      <c r="L198">
        <v>92.99</v>
      </c>
      <c r="M198">
        <v>92.86</v>
      </c>
      <c r="N198">
        <v>92.73</v>
      </c>
      <c r="O198">
        <v>81.75</v>
      </c>
      <c r="P198">
        <v>98.83</v>
      </c>
      <c r="Q198">
        <v>99.04</v>
      </c>
      <c r="R198">
        <v>77.074628031397665</v>
      </c>
      <c r="S198">
        <v>98.994286917831658</v>
      </c>
      <c r="T198">
        <v>99.207021325737102</v>
      </c>
      <c r="U198">
        <v>99.035854943481155</v>
      </c>
      <c r="V198">
        <v>97.29</v>
      </c>
      <c r="W198">
        <v>95.11</v>
      </c>
      <c r="X198">
        <v>97.78</v>
      </c>
      <c r="Y198">
        <v>98.43</v>
      </c>
      <c r="Z198">
        <v>98.59</v>
      </c>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97.35</v>
      </c>
      <c r="D199">
        <v>97.19</v>
      </c>
      <c r="E199">
        <v>96.37</v>
      </c>
      <c r="F199">
        <v>96.177072542133061</v>
      </c>
      <c r="G199">
        <v>96.037954512530789</v>
      </c>
      <c r="H199">
        <v>96.318889356331496</v>
      </c>
      <c r="I199">
        <v>96.539868647242912</v>
      </c>
      <c r="J199">
        <v>96.37</v>
      </c>
      <c r="K199">
        <v>95.89</v>
      </c>
      <c r="L199">
        <v>95.81</v>
      </c>
      <c r="M199">
        <v>95.66</v>
      </c>
      <c r="N199">
        <v>96.05</v>
      </c>
      <c r="O199">
        <v>97.85</v>
      </c>
      <c r="P199">
        <v>98.28</v>
      </c>
      <c r="Q199">
        <v>95.65</v>
      </c>
      <c r="R199">
        <v>96.559730970428106</v>
      </c>
      <c r="S199">
        <v>96.014675776991993</v>
      </c>
      <c r="T199">
        <v>95.102018429135498</v>
      </c>
      <c r="U199">
        <v>98.252552451475367</v>
      </c>
      <c r="V199">
        <v>98.09</v>
      </c>
      <c r="W199">
        <v>96</v>
      </c>
      <c r="X199">
        <v>95.63</v>
      </c>
      <c r="Y199">
        <v>94.86</v>
      </c>
      <c r="Z199">
        <v>96.16</v>
      </c>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98.53</v>
      </c>
      <c r="D200">
        <v>98.36</v>
      </c>
      <c r="E200">
        <v>98.62</v>
      </c>
      <c r="F200">
        <v>98.793469810831823</v>
      </c>
      <c r="G200">
        <v>99.015362714277245</v>
      </c>
      <c r="H200">
        <v>98.901849910125804</v>
      </c>
      <c r="I200">
        <v>99.095842458464162</v>
      </c>
      <c r="J200">
        <v>98.65</v>
      </c>
      <c r="K200">
        <v>98.06</v>
      </c>
      <c r="L200">
        <v>98.89</v>
      </c>
      <c r="M200">
        <v>98.6</v>
      </c>
      <c r="N200">
        <v>98.57</v>
      </c>
      <c r="O200">
        <v>99.37</v>
      </c>
      <c r="P200">
        <v>99.34</v>
      </c>
      <c r="Q200">
        <v>99.35</v>
      </c>
      <c r="R200">
        <v>99.838510307428535</v>
      </c>
      <c r="S200">
        <v>99.802472033169053</v>
      </c>
      <c r="T200">
        <v>99.986980861866897</v>
      </c>
      <c r="U200">
        <v>99.987118619115961</v>
      </c>
      <c r="V200">
        <v>99.94</v>
      </c>
      <c r="W200">
        <v>99.8</v>
      </c>
      <c r="X200">
        <v>98.72</v>
      </c>
      <c r="Y200">
        <v>99.95</v>
      </c>
      <c r="Z200">
        <v>99.99</v>
      </c>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99.01</v>
      </c>
      <c r="D201">
        <v>98.99</v>
      </c>
      <c r="E201">
        <v>98.83</v>
      </c>
      <c r="F201">
        <v>98.753884771694956</v>
      </c>
      <c r="G201">
        <v>98.788961683541785</v>
      </c>
      <c r="H201">
        <v>98.751141429875901</v>
      </c>
      <c r="I201">
        <v>98.847522172671248</v>
      </c>
      <c r="J201">
        <v>98.84</v>
      </c>
      <c r="K201">
        <v>97.59</v>
      </c>
      <c r="L201">
        <v>98.95</v>
      </c>
      <c r="M201">
        <v>99.14</v>
      </c>
      <c r="N201">
        <v>99.12</v>
      </c>
      <c r="O201">
        <v>98.07</v>
      </c>
      <c r="P201">
        <v>97.78</v>
      </c>
      <c r="Q201">
        <v>98.23</v>
      </c>
      <c r="R201">
        <v>98.382293217815075</v>
      </c>
      <c r="S201">
        <v>98.523748395378689</v>
      </c>
      <c r="T201">
        <v>98.320722155847605</v>
      </c>
      <c r="U201">
        <v>98.503644967387132</v>
      </c>
      <c r="V201">
        <v>97.99</v>
      </c>
      <c r="W201">
        <v>95.89</v>
      </c>
      <c r="X201">
        <v>99.05</v>
      </c>
      <c r="Y201">
        <v>98.51</v>
      </c>
      <c r="Z201">
        <v>98.69</v>
      </c>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98.61</v>
      </c>
      <c r="D202">
        <v>98.75</v>
      </c>
      <c r="E202">
        <v>98.79</v>
      </c>
      <c r="F202">
        <v>98.823758351531922</v>
      </c>
      <c r="G202">
        <v>98.562669328390129</v>
      </c>
      <c r="H202">
        <v>98.466557021285297</v>
      </c>
      <c r="I202">
        <v>98.498384833752084</v>
      </c>
      <c r="J202">
        <v>98.6</v>
      </c>
      <c r="K202">
        <v>97.73</v>
      </c>
      <c r="L202">
        <v>98.07</v>
      </c>
      <c r="M202">
        <v>98.43</v>
      </c>
      <c r="N202">
        <v>98.49</v>
      </c>
      <c r="O202">
        <v>97.79</v>
      </c>
      <c r="P202">
        <v>97.23</v>
      </c>
      <c r="Q202">
        <v>96.86</v>
      </c>
      <c r="R202">
        <v>98.404850968525892</v>
      </c>
      <c r="S202">
        <v>98.135090765215125</v>
      </c>
      <c r="T202">
        <v>98.349411452340902</v>
      </c>
      <c r="U202">
        <v>98.41915910433336</v>
      </c>
      <c r="V202">
        <v>97.37</v>
      </c>
      <c r="W202">
        <v>85.37</v>
      </c>
      <c r="X202">
        <v>93.78</v>
      </c>
      <c r="Y202">
        <v>97.98</v>
      </c>
      <c r="Z202">
        <v>99.3</v>
      </c>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95.17</v>
      </c>
      <c r="D203">
        <v>92.99</v>
      </c>
      <c r="E203">
        <v>93.46</v>
      </c>
      <c r="F203">
        <v>94.242765967656794</v>
      </c>
      <c r="G203">
        <v>94.534366807249512</v>
      </c>
      <c r="H203">
        <v>94.820747273650795</v>
      </c>
      <c r="I203">
        <v>94.705965793953155</v>
      </c>
      <c r="J203">
        <v>94.59</v>
      </c>
      <c r="K203">
        <v>94.76</v>
      </c>
      <c r="L203">
        <v>93.48</v>
      </c>
      <c r="M203">
        <v>93.98</v>
      </c>
      <c r="N203">
        <v>93.43</v>
      </c>
      <c r="O203">
        <v>96.55</v>
      </c>
      <c r="P203">
        <v>97.3</v>
      </c>
      <c r="Q203">
        <v>98.12</v>
      </c>
      <c r="R203">
        <v>98.532071692303091</v>
      </c>
      <c r="S203">
        <v>98.305359963391055</v>
      </c>
      <c r="T203">
        <v>98.6700861526175</v>
      </c>
      <c r="U203">
        <v>98.72819223748391</v>
      </c>
      <c r="V203">
        <v>98.39</v>
      </c>
      <c r="W203">
        <v>95.61</v>
      </c>
      <c r="X203">
        <v>95.71</v>
      </c>
      <c r="Y203">
        <v>97.37</v>
      </c>
      <c r="Z203">
        <v>96.84</v>
      </c>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98.52</v>
      </c>
      <c r="D204">
        <v>98.31</v>
      </c>
      <c r="E204">
        <v>98.44</v>
      </c>
      <c r="F204">
        <v>98.666045566189553</v>
      </c>
      <c r="G204">
        <v>98.780413809841633</v>
      </c>
      <c r="H204">
        <v>98.6637620835197</v>
      </c>
      <c r="I204">
        <v>98.560966678872205</v>
      </c>
      <c r="J204">
        <v>98.67</v>
      </c>
      <c r="K204">
        <v>98.32</v>
      </c>
      <c r="L204">
        <v>98.62</v>
      </c>
      <c r="M204">
        <v>98.63</v>
      </c>
      <c r="N204">
        <v>98.67</v>
      </c>
      <c r="O204">
        <v>96.92</v>
      </c>
      <c r="P204">
        <v>97.76</v>
      </c>
      <c r="Q204">
        <v>98.24</v>
      </c>
      <c r="R204">
        <v>99.124945309081809</v>
      </c>
      <c r="S204">
        <v>98.921081343193123</v>
      </c>
      <c r="T204">
        <v>99.234128742325396</v>
      </c>
      <c r="U204">
        <v>99.689157067105498</v>
      </c>
      <c r="V204">
        <v>99.5</v>
      </c>
      <c r="W204">
        <v>97.41</v>
      </c>
      <c r="X204">
        <v>99</v>
      </c>
      <c r="Y204">
        <v>98.34</v>
      </c>
      <c r="Z204">
        <v>99.04</v>
      </c>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97.45</v>
      </c>
      <c r="D205">
        <v>97.07</v>
      </c>
      <c r="E205">
        <v>96.9</v>
      </c>
      <c r="F205">
        <v>96.75815930974116</v>
      </c>
      <c r="G205">
        <v>96.224051539012166</v>
      </c>
      <c r="H205">
        <v>96.402529338042598</v>
      </c>
      <c r="I205">
        <v>96.671583746815074</v>
      </c>
      <c r="J205">
        <v>96.32</v>
      </c>
      <c r="K205">
        <v>95.73</v>
      </c>
      <c r="L205">
        <v>95.56</v>
      </c>
      <c r="M205">
        <v>95.98</v>
      </c>
      <c r="N205">
        <v>95.75</v>
      </c>
      <c r="O205">
        <v>96.68</v>
      </c>
      <c r="P205">
        <v>97.2</v>
      </c>
      <c r="Q205">
        <v>97.56</v>
      </c>
      <c r="R205">
        <v>97.361061312298318</v>
      </c>
      <c r="S205">
        <v>97.186735525958142</v>
      </c>
      <c r="T205">
        <v>98.3847837572646</v>
      </c>
      <c r="U205">
        <v>98.472765573277158</v>
      </c>
      <c r="V205">
        <v>97.78</v>
      </c>
      <c r="W205">
        <v>94.26</v>
      </c>
      <c r="X205">
        <v>98.16</v>
      </c>
      <c r="Y205">
        <v>99</v>
      </c>
      <c r="Z205">
        <v>98.54</v>
      </c>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98.52</v>
      </c>
      <c r="D206">
        <v>98.54</v>
      </c>
      <c r="E206">
        <v>98.49</v>
      </c>
      <c r="F206">
        <v>98.525004994339753</v>
      </c>
      <c r="G206">
        <v>98.508930801898572</v>
      </c>
      <c r="H206">
        <v>98.452939267911304</v>
      </c>
      <c r="I206">
        <v>98.444908284146365</v>
      </c>
      <c r="J206">
        <v>98.24</v>
      </c>
      <c r="K206">
        <v>96.75</v>
      </c>
      <c r="L206">
        <v>98.01</v>
      </c>
      <c r="M206">
        <v>97.66</v>
      </c>
      <c r="N206">
        <v>97.55</v>
      </c>
      <c r="O206">
        <v>97.86</v>
      </c>
      <c r="P206">
        <v>98.29</v>
      </c>
      <c r="Q206">
        <v>98.6</v>
      </c>
      <c r="R206">
        <v>98.251727943311835</v>
      </c>
      <c r="S206">
        <v>98.180718918324729</v>
      </c>
      <c r="T206">
        <v>98.796616904126594</v>
      </c>
      <c r="U206">
        <v>98.237481808871891</v>
      </c>
      <c r="V206">
        <v>98.61</v>
      </c>
      <c r="W206">
        <v>93.43</v>
      </c>
      <c r="X206">
        <v>97</v>
      </c>
      <c r="Y206">
        <v>96.17</v>
      </c>
      <c r="Z206">
        <v>96.7</v>
      </c>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97.5</v>
      </c>
      <c r="D207">
        <v>97.09</v>
      </c>
      <c r="E207">
        <v>97.19</v>
      </c>
      <c r="F207">
        <v>97.303500264080284</v>
      </c>
      <c r="G207">
        <v>97.258375675895991</v>
      </c>
      <c r="H207">
        <v>97.011506043664795</v>
      </c>
      <c r="I207">
        <v>96.775191830062766</v>
      </c>
      <c r="J207">
        <v>96.41</v>
      </c>
      <c r="K207">
        <v>96.55</v>
      </c>
      <c r="L207">
        <v>97.42</v>
      </c>
      <c r="M207">
        <v>97.01</v>
      </c>
      <c r="N207">
        <v>96.92</v>
      </c>
      <c r="O207">
        <v>98.09</v>
      </c>
      <c r="P207">
        <v>98.2</v>
      </c>
      <c r="Q207">
        <v>98.28</v>
      </c>
      <c r="R207">
        <v>98.11462566402119</v>
      </c>
      <c r="S207">
        <v>98.303674950849413</v>
      </c>
      <c r="T207">
        <v>98.528958718422601</v>
      </c>
      <c r="U207">
        <v>98.466557073872394</v>
      </c>
      <c r="V207">
        <v>97.89</v>
      </c>
      <c r="W207">
        <v>96.95</v>
      </c>
      <c r="X207">
        <v>97.35</v>
      </c>
      <c r="Y207">
        <v>97.07</v>
      </c>
      <c r="Z207">
        <v>96.94</v>
      </c>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98</v>
      </c>
      <c r="D208">
        <v>97.57</v>
      </c>
      <c r="E208">
        <v>97.84</v>
      </c>
      <c r="F208">
        <v>98.037679469426436</v>
      </c>
      <c r="G208">
        <v>97.709699689333789</v>
      </c>
      <c r="H208">
        <v>98.4968588626122</v>
      </c>
      <c r="I208">
        <v>98.055117866963272</v>
      </c>
      <c r="J208">
        <v>96.7</v>
      </c>
      <c r="K208">
        <v>95.66</v>
      </c>
      <c r="L208">
        <v>95.55</v>
      </c>
      <c r="M208">
        <v>94.83</v>
      </c>
      <c r="N208">
        <v>95.57</v>
      </c>
      <c r="O208">
        <v>99.13</v>
      </c>
      <c r="P208">
        <v>99.22</v>
      </c>
      <c r="Q208">
        <v>98.56</v>
      </c>
      <c r="R208">
        <v>97.668570454351723</v>
      </c>
      <c r="S208">
        <v>99.327236836804573</v>
      </c>
      <c r="T208">
        <v>98.494521200571697</v>
      </c>
      <c r="U208">
        <v>98.948000655224504</v>
      </c>
      <c r="V208">
        <v>98.91</v>
      </c>
      <c r="W208">
        <v>99.34</v>
      </c>
      <c r="X208">
        <v>97.76</v>
      </c>
      <c r="Y208">
        <v>96.75</v>
      </c>
      <c r="Z208">
        <v>98.1</v>
      </c>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98.61</v>
      </c>
      <c r="D209">
        <v>98.62</v>
      </c>
      <c r="E209">
        <v>98.44</v>
      </c>
      <c r="F209">
        <v>98.613269111249224</v>
      </c>
      <c r="G209">
        <v>98.739394389469581</v>
      </c>
      <c r="H209">
        <v>98.362100883301807</v>
      </c>
      <c r="I209">
        <v>98.31100470622961</v>
      </c>
      <c r="J209">
        <v>98.34</v>
      </c>
      <c r="K209">
        <v>97.89</v>
      </c>
      <c r="L209">
        <v>98.44</v>
      </c>
      <c r="M209">
        <v>98.07</v>
      </c>
      <c r="N209">
        <v>98.03</v>
      </c>
      <c r="O209">
        <v>98.78</v>
      </c>
      <c r="P209">
        <v>98.21</v>
      </c>
      <c r="Q209">
        <v>98.34</v>
      </c>
      <c r="R209">
        <v>99.064016891230054</v>
      </c>
      <c r="S209">
        <v>98.875114296042696</v>
      </c>
      <c r="T209">
        <v>98.264722170943301</v>
      </c>
      <c r="U209">
        <v>98.558699763190631</v>
      </c>
      <c r="V209">
        <v>99.18</v>
      </c>
      <c r="W209">
        <v>97.99</v>
      </c>
      <c r="X209">
        <v>99.07</v>
      </c>
      <c r="Y209">
        <v>98.55</v>
      </c>
      <c r="Z209">
        <v>99.07</v>
      </c>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99.14</v>
      </c>
      <c r="D210">
        <v>99.11</v>
      </c>
      <c r="E210">
        <v>99.08</v>
      </c>
      <c r="F210">
        <v>99.130434782608702</v>
      </c>
      <c r="G210">
        <v>99.182266009852214</v>
      </c>
      <c r="H210">
        <v>99.312650690679405</v>
      </c>
      <c r="I210">
        <v>99.254440830622968</v>
      </c>
      <c r="J210">
        <v>99.05</v>
      </c>
      <c r="K210">
        <v>98.97</v>
      </c>
      <c r="L210">
        <v>99.05</v>
      </c>
      <c r="M210">
        <v>99.15</v>
      </c>
      <c r="N210">
        <v>99.02</v>
      </c>
      <c r="O210">
        <v>98.95</v>
      </c>
      <c r="P210">
        <v>98.75</v>
      </c>
      <c r="Q210">
        <v>98.8</v>
      </c>
      <c r="R210">
        <v>98.585687581561032</v>
      </c>
      <c r="S210">
        <v>99.259335459314883</v>
      </c>
      <c r="T210">
        <v>99.533024374712497</v>
      </c>
      <c r="U210">
        <v>99.178782983306419</v>
      </c>
      <c r="V210">
        <v>99.12</v>
      </c>
      <c r="W210">
        <v>99.11</v>
      </c>
      <c r="X210">
        <v>99.28</v>
      </c>
      <c r="Y210">
        <v>99.31</v>
      </c>
      <c r="Z210">
        <v>98.74</v>
      </c>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98.3</v>
      </c>
      <c r="D211">
        <v>98.29</v>
      </c>
      <c r="E211">
        <v>98.21</v>
      </c>
      <c r="F211">
        <v>97.886664993039233</v>
      </c>
      <c r="G211">
        <v>98.0677693494751</v>
      </c>
      <c r="H211">
        <v>97.974740919298597</v>
      </c>
      <c r="I211">
        <v>97.823579174036752</v>
      </c>
      <c r="J211">
        <v>97.76</v>
      </c>
      <c r="K211">
        <v>96.79</v>
      </c>
      <c r="L211">
        <v>97.89</v>
      </c>
      <c r="M211">
        <v>97.72</v>
      </c>
      <c r="N211">
        <v>97.82</v>
      </c>
      <c r="O211">
        <v>98.78</v>
      </c>
      <c r="P211">
        <v>98.81</v>
      </c>
      <c r="Q211">
        <v>98.82</v>
      </c>
      <c r="R211">
        <v>98.719853940217391</v>
      </c>
      <c r="S211">
        <v>98.898615049521226</v>
      </c>
      <c r="T211">
        <v>99.442670421864705</v>
      </c>
      <c r="U211">
        <v>98.465599422700777</v>
      </c>
      <c r="V211">
        <v>97.35</v>
      </c>
      <c r="W211">
        <v>95.76</v>
      </c>
      <c r="X211">
        <v>98.46</v>
      </c>
      <c r="Y211">
        <v>98.48</v>
      </c>
      <c r="Z211">
        <v>99.1</v>
      </c>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98.89</v>
      </c>
      <c r="D212">
        <v>98.85</v>
      </c>
      <c r="E212">
        <v>99.22</v>
      </c>
      <c r="F212">
        <v>98.976163181404914</v>
      </c>
      <c r="G212">
        <v>98.924086223055298</v>
      </c>
      <c r="H212">
        <v>98.928739459302903</v>
      </c>
      <c r="I212">
        <v>98.814189528690591</v>
      </c>
      <c r="J212">
        <v>98.9</v>
      </c>
      <c r="K212">
        <v>97.76</v>
      </c>
      <c r="L212">
        <v>97.91</v>
      </c>
      <c r="M212">
        <v>97.8</v>
      </c>
      <c r="N212">
        <v>97.94</v>
      </c>
      <c r="O212">
        <v>98.73</v>
      </c>
      <c r="P212">
        <v>98.79</v>
      </c>
      <c r="Q212">
        <v>98.48</v>
      </c>
      <c r="R212">
        <v>98.910184141300263</v>
      </c>
      <c r="S212">
        <v>99.204753199268737</v>
      </c>
      <c r="T212">
        <v>98.943208968939501</v>
      </c>
      <c r="U212">
        <v>99.252173913043478</v>
      </c>
      <c r="V212">
        <v>99</v>
      </c>
      <c r="W212">
        <v>98.91</v>
      </c>
      <c r="X212">
        <v>98.84</v>
      </c>
      <c r="Y212">
        <v>98.36</v>
      </c>
      <c r="Z212">
        <v>98.51</v>
      </c>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92.05</v>
      </c>
      <c r="D213">
        <v>92.17</v>
      </c>
      <c r="E213">
        <v>91.61</v>
      </c>
      <c r="F213">
        <v>91.970424985502447</v>
      </c>
      <c r="G213">
        <v>90.886240562100895</v>
      </c>
      <c r="H213">
        <v>89.985744189403704</v>
      </c>
      <c r="I213">
        <v>92.170151045313602</v>
      </c>
      <c r="J213">
        <v>92.16</v>
      </c>
      <c r="K213">
        <v>92.71</v>
      </c>
      <c r="L213">
        <v>91.85</v>
      </c>
      <c r="M213">
        <v>92.01</v>
      </c>
      <c r="N213">
        <v>92.39</v>
      </c>
      <c r="O213">
        <v>93.19</v>
      </c>
      <c r="P213">
        <v>94.04</v>
      </c>
      <c r="Q213">
        <v>92.78</v>
      </c>
      <c r="R213">
        <v>92.245868013096128</v>
      </c>
      <c r="S213">
        <v>92.701430996846952</v>
      </c>
      <c r="T213">
        <v>91.641408490815493</v>
      </c>
      <c r="U213">
        <v>95.667489978539905</v>
      </c>
      <c r="V213">
        <v>97.01</v>
      </c>
      <c r="W213">
        <v>91.93</v>
      </c>
      <c r="X213">
        <v>94.93</v>
      </c>
      <c r="Y213">
        <v>95.37</v>
      </c>
      <c r="Z213">
        <v>95.22</v>
      </c>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98.19</v>
      </c>
      <c r="D214">
        <v>98.02</v>
      </c>
      <c r="E214">
        <v>98.33</v>
      </c>
      <c r="F214">
        <v>98.48982902516596</v>
      </c>
      <c r="G214">
        <v>98.21268630430626</v>
      </c>
      <c r="H214">
        <v>98.535869770963401</v>
      </c>
      <c r="I214">
        <v>98.635051108079864</v>
      </c>
      <c r="J214">
        <v>97.86</v>
      </c>
      <c r="K214">
        <v>97.43</v>
      </c>
      <c r="L214">
        <v>96.44</v>
      </c>
      <c r="M214">
        <v>95.5</v>
      </c>
      <c r="N214">
        <v>95.17</v>
      </c>
      <c r="O214">
        <v>96.54</v>
      </c>
      <c r="P214">
        <v>97.29</v>
      </c>
      <c r="Q214">
        <v>97.43</v>
      </c>
      <c r="R214">
        <v>96.809441820647734</v>
      </c>
      <c r="S214">
        <v>96.935765682830137</v>
      </c>
      <c r="T214">
        <v>98.884919773431406</v>
      </c>
      <c r="U214">
        <v>98.229475573591387</v>
      </c>
      <c r="V214">
        <v>97.44</v>
      </c>
      <c r="W214">
        <v>90.3</v>
      </c>
      <c r="X214">
        <v>94.87</v>
      </c>
      <c r="Y214">
        <v>96.14</v>
      </c>
      <c r="Z214">
        <v>95.02</v>
      </c>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97.26</v>
      </c>
      <c r="D215">
        <v>96.18</v>
      </c>
      <c r="E215">
        <v>96.29</v>
      </c>
      <c r="F215">
        <v>96.21195685861278</v>
      </c>
      <c r="G215">
        <v>96.293879971827863</v>
      </c>
      <c r="H215">
        <v>96.266131183913004</v>
      </c>
      <c r="I215">
        <v>96.003410842543701</v>
      </c>
      <c r="J215">
        <v>95.81</v>
      </c>
      <c r="K215">
        <v>95.03</v>
      </c>
      <c r="L215">
        <v>94.82</v>
      </c>
      <c r="M215">
        <v>95</v>
      </c>
      <c r="N215">
        <v>94.85</v>
      </c>
      <c r="O215">
        <v>97.96</v>
      </c>
      <c r="P215">
        <v>97.78</v>
      </c>
      <c r="Q215">
        <v>98.37</v>
      </c>
      <c r="R215">
        <v>99.304059652029835</v>
      </c>
      <c r="S215">
        <v>99.256470461231203</v>
      </c>
      <c r="T215">
        <v>98.732107472944605</v>
      </c>
      <c r="U215">
        <v>99.223824727512934</v>
      </c>
      <c r="V215">
        <v>98.34</v>
      </c>
      <c r="W215">
        <v>96.35</v>
      </c>
      <c r="X215">
        <v>97.29</v>
      </c>
      <c r="Y215">
        <v>99.37</v>
      </c>
      <c r="Z215">
        <v>98.81</v>
      </c>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98.47</v>
      </c>
      <c r="D216">
        <v>98.49</v>
      </c>
      <c r="E216">
        <v>98.37</v>
      </c>
      <c r="F216">
        <v>98.737262426426739</v>
      </c>
      <c r="G216">
        <v>98.577788770714818</v>
      </c>
      <c r="H216">
        <v>98.424332554351594</v>
      </c>
      <c r="I216">
        <v>98.544138123085489</v>
      </c>
      <c r="J216">
        <v>98.4</v>
      </c>
      <c r="K216">
        <v>97.52</v>
      </c>
      <c r="L216">
        <v>98.06</v>
      </c>
      <c r="M216">
        <v>98.28</v>
      </c>
      <c r="N216">
        <v>98.03</v>
      </c>
      <c r="O216">
        <v>97.46</v>
      </c>
      <c r="P216">
        <v>97.2</v>
      </c>
      <c r="Q216">
        <v>96.58</v>
      </c>
      <c r="R216">
        <v>98.064428435503601</v>
      </c>
      <c r="S216">
        <v>98.194799946113434</v>
      </c>
      <c r="T216">
        <v>98.196280528792201</v>
      </c>
      <c r="U216">
        <v>98.264163283102164</v>
      </c>
      <c r="V216">
        <v>97.43</v>
      </c>
      <c r="W216">
        <v>92.69</v>
      </c>
      <c r="X216">
        <v>96.5</v>
      </c>
      <c r="Y216">
        <v>96.45</v>
      </c>
      <c r="Z216">
        <v>97.26</v>
      </c>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95.31</v>
      </c>
      <c r="D217">
        <v>93.71</v>
      </c>
      <c r="E217">
        <v>94.04</v>
      </c>
      <c r="F217">
        <v>94.333768856158684</v>
      </c>
      <c r="G217">
        <v>94.410503290203664</v>
      </c>
      <c r="H217">
        <v>93.670534435968094</v>
      </c>
      <c r="I217">
        <v>93.05494365923262</v>
      </c>
      <c r="J217">
        <v>92.81</v>
      </c>
      <c r="K217">
        <v>90.08</v>
      </c>
      <c r="L217">
        <v>90.93</v>
      </c>
      <c r="M217">
        <v>92.03</v>
      </c>
      <c r="N217">
        <v>92.26</v>
      </c>
      <c r="O217">
        <v>97.13</v>
      </c>
      <c r="P217">
        <v>97.62</v>
      </c>
      <c r="Q217">
        <v>97.5</v>
      </c>
      <c r="R217">
        <v>97.826657021430506</v>
      </c>
      <c r="S217">
        <v>97.77230149463908</v>
      </c>
      <c r="T217">
        <v>97.930729778725095</v>
      </c>
      <c r="U217">
        <v>97.53105426138363</v>
      </c>
      <c r="V217">
        <v>98.33</v>
      </c>
      <c r="W217">
        <v>92.75</v>
      </c>
      <c r="X217">
        <v>96.77</v>
      </c>
      <c r="Y217">
        <v>98.7</v>
      </c>
      <c r="Z217">
        <v>97.77</v>
      </c>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98.27</v>
      </c>
      <c r="D218">
        <v>98.1</v>
      </c>
      <c r="E218">
        <v>98.26</v>
      </c>
      <c r="F218">
        <v>98.382443003529332</v>
      </c>
      <c r="G218">
        <v>98.381696762794604</v>
      </c>
      <c r="H218">
        <v>98.437482224724903</v>
      </c>
      <c r="I218">
        <v>98.21511954291951</v>
      </c>
      <c r="J218">
        <v>98.12</v>
      </c>
      <c r="K218">
        <v>97.73</v>
      </c>
      <c r="L218">
        <v>98.07</v>
      </c>
      <c r="M218">
        <v>98.15</v>
      </c>
      <c r="N218">
        <v>97.82</v>
      </c>
      <c r="O218">
        <v>98.42</v>
      </c>
      <c r="P218">
        <v>98.33</v>
      </c>
      <c r="Q218">
        <v>98.68</v>
      </c>
      <c r="R218">
        <v>99.14242538723083</v>
      </c>
      <c r="S218">
        <v>98.829212984644201</v>
      </c>
      <c r="T218">
        <v>98.944970777067098</v>
      </c>
      <c r="U218">
        <v>98.803473862524754</v>
      </c>
      <c r="V218">
        <v>98.77</v>
      </c>
      <c r="W218">
        <v>98.65</v>
      </c>
      <c r="X218">
        <v>98.63</v>
      </c>
      <c r="Y218">
        <v>98.18</v>
      </c>
      <c r="Z218">
        <v>99</v>
      </c>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95.3</v>
      </c>
      <c r="D219">
        <v>94.82</v>
      </c>
      <c r="E219">
        <v>95.96</v>
      </c>
      <c r="F219">
        <v>96.516821554643045</v>
      </c>
      <c r="G219">
        <v>96.788336052202283</v>
      </c>
      <c r="H219">
        <v>96.790372720571696</v>
      </c>
      <c r="I219">
        <v>96.468315185645608</v>
      </c>
      <c r="J219">
        <v>96.05</v>
      </c>
      <c r="K219">
        <v>92.72</v>
      </c>
      <c r="L219">
        <v>93.92</v>
      </c>
      <c r="M219">
        <v>95.65</v>
      </c>
      <c r="N219">
        <v>94.61</v>
      </c>
      <c r="O219">
        <v>94.92</v>
      </c>
      <c r="P219">
        <v>96.23</v>
      </c>
      <c r="Q219">
        <v>96.77</v>
      </c>
      <c r="R219">
        <v>97.11970563693211</v>
      </c>
      <c r="S219">
        <v>97.453627810398103</v>
      </c>
      <c r="T219">
        <v>97.627941550071</v>
      </c>
      <c r="U219">
        <v>97.293706683513264</v>
      </c>
      <c r="V219">
        <v>95.79</v>
      </c>
      <c r="W219">
        <v>89.95</v>
      </c>
      <c r="X219">
        <v>96.15</v>
      </c>
      <c r="Y219">
        <v>98.65</v>
      </c>
      <c r="Z219">
        <v>98.93</v>
      </c>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98.65</v>
      </c>
      <c r="D220">
        <v>98.58</v>
      </c>
      <c r="E220">
        <v>98.58</v>
      </c>
      <c r="F220">
        <v>98.489410820034124</v>
      </c>
      <c r="G220">
        <v>98.464163822525592</v>
      </c>
      <c r="H220">
        <v>98.1111826572225</v>
      </c>
      <c r="I220">
        <v>98.087739032620931</v>
      </c>
      <c r="J220">
        <v>97.84</v>
      </c>
      <c r="K220">
        <v>97.77</v>
      </c>
      <c r="L220">
        <v>97.88</v>
      </c>
      <c r="M220">
        <v>97.4</v>
      </c>
      <c r="N220">
        <v>97.25</v>
      </c>
      <c r="O220">
        <v>99.05</v>
      </c>
      <c r="P220">
        <v>99.02</v>
      </c>
      <c r="Q220">
        <v>98.83</v>
      </c>
      <c r="R220">
        <v>96.912010042780921</v>
      </c>
      <c r="S220">
        <v>98.781435090785507</v>
      </c>
      <c r="T220">
        <v>98.860160323631504</v>
      </c>
      <c r="U220">
        <v>98.340614953425103</v>
      </c>
      <c r="V220">
        <v>98.04</v>
      </c>
      <c r="W220">
        <v>96.67</v>
      </c>
      <c r="X220">
        <v>97.19</v>
      </c>
      <c r="Y220">
        <v>97.48</v>
      </c>
      <c r="Z220">
        <v>96.82</v>
      </c>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t="s">
        <v>879</v>
      </c>
      <c r="D221" t="s">
        <v>879</v>
      </c>
      <c r="E221" t="s">
        <v>879</v>
      </c>
      <c r="F221" t="s">
        <v>879</v>
      </c>
      <c r="G221" t="s">
        <v>879</v>
      </c>
      <c r="H221" t="s">
        <v>879</v>
      </c>
      <c r="I221" t="s">
        <v>879</v>
      </c>
      <c r="J221" t="s">
        <v>879</v>
      </c>
      <c r="K221" t="s">
        <v>879</v>
      </c>
      <c r="L221" t="s">
        <v>879</v>
      </c>
      <c r="M221" t="s">
        <v>879</v>
      </c>
      <c r="N221">
        <v>96.58</v>
      </c>
      <c r="O221" t="s">
        <v>879</v>
      </c>
      <c r="P221" t="s">
        <v>879</v>
      </c>
      <c r="Q221" t="s">
        <v>879</v>
      </c>
      <c r="R221" t="s">
        <v>879</v>
      </c>
      <c r="S221" t="s">
        <v>879</v>
      </c>
      <c r="T221" t="s">
        <v>879</v>
      </c>
      <c r="U221" t="s">
        <v>879</v>
      </c>
      <c r="V221" t="s">
        <v>879</v>
      </c>
      <c r="W221" t="s">
        <v>879</v>
      </c>
      <c r="X221" t="s">
        <v>879</v>
      </c>
      <c r="Y221" t="s">
        <v>879</v>
      </c>
      <c r="Z221">
        <v>96.41</v>
      </c>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99.27</v>
      </c>
      <c r="D222">
        <v>99.07</v>
      </c>
      <c r="E222">
        <v>99.25</v>
      </c>
      <c r="F222">
        <v>99.435620175343217</v>
      </c>
      <c r="G222">
        <v>99.401082658271591</v>
      </c>
      <c r="H222">
        <v>99.339360545608201</v>
      </c>
      <c r="I222">
        <v>99.372876011631575</v>
      </c>
      <c r="J222">
        <v>99.25</v>
      </c>
      <c r="K222">
        <v>99.05</v>
      </c>
      <c r="L222">
        <v>99.15</v>
      </c>
      <c r="M222">
        <v>99.24</v>
      </c>
      <c r="N222">
        <v>99.3</v>
      </c>
      <c r="O222">
        <v>99.52</v>
      </c>
      <c r="P222">
        <v>98.74</v>
      </c>
      <c r="Q222">
        <v>99.38</v>
      </c>
      <c r="R222">
        <v>99.443532950505869</v>
      </c>
      <c r="S222">
        <v>99.464676360828719</v>
      </c>
      <c r="T222">
        <v>99.4480847080562</v>
      </c>
      <c r="U222">
        <v>99.502127274373137</v>
      </c>
      <c r="V222">
        <v>99.38</v>
      </c>
      <c r="W222">
        <v>98.16</v>
      </c>
      <c r="X222">
        <v>99.02</v>
      </c>
      <c r="Y222">
        <v>98.21</v>
      </c>
      <c r="Z222">
        <v>98.91</v>
      </c>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97.85</v>
      </c>
      <c r="D223">
        <v>97.79</v>
      </c>
      <c r="E223">
        <v>98.07</v>
      </c>
      <c r="F223">
        <v>98.251195718589997</v>
      </c>
      <c r="G223">
        <v>98.037305122494431</v>
      </c>
      <c r="H223">
        <v>98.130175740997402</v>
      </c>
      <c r="I223">
        <v>98.088427661986572</v>
      </c>
      <c r="J223">
        <v>98.1</v>
      </c>
      <c r="K223">
        <v>97.06</v>
      </c>
      <c r="L223">
        <v>97.64</v>
      </c>
      <c r="M223">
        <v>97.95</v>
      </c>
      <c r="N223">
        <v>98.09</v>
      </c>
      <c r="O223">
        <v>98.31</v>
      </c>
      <c r="P223">
        <v>98.14</v>
      </c>
      <c r="Q223">
        <v>98.08</v>
      </c>
      <c r="R223">
        <v>98.374155405405403</v>
      </c>
      <c r="S223">
        <v>97.483345669874168</v>
      </c>
      <c r="T223">
        <v>97.399033341525296</v>
      </c>
      <c r="U223">
        <v>97.775456515010831</v>
      </c>
      <c r="V223">
        <v>97.88</v>
      </c>
      <c r="W223">
        <v>95.94</v>
      </c>
      <c r="X223">
        <v>97.58</v>
      </c>
      <c r="Y223">
        <v>98.71</v>
      </c>
      <c r="Z223">
        <v>98.79</v>
      </c>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98.28</v>
      </c>
      <c r="D224">
        <v>98.36</v>
      </c>
      <c r="E224">
        <v>98.04</v>
      </c>
      <c r="F224">
        <v>98.276808566763862</v>
      </c>
      <c r="G224">
        <v>98.357901838421327</v>
      </c>
      <c r="H224">
        <v>98.183944723777799</v>
      </c>
      <c r="I224">
        <v>98.176347710494454</v>
      </c>
      <c r="J224">
        <v>97.84</v>
      </c>
      <c r="K224">
        <v>97.18</v>
      </c>
      <c r="L224">
        <v>96.44</v>
      </c>
      <c r="M224">
        <v>96.69</v>
      </c>
      <c r="N224">
        <v>97.24</v>
      </c>
      <c r="O224">
        <v>99.22</v>
      </c>
      <c r="P224">
        <v>99.02</v>
      </c>
      <c r="Q224">
        <v>99.17</v>
      </c>
      <c r="R224">
        <v>99.145830741800395</v>
      </c>
      <c r="S224">
        <v>99.079547954245498</v>
      </c>
      <c r="T224">
        <v>98.684315977880402</v>
      </c>
      <c r="U224">
        <v>98.760126944077584</v>
      </c>
      <c r="V224">
        <v>99.26</v>
      </c>
      <c r="W224">
        <v>95.59</v>
      </c>
      <c r="X224">
        <v>97.19</v>
      </c>
      <c r="Y224">
        <v>98.18</v>
      </c>
      <c r="Z224">
        <v>98.16</v>
      </c>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98.97</v>
      </c>
      <c r="D225">
        <v>98.76</v>
      </c>
      <c r="E225">
        <v>98.33</v>
      </c>
      <c r="F225">
        <v>98.172323759791126</v>
      </c>
      <c r="G225">
        <v>98.11647645992943</v>
      </c>
      <c r="H225">
        <v>98.147256977863293</v>
      </c>
      <c r="I225">
        <v>98.238592009083817</v>
      </c>
      <c r="J225">
        <v>98.3</v>
      </c>
      <c r="K225">
        <v>97.81</v>
      </c>
      <c r="L225">
        <v>98.34</v>
      </c>
      <c r="M225">
        <v>98.55</v>
      </c>
      <c r="N225">
        <v>98.35</v>
      </c>
      <c r="O225">
        <v>99.24</v>
      </c>
      <c r="P225">
        <v>98.56</v>
      </c>
      <c r="Q225">
        <v>98.61</v>
      </c>
      <c r="R225">
        <v>98.184213002163887</v>
      </c>
      <c r="S225">
        <v>96.828006088280063</v>
      </c>
      <c r="T225">
        <v>97.675771779537698</v>
      </c>
      <c r="U225">
        <v>98.403539142142719</v>
      </c>
      <c r="V225">
        <v>98.67</v>
      </c>
      <c r="W225">
        <v>91.74</v>
      </c>
      <c r="X225">
        <v>98.13</v>
      </c>
      <c r="Y225">
        <v>97.95</v>
      </c>
      <c r="Z225">
        <v>98.93</v>
      </c>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97.9</v>
      </c>
      <c r="D226">
        <v>97.94</v>
      </c>
      <c r="E226">
        <v>97.86</v>
      </c>
      <c r="F226">
        <v>98.053341508277128</v>
      </c>
      <c r="G226">
        <v>98.18491484184915</v>
      </c>
      <c r="H226">
        <v>98.067197783165895</v>
      </c>
      <c r="I226">
        <v>97.822420205864546</v>
      </c>
      <c r="J226">
        <v>97.62</v>
      </c>
      <c r="K226">
        <v>96.9</v>
      </c>
      <c r="L226">
        <v>96.9</v>
      </c>
      <c r="M226">
        <v>96.55</v>
      </c>
      <c r="N226">
        <v>96.19</v>
      </c>
      <c r="O226">
        <v>98.47</v>
      </c>
      <c r="P226">
        <v>98.9</v>
      </c>
      <c r="Q226">
        <v>98.36</v>
      </c>
      <c r="R226">
        <v>98.636994811079433</v>
      </c>
      <c r="S226">
        <v>98.683291036816357</v>
      </c>
      <c r="T226">
        <v>98.744991305662595</v>
      </c>
      <c r="U226">
        <v>98.296043858349378</v>
      </c>
      <c r="V226">
        <v>97.32</v>
      </c>
      <c r="W226">
        <v>92.46</v>
      </c>
      <c r="X226">
        <v>98.5</v>
      </c>
      <c r="Y226">
        <v>96.26</v>
      </c>
      <c r="Z226">
        <v>95.16</v>
      </c>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98.39</v>
      </c>
      <c r="D227">
        <v>98.14</v>
      </c>
      <c r="E227">
        <v>98.71</v>
      </c>
      <c r="F227">
        <v>98.742746615087043</v>
      </c>
      <c r="G227">
        <v>98.801895079417662</v>
      </c>
      <c r="H227">
        <v>98.799983504927894</v>
      </c>
      <c r="I227">
        <v>98.770942493046121</v>
      </c>
      <c r="J227">
        <v>98.45</v>
      </c>
      <c r="K227">
        <v>98.4</v>
      </c>
      <c r="L227">
        <v>98.64</v>
      </c>
      <c r="M227">
        <v>98.48</v>
      </c>
      <c r="N227">
        <v>98.37</v>
      </c>
      <c r="O227">
        <v>96.7</v>
      </c>
      <c r="P227">
        <v>97.71</v>
      </c>
      <c r="Q227">
        <v>98.37</v>
      </c>
      <c r="R227">
        <v>98.629427860083325</v>
      </c>
      <c r="S227">
        <v>99.049165666407774</v>
      </c>
      <c r="T227">
        <v>99.029242857486096</v>
      </c>
      <c r="U227">
        <v>98.875856462664032</v>
      </c>
      <c r="V227">
        <v>99.16</v>
      </c>
      <c r="W227">
        <v>97.73</v>
      </c>
      <c r="X227">
        <v>98.32</v>
      </c>
      <c r="Y227">
        <v>97.95</v>
      </c>
      <c r="Z227">
        <v>99.05</v>
      </c>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98.69</v>
      </c>
      <c r="D228">
        <v>98.57</v>
      </c>
      <c r="E228">
        <v>98.5</v>
      </c>
      <c r="F228">
        <v>98.619130236923695</v>
      </c>
      <c r="G228">
        <v>98.637741696422552</v>
      </c>
      <c r="H228">
        <v>98.453504719823201</v>
      </c>
      <c r="I228">
        <v>98.297398545597929</v>
      </c>
      <c r="J228">
        <v>98.36</v>
      </c>
      <c r="K228">
        <v>98.15</v>
      </c>
      <c r="L228">
        <v>98.22</v>
      </c>
      <c r="M228">
        <v>98.28</v>
      </c>
      <c r="N228">
        <v>97.23</v>
      </c>
      <c r="O228">
        <v>98.52</v>
      </c>
      <c r="P228">
        <v>98.47</v>
      </c>
      <c r="Q228">
        <v>97.84</v>
      </c>
      <c r="R228">
        <v>97.080220533063638</v>
      </c>
      <c r="S228">
        <v>97.801478155112733</v>
      </c>
      <c r="T228">
        <v>98.262040869965105</v>
      </c>
      <c r="U228">
        <v>98.001972574846491</v>
      </c>
      <c r="V228">
        <v>97.94</v>
      </c>
      <c r="W228">
        <v>97.02</v>
      </c>
      <c r="X228">
        <v>98.86</v>
      </c>
      <c r="Y228">
        <v>98.88</v>
      </c>
      <c r="Z228">
        <v>98</v>
      </c>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98.78</v>
      </c>
      <c r="D229">
        <v>98.75</v>
      </c>
      <c r="E229">
        <v>98.73</v>
      </c>
      <c r="F229">
        <v>98.744906827390835</v>
      </c>
      <c r="G229">
        <v>98.766776262599038</v>
      </c>
      <c r="H229">
        <v>98.808829994989907</v>
      </c>
      <c r="I229">
        <v>98.58917285492312</v>
      </c>
      <c r="J229">
        <v>98.28</v>
      </c>
      <c r="K229">
        <v>96.95</v>
      </c>
      <c r="L229">
        <v>97.51</v>
      </c>
      <c r="M229">
        <v>97.99</v>
      </c>
      <c r="N229">
        <v>97.94</v>
      </c>
      <c r="O229">
        <v>98.55</v>
      </c>
      <c r="P229">
        <v>98.59</v>
      </c>
      <c r="Q229">
        <v>98.99</v>
      </c>
      <c r="R229">
        <v>98.988987599481774</v>
      </c>
      <c r="S229">
        <v>98.986677523693203</v>
      </c>
      <c r="T229">
        <v>99.014676496933703</v>
      </c>
      <c r="U229">
        <v>99.023385596598459</v>
      </c>
      <c r="V229">
        <v>98.79</v>
      </c>
      <c r="W229">
        <v>88.47</v>
      </c>
      <c r="X229">
        <v>93.64</v>
      </c>
      <c r="Y229">
        <v>95.44</v>
      </c>
      <c r="Z229">
        <v>93.92</v>
      </c>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97.6</v>
      </c>
      <c r="D230">
        <v>97.4</v>
      </c>
      <c r="E230">
        <v>97.44</v>
      </c>
      <c r="F230">
        <v>97.175344536000864</v>
      </c>
      <c r="G230">
        <v>97.428285408540162</v>
      </c>
      <c r="H230">
        <v>97.498049242109801</v>
      </c>
      <c r="I230">
        <v>97.420523390169251</v>
      </c>
      <c r="J230">
        <v>97.48</v>
      </c>
      <c r="K230" t="s">
        <v>879</v>
      </c>
      <c r="L230">
        <v>96.46</v>
      </c>
      <c r="M230">
        <v>96.78</v>
      </c>
      <c r="N230">
        <v>96.37</v>
      </c>
      <c r="O230">
        <v>97.76</v>
      </c>
      <c r="P230">
        <v>97.62</v>
      </c>
      <c r="Q230">
        <v>97.98</v>
      </c>
      <c r="R230">
        <v>98.103817884850969</v>
      </c>
      <c r="S230">
        <v>98.255654129701369</v>
      </c>
      <c r="T230">
        <v>98.207857049007998</v>
      </c>
      <c r="U230">
        <v>98.814388643940205</v>
      </c>
      <c r="V230">
        <v>98.5</v>
      </c>
      <c r="W230" t="s">
        <v>879</v>
      </c>
      <c r="X230">
        <v>96.13</v>
      </c>
      <c r="Y230">
        <v>94.46</v>
      </c>
      <c r="Z230">
        <v>97.27</v>
      </c>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98.02</v>
      </c>
      <c r="D231">
        <v>98.13</v>
      </c>
      <c r="E231">
        <v>98.27</v>
      </c>
      <c r="F231">
        <v>98.204304469740578</v>
      </c>
      <c r="G231">
        <v>98.297213622291025</v>
      </c>
      <c r="H231">
        <v>98.287792910921198</v>
      </c>
      <c r="I231">
        <v>98.285559933901098</v>
      </c>
      <c r="J231">
        <v>98.08</v>
      </c>
      <c r="K231">
        <v>97.44</v>
      </c>
      <c r="L231">
        <v>97.75</v>
      </c>
      <c r="M231">
        <v>97.96</v>
      </c>
      <c r="N231">
        <v>98.07</v>
      </c>
      <c r="O231">
        <v>97.04</v>
      </c>
      <c r="P231">
        <v>97.29</v>
      </c>
      <c r="Q231">
        <v>98.08</v>
      </c>
      <c r="R231">
        <v>98.265054393982282</v>
      </c>
      <c r="S231">
        <v>98.472544470224292</v>
      </c>
      <c r="T231">
        <v>98.725962495520903</v>
      </c>
      <c r="U231">
        <v>98.81805851579152</v>
      </c>
      <c r="V231">
        <v>98.49</v>
      </c>
      <c r="W231">
        <v>98.83</v>
      </c>
      <c r="X231">
        <v>98.96</v>
      </c>
      <c r="Y231">
        <v>98.94</v>
      </c>
      <c r="Z231">
        <v>97.73</v>
      </c>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97.14</v>
      </c>
      <c r="D232">
        <v>96.22</v>
      </c>
      <c r="E232">
        <v>96.02</v>
      </c>
      <c r="F232">
        <v>95.903404338618685</v>
      </c>
      <c r="G232">
        <v>95.973097798604329</v>
      </c>
      <c r="H232">
        <v>95.577832059131396</v>
      </c>
      <c r="I232">
        <v>95.107997490514734</v>
      </c>
      <c r="J232">
        <v>95.04</v>
      </c>
      <c r="K232">
        <v>92.93</v>
      </c>
      <c r="L232">
        <v>92.95</v>
      </c>
      <c r="M232">
        <v>93.94</v>
      </c>
      <c r="N232">
        <v>93.87</v>
      </c>
      <c r="O232">
        <v>97.42</v>
      </c>
      <c r="P232">
        <v>97.97</v>
      </c>
      <c r="Q232">
        <v>97.99</v>
      </c>
      <c r="R232">
        <v>99.04061799152754</v>
      </c>
      <c r="S232">
        <v>98.243301244711517</v>
      </c>
      <c r="T232">
        <v>99.386425051661107</v>
      </c>
      <c r="U232">
        <v>99.372498799423724</v>
      </c>
      <c r="V232">
        <v>98.8</v>
      </c>
      <c r="W232">
        <v>96.93</v>
      </c>
      <c r="X232">
        <v>96.96</v>
      </c>
      <c r="Y232">
        <v>97.27</v>
      </c>
      <c r="Z232">
        <v>98.11</v>
      </c>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95.49</v>
      </c>
      <c r="D233">
        <v>95.13</v>
      </c>
      <c r="E233">
        <v>94.91</v>
      </c>
      <c r="F233">
        <v>95.201913308499826</v>
      </c>
      <c r="G233">
        <v>95.309694110485466</v>
      </c>
      <c r="H233">
        <v>95.023105316594993</v>
      </c>
      <c r="I233">
        <v>94.872744916413041</v>
      </c>
      <c r="J233">
        <v>94.39</v>
      </c>
      <c r="K233">
        <v>92.89</v>
      </c>
      <c r="L233">
        <v>92.67</v>
      </c>
      <c r="M233">
        <v>93.61</v>
      </c>
      <c r="N233">
        <v>93.89</v>
      </c>
      <c r="O233">
        <v>98.63</v>
      </c>
      <c r="P233">
        <v>98.89</v>
      </c>
      <c r="Q233">
        <v>98.85</v>
      </c>
      <c r="R233">
        <v>98.925915466440742</v>
      </c>
      <c r="S233">
        <v>97.321362595137799</v>
      </c>
      <c r="T233">
        <v>97.146430299323498</v>
      </c>
      <c r="U233">
        <v>97.689748201438846</v>
      </c>
      <c r="V233">
        <v>97.56</v>
      </c>
      <c r="W233">
        <v>93.89</v>
      </c>
      <c r="X233">
        <v>96</v>
      </c>
      <c r="Y233">
        <v>96.02</v>
      </c>
      <c r="Z233">
        <v>97.05</v>
      </c>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97.94</v>
      </c>
      <c r="D234">
        <v>97.1</v>
      </c>
      <c r="E234">
        <v>96.81</v>
      </c>
      <c r="F234">
        <v>97.23045099341131</v>
      </c>
      <c r="G234">
        <v>97.497654050672509</v>
      </c>
      <c r="H234">
        <v>97.529566062908401</v>
      </c>
      <c r="I234">
        <v>97.333899384419439</v>
      </c>
      <c r="J234">
        <v>97.43</v>
      </c>
      <c r="K234">
        <v>96.66</v>
      </c>
      <c r="L234">
        <v>97.41</v>
      </c>
      <c r="M234">
        <v>97.47</v>
      </c>
      <c r="N234">
        <v>97.58</v>
      </c>
      <c r="O234">
        <v>97.36</v>
      </c>
      <c r="P234">
        <v>97.45</v>
      </c>
      <c r="Q234">
        <v>98.33</v>
      </c>
      <c r="R234">
        <v>97.843631778058011</v>
      </c>
      <c r="S234">
        <v>98.022808974835755</v>
      </c>
      <c r="T234">
        <v>98.645127670661793</v>
      </c>
      <c r="U234">
        <v>98.242530755711783</v>
      </c>
      <c r="V234">
        <v>98.29</v>
      </c>
      <c r="W234">
        <v>90.55</v>
      </c>
      <c r="X234">
        <v>97.32</v>
      </c>
      <c r="Y234">
        <v>98.65</v>
      </c>
      <c r="Z234">
        <v>98.86</v>
      </c>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94.35</v>
      </c>
      <c r="D235">
        <v>95.04</v>
      </c>
      <c r="E235">
        <v>95</v>
      </c>
      <c r="F235">
        <v>95.211904380484498</v>
      </c>
      <c r="G235">
        <v>95.925881424010441</v>
      </c>
      <c r="H235">
        <v>95.467612794906103</v>
      </c>
      <c r="I235">
        <v>95.911717426250163</v>
      </c>
      <c r="J235">
        <v>95.39</v>
      </c>
      <c r="K235">
        <v>92.91</v>
      </c>
      <c r="L235">
        <v>91.92</v>
      </c>
      <c r="M235">
        <v>92.93</v>
      </c>
      <c r="N235">
        <v>92.28</v>
      </c>
      <c r="O235">
        <v>98.21</v>
      </c>
      <c r="P235">
        <v>98.43</v>
      </c>
      <c r="Q235">
        <v>98.73</v>
      </c>
      <c r="R235">
        <v>99.515244237450034</v>
      </c>
      <c r="S235">
        <v>99.319387528193403</v>
      </c>
      <c r="T235">
        <v>99.3597539287057</v>
      </c>
      <c r="U235">
        <v>99.443738028939791</v>
      </c>
      <c r="V235">
        <v>99.7</v>
      </c>
      <c r="W235">
        <v>94.13</v>
      </c>
      <c r="X235">
        <v>98.95</v>
      </c>
      <c r="Y235">
        <v>99.07</v>
      </c>
      <c r="Z235">
        <v>98.56</v>
      </c>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98.52</v>
      </c>
      <c r="D236">
        <v>98.52</v>
      </c>
      <c r="E236">
        <v>98.48</v>
      </c>
      <c r="F236">
        <v>98.475996951993906</v>
      </c>
      <c r="G236">
        <v>98.509162124823519</v>
      </c>
      <c r="H236">
        <v>98.488953277797805</v>
      </c>
      <c r="I236">
        <v>98.418017773556741</v>
      </c>
      <c r="J236">
        <v>98.28</v>
      </c>
      <c r="K236">
        <v>96.75</v>
      </c>
      <c r="L236">
        <v>97.07</v>
      </c>
      <c r="M236">
        <v>97.59</v>
      </c>
      <c r="N236">
        <v>97.5</v>
      </c>
      <c r="O236">
        <v>99.3</v>
      </c>
      <c r="P236">
        <v>99.37</v>
      </c>
      <c r="Q236">
        <v>99.01</v>
      </c>
      <c r="R236">
        <v>98.468373931099151</v>
      </c>
      <c r="S236">
        <v>98.643920460719329</v>
      </c>
      <c r="T236">
        <v>98.658546793905899</v>
      </c>
      <c r="U236">
        <v>99.741917413572338</v>
      </c>
      <c r="V236">
        <v>99.22</v>
      </c>
      <c r="W236">
        <v>85.43</v>
      </c>
      <c r="X236">
        <v>97.17</v>
      </c>
      <c r="Y236">
        <v>96.75</v>
      </c>
      <c r="Z236">
        <v>97.46</v>
      </c>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98.19</v>
      </c>
      <c r="D237">
        <v>98.78</v>
      </c>
      <c r="E237">
        <v>98.97</v>
      </c>
      <c r="F237">
        <v>98.376641063354569</v>
      </c>
      <c r="G237">
        <v>98.963687092240235</v>
      </c>
      <c r="H237">
        <v>98.9000669350729</v>
      </c>
      <c r="I237">
        <v>98.965290806754226</v>
      </c>
      <c r="J237">
        <v>98.43</v>
      </c>
      <c r="K237">
        <v>98.76</v>
      </c>
      <c r="L237">
        <v>98.72</v>
      </c>
      <c r="M237">
        <v>98.67</v>
      </c>
      <c r="N237">
        <v>98.8</v>
      </c>
      <c r="O237">
        <v>98.46</v>
      </c>
      <c r="P237">
        <v>98.69</v>
      </c>
      <c r="Q237">
        <v>99.57</v>
      </c>
      <c r="R237">
        <v>99.571358085605027</v>
      </c>
      <c r="S237">
        <v>99.411946765707214</v>
      </c>
      <c r="T237">
        <v>98.944438186879395</v>
      </c>
      <c r="U237">
        <v>98.144108305797047</v>
      </c>
      <c r="V237">
        <v>99.07</v>
      </c>
      <c r="W237">
        <v>97.61</v>
      </c>
      <c r="X237">
        <v>99.16</v>
      </c>
      <c r="Y237">
        <v>98.25</v>
      </c>
      <c r="Z237">
        <v>98.52</v>
      </c>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96.88</v>
      </c>
      <c r="D238">
        <v>95.56</v>
      </c>
      <c r="E238">
        <v>95.35</v>
      </c>
      <c r="F238">
        <v>95.33214890486633</v>
      </c>
      <c r="G238">
        <v>95.598246145338194</v>
      </c>
      <c r="H238">
        <v>95.473383794515399</v>
      </c>
      <c r="I238">
        <v>95.174504721347901</v>
      </c>
      <c r="J238">
        <v>94.79</v>
      </c>
      <c r="K238">
        <v>93.65</v>
      </c>
      <c r="L238">
        <v>94.12</v>
      </c>
      <c r="M238">
        <v>94.51</v>
      </c>
      <c r="N238">
        <v>94.19</v>
      </c>
      <c r="O238">
        <v>97.04</v>
      </c>
      <c r="P238">
        <v>96.56</v>
      </c>
      <c r="Q238">
        <v>96.96</v>
      </c>
      <c r="R238">
        <v>95.82031033271069</v>
      </c>
      <c r="S238">
        <v>96.186486584088698</v>
      </c>
      <c r="T238">
        <v>96.664162283996902</v>
      </c>
      <c r="U238">
        <v>96.149384852345548</v>
      </c>
      <c r="V238">
        <v>95.01</v>
      </c>
      <c r="W238">
        <v>92.34</v>
      </c>
      <c r="X238">
        <v>95.44</v>
      </c>
      <c r="Y238">
        <v>95.29</v>
      </c>
      <c r="Z238">
        <v>97.15</v>
      </c>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98.2</v>
      </c>
      <c r="D239">
        <v>97.27</v>
      </c>
      <c r="E239">
        <v>97.81</v>
      </c>
      <c r="F239">
        <v>98.401599950389141</v>
      </c>
      <c r="G239">
        <v>98.249708284714117</v>
      </c>
      <c r="H239">
        <v>98.448301928283698</v>
      </c>
      <c r="I239">
        <v>98.355107116757907</v>
      </c>
      <c r="J239">
        <v>98.28</v>
      </c>
      <c r="K239">
        <v>97.37</v>
      </c>
      <c r="L239">
        <v>97.38</v>
      </c>
      <c r="M239">
        <v>97</v>
      </c>
      <c r="N239">
        <v>97.63</v>
      </c>
      <c r="O239">
        <v>97.56</v>
      </c>
      <c r="P239">
        <v>97.84</v>
      </c>
      <c r="Q239">
        <v>98.01</v>
      </c>
      <c r="R239">
        <v>98.087116354620846</v>
      </c>
      <c r="S239">
        <v>98.491922488947651</v>
      </c>
      <c r="T239">
        <v>97.807551766138801</v>
      </c>
      <c r="U239">
        <v>98.400293311720887</v>
      </c>
      <c r="V239">
        <v>97.88</v>
      </c>
      <c r="W239">
        <v>94.99</v>
      </c>
      <c r="X239">
        <v>96.18</v>
      </c>
      <c r="Y239">
        <v>96.36</v>
      </c>
      <c r="Z239">
        <v>97.86</v>
      </c>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98.8</v>
      </c>
      <c r="D240">
        <v>98.63</v>
      </c>
      <c r="E240">
        <v>98.58</v>
      </c>
      <c r="F240">
        <v>98.657174878585366</v>
      </c>
      <c r="G240">
        <v>98.698962767552018</v>
      </c>
      <c r="H240">
        <v>98.598735816007903</v>
      </c>
      <c r="I240">
        <v>98.657573582196704</v>
      </c>
      <c r="J240">
        <v>98.55</v>
      </c>
      <c r="K240">
        <v>98.17</v>
      </c>
      <c r="L240">
        <v>98.46</v>
      </c>
      <c r="M240">
        <v>98.3</v>
      </c>
      <c r="N240">
        <v>98.54</v>
      </c>
      <c r="O240">
        <v>98.72</v>
      </c>
      <c r="P240">
        <v>98.86</v>
      </c>
      <c r="Q240">
        <v>97.92</v>
      </c>
      <c r="R240">
        <v>98.501694197373993</v>
      </c>
      <c r="S240">
        <v>98.761016070502848</v>
      </c>
      <c r="T240">
        <v>98.535231536208002</v>
      </c>
      <c r="U240">
        <v>99.127261969330903</v>
      </c>
      <c r="V240">
        <v>99.3</v>
      </c>
      <c r="W240">
        <v>97.35</v>
      </c>
      <c r="X240">
        <v>99.01</v>
      </c>
      <c r="Y240">
        <v>98.8</v>
      </c>
      <c r="Z240">
        <v>99.2</v>
      </c>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95.52</v>
      </c>
      <c r="D241">
        <v>95.62</v>
      </c>
      <c r="E241">
        <v>95.96</v>
      </c>
      <c r="F241">
        <v>96.295253213170156</v>
      </c>
      <c r="G241">
        <v>96.626161197215552</v>
      </c>
      <c r="H241">
        <v>96.429469449333595</v>
      </c>
      <c r="I241">
        <v>96.210904887290468</v>
      </c>
      <c r="J241">
        <v>96.2</v>
      </c>
      <c r="K241">
        <v>95.14</v>
      </c>
      <c r="L241">
        <v>94.61</v>
      </c>
      <c r="M241">
        <v>94.08</v>
      </c>
      <c r="N241">
        <v>94.37</v>
      </c>
      <c r="O241">
        <v>96.01</v>
      </c>
      <c r="P241">
        <v>96.14</v>
      </c>
      <c r="Q241">
        <v>97.48</v>
      </c>
      <c r="R241">
        <v>98.352109300095876</v>
      </c>
      <c r="S241">
        <v>98.326926524189844</v>
      </c>
      <c r="T241">
        <v>98.574462870680506</v>
      </c>
      <c r="U241">
        <v>98.872845448187917</v>
      </c>
      <c r="V241">
        <v>98.94</v>
      </c>
      <c r="W241">
        <v>98.96</v>
      </c>
      <c r="X241">
        <v>98.16</v>
      </c>
      <c r="Y241">
        <v>98.76</v>
      </c>
      <c r="Z241">
        <v>98.93</v>
      </c>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97.21</v>
      </c>
      <c r="D242">
        <v>96.6</v>
      </c>
      <c r="E242">
        <v>96.67</v>
      </c>
      <c r="F242">
        <v>96.751642504208064</v>
      </c>
      <c r="G242">
        <v>96.937353785536999</v>
      </c>
      <c r="H242">
        <v>96.989643352052994</v>
      </c>
      <c r="I242">
        <v>97.246355302364336</v>
      </c>
      <c r="J242">
        <v>97.14</v>
      </c>
      <c r="K242">
        <v>97.36</v>
      </c>
      <c r="L242">
        <v>97.46</v>
      </c>
      <c r="M242">
        <v>97.47</v>
      </c>
      <c r="N242">
        <v>97.48</v>
      </c>
      <c r="O242">
        <v>94.71</v>
      </c>
      <c r="P242">
        <v>94.66</v>
      </c>
      <c r="Q242">
        <v>96.22</v>
      </c>
      <c r="R242">
        <v>95.980074617686853</v>
      </c>
      <c r="S242">
        <v>96.674466072584252</v>
      </c>
      <c r="T242">
        <v>97.503361480126898</v>
      </c>
      <c r="U242">
        <v>97.519130684660325</v>
      </c>
      <c r="V242">
        <v>97.45</v>
      </c>
      <c r="W242">
        <v>93.42</v>
      </c>
      <c r="X242">
        <v>95.6</v>
      </c>
      <c r="Y242">
        <v>96.48</v>
      </c>
      <c r="Z242">
        <v>97.01</v>
      </c>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98.24</v>
      </c>
      <c r="D243">
        <v>96.86</v>
      </c>
      <c r="E243">
        <v>96.4</v>
      </c>
      <c r="F243">
        <v>96.455733505616195</v>
      </c>
      <c r="G243">
        <v>96.310094596345735</v>
      </c>
      <c r="H243">
        <v>95.834266973579602</v>
      </c>
      <c r="I243">
        <v>95.761221131475921</v>
      </c>
      <c r="J243">
        <v>95.19</v>
      </c>
      <c r="K243">
        <v>93.23</v>
      </c>
      <c r="L243">
        <v>94.43</v>
      </c>
      <c r="M243">
        <v>94.44</v>
      </c>
      <c r="N243">
        <v>95.09</v>
      </c>
      <c r="O243">
        <v>98.96</v>
      </c>
      <c r="P243">
        <v>98.85</v>
      </c>
      <c r="Q243">
        <v>98.37</v>
      </c>
      <c r="R243">
        <v>98.702583197579713</v>
      </c>
      <c r="S243">
        <v>98.640576725025738</v>
      </c>
      <c r="T243">
        <v>99.5095998149433</v>
      </c>
      <c r="U243">
        <v>99.333172652044667</v>
      </c>
      <c r="V243">
        <v>99.49</v>
      </c>
      <c r="W243">
        <v>97.89</v>
      </c>
      <c r="X243">
        <v>98.17</v>
      </c>
      <c r="Y243">
        <v>99.2</v>
      </c>
      <c r="Z243">
        <v>98.91</v>
      </c>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96.54</v>
      </c>
      <c r="D244">
        <v>93.85</v>
      </c>
      <c r="E244">
        <v>95.5</v>
      </c>
      <c r="F244">
        <v>94.632330127210679</v>
      </c>
      <c r="G244">
        <v>95.548106006835638</v>
      </c>
      <c r="H244">
        <v>95.697931859437702</v>
      </c>
      <c r="I244">
        <v>95.516503546380321</v>
      </c>
      <c r="J244">
        <v>95.24</v>
      </c>
      <c r="K244">
        <v>95.16</v>
      </c>
      <c r="L244">
        <v>95.09</v>
      </c>
      <c r="M244">
        <v>95.81</v>
      </c>
      <c r="N244">
        <v>94.96</v>
      </c>
      <c r="O244">
        <v>94.25</v>
      </c>
      <c r="P244">
        <v>95.04</v>
      </c>
      <c r="Q244">
        <v>97</v>
      </c>
      <c r="R244">
        <v>98.317725375155135</v>
      </c>
      <c r="S244">
        <v>97.969132540256041</v>
      </c>
      <c r="T244">
        <v>97.806363813103403</v>
      </c>
      <c r="U244">
        <v>98.114904105531522</v>
      </c>
      <c r="V244">
        <v>97.7</v>
      </c>
      <c r="W244">
        <v>94.06</v>
      </c>
      <c r="X244">
        <v>96.67</v>
      </c>
      <c r="Y244">
        <v>97.33</v>
      </c>
      <c r="Z244">
        <v>96.58</v>
      </c>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98.47</v>
      </c>
      <c r="D245">
        <v>98.41</v>
      </c>
      <c r="E245">
        <v>98.62</v>
      </c>
      <c r="F245">
        <v>98.666683629979261</v>
      </c>
      <c r="G245">
        <v>98.586805389078009</v>
      </c>
      <c r="H245">
        <v>98.625217440098695</v>
      </c>
      <c r="I245">
        <v>98.46521074561862</v>
      </c>
      <c r="J245">
        <v>98.39</v>
      </c>
      <c r="K245">
        <v>97.46</v>
      </c>
      <c r="L245">
        <v>97.55</v>
      </c>
      <c r="M245">
        <v>97.81</v>
      </c>
      <c r="N245">
        <v>97.91</v>
      </c>
      <c r="O245">
        <v>98.41</v>
      </c>
      <c r="P245">
        <v>98.91</v>
      </c>
      <c r="Q245">
        <v>98</v>
      </c>
      <c r="R245">
        <v>97.901652471427539</v>
      </c>
      <c r="S245">
        <v>98.178496588039337</v>
      </c>
      <c r="T245">
        <v>98.138636943139105</v>
      </c>
      <c r="U245">
        <v>98.271173271173268</v>
      </c>
      <c r="V245">
        <v>96.99</v>
      </c>
      <c r="W245">
        <v>91.57</v>
      </c>
      <c r="X245">
        <v>94.46</v>
      </c>
      <c r="Y245">
        <v>94.34</v>
      </c>
      <c r="Z245">
        <v>96.44</v>
      </c>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99.12</v>
      </c>
      <c r="D246">
        <v>99.04</v>
      </c>
      <c r="E246">
        <v>99.04</v>
      </c>
      <c r="F246">
        <v>99.154626032054395</v>
      </c>
      <c r="G246">
        <v>99.055744342419203</v>
      </c>
      <c r="H246">
        <v>98.9963050791374</v>
      </c>
      <c r="I246">
        <v>98.89237009399254</v>
      </c>
      <c r="J246">
        <v>98.73</v>
      </c>
      <c r="K246">
        <v>96.65</v>
      </c>
      <c r="L246">
        <v>98.54</v>
      </c>
      <c r="M246">
        <v>97.47</v>
      </c>
      <c r="N246">
        <v>97.66</v>
      </c>
      <c r="O246">
        <v>98.01</v>
      </c>
      <c r="P246">
        <v>99.18</v>
      </c>
      <c r="Q246">
        <v>97.93</v>
      </c>
      <c r="R246">
        <v>98.838118645961345</v>
      </c>
      <c r="S246">
        <v>98.876324585733585</v>
      </c>
      <c r="T246">
        <v>98.301387498211895</v>
      </c>
      <c r="U246">
        <v>98.970935892087326</v>
      </c>
      <c r="V246">
        <v>98.9</v>
      </c>
      <c r="W246">
        <v>93.2</v>
      </c>
      <c r="X246">
        <v>96.87</v>
      </c>
      <c r="Y246">
        <v>96.12</v>
      </c>
      <c r="Z246">
        <v>96.42</v>
      </c>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97.16</v>
      </c>
      <c r="D247">
        <v>96.54</v>
      </c>
      <c r="E247">
        <v>96.56</v>
      </c>
      <c r="F247">
        <v>95.727362964596878</v>
      </c>
      <c r="G247">
        <v>95.768083908501367</v>
      </c>
      <c r="H247">
        <v>95.941010132746797</v>
      </c>
      <c r="I247">
        <v>95.85780326633396</v>
      </c>
      <c r="J247">
        <v>94.89</v>
      </c>
      <c r="K247">
        <v>91.83</v>
      </c>
      <c r="L247">
        <v>92.25</v>
      </c>
      <c r="M247">
        <v>92.44</v>
      </c>
      <c r="N247">
        <v>92.74</v>
      </c>
      <c r="O247">
        <v>97.51</v>
      </c>
      <c r="P247">
        <v>96.97</v>
      </c>
      <c r="Q247">
        <v>97.24</v>
      </c>
      <c r="R247">
        <v>97.15936550213182</v>
      </c>
      <c r="S247">
        <v>97.461043008518601</v>
      </c>
      <c r="T247">
        <v>97.928236471889903</v>
      </c>
      <c r="U247">
        <v>97.883487226678099</v>
      </c>
      <c r="V247">
        <v>97.65</v>
      </c>
      <c r="W247">
        <v>91.92</v>
      </c>
      <c r="X247">
        <v>96.06</v>
      </c>
      <c r="Y247">
        <v>96.6</v>
      </c>
      <c r="Z247">
        <v>97.75</v>
      </c>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99.4</v>
      </c>
      <c r="D248">
        <v>98.72</v>
      </c>
      <c r="E248">
        <v>99.12</v>
      </c>
      <c r="F248">
        <v>98.664451717955899</v>
      </c>
      <c r="G248">
        <v>99.486402947328983</v>
      </c>
      <c r="H248">
        <v>99.224760238945706</v>
      </c>
      <c r="I248">
        <v>99.245051745991958</v>
      </c>
      <c r="J248">
        <v>99.15</v>
      </c>
      <c r="K248">
        <v>98.7</v>
      </c>
      <c r="L248">
        <v>98.35</v>
      </c>
      <c r="M248">
        <v>98.6</v>
      </c>
      <c r="N248">
        <v>99.35</v>
      </c>
      <c r="O248">
        <v>98.45</v>
      </c>
      <c r="P248">
        <v>99.04</v>
      </c>
      <c r="Q248">
        <v>99.29</v>
      </c>
      <c r="R248">
        <v>99.740424709358521</v>
      </c>
      <c r="S248">
        <v>98.809835893671689</v>
      </c>
      <c r="T248">
        <v>99.483585392843906</v>
      </c>
      <c r="U248">
        <v>99.578102490224325</v>
      </c>
      <c r="V248">
        <v>99.55</v>
      </c>
      <c r="W248">
        <v>99.81</v>
      </c>
      <c r="X248">
        <v>99.69</v>
      </c>
      <c r="Y248">
        <v>99.87</v>
      </c>
      <c r="Z248">
        <v>99.99</v>
      </c>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98.85</v>
      </c>
      <c r="D249">
        <v>98.58</v>
      </c>
      <c r="E249">
        <v>98.54</v>
      </c>
      <c r="F249">
        <v>98.590973270363705</v>
      </c>
      <c r="G249">
        <v>98.637296818789665</v>
      </c>
      <c r="H249">
        <v>98.382501362057099</v>
      </c>
      <c r="I249">
        <v>98.318376104763033</v>
      </c>
      <c r="J249">
        <v>98.63</v>
      </c>
      <c r="K249">
        <v>98.12</v>
      </c>
      <c r="L249">
        <v>98.1</v>
      </c>
      <c r="M249">
        <v>98.63</v>
      </c>
      <c r="N249">
        <v>98.29</v>
      </c>
      <c r="O249">
        <v>98.02</v>
      </c>
      <c r="P249">
        <v>97.51</v>
      </c>
      <c r="Q249">
        <v>97.06</v>
      </c>
      <c r="R249">
        <v>98.344967781528084</v>
      </c>
      <c r="S249">
        <v>98.938806393644185</v>
      </c>
      <c r="T249">
        <v>99.1883116883116</v>
      </c>
      <c r="U249">
        <v>98.654948823750061</v>
      </c>
      <c r="V249">
        <v>99.57</v>
      </c>
      <c r="W249">
        <v>94.33</v>
      </c>
      <c r="X249">
        <v>97.55</v>
      </c>
      <c r="Y249">
        <v>99.9</v>
      </c>
      <c r="Z249">
        <v>99.3</v>
      </c>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97.73</v>
      </c>
      <c r="D250">
        <v>97.36</v>
      </c>
      <c r="E250">
        <v>97.26</v>
      </c>
      <c r="F250">
        <v>97.502234205304532</v>
      </c>
      <c r="G250">
        <v>97.507658234219718</v>
      </c>
      <c r="H250">
        <v>97.196337193643899</v>
      </c>
      <c r="I250">
        <v>96.985406339476043</v>
      </c>
      <c r="J250">
        <v>96.4</v>
      </c>
      <c r="K250">
        <v>95.47</v>
      </c>
      <c r="L250">
        <v>95.78</v>
      </c>
      <c r="M250">
        <v>95.28</v>
      </c>
      <c r="N250">
        <v>95.41</v>
      </c>
      <c r="O250">
        <v>96.56</v>
      </c>
      <c r="P250">
        <v>97.26</v>
      </c>
      <c r="Q250">
        <v>97.31</v>
      </c>
      <c r="R250">
        <v>98.806833000086939</v>
      </c>
      <c r="S250">
        <v>98.140723352099215</v>
      </c>
      <c r="T250">
        <v>98.171090206618501</v>
      </c>
      <c r="U250">
        <v>97.624866953128077</v>
      </c>
      <c r="V250">
        <v>98.37</v>
      </c>
      <c r="W250">
        <v>93.39</v>
      </c>
      <c r="X250">
        <v>93.07</v>
      </c>
      <c r="Y250">
        <v>98.32</v>
      </c>
      <c r="Z250">
        <v>97.89</v>
      </c>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97.94</v>
      </c>
      <c r="D251">
        <v>97.4</v>
      </c>
      <c r="E251">
        <v>97.72</v>
      </c>
      <c r="F251">
        <v>97.814745344034122</v>
      </c>
      <c r="G251">
        <v>97.932085958834719</v>
      </c>
      <c r="H251">
        <v>97.376365850729798</v>
      </c>
      <c r="I251">
        <v>96.45287737777457</v>
      </c>
      <c r="J251">
        <v>96</v>
      </c>
      <c r="K251">
        <v>95.35</v>
      </c>
      <c r="L251">
        <v>95.21</v>
      </c>
      <c r="M251">
        <v>95.9</v>
      </c>
      <c r="N251">
        <v>95.87</v>
      </c>
      <c r="O251">
        <v>98.45</v>
      </c>
      <c r="P251">
        <v>98.69</v>
      </c>
      <c r="Q251">
        <v>98.5</v>
      </c>
      <c r="R251">
        <v>98.79846302655983</v>
      </c>
      <c r="S251">
        <v>98.218816160131567</v>
      </c>
      <c r="T251">
        <v>98.729181047452101</v>
      </c>
      <c r="U251">
        <v>98.681363327239168</v>
      </c>
      <c r="V251">
        <v>98.56</v>
      </c>
      <c r="W251">
        <v>94.92</v>
      </c>
      <c r="X251">
        <v>96.43</v>
      </c>
      <c r="Y251">
        <v>98.59</v>
      </c>
      <c r="Z251">
        <v>97.42</v>
      </c>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95.11</v>
      </c>
      <c r="D252">
        <v>94.21</v>
      </c>
      <c r="E252">
        <v>94.04</v>
      </c>
      <c r="F252">
        <v>94.167372057376866</v>
      </c>
      <c r="G252">
        <v>93.698055702659772</v>
      </c>
      <c r="H252">
        <v>93.421617313469397</v>
      </c>
      <c r="I252">
        <v>93.405657760047461</v>
      </c>
      <c r="J252">
        <v>93.52</v>
      </c>
      <c r="K252">
        <v>93.95</v>
      </c>
      <c r="L252">
        <v>94.03</v>
      </c>
      <c r="M252">
        <v>93.66</v>
      </c>
      <c r="N252">
        <v>93.11</v>
      </c>
      <c r="O252">
        <v>95.58</v>
      </c>
      <c r="P252">
        <v>95.72</v>
      </c>
      <c r="Q252">
        <v>96.18</v>
      </c>
      <c r="R252">
        <v>96.103681962834102</v>
      </c>
      <c r="S252">
        <v>96.42159734426869</v>
      </c>
      <c r="T252">
        <v>96.684495645614703</v>
      </c>
      <c r="U252">
        <v>96.832952416957369</v>
      </c>
      <c r="V252">
        <v>97.01</v>
      </c>
      <c r="W252">
        <v>94.79</v>
      </c>
      <c r="X252">
        <v>96.44</v>
      </c>
      <c r="Y252">
        <v>95.29</v>
      </c>
      <c r="Z252">
        <v>95.87</v>
      </c>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98.02</v>
      </c>
      <c r="D253">
        <v>97.58</v>
      </c>
      <c r="E253">
        <v>97.66</v>
      </c>
      <c r="F253">
        <v>97.89895594272231</v>
      </c>
      <c r="G253">
        <v>97.976851708194985</v>
      </c>
      <c r="H253">
        <v>98.102517189482597</v>
      </c>
      <c r="I253">
        <v>97.938059187887134</v>
      </c>
      <c r="J253">
        <v>97.89</v>
      </c>
      <c r="K253">
        <v>97.4</v>
      </c>
      <c r="L253">
        <v>97.55</v>
      </c>
      <c r="M253">
        <v>97.38</v>
      </c>
      <c r="N253">
        <v>97.54</v>
      </c>
      <c r="O253">
        <v>97.97</v>
      </c>
      <c r="P253">
        <v>98.51</v>
      </c>
      <c r="Q253">
        <v>98.65</v>
      </c>
      <c r="R253">
        <v>98.883417315620704</v>
      </c>
      <c r="S253">
        <v>98.974821156987545</v>
      </c>
      <c r="T253">
        <v>99.1753867151956</v>
      </c>
      <c r="U253">
        <v>99.059998326406514</v>
      </c>
      <c r="V253">
        <v>98.92</v>
      </c>
      <c r="W253">
        <v>97.68</v>
      </c>
      <c r="X253">
        <v>97.56</v>
      </c>
      <c r="Y253">
        <v>98.42</v>
      </c>
      <c r="Z253">
        <v>98.79</v>
      </c>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98.49</v>
      </c>
      <c r="D254">
        <v>98.37</v>
      </c>
      <c r="E254">
        <v>98.5</v>
      </c>
      <c r="F254">
        <v>98.594136003120525</v>
      </c>
      <c r="G254">
        <v>98.365080349941053</v>
      </c>
      <c r="H254">
        <v>98.487120677487596</v>
      </c>
      <c r="I254">
        <v>98.459687789499881</v>
      </c>
      <c r="J254">
        <v>98.2</v>
      </c>
      <c r="K254">
        <v>97.31</v>
      </c>
      <c r="L254">
        <v>97.36</v>
      </c>
      <c r="M254">
        <v>96.26</v>
      </c>
      <c r="N254">
        <v>97.21</v>
      </c>
      <c r="O254">
        <v>98.16</v>
      </c>
      <c r="P254">
        <v>98.18</v>
      </c>
      <c r="Q254">
        <v>98.53</v>
      </c>
      <c r="R254">
        <v>98.663576289574905</v>
      </c>
      <c r="S254">
        <v>98.249075215782995</v>
      </c>
      <c r="T254">
        <v>98.996364381176704</v>
      </c>
      <c r="U254">
        <v>97.582095202044101</v>
      </c>
      <c r="V254">
        <v>98.81</v>
      </c>
      <c r="W254">
        <v>95.62</v>
      </c>
      <c r="X254">
        <v>95.2</v>
      </c>
      <c r="Y254">
        <v>97.04</v>
      </c>
      <c r="Z254">
        <v>99.11</v>
      </c>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97.9</v>
      </c>
      <c r="D255">
        <v>98.44</v>
      </c>
      <c r="E255">
        <v>98.37</v>
      </c>
      <c r="F255">
        <v>98.430540827147411</v>
      </c>
      <c r="G255">
        <v>98.537479443112346</v>
      </c>
      <c r="H255">
        <v>98.590901044432599</v>
      </c>
      <c r="I255">
        <v>98.549310145956255</v>
      </c>
      <c r="J255">
        <v>98.34</v>
      </c>
      <c r="K255">
        <v>98.13</v>
      </c>
      <c r="L255">
        <v>97.92</v>
      </c>
      <c r="M255">
        <v>97.81</v>
      </c>
      <c r="N255">
        <v>97.69</v>
      </c>
      <c r="O255">
        <v>98.55</v>
      </c>
      <c r="P255">
        <v>99.11</v>
      </c>
      <c r="Q255">
        <v>99.16</v>
      </c>
      <c r="R255">
        <v>98.61299052774018</v>
      </c>
      <c r="S255">
        <v>99.40420099097183</v>
      </c>
      <c r="T255">
        <v>99.412609319932102</v>
      </c>
      <c r="U255">
        <v>99.208835211676956</v>
      </c>
      <c r="V255">
        <v>99.11</v>
      </c>
      <c r="W255">
        <v>96.77</v>
      </c>
      <c r="X255">
        <v>98.99</v>
      </c>
      <c r="Y255">
        <v>99.04</v>
      </c>
      <c r="Z255">
        <v>99.32</v>
      </c>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97.15</v>
      </c>
      <c r="D256">
        <v>96.6</v>
      </c>
      <c r="E256">
        <v>96.67</v>
      </c>
      <c r="F256">
        <v>97.085059161141658</v>
      </c>
      <c r="G256">
        <v>97.44454774870502</v>
      </c>
      <c r="H256">
        <v>97.343763755958193</v>
      </c>
      <c r="I256">
        <v>97.296137339055804</v>
      </c>
      <c r="J256">
        <v>97.03</v>
      </c>
      <c r="K256">
        <v>97.09</v>
      </c>
      <c r="L256">
        <v>97.26</v>
      </c>
      <c r="M256">
        <v>97.31</v>
      </c>
      <c r="N256">
        <v>97.31</v>
      </c>
      <c r="O256">
        <v>97.35</v>
      </c>
      <c r="P256">
        <v>97.3</v>
      </c>
      <c r="Q256">
        <v>97.5</v>
      </c>
      <c r="R256">
        <v>98.278673188463898</v>
      </c>
      <c r="S256">
        <v>98.491926675527367</v>
      </c>
      <c r="T256">
        <v>98.5977107124166</v>
      </c>
      <c r="U256">
        <v>99.051581797767653</v>
      </c>
      <c r="V256">
        <v>97.58</v>
      </c>
      <c r="W256">
        <v>96.34</v>
      </c>
      <c r="X256">
        <v>98.41</v>
      </c>
      <c r="Y256">
        <v>98.17</v>
      </c>
      <c r="Z256">
        <v>97.37</v>
      </c>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97.96</v>
      </c>
      <c r="D257">
        <v>96.82</v>
      </c>
      <c r="E257">
        <v>96.71</v>
      </c>
      <c r="F257">
        <v>96.946420792798023</v>
      </c>
      <c r="G257">
        <v>97.110025933896154</v>
      </c>
      <c r="H257">
        <v>97.001103404791905</v>
      </c>
      <c r="I257">
        <v>96.961376983784987</v>
      </c>
      <c r="J257">
        <v>96.09</v>
      </c>
      <c r="K257">
        <v>92.66</v>
      </c>
      <c r="L257">
        <v>92.81</v>
      </c>
      <c r="M257">
        <v>93.9</v>
      </c>
      <c r="N257">
        <v>93.87</v>
      </c>
      <c r="O257">
        <v>98.97</v>
      </c>
      <c r="P257">
        <v>98.68</v>
      </c>
      <c r="Q257">
        <v>98.89</v>
      </c>
      <c r="R257">
        <v>98.223941123460506</v>
      </c>
      <c r="S257">
        <v>98.672728605998387</v>
      </c>
      <c r="T257">
        <v>98.694036714122703</v>
      </c>
      <c r="U257">
        <v>97.920068147937812</v>
      </c>
      <c r="V257">
        <v>98.19</v>
      </c>
      <c r="W257">
        <v>88.47</v>
      </c>
      <c r="X257">
        <v>91.05</v>
      </c>
      <c r="Y257">
        <v>96.5</v>
      </c>
      <c r="Z257">
        <v>96.88</v>
      </c>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98.38</v>
      </c>
      <c r="D258">
        <v>98.28</v>
      </c>
      <c r="E258">
        <v>98.34</v>
      </c>
      <c r="F258">
        <v>98.383628905594776</v>
      </c>
      <c r="G258">
        <v>98.358531317494595</v>
      </c>
      <c r="H258">
        <v>98.374082633905005</v>
      </c>
      <c r="I258">
        <v>98.269900544428097</v>
      </c>
      <c r="J258">
        <v>98.11</v>
      </c>
      <c r="K258">
        <v>97.68</v>
      </c>
      <c r="L258">
        <v>97.92</v>
      </c>
      <c r="M258">
        <v>97.91</v>
      </c>
      <c r="N258">
        <v>97.92</v>
      </c>
      <c r="O258">
        <v>97.18</v>
      </c>
      <c r="P258">
        <v>98.7</v>
      </c>
      <c r="Q258">
        <v>98.02</v>
      </c>
      <c r="R258">
        <v>98.496555855046424</v>
      </c>
      <c r="S258">
        <v>97.996550351598771</v>
      </c>
      <c r="T258">
        <v>99.025011368804002</v>
      </c>
      <c r="U258">
        <v>98.68078550811893</v>
      </c>
      <c r="V258">
        <v>98.31</v>
      </c>
      <c r="W258">
        <v>96.44</v>
      </c>
      <c r="X258">
        <v>97.05</v>
      </c>
      <c r="Y258">
        <v>98.98</v>
      </c>
      <c r="Z258">
        <v>99.49</v>
      </c>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98.13</v>
      </c>
      <c r="D259">
        <v>97.88</v>
      </c>
      <c r="E259">
        <v>98.04</v>
      </c>
      <c r="F259">
        <v>98.14109301103521</v>
      </c>
      <c r="G259">
        <v>98.253725797795482</v>
      </c>
      <c r="H259">
        <v>97.972015758116697</v>
      </c>
      <c r="I259">
        <v>98.070169086498424</v>
      </c>
      <c r="J259">
        <v>98.11</v>
      </c>
      <c r="K259">
        <v>97.64</v>
      </c>
      <c r="L259">
        <v>98.04</v>
      </c>
      <c r="M259">
        <v>98.69</v>
      </c>
      <c r="N259">
        <v>97.94</v>
      </c>
      <c r="O259">
        <v>99.66</v>
      </c>
      <c r="P259">
        <v>98.85</v>
      </c>
      <c r="Q259">
        <v>98.62</v>
      </c>
      <c r="R259">
        <v>99.236990255193888</v>
      </c>
      <c r="S259">
        <v>98.785292186474067</v>
      </c>
      <c r="T259">
        <v>98.555308370634407</v>
      </c>
      <c r="U259">
        <v>99.296696527118257</v>
      </c>
      <c r="V259">
        <v>99.23</v>
      </c>
      <c r="W259">
        <v>95.96</v>
      </c>
      <c r="X259">
        <v>99.38</v>
      </c>
      <c r="Y259">
        <v>98.93</v>
      </c>
      <c r="Z259">
        <v>97.59</v>
      </c>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96.32</v>
      </c>
      <c r="D260">
        <v>95.92</v>
      </c>
      <c r="E260">
        <v>96.15</v>
      </c>
      <c r="F260">
        <v>96.484890368788086</v>
      </c>
      <c r="G260">
        <v>96.49597289505752</v>
      </c>
      <c r="H260">
        <v>96.302366929658803</v>
      </c>
      <c r="I260">
        <v>96.095794970633818</v>
      </c>
      <c r="J260">
        <v>95.71</v>
      </c>
      <c r="K260">
        <v>94.94</v>
      </c>
      <c r="L260">
        <v>95.18</v>
      </c>
      <c r="M260">
        <v>95.48</v>
      </c>
      <c r="N260">
        <v>94.73</v>
      </c>
      <c r="O260">
        <v>98.04</v>
      </c>
      <c r="P260">
        <v>98.75</v>
      </c>
      <c r="Q260">
        <v>98.53</v>
      </c>
      <c r="R260">
        <v>99.53015572825862</v>
      </c>
      <c r="S260">
        <v>99.075247752938466</v>
      </c>
      <c r="T260">
        <v>99.124384563224098</v>
      </c>
      <c r="U260">
        <v>98.77917935334203</v>
      </c>
      <c r="V260">
        <v>98.32</v>
      </c>
      <c r="W260">
        <v>92.2</v>
      </c>
      <c r="X260">
        <v>96.66</v>
      </c>
      <c r="Y260">
        <v>98.35</v>
      </c>
      <c r="Z260">
        <v>96.92</v>
      </c>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97.56</v>
      </c>
      <c r="D261">
        <v>97.51</v>
      </c>
      <c r="E261">
        <v>97.86</v>
      </c>
      <c r="F261">
        <v>98.009835014075477</v>
      </c>
      <c r="G261">
        <v>98.473125992724292</v>
      </c>
      <c r="H261">
        <v>98.640978236190804</v>
      </c>
      <c r="I261">
        <v>98.719196836020686</v>
      </c>
      <c r="J261">
        <v>98.37</v>
      </c>
      <c r="K261">
        <v>97.74</v>
      </c>
      <c r="L261">
        <v>97.72</v>
      </c>
      <c r="M261">
        <v>97.34</v>
      </c>
      <c r="N261">
        <v>98.57</v>
      </c>
      <c r="O261">
        <v>98.65</v>
      </c>
      <c r="P261">
        <v>96.97</v>
      </c>
      <c r="Q261">
        <v>98.01</v>
      </c>
      <c r="R261">
        <v>99.308859792310628</v>
      </c>
      <c r="S261">
        <v>99.06047147249744</v>
      </c>
      <c r="T261">
        <v>98.794180295317503</v>
      </c>
      <c r="U261">
        <v>99.381260041705119</v>
      </c>
      <c r="V261">
        <v>98.93</v>
      </c>
      <c r="W261">
        <v>93.2</v>
      </c>
      <c r="X261">
        <v>99.09</v>
      </c>
      <c r="Y261">
        <v>99.28</v>
      </c>
      <c r="Z261">
        <v>99.62</v>
      </c>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98.89</v>
      </c>
      <c r="D262">
        <v>98.54</v>
      </c>
      <c r="E262">
        <v>98.72</v>
      </c>
      <c r="F262">
        <v>98.618805727352253</v>
      </c>
      <c r="G262">
        <v>98.861001623000234</v>
      </c>
      <c r="H262">
        <v>98.412028847462196</v>
      </c>
      <c r="I262">
        <v>98.910839316915144</v>
      </c>
      <c r="J262">
        <v>98.74</v>
      </c>
      <c r="K262">
        <v>97.96</v>
      </c>
      <c r="L262">
        <v>98.17</v>
      </c>
      <c r="M262">
        <v>98.43</v>
      </c>
      <c r="N262">
        <v>98.24</v>
      </c>
      <c r="O262">
        <v>98.19</v>
      </c>
      <c r="P262">
        <v>96.95</v>
      </c>
      <c r="Q262">
        <v>99.63</v>
      </c>
      <c r="R262">
        <v>99.724324955326267</v>
      </c>
      <c r="S262">
        <v>99.73826128199272</v>
      </c>
      <c r="T262">
        <v>99.672348256823895</v>
      </c>
      <c r="U262">
        <v>98.933692556135327</v>
      </c>
      <c r="V262">
        <v>98.22</v>
      </c>
      <c r="W262">
        <v>96.82</v>
      </c>
      <c r="X262">
        <v>98.36</v>
      </c>
      <c r="Y262">
        <v>97.97</v>
      </c>
      <c r="Z262">
        <v>97.66</v>
      </c>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98.46</v>
      </c>
      <c r="D263">
        <v>98.29</v>
      </c>
      <c r="E263">
        <v>98.31</v>
      </c>
      <c r="F263">
        <v>98.873646603212691</v>
      </c>
      <c r="G263">
        <v>99.031598441297888</v>
      </c>
      <c r="H263">
        <v>98.608150014536207</v>
      </c>
      <c r="I263">
        <v>98.911315956770508</v>
      </c>
      <c r="J263">
        <v>98.48</v>
      </c>
      <c r="K263">
        <v>97.88</v>
      </c>
      <c r="L263">
        <v>98.13</v>
      </c>
      <c r="M263">
        <v>98.43</v>
      </c>
      <c r="N263">
        <v>98.03</v>
      </c>
      <c r="O263">
        <v>99.71</v>
      </c>
      <c r="P263">
        <v>99.53</v>
      </c>
      <c r="Q263">
        <v>99.74</v>
      </c>
      <c r="R263">
        <v>99.43179761861677</v>
      </c>
      <c r="S263">
        <v>99.194895674119365</v>
      </c>
      <c r="T263">
        <v>99.688314432626598</v>
      </c>
      <c r="U263">
        <v>99.419722565581651</v>
      </c>
      <c r="V263">
        <v>99.43</v>
      </c>
      <c r="W263">
        <v>97.28</v>
      </c>
      <c r="X263">
        <v>98.89</v>
      </c>
      <c r="Y263">
        <v>99.37</v>
      </c>
      <c r="Z263">
        <v>99.38</v>
      </c>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96.08</v>
      </c>
      <c r="D264">
        <v>94.88</v>
      </c>
      <c r="E264">
        <v>95.49</v>
      </c>
      <c r="F264">
        <v>95.673119814434827</v>
      </c>
      <c r="G264">
        <v>95.498355982670788</v>
      </c>
      <c r="H264">
        <v>95.625173054863296</v>
      </c>
      <c r="I264">
        <v>96.339695875402271</v>
      </c>
      <c r="J264">
        <v>95.65</v>
      </c>
      <c r="K264">
        <v>95.09</v>
      </c>
      <c r="L264">
        <v>95.25</v>
      </c>
      <c r="M264">
        <v>95.36</v>
      </c>
      <c r="N264">
        <v>96.13</v>
      </c>
      <c r="O264">
        <v>96.86</v>
      </c>
      <c r="P264">
        <v>97.21</v>
      </c>
      <c r="Q264">
        <v>95.54</v>
      </c>
      <c r="R264">
        <v>95.683109435565228</v>
      </c>
      <c r="S264">
        <v>96.605250200834433</v>
      </c>
      <c r="T264">
        <v>96.363482718796604</v>
      </c>
      <c r="U264">
        <v>96.633197186294524</v>
      </c>
      <c r="V264">
        <v>95.1</v>
      </c>
      <c r="W264">
        <v>88</v>
      </c>
      <c r="X264">
        <v>90.47</v>
      </c>
      <c r="Y264">
        <v>95.01</v>
      </c>
      <c r="Z264">
        <v>94.76</v>
      </c>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98.3</v>
      </c>
      <c r="D265">
        <v>98.13</v>
      </c>
      <c r="E265">
        <v>98.25</v>
      </c>
      <c r="F265">
        <v>98.380710521285593</v>
      </c>
      <c r="G265">
        <v>98.204816472231556</v>
      </c>
      <c r="H265">
        <v>98.030014176076605</v>
      </c>
      <c r="I265">
        <v>98.016605166051662</v>
      </c>
      <c r="J265">
        <v>97.8</v>
      </c>
      <c r="K265">
        <v>97.33</v>
      </c>
      <c r="L265">
        <v>97.55</v>
      </c>
      <c r="M265">
        <v>97.39</v>
      </c>
      <c r="N265">
        <v>97.06</v>
      </c>
      <c r="O265">
        <v>99.05</v>
      </c>
      <c r="P265">
        <v>98.12</v>
      </c>
      <c r="Q265">
        <v>98.38</v>
      </c>
      <c r="R265">
        <v>98.418972332015812</v>
      </c>
      <c r="S265">
        <v>98.020142894034606</v>
      </c>
      <c r="T265">
        <v>98.486323802779395</v>
      </c>
      <c r="U265">
        <v>98.53231482276199</v>
      </c>
      <c r="V265">
        <v>98.41</v>
      </c>
      <c r="W265">
        <v>95.91</v>
      </c>
      <c r="X265">
        <v>98.44</v>
      </c>
      <c r="Y265">
        <v>98.66</v>
      </c>
      <c r="Z265">
        <v>98.16</v>
      </c>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95.06</v>
      </c>
      <c r="D266">
        <v>95.41</v>
      </c>
      <c r="E266">
        <v>96.67</v>
      </c>
      <c r="F266">
        <v>96.304479636614019</v>
      </c>
      <c r="G266">
        <v>95.95512280970236</v>
      </c>
      <c r="H266">
        <v>96.265159867695701</v>
      </c>
      <c r="I266">
        <v>96.491844826881419</v>
      </c>
      <c r="J266">
        <v>95.95</v>
      </c>
      <c r="K266">
        <v>90.36</v>
      </c>
      <c r="L266">
        <v>91.24</v>
      </c>
      <c r="M266">
        <v>95.16</v>
      </c>
      <c r="N266">
        <v>92.1</v>
      </c>
      <c r="O266">
        <v>99.68</v>
      </c>
      <c r="P266">
        <v>99.66</v>
      </c>
      <c r="Q266">
        <v>99.89</v>
      </c>
      <c r="R266">
        <v>99.598654061509706</v>
      </c>
      <c r="S266">
        <v>98.507796387058519</v>
      </c>
      <c r="T266">
        <v>99.370085970409605</v>
      </c>
      <c r="U266">
        <v>99.218684532026657</v>
      </c>
      <c r="V266">
        <v>99.53</v>
      </c>
      <c r="W266">
        <v>95.83</v>
      </c>
      <c r="X266">
        <v>92.64</v>
      </c>
      <c r="Y266">
        <v>95.27</v>
      </c>
      <c r="Z266">
        <v>96.56</v>
      </c>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98.05</v>
      </c>
      <c r="D267">
        <v>97.7</v>
      </c>
      <c r="E267">
        <v>97.84</v>
      </c>
      <c r="F267">
        <v>98.011317208694223</v>
      </c>
      <c r="G267">
        <v>98.196656444752207</v>
      </c>
      <c r="H267">
        <v>98.082470569564094</v>
      </c>
      <c r="I267">
        <v>98.064245370451331</v>
      </c>
      <c r="J267">
        <v>97.76</v>
      </c>
      <c r="K267">
        <v>97.18</v>
      </c>
      <c r="L267">
        <v>97.52</v>
      </c>
      <c r="M267">
        <v>97.38</v>
      </c>
      <c r="N267">
        <v>97.37</v>
      </c>
      <c r="O267">
        <v>97.85</v>
      </c>
      <c r="P267">
        <v>97.56</v>
      </c>
      <c r="Q267">
        <v>97.41</v>
      </c>
      <c r="R267">
        <v>97.405341246290803</v>
      </c>
      <c r="S267">
        <v>97.78580826041744</v>
      </c>
      <c r="T267">
        <v>97.869700836523407</v>
      </c>
      <c r="U267">
        <v>98.656214332912839</v>
      </c>
      <c r="V267">
        <v>98</v>
      </c>
      <c r="W267">
        <v>95.22</v>
      </c>
      <c r="X267">
        <v>97.01</v>
      </c>
      <c r="Y267">
        <v>98.31</v>
      </c>
      <c r="Z267">
        <v>98.11</v>
      </c>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98.37</v>
      </c>
      <c r="D268">
        <v>98.53</v>
      </c>
      <c r="E268">
        <v>98.47</v>
      </c>
      <c r="F268">
        <v>98.405698264757149</v>
      </c>
      <c r="G268">
        <v>98.409107284386494</v>
      </c>
      <c r="H268">
        <v>98.263709348210597</v>
      </c>
      <c r="I268">
        <v>98.306526446025373</v>
      </c>
      <c r="J268">
        <v>98.09</v>
      </c>
      <c r="K268">
        <v>97.52</v>
      </c>
      <c r="L268">
        <v>97.6</v>
      </c>
      <c r="M268">
        <v>97.46</v>
      </c>
      <c r="N268">
        <v>97.53</v>
      </c>
      <c r="O268">
        <v>97.83</v>
      </c>
      <c r="P268">
        <v>98.37</v>
      </c>
      <c r="Q268">
        <v>98.37</v>
      </c>
      <c r="R268">
        <v>98.491727010092674</v>
      </c>
      <c r="S268">
        <v>97.38486842105263</v>
      </c>
      <c r="T268">
        <v>98.492525740663893</v>
      </c>
      <c r="U268">
        <v>99.156209044720924</v>
      </c>
      <c r="V268">
        <v>98.03</v>
      </c>
      <c r="W268">
        <v>96.61</v>
      </c>
      <c r="X268">
        <v>97.45</v>
      </c>
      <c r="Y268">
        <v>98.22</v>
      </c>
      <c r="Z268">
        <v>98.67</v>
      </c>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98.66</v>
      </c>
      <c r="D269">
        <v>98.82</v>
      </c>
      <c r="E269">
        <v>98.85</v>
      </c>
      <c r="F269">
        <v>99.157373944301639</v>
      </c>
      <c r="G269">
        <v>99.153855973156809</v>
      </c>
      <c r="H269">
        <v>99.148397391424993</v>
      </c>
      <c r="I269">
        <v>99.101743295328092</v>
      </c>
      <c r="J269">
        <v>98.78</v>
      </c>
      <c r="K269">
        <v>97.91</v>
      </c>
      <c r="L269">
        <v>98.68</v>
      </c>
      <c r="M269">
        <v>98.85</v>
      </c>
      <c r="N269">
        <v>98.47</v>
      </c>
      <c r="O269">
        <v>96.14</v>
      </c>
      <c r="P269">
        <v>98.81</v>
      </c>
      <c r="Q269">
        <v>99.42</v>
      </c>
      <c r="R269">
        <v>97.335352348234878</v>
      </c>
      <c r="S269">
        <v>99.197200494030469</v>
      </c>
      <c r="T269">
        <v>99.465903456979305</v>
      </c>
      <c r="U269">
        <v>98.845478489903428</v>
      </c>
      <c r="V269">
        <v>99.43</v>
      </c>
      <c r="W269">
        <v>93.01</v>
      </c>
      <c r="X269">
        <v>96.62</v>
      </c>
      <c r="Y269">
        <v>98.06</v>
      </c>
      <c r="Z269">
        <v>99.41</v>
      </c>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98.83</v>
      </c>
      <c r="D270">
        <v>98.72</v>
      </c>
      <c r="E270">
        <v>98.68</v>
      </c>
      <c r="F270">
        <v>98.711678550284432</v>
      </c>
      <c r="G270">
        <v>98.725975273222389</v>
      </c>
      <c r="H270">
        <v>98.609708208963596</v>
      </c>
      <c r="I270">
        <v>98.467473112643873</v>
      </c>
      <c r="J270">
        <v>98.27</v>
      </c>
      <c r="K270">
        <v>96.96</v>
      </c>
      <c r="L270">
        <v>97.33</v>
      </c>
      <c r="M270">
        <v>98.01</v>
      </c>
      <c r="N270">
        <v>97.95</v>
      </c>
      <c r="O270">
        <v>99.38</v>
      </c>
      <c r="P270">
        <v>99.25</v>
      </c>
      <c r="Q270">
        <v>99.3</v>
      </c>
      <c r="R270">
        <v>99.30872795600682</v>
      </c>
      <c r="S270">
        <v>99.358337403371678</v>
      </c>
      <c r="T270">
        <v>98.619352466277704</v>
      </c>
      <c r="U270">
        <v>99.010673034748294</v>
      </c>
      <c r="V270">
        <v>99.19</v>
      </c>
      <c r="W270">
        <v>93.47</v>
      </c>
      <c r="X270">
        <v>95.12</v>
      </c>
      <c r="Y270">
        <v>96.06</v>
      </c>
      <c r="Z270">
        <v>96.88</v>
      </c>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96.38</v>
      </c>
      <c r="D271">
        <v>94.4</v>
      </c>
      <c r="E271">
        <v>94.42</v>
      </c>
      <c r="F271">
        <v>94.983707962404154</v>
      </c>
      <c r="G271">
        <v>94.990423494360499</v>
      </c>
      <c r="H271">
        <v>95.2549231004718</v>
      </c>
      <c r="I271">
        <v>95.429554758990861</v>
      </c>
      <c r="J271">
        <v>95.34</v>
      </c>
      <c r="K271">
        <v>94.49</v>
      </c>
      <c r="L271">
        <v>94.55</v>
      </c>
      <c r="M271">
        <v>95.18</v>
      </c>
      <c r="N271">
        <v>94.97</v>
      </c>
      <c r="O271">
        <v>98.25</v>
      </c>
      <c r="P271">
        <v>98.45</v>
      </c>
      <c r="Q271">
        <v>98.75</v>
      </c>
      <c r="R271">
        <v>98.876163035951635</v>
      </c>
      <c r="S271">
        <v>98.886093872386567</v>
      </c>
      <c r="T271">
        <v>99.162198133602004</v>
      </c>
      <c r="U271">
        <v>98.860917154180044</v>
      </c>
      <c r="V271">
        <v>98.5</v>
      </c>
      <c r="W271">
        <v>94.16</v>
      </c>
      <c r="X271">
        <v>96.68</v>
      </c>
      <c r="Y271">
        <v>97.33</v>
      </c>
      <c r="Z271">
        <v>97.49</v>
      </c>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96.36</v>
      </c>
      <c r="D272">
        <v>95.99</v>
      </c>
      <c r="E272">
        <v>95.55</v>
      </c>
      <c r="F272">
        <v>94.420026223937654</v>
      </c>
      <c r="G272">
        <v>94.588886270608057</v>
      </c>
      <c r="H272">
        <v>94.394430051813401</v>
      </c>
      <c r="I272">
        <v>94.35212668240581</v>
      </c>
      <c r="J272">
        <v>94.01</v>
      </c>
      <c r="K272">
        <v>92.5</v>
      </c>
      <c r="L272">
        <v>92.42</v>
      </c>
      <c r="M272">
        <v>92.3</v>
      </c>
      <c r="N272">
        <v>92.28</v>
      </c>
      <c r="O272">
        <v>96.61</v>
      </c>
      <c r="P272">
        <v>96.86</v>
      </c>
      <c r="Q272">
        <v>97.09</v>
      </c>
      <c r="R272">
        <v>97.71797359429705</v>
      </c>
      <c r="S272">
        <v>97.205652360455616</v>
      </c>
      <c r="T272">
        <v>97.675756045559098</v>
      </c>
      <c r="U272">
        <v>98.20270824784572</v>
      </c>
      <c r="V272">
        <v>97.25</v>
      </c>
      <c r="W272">
        <v>87.86</v>
      </c>
      <c r="X272">
        <v>95.03</v>
      </c>
      <c r="Y272">
        <v>99.04</v>
      </c>
      <c r="Z272">
        <v>96.92</v>
      </c>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95.41</v>
      </c>
      <c r="D273">
        <v>95.31</v>
      </c>
      <c r="E273">
        <v>95.82</v>
      </c>
      <c r="F273">
        <v>96.006874435931408</v>
      </c>
      <c r="G273">
        <v>96.074560605509262</v>
      </c>
      <c r="H273">
        <v>96.091993331338401</v>
      </c>
      <c r="I273">
        <v>95.958704667784346</v>
      </c>
      <c r="J273">
        <v>95.81</v>
      </c>
      <c r="K273">
        <v>93.67</v>
      </c>
      <c r="L273">
        <v>94.91</v>
      </c>
      <c r="M273">
        <v>95.31</v>
      </c>
      <c r="N273">
        <v>95.15</v>
      </c>
      <c r="O273">
        <v>95.5</v>
      </c>
      <c r="P273">
        <v>95.57</v>
      </c>
      <c r="Q273">
        <v>96.85</v>
      </c>
      <c r="R273">
        <v>97.014951442744362</v>
      </c>
      <c r="S273">
        <v>97.160815270568335</v>
      </c>
      <c r="T273">
        <v>97.451323382759199</v>
      </c>
      <c r="U273">
        <v>97.001469110028609</v>
      </c>
      <c r="V273">
        <v>95.9</v>
      </c>
      <c r="W273">
        <v>78.39</v>
      </c>
      <c r="X273">
        <v>91.35</v>
      </c>
      <c r="Y273">
        <v>95.02</v>
      </c>
      <c r="Z273">
        <v>93.52</v>
      </c>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98.07</v>
      </c>
      <c r="D274">
        <v>98.25</v>
      </c>
      <c r="E274">
        <v>98.4</v>
      </c>
      <c r="F274">
        <v>98.534393363290704</v>
      </c>
      <c r="G274">
        <v>98.565745980166952</v>
      </c>
      <c r="H274">
        <v>98.406433837217904</v>
      </c>
      <c r="I274">
        <v>98.34714931393016</v>
      </c>
      <c r="J274">
        <v>98.2</v>
      </c>
      <c r="K274">
        <v>95.91</v>
      </c>
      <c r="L274">
        <v>95.92</v>
      </c>
      <c r="M274">
        <v>96.67</v>
      </c>
      <c r="N274">
        <v>97.69</v>
      </c>
      <c r="O274">
        <v>98.41</v>
      </c>
      <c r="P274">
        <v>98.97</v>
      </c>
      <c r="Q274">
        <v>99.51</v>
      </c>
      <c r="R274">
        <v>99.840317843530499</v>
      </c>
      <c r="S274">
        <v>99.556981927822278</v>
      </c>
      <c r="T274">
        <v>99.345347289665796</v>
      </c>
      <c r="U274">
        <v>99.214397943150985</v>
      </c>
      <c r="V274">
        <v>98.22</v>
      </c>
      <c r="W274">
        <v>86.64</v>
      </c>
      <c r="X274">
        <v>91.46</v>
      </c>
      <c r="Y274">
        <v>97.44</v>
      </c>
      <c r="Z274">
        <v>98.56</v>
      </c>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97.42</v>
      </c>
      <c r="D275">
        <v>97.22</v>
      </c>
      <c r="E275">
        <v>97.08</v>
      </c>
      <c r="F275">
        <v>97.30633028099659</v>
      </c>
      <c r="G275">
        <v>97.358871167100105</v>
      </c>
      <c r="H275">
        <v>97.119499205830095</v>
      </c>
      <c r="I275">
        <v>97.099152423648079</v>
      </c>
      <c r="J275">
        <v>96.94</v>
      </c>
      <c r="K275">
        <v>96.11</v>
      </c>
      <c r="L275">
        <v>96.48</v>
      </c>
      <c r="M275">
        <v>96.53</v>
      </c>
      <c r="N275">
        <v>96.37</v>
      </c>
      <c r="O275">
        <v>96.47</v>
      </c>
      <c r="P275">
        <v>95.89</v>
      </c>
      <c r="Q275">
        <v>96.62</v>
      </c>
      <c r="R275">
        <v>96.765632627701592</v>
      </c>
      <c r="S275">
        <v>97.206288041336435</v>
      </c>
      <c r="T275">
        <v>96.923007081895705</v>
      </c>
      <c r="U275">
        <v>98.010880960127238</v>
      </c>
      <c r="V275">
        <v>96.63</v>
      </c>
      <c r="W275">
        <v>91.24</v>
      </c>
      <c r="X275">
        <v>91.84</v>
      </c>
      <c r="Y275">
        <v>95.01</v>
      </c>
      <c r="Z275">
        <v>94.47</v>
      </c>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98.65</v>
      </c>
      <c r="D276">
        <v>98.52</v>
      </c>
      <c r="E276">
        <v>98.47</v>
      </c>
      <c r="F276">
        <v>98.46736116315671</v>
      </c>
      <c r="G276">
        <v>98.260260307809233</v>
      </c>
      <c r="H276">
        <v>98.158290498529695</v>
      </c>
      <c r="I276">
        <v>98.257254440851639</v>
      </c>
      <c r="J276">
        <v>98.14</v>
      </c>
      <c r="K276">
        <v>98.19</v>
      </c>
      <c r="L276">
        <v>98.27</v>
      </c>
      <c r="M276">
        <v>98.22</v>
      </c>
      <c r="N276">
        <v>98.14</v>
      </c>
      <c r="O276">
        <v>98.52</v>
      </c>
      <c r="P276">
        <v>98.7</v>
      </c>
      <c r="Q276">
        <v>99.08</v>
      </c>
      <c r="R276">
        <v>98.560405389842217</v>
      </c>
      <c r="S276">
        <v>98.219726893127188</v>
      </c>
      <c r="T276">
        <v>98.221315684372598</v>
      </c>
      <c r="U276">
        <v>97.78384900217732</v>
      </c>
      <c r="V276">
        <v>98.23</v>
      </c>
      <c r="W276">
        <v>96.02</v>
      </c>
      <c r="X276">
        <v>97.36</v>
      </c>
      <c r="Y276">
        <v>96.78</v>
      </c>
      <c r="Z276">
        <v>97.3</v>
      </c>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95.43</v>
      </c>
      <c r="D277">
        <v>95.47</v>
      </c>
      <c r="E277">
        <v>96.15</v>
      </c>
      <c r="F277">
        <v>96.576982387793194</v>
      </c>
      <c r="G277">
        <v>97.168822090178267</v>
      </c>
      <c r="H277">
        <v>97.561020505835103</v>
      </c>
      <c r="I277">
        <v>97.735113503070451</v>
      </c>
      <c r="J277">
        <v>97.28</v>
      </c>
      <c r="K277">
        <v>96.49</v>
      </c>
      <c r="L277">
        <v>96.06</v>
      </c>
      <c r="M277">
        <v>95.72</v>
      </c>
      <c r="N277">
        <v>96.39</v>
      </c>
      <c r="O277">
        <v>97.43</v>
      </c>
      <c r="P277">
        <v>96.25</v>
      </c>
      <c r="Q277">
        <v>97.14</v>
      </c>
      <c r="R277">
        <v>98.201731665803308</v>
      </c>
      <c r="S277">
        <v>98.166410771229479</v>
      </c>
      <c r="T277">
        <v>98.685757347400099</v>
      </c>
      <c r="U277">
        <v>98.682965654988067</v>
      </c>
      <c r="V277">
        <v>97.74</v>
      </c>
      <c r="W277">
        <v>93.39</v>
      </c>
      <c r="X277">
        <v>97.98</v>
      </c>
      <c r="Y277">
        <v>98.41</v>
      </c>
      <c r="Z277">
        <v>99.31</v>
      </c>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99.2</v>
      </c>
      <c r="D278">
        <v>99.02</v>
      </c>
      <c r="E278">
        <v>99.13</v>
      </c>
      <c r="F278">
        <v>98.994402058597814</v>
      </c>
      <c r="G278">
        <v>98.838978387302134</v>
      </c>
      <c r="H278">
        <v>98.971337056504495</v>
      </c>
      <c r="I278">
        <v>98.715430244203063</v>
      </c>
      <c r="J278">
        <v>98.04</v>
      </c>
      <c r="K278">
        <v>97.33</v>
      </c>
      <c r="L278">
        <v>98.22</v>
      </c>
      <c r="M278">
        <v>97.71</v>
      </c>
      <c r="N278">
        <v>97.81</v>
      </c>
      <c r="O278">
        <v>99.2</v>
      </c>
      <c r="P278">
        <v>99.4</v>
      </c>
      <c r="Q278">
        <v>99.15</v>
      </c>
      <c r="R278">
        <v>98.164488017429193</v>
      </c>
      <c r="S278">
        <v>97.482042990802825</v>
      </c>
      <c r="T278">
        <v>98.4150239744272</v>
      </c>
      <c r="U278">
        <v>97.991332104949009</v>
      </c>
      <c r="V278">
        <v>97.14</v>
      </c>
      <c r="W278">
        <v>96.49</v>
      </c>
      <c r="X278">
        <v>97.88</v>
      </c>
      <c r="Y278">
        <v>96.55</v>
      </c>
      <c r="Z278">
        <v>96.46</v>
      </c>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97.99</v>
      </c>
      <c r="D279">
        <v>98.1</v>
      </c>
      <c r="E279">
        <v>98.28</v>
      </c>
      <c r="F279">
        <v>98.332907813489925</v>
      </c>
      <c r="G279">
        <v>98.164841663829108</v>
      </c>
      <c r="H279">
        <v>98.268770597201694</v>
      </c>
      <c r="I279">
        <v>98.177234981134191</v>
      </c>
      <c r="J279">
        <v>98.1</v>
      </c>
      <c r="K279">
        <v>96.09</v>
      </c>
      <c r="L279">
        <v>96.7</v>
      </c>
      <c r="M279">
        <v>95.88</v>
      </c>
      <c r="N279">
        <v>97.62</v>
      </c>
      <c r="O279">
        <v>97.03</v>
      </c>
      <c r="P279">
        <v>97.56</v>
      </c>
      <c r="Q279">
        <v>97.34</v>
      </c>
      <c r="R279">
        <v>97.818038855944707</v>
      </c>
      <c r="S279">
        <v>97.586788211788217</v>
      </c>
      <c r="T279">
        <v>98.579649402920495</v>
      </c>
      <c r="U279">
        <v>97.928466376693677</v>
      </c>
      <c r="V279">
        <v>98.03</v>
      </c>
      <c r="W279">
        <v>91.15</v>
      </c>
      <c r="X279">
        <v>93.88</v>
      </c>
      <c r="Y279">
        <v>96.36</v>
      </c>
      <c r="Z279">
        <v>96.44</v>
      </c>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97.94</v>
      </c>
      <c r="D280">
        <v>97.67</v>
      </c>
      <c r="E280">
        <v>98.04</v>
      </c>
      <c r="F280">
        <v>98.0763243703813</v>
      </c>
      <c r="G280">
        <v>97.925837732834111</v>
      </c>
      <c r="H280">
        <v>97.799641423046694</v>
      </c>
      <c r="I280">
        <v>97.707966686529119</v>
      </c>
      <c r="J280">
        <v>97.54</v>
      </c>
      <c r="K280">
        <v>95.07</v>
      </c>
      <c r="L280">
        <v>96.68</v>
      </c>
      <c r="M280">
        <v>97.82</v>
      </c>
      <c r="N280">
        <v>97.24</v>
      </c>
      <c r="O280">
        <v>99.04</v>
      </c>
      <c r="P280">
        <v>99.26</v>
      </c>
      <c r="Q280">
        <v>99.15</v>
      </c>
      <c r="R280">
        <v>99.294063187131115</v>
      </c>
      <c r="S280">
        <v>98.924394146856486</v>
      </c>
      <c r="T280">
        <v>99.608399162784394</v>
      </c>
      <c r="U280">
        <v>98.41151125924722</v>
      </c>
      <c r="V280">
        <v>99.32</v>
      </c>
      <c r="W280">
        <v>96.04</v>
      </c>
      <c r="X280">
        <v>98.51</v>
      </c>
      <c r="Y280">
        <v>98.16</v>
      </c>
      <c r="Z280">
        <v>98.04</v>
      </c>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98.88</v>
      </c>
      <c r="D281">
        <v>98.25</v>
      </c>
      <c r="E281">
        <v>98.47</v>
      </c>
      <c r="F281">
        <v>98.901933483117617</v>
      </c>
      <c r="G281">
        <v>97.615217847401908</v>
      </c>
      <c r="H281">
        <v>98.790379694242702</v>
      </c>
      <c r="I281">
        <v>98.534048058496779</v>
      </c>
      <c r="J281">
        <v>98.49</v>
      </c>
      <c r="K281">
        <v>95.88</v>
      </c>
      <c r="L281">
        <v>97.26</v>
      </c>
      <c r="M281">
        <v>97.86</v>
      </c>
      <c r="N281">
        <v>97.49</v>
      </c>
      <c r="O281">
        <v>98.77</v>
      </c>
      <c r="P281">
        <v>98.94</v>
      </c>
      <c r="Q281">
        <v>98.51</v>
      </c>
      <c r="R281">
        <v>98.900609991687247</v>
      </c>
      <c r="S281">
        <v>98.075356064866355</v>
      </c>
      <c r="T281">
        <v>98.655435144856696</v>
      </c>
      <c r="U281">
        <v>98.241688702058894</v>
      </c>
      <c r="V281">
        <v>98.92</v>
      </c>
      <c r="W281">
        <v>95.21</v>
      </c>
      <c r="X281">
        <v>98.29</v>
      </c>
      <c r="Y281">
        <v>99.02</v>
      </c>
      <c r="Z281">
        <v>98.63</v>
      </c>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97.2</v>
      </c>
      <c r="D282">
        <v>97.69</v>
      </c>
      <c r="E282">
        <v>97.6</v>
      </c>
      <c r="F282">
        <v>97.365403275603512</v>
      </c>
      <c r="G282">
        <v>97.253830554303747</v>
      </c>
      <c r="H282">
        <v>97.580384987632996</v>
      </c>
      <c r="I282">
        <v>97.666095759094048</v>
      </c>
      <c r="J282">
        <v>97.71</v>
      </c>
      <c r="K282">
        <v>97.33</v>
      </c>
      <c r="L282">
        <v>97.8</v>
      </c>
      <c r="M282">
        <v>98.34</v>
      </c>
      <c r="N282">
        <v>98.3</v>
      </c>
      <c r="O282">
        <v>96.7</v>
      </c>
      <c r="P282">
        <v>99.19</v>
      </c>
      <c r="Q282">
        <v>98.34</v>
      </c>
      <c r="R282">
        <v>98.764635383055221</v>
      </c>
      <c r="S282">
        <v>97.704802259887003</v>
      </c>
      <c r="T282">
        <v>97.999809505667201</v>
      </c>
      <c r="U282">
        <v>97.613943517569197</v>
      </c>
      <c r="V282">
        <v>97.62</v>
      </c>
      <c r="W282">
        <v>91.53</v>
      </c>
      <c r="X282">
        <v>93.67</v>
      </c>
      <c r="Y282">
        <v>98.95</v>
      </c>
      <c r="Z282">
        <v>97.78</v>
      </c>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96.39</v>
      </c>
      <c r="D283">
        <v>95.27</v>
      </c>
      <c r="E283">
        <v>95.97</v>
      </c>
      <c r="F283">
        <v>96.973140111015908</v>
      </c>
      <c r="G283">
        <v>96.558164354322301</v>
      </c>
      <c r="H283">
        <v>96.673907140917706</v>
      </c>
      <c r="I283">
        <v>96.604643765903305</v>
      </c>
      <c r="J283">
        <v>96.48</v>
      </c>
      <c r="K283">
        <v>93.27</v>
      </c>
      <c r="L283">
        <v>92.91</v>
      </c>
      <c r="M283">
        <v>93.79</v>
      </c>
      <c r="N283">
        <v>93.97</v>
      </c>
      <c r="O283">
        <v>95.35</v>
      </c>
      <c r="P283">
        <v>95.52</v>
      </c>
      <c r="Q283">
        <v>96.08</v>
      </c>
      <c r="R283">
        <v>98.265070491006327</v>
      </c>
      <c r="S283">
        <v>97.700665121738353</v>
      </c>
      <c r="T283">
        <v>98.122486854314801</v>
      </c>
      <c r="U283">
        <v>98.634812286689424</v>
      </c>
      <c r="V283">
        <v>98.41</v>
      </c>
      <c r="W283">
        <v>88.01</v>
      </c>
      <c r="X283">
        <v>93.97</v>
      </c>
      <c r="Y283">
        <v>95.78</v>
      </c>
      <c r="Z283">
        <v>95.84</v>
      </c>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98.67</v>
      </c>
      <c r="D284">
        <v>98.18</v>
      </c>
      <c r="E284">
        <v>98.23</v>
      </c>
      <c r="F284">
        <v>98.349464418045855</v>
      </c>
      <c r="G284">
        <v>98.483707925583403</v>
      </c>
      <c r="H284">
        <v>98.145717098785596</v>
      </c>
      <c r="I284">
        <v>98.075245682386452</v>
      </c>
      <c r="J284">
        <v>98</v>
      </c>
      <c r="K284">
        <v>98.01</v>
      </c>
      <c r="L284">
        <v>98.01</v>
      </c>
      <c r="M284">
        <v>98.28</v>
      </c>
      <c r="N284">
        <v>97.73</v>
      </c>
      <c r="O284">
        <v>99.13</v>
      </c>
      <c r="P284">
        <v>99.12</v>
      </c>
      <c r="Q284">
        <v>99.17</v>
      </c>
      <c r="R284">
        <v>99.459559049315232</v>
      </c>
      <c r="S284">
        <v>97.341307437233539</v>
      </c>
      <c r="T284">
        <v>98.528705260629295</v>
      </c>
      <c r="U284">
        <v>98.632891033373539</v>
      </c>
      <c r="V284">
        <v>98.88</v>
      </c>
      <c r="W284">
        <v>97.94</v>
      </c>
      <c r="X284">
        <v>96.75</v>
      </c>
      <c r="Y284">
        <v>97.39</v>
      </c>
      <c r="Z284">
        <v>98.33</v>
      </c>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897</v>
      </c>
      <c r="B285" s="149"/>
      <c r="C285" t="s">
        <v>879</v>
      </c>
      <c r="D285" t="s">
        <v>879</v>
      </c>
      <c r="E285" t="s">
        <v>879</v>
      </c>
      <c r="F285" t="s">
        <v>879</v>
      </c>
      <c r="G285" t="s">
        <v>879</v>
      </c>
      <c r="H285" t="s">
        <v>879</v>
      </c>
      <c r="I285" t="s">
        <v>879</v>
      </c>
      <c r="J285" t="s">
        <v>879</v>
      </c>
      <c r="K285" t="s">
        <v>879</v>
      </c>
      <c r="L285">
        <v>96.48</v>
      </c>
      <c r="M285">
        <v>96.97</v>
      </c>
      <c r="N285">
        <v>96.35</v>
      </c>
      <c r="O285" t="s">
        <v>879</v>
      </c>
      <c r="P285" t="s">
        <v>879</v>
      </c>
      <c r="Q285" t="s">
        <v>879</v>
      </c>
      <c r="R285" t="s">
        <v>879</v>
      </c>
      <c r="S285" t="s">
        <v>879</v>
      </c>
      <c r="T285" t="s">
        <v>879</v>
      </c>
      <c r="U285" t="s">
        <v>879</v>
      </c>
      <c r="V285" t="s">
        <v>879</v>
      </c>
      <c r="W285" t="s">
        <v>879</v>
      </c>
      <c r="X285">
        <v>95.95</v>
      </c>
      <c r="Y285">
        <v>98.02</v>
      </c>
      <c r="Z285">
        <v>98.48</v>
      </c>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98.74</v>
      </c>
      <c r="D286">
        <v>98.47</v>
      </c>
      <c r="E286">
        <v>98.47</v>
      </c>
      <c r="F286">
        <v>98.472318472318477</v>
      </c>
      <c r="G286">
        <v>98.498960255396412</v>
      </c>
      <c r="H286">
        <v>98.661870900170797</v>
      </c>
      <c r="I286">
        <v>98.477574388334062</v>
      </c>
      <c r="J286">
        <v>98.35</v>
      </c>
      <c r="K286">
        <v>97.03</v>
      </c>
      <c r="L286">
        <v>95.65</v>
      </c>
      <c r="M286">
        <v>97.41</v>
      </c>
      <c r="N286">
        <v>97.81</v>
      </c>
      <c r="O286">
        <v>98.72</v>
      </c>
      <c r="P286">
        <v>98.28</v>
      </c>
      <c r="Q286">
        <v>98.54</v>
      </c>
      <c r="R286">
        <v>98.544648739294487</v>
      </c>
      <c r="S286">
        <v>97.803790095746805</v>
      </c>
      <c r="T286">
        <v>97.534863291973195</v>
      </c>
      <c r="U286">
        <v>98.057363976259566</v>
      </c>
      <c r="V286">
        <v>98.44</v>
      </c>
      <c r="W286">
        <v>92.43</v>
      </c>
      <c r="X286">
        <v>88.58</v>
      </c>
      <c r="Y286">
        <v>98.39</v>
      </c>
      <c r="Z286">
        <v>97.89</v>
      </c>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894</v>
      </c>
      <c r="B287" s="149"/>
      <c r="C287" t="s">
        <v>879</v>
      </c>
      <c r="D287" t="s">
        <v>879</v>
      </c>
      <c r="E287" t="s">
        <v>879</v>
      </c>
      <c r="F287" t="s">
        <v>879</v>
      </c>
      <c r="G287" t="s">
        <v>879</v>
      </c>
      <c r="H287" t="s">
        <v>879</v>
      </c>
      <c r="I287" t="s">
        <v>879</v>
      </c>
      <c r="J287">
        <v>97.27</v>
      </c>
      <c r="K287">
        <v>97.02</v>
      </c>
      <c r="L287">
        <v>97.3</v>
      </c>
      <c r="M287">
        <v>97.28</v>
      </c>
      <c r="N287">
        <v>97.13</v>
      </c>
      <c r="O287" t="s">
        <v>879</v>
      </c>
      <c r="P287" t="s">
        <v>879</v>
      </c>
      <c r="Q287" t="s">
        <v>879</v>
      </c>
      <c r="R287" t="s">
        <v>879</v>
      </c>
      <c r="S287" t="s">
        <v>879</v>
      </c>
      <c r="T287" t="s">
        <v>879</v>
      </c>
      <c r="U287" t="s">
        <v>879</v>
      </c>
      <c r="V287">
        <v>98.38</v>
      </c>
      <c r="W287">
        <v>97.51</v>
      </c>
      <c r="X287">
        <v>98.13</v>
      </c>
      <c r="Y287">
        <v>98.37</v>
      </c>
      <c r="Z287">
        <v>97.9</v>
      </c>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96.25</v>
      </c>
      <c r="D288">
        <v>96.27</v>
      </c>
      <c r="E288">
        <v>96.47</v>
      </c>
      <c r="F288">
        <v>96.471265029051366</v>
      </c>
      <c r="G288">
        <v>96.367047586559778</v>
      </c>
      <c r="H288">
        <v>96.604864216381202</v>
      </c>
      <c r="I288">
        <v>96.679583459541888</v>
      </c>
      <c r="J288">
        <v>96.66</v>
      </c>
      <c r="K288">
        <v>91.06</v>
      </c>
      <c r="L288">
        <v>91.5</v>
      </c>
      <c r="M288">
        <v>93.56</v>
      </c>
      <c r="N288">
        <v>93.62</v>
      </c>
      <c r="O288">
        <v>98.23</v>
      </c>
      <c r="P288">
        <v>98.38</v>
      </c>
      <c r="Q288">
        <v>98.43</v>
      </c>
      <c r="R288">
        <v>98.523417647514137</v>
      </c>
      <c r="S288">
        <v>98.418871952827729</v>
      </c>
      <c r="T288">
        <v>98.386847564319595</v>
      </c>
      <c r="U288">
        <v>98.017748995995518</v>
      </c>
      <c r="V288">
        <v>97.58</v>
      </c>
      <c r="W288">
        <v>88.76</v>
      </c>
      <c r="X288">
        <v>91.84</v>
      </c>
      <c r="Y288">
        <v>95.54</v>
      </c>
      <c r="Z288">
        <v>97.16</v>
      </c>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899</v>
      </c>
      <c r="B289" s="149"/>
      <c r="C289" t="s">
        <v>879</v>
      </c>
      <c r="D289" t="s">
        <v>879</v>
      </c>
      <c r="E289" t="s">
        <v>879</v>
      </c>
      <c r="F289" t="s">
        <v>879</v>
      </c>
      <c r="G289" t="s">
        <v>879</v>
      </c>
      <c r="H289" t="s">
        <v>879</v>
      </c>
      <c r="I289" t="s">
        <v>879</v>
      </c>
      <c r="J289" t="s">
        <v>879</v>
      </c>
      <c r="K289" t="s">
        <v>879</v>
      </c>
      <c r="L289" t="s">
        <v>879</v>
      </c>
      <c r="M289" t="s">
        <v>879</v>
      </c>
      <c r="N289">
        <v>97.38</v>
      </c>
      <c r="O289" t="s">
        <v>879</v>
      </c>
      <c r="P289" t="s">
        <v>879</v>
      </c>
      <c r="Q289" t="s">
        <v>879</v>
      </c>
      <c r="R289" t="s">
        <v>879</v>
      </c>
      <c r="S289" t="s">
        <v>879</v>
      </c>
      <c r="T289" t="s">
        <v>879</v>
      </c>
      <c r="U289" t="s">
        <v>879</v>
      </c>
      <c r="V289" t="s">
        <v>879</v>
      </c>
      <c r="W289" t="s">
        <v>879</v>
      </c>
      <c r="X289" t="s">
        <v>879</v>
      </c>
      <c r="Y289" t="s">
        <v>879</v>
      </c>
      <c r="Z289">
        <v>94.44</v>
      </c>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95.96</v>
      </c>
      <c r="D290">
        <v>94.98</v>
      </c>
      <c r="E290">
        <v>95</v>
      </c>
      <c r="F290">
        <v>95.158139419866956</v>
      </c>
      <c r="G290">
        <v>95.140455686548663</v>
      </c>
      <c r="H290">
        <v>95.633630111425006</v>
      </c>
      <c r="I290">
        <v>95.698808155713124</v>
      </c>
      <c r="J290">
        <v>95.41</v>
      </c>
      <c r="K290">
        <v>95.32</v>
      </c>
      <c r="L290">
        <v>95.12</v>
      </c>
      <c r="M290">
        <v>96.02</v>
      </c>
      <c r="N290">
        <v>95.19</v>
      </c>
      <c r="O290">
        <v>96.57</v>
      </c>
      <c r="P290">
        <v>96.37</v>
      </c>
      <c r="Q290">
        <v>97.05</v>
      </c>
      <c r="R290">
        <v>97.122363485800577</v>
      </c>
      <c r="S290">
        <v>97.773425909441585</v>
      </c>
      <c r="T290">
        <v>98.554106169227595</v>
      </c>
      <c r="U290">
        <v>97.874052078034239</v>
      </c>
      <c r="V290">
        <v>97.18</v>
      </c>
      <c r="W290">
        <v>96.21</v>
      </c>
      <c r="X290">
        <v>96.2</v>
      </c>
      <c r="Y290">
        <v>96.5</v>
      </c>
      <c r="Z290">
        <v>97.61</v>
      </c>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97.78</v>
      </c>
      <c r="D291">
        <v>97.76</v>
      </c>
      <c r="E291">
        <v>97.8</v>
      </c>
      <c r="F291">
        <v>97.893584703359537</v>
      </c>
      <c r="G291">
        <v>98.055071380417274</v>
      </c>
      <c r="H291">
        <v>97.888463705819902</v>
      </c>
      <c r="I291">
        <v>97.814431612566338</v>
      </c>
      <c r="J291">
        <v>97.42</v>
      </c>
      <c r="K291">
        <v>97.82</v>
      </c>
      <c r="L291">
        <v>97.9</v>
      </c>
      <c r="M291">
        <v>97.73</v>
      </c>
      <c r="N291">
        <v>97.71</v>
      </c>
      <c r="O291">
        <v>97</v>
      </c>
      <c r="P291">
        <v>97.75</v>
      </c>
      <c r="Q291">
        <v>98.15</v>
      </c>
      <c r="R291">
        <v>98.088616845111588</v>
      </c>
      <c r="S291">
        <v>98.014221855797601</v>
      </c>
      <c r="T291">
        <v>98.258525692691805</v>
      </c>
      <c r="U291">
        <v>98.531699162907174</v>
      </c>
      <c r="V291">
        <v>98</v>
      </c>
      <c r="W291">
        <v>97.38</v>
      </c>
      <c r="X291">
        <v>97.43</v>
      </c>
      <c r="Y291">
        <v>97.87</v>
      </c>
      <c r="Z291">
        <v>97.8</v>
      </c>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98.76</v>
      </c>
      <c r="D292">
        <v>98.57</v>
      </c>
      <c r="E292">
        <v>98.62</v>
      </c>
      <c r="F292">
        <v>98.666803464903921</v>
      </c>
      <c r="G292">
        <v>98.798004687781713</v>
      </c>
      <c r="H292">
        <v>98.731333421435096</v>
      </c>
      <c r="I292">
        <v>98.672228785193937</v>
      </c>
      <c r="J292">
        <v>98.57</v>
      </c>
      <c r="K292">
        <v>98.31</v>
      </c>
      <c r="L292">
        <v>98.22</v>
      </c>
      <c r="M292">
        <v>98.57</v>
      </c>
      <c r="N292">
        <v>98.14</v>
      </c>
      <c r="O292">
        <v>98.56</v>
      </c>
      <c r="P292">
        <v>99.43</v>
      </c>
      <c r="Q292">
        <v>98.56</v>
      </c>
      <c r="R292">
        <v>98.530905058136511</v>
      </c>
      <c r="S292">
        <v>98.949628361393067</v>
      </c>
      <c r="T292">
        <v>99.012904307021898</v>
      </c>
      <c r="U292">
        <v>98.643389302791064</v>
      </c>
      <c r="V292">
        <v>97.68</v>
      </c>
      <c r="W292">
        <v>96.09</v>
      </c>
      <c r="X292">
        <v>97.68</v>
      </c>
      <c r="Y292">
        <v>98.18</v>
      </c>
      <c r="Z292">
        <v>98.76</v>
      </c>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97.75</v>
      </c>
      <c r="D293">
        <v>97.73</v>
      </c>
      <c r="E293">
        <v>98.02</v>
      </c>
      <c r="F293">
        <v>98.76556166288421</v>
      </c>
      <c r="G293">
        <v>98.108276133321496</v>
      </c>
      <c r="H293">
        <v>98.310639224127499</v>
      </c>
      <c r="I293">
        <v>98.048786063737367</v>
      </c>
      <c r="J293">
        <v>98.01</v>
      </c>
      <c r="K293">
        <v>96.66</v>
      </c>
      <c r="L293">
        <v>97.11</v>
      </c>
      <c r="M293">
        <v>97.33</v>
      </c>
      <c r="N293">
        <v>97.35</v>
      </c>
      <c r="O293">
        <v>95.38</v>
      </c>
      <c r="P293">
        <v>95.71</v>
      </c>
      <c r="Q293">
        <v>97</v>
      </c>
      <c r="R293">
        <v>97.986241400875556</v>
      </c>
      <c r="S293">
        <v>98.314317261685673</v>
      </c>
      <c r="T293">
        <v>99.072844649970193</v>
      </c>
      <c r="U293">
        <v>96.942471475031809</v>
      </c>
      <c r="V293">
        <v>98.25</v>
      </c>
      <c r="W293">
        <v>95.19</v>
      </c>
      <c r="X293">
        <v>96.19</v>
      </c>
      <c r="Y293">
        <v>98.01</v>
      </c>
      <c r="Z293">
        <v>98.36</v>
      </c>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96.77</v>
      </c>
      <c r="D294">
        <v>95.43</v>
      </c>
      <c r="E294">
        <v>95.48</v>
      </c>
      <c r="F294">
        <v>95.256592429684318</v>
      </c>
      <c r="G294">
        <v>95.423255179934571</v>
      </c>
      <c r="H294">
        <v>95.468266203733606</v>
      </c>
      <c r="I294">
        <v>94.84457509935217</v>
      </c>
      <c r="J294">
        <v>94.79</v>
      </c>
      <c r="K294">
        <v>93.85</v>
      </c>
      <c r="L294">
        <v>94.43</v>
      </c>
      <c r="M294">
        <v>94.29</v>
      </c>
      <c r="N294">
        <v>93.72</v>
      </c>
      <c r="O294">
        <v>95.35</v>
      </c>
      <c r="P294">
        <v>96.9</v>
      </c>
      <c r="Q294">
        <v>98.2</v>
      </c>
      <c r="R294">
        <v>97.238545362747715</v>
      </c>
      <c r="S294">
        <v>97.561491948821768</v>
      </c>
      <c r="T294">
        <v>97.927103603417095</v>
      </c>
      <c r="U294">
        <v>97.898122014763359</v>
      </c>
      <c r="V294">
        <v>97.12</v>
      </c>
      <c r="W294">
        <v>94.28</v>
      </c>
      <c r="X294">
        <v>96.21</v>
      </c>
      <c r="Y294">
        <v>95.99</v>
      </c>
      <c r="Z294">
        <v>96.6</v>
      </c>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97.96</v>
      </c>
      <c r="D295">
        <v>97.98</v>
      </c>
      <c r="E295">
        <v>98.25</v>
      </c>
      <c r="F295">
        <v>98.470363288718929</v>
      </c>
      <c r="G295">
        <v>98.673983938397001</v>
      </c>
      <c r="H295">
        <v>98.749096266386502</v>
      </c>
      <c r="I295">
        <v>98.663434281243184</v>
      </c>
      <c r="J295">
        <v>98.42</v>
      </c>
      <c r="K295">
        <v>98.07</v>
      </c>
      <c r="L295">
        <v>98.42</v>
      </c>
      <c r="M295">
        <v>97.9</v>
      </c>
      <c r="N295">
        <v>97.89</v>
      </c>
      <c r="O295">
        <v>97.46</v>
      </c>
      <c r="P295">
        <v>98.16</v>
      </c>
      <c r="Q295">
        <v>97.47</v>
      </c>
      <c r="R295">
        <v>97.793572311495666</v>
      </c>
      <c r="S295">
        <v>97.857024997937458</v>
      </c>
      <c r="T295">
        <v>98.460033181605397</v>
      </c>
      <c r="U295">
        <v>97.440006574621961</v>
      </c>
      <c r="V295">
        <v>97.51</v>
      </c>
      <c r="W295">
        <v>94.33</v>
      </c>
      <c r="X295">
        <v>96.19</v>
      </c>
      <c r="Y295">
        <v>96.06</v>
      </c>
      <c r="Z295">
        <v>93.81</v>
      </c>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99.43</v>
      </c>
      <c r="D296">
        <v>99.29</v>
      </c>
      <c r="E296">
        <v>99.51</v>
      </c>
      <c r="F296">
        <v>99.514325890319427</v>
      </c>
      <c r="G296">
        <v>99.605225788128365</v>
      </c>
      <c r="H296">
        <v>99.486358894566493</v>
      </c>
      <c r="I296">
        <v>99.443926532881932</v>
      </c>
      <c r="J296">
        <v>99.49</v>
      </c>
      <c r="K296">
        <v>99.09</v>
      </c>
      <c r="L296">
        <v>99.47</v>
      </c>
      <c r="M296">
        <v>99.49</v>
      </c>
      <c r="N296">
        <v>99.26</v>
      </c>
      <c r="O296">
        <v>98.42</v>
      </c>
      <c r="P296">
        <v>99.07</v>
      </c>
      <c r="Q296">
        <v>99.77</v>
      </c>
      <c r="R296">
        <v>99.090799094256127</v>
      </c>
      <c r="S296">
        <v>99.698348500168521</v>
      </c>
      <c r="T296">
        <v>98.919140163114307</v>
      </c>
      <c r="U296">
        <v>99.121893557738318</v>
      </c>
      <c r="V296">
        <v>99.44</v>
      </c>
      <c r="W296">
        <v>98.78</v>
      </c>
      <c r="X296">
        <v>98.95</v>
      </c>
      <c r="Y296">
        <v>98.88</v>
      </c>
      <c r="Z296">
        <v>98.06</v>
      </c>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96.49</v>
      </c>
      <c r="D297">
        <v>95.62</v>
      </c>
      <c r="E297">
        <v>94.96</v>
      </c>
      <c r="F297">
        <v>94.363840467667799</v>
      </c>
      <c r="G297">
        <v>93.929205658758505</v>
      </c>
      <c r="H297">
        <v>94.0154349198571</v>
      </c>
      <c r="I297">
        <v>94.057260078487332</v>
      </c>
      <c r="J297">
        <v>93.78</v>
      </c>
      <c r="K297">
        <v>91.73</v>
      </c>
      <c r="L297">
        <v>91.91</v>
      </c>
      <c r="M297">
        <v>93.66</v>
      </c>
      <c r="N297">
        <v>93.14</v>
      </c>
      <c r="O297">
        <v>95.4</v>
      </c>
      <c r="P297">
        <v>94.76</v>
      </c>
      <c r="Q297">
        <v>96.48</v>
      </c>
      <c r="R297">
        <v>97.783122717265428</v>
      </c>
      <c r="S297">
        <v>98.149874232306331</v>
      </c>
      <c r="T297">
        <v>97.235108801127197</v>
      </c>
      <c r="U297">
        <v>97.231374216176008</v>
      </c>
      <c r="V297">
        <v>97.23</v>
      </c>
      <c r="W297">
        <v>89.17</v>
      </c>
      <c r="X297">
        <v>95.25</v>
      </c>
      <c r="Y297">
        <v>94.89</v>
      </c>
      <c r="Z297">
        <v>95.91</v>
      </c>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97.55</v>
      </c>
      <c r="D298">
        <v>97.4</v>
      </c>
      <c r="E298">
        <v>97.57</v>
      </c>
      <c r="F298">
        <v>97.663117427269384</v>
      </c>
      <c r="G298">
        <v>97.935507631869697</v>
      </c>
      <c r="H298">
        <v>98.063068383134507</v>
      </c>
      <c r="I298">
        <v>98.112045967576449</v>
      </c>
      <c r="J298">
        <v>97.88</v>
      </c>
      <c r="K298">
        <v>97.63</v>
      </c>
      <c r="L298">
        <v>97.5</v>
      </c>
      <c r="M298">
        <v>95.02</v>
      </c>
      <c r="N298">
        <v>94.73</v>
      </c>
      <c r="O298">
        <v>98.5</v>
      </c>
      <c r="P298">
        <v>98.01</v>
      </c>
      <c r="Q298">
        <v>98.13</v>
      </c>
      <c r="R298">
        <v>98.744189442429857</v>
      </c>
      <c r="S298">
        <v>98.932150484639394</v>
      </c>
      <c r="T298">
        <v>98.895120314447297</v>
      </c>
      <c r="U298">
        <v>98.725935641013635</v>
      </c>
      <c r="V298">
        <v>97.92</v>
      </c>
      <c r="W298">
        <v>91.71</v>
      </c>
      <c r="X298">
        <v>94.79</v>
      </c>
      <c r="Y298">
        <v>92.92</v>
      </c>
      <c r="Z298">
        <v>95.12</v>
      </c>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97.8</v>
      </c>
      <c r="D299">
        <v>97.59</v>
      </c>
      <c r="E299">
        <v>98.02</v>
      </c>
      <c r="F299">
        <v>97.291943044131955</v>
      </c>
      <c r="G299">
        <v>97.458494905239121</v>
      </c>
      <c r="H299">
        <v>97.404117496151798</v>
      </c>
      <c r="I299">
        <v>97.424022278726241</v>
      </c>
      <c r="J299">
        <v>97.37</v>
      </c>
      <c r="K299">
        <v>96.01</v>
      </c>
      <c r="L299">
        <v>96.59</v>
      </c>
      <c r="M299">
        <v>97.08</v>
      </c>
      <c r="N299">
        <v>96.59</v>
      </c>
      <c r="O299">
        <v>96.84</v>
      </c>
      <c r="P299">
        <v>97.66</v>
      </c>
      <c r="Q299">
        <v>98.25</v>
      </c>
      <c r="R299">
        <v>98.154877513940235</v>
      </c>
      <c r="S299">
        <v>97.914158439682154</v>
      </c>
      <c r="T299">
        <v>99.531381798869006</v>
      </c>
      <c r="U299">
        <v>98.103705545884111</v>
      </c>
      <c r="V299">
        <v>97.53</v>
      </c>
      <c r="W299">
        <v>91.83</v>
      </c>
      <c r="X299">
        <v>96.24</v>
      </c>
      <c r="Y299">
        <v>98.23</v>
      </c>
      <c r="Z299">
        <v>98.37</v>
      </c>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98.61</v>
      </c>
      <c r="D300">
        <v>98.44</v>
      </c>
      <c r="E300">
        <v>98.64</v>
      </c>
      <c r="F300">
        <v>98.521928761812447</v>
      </c>
      <c r="G300">
        <v>98.836520333961758</v>
      </c>
      <c r="H300">
        <v>98.920683053439006</v>
      </c>
      <c r="I300">
        <v>98.872892707591689</v>
      </c>
      <c r="J300">
        <v>98.63</v>
      </c>
      <c r="K300">
        <v>98.61</v>
      </c>
      <c r="L300">
        <v>98.54</v>
      </c>
      <c r="M300">
        <v>96.75</v>
      </c>
      <c r="N300">
        <v>96.71</v>
      </c>
      <c r="O300">
        <v>98.57</v>
      </c>
      <c r="P300">
        <v>98.37</v>
      </c>
      <c r="Q300">
        <v>98.32</v>
      </c>
      <c r="R300">
        <v>98.166662531940759</v>
      </c>
      <c r="S300">
        <v>98.519760139761075</v>
      </c>
      <c r="T300">
        <v>99.128524699758799</v>
      </c>
      <c r="U300">
        <v>99.510145331290332</v>
      </c>
      <c r="V300">
        <v>99.09</v>
      </c>
      <c r="W300">
        <v>89.83</v>
      </c>
      <c r="X300">
        <v>97.42</v>
      </c>
      <c r="Y300">
        <v>96.54</v>
      </c>
      <c r="Z300">
        <v>97.37</v>
      </c>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98.23</v>
      </c>
      <c r="D301">
        <v>98.02</v>
      </c>
      <c r="E301">
        <v>97.66</v>
      </c>
      <c r="F301">
        <v>97.886570843377868</v>
      </c>
      <c r="G301">
        <v>97.67597420417124</v>
      </c>
      <c r="H301">
        <v>97.068769305803897</v>
      </c>
      <c r="I301">
        <v>96.803604153940142</v>
      </c>
      <c r="J301">
        <v>96.89</v>
      </c>
      <c r="K301">
        <v>95.46</v>
      </c>
      <c r="L301">
        <v>96.37</v>
      </c>
      <c r="M301">
        <v>96.66</v>
      </c>
      <c r="N301">
        <v>97.18</v>
      </c>
      <c r="O301">
        <v>98.81</v>
      </c>
      <c r="P301">
        <v>98.24</v>
      </c>
      <c r="Q301">
        <v>98.21</v>
      </c>
      <c r="R301">
        <v>98.11003472856882</v>
      </c>
      <c r="S301">
        <v>99.147647224570306</v>
      </c>
      <c r="T301">
        <v>97.823214154614107</v>
      </c>
      <c r="U301">
        <v>98.076017247001701</v>
      </c>
      <c r="V301">
        <v>97.23</v>
      </c>
      <c r="W301">
        <v>92.01</v>
      </c>
      <c r="X301">
        <v>96.79</v>
      </c>
      <c r="Y301">
        <v>98.33</v>
      </c>
      <c r="Z301">
        <v>99.55</v>
      </c>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98.18</v>
      </c>
      <c r="D302">
        <v>97.03</v>
      </c>
      <c r="E302">
        <v>96.71</v>
      </c>
      <c r="F302">
        <v>96.782788515071985</v>
      </c>
      <c r="G302">
        <v>96.924950810456295</v>
      </c>
      <c r="H302">
        <v>97.170118771726493</v>
      </c>
      <c r="I302">
        <v>97.295207327341785</v>
      </c>
      <c r="J302">
        <v>97.46</v>
      </c>
      <c r="K302">
        <v>97.26</v>
      </c>
      <c r="L302">
        <v>97.38</v>
      </c>
      <c r="M302">
        <v>97.11</v>
      </c>
      <c r="N302">
        <v>97.23</v>
      </c>
      <c r="O302">
        <v>100</v>
      </c>
      <c r="P302">
        <v>96.55</v>
      </c>
      <c r="Q302">
        <v>96.86</v>
      </c>
      <c r="R302">
        <v>97.135116830342028</v>
      </c>
      <c r="S302">
        <v>96.119597010074756</v>
      </c>
      <c r="T302">
        <v>96.700975626110505</v>
      </c>
      <c r="U302">
        <v>97.996080021627463</v>
      </c>
      <c r="V302">
        <v>97.92</v>
      </c>
      <c r="W302">
        <v>94.93</v>
      </c>
      <c r="X302">
        <v>98.65</v>
      </c>
      <c r="Y302">
        <v>97.09</v>
      </c>
      <c r="Z302">
        <v>95.75</v>
      </c>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97.94</v>
      </c>
      <c r="D303">
        <v>97.58</v>
      </c>
      <c r="E303">
        <v>97.55</v>
      </c>
      <c r="F303">
        <v>97.507172457762195</v>
      </c>
      <c r="G303">
        <v>97.571905809500521</v>
      </c>
      <c r="H303">
        <v>97.326286185327007</v>
      </c>
      <c r="I303">
        <v>97.70736877335861</v>
      </c>
      <c r="J303">
        <v>97.59</v>
      </c>
      <c r="K303">
        <v>96.6</v>
      </c>
      <c r="L303">
        <v>96.77</v>
      </c>
      <c r="M303">
        <v>97.46</v>
      </c>
      <c r="N303">
        <v>97.38</v>
      </c>
      <c r="O303">
        <v>98.02</v>
      </c>
      <c r="P303">
        <v>98.01</v>
      </c>
      <c r="Q303">
        <v>98.2</v>
      </c>
      <c r="R303">
        <v>98.439012116285369</v>
      </c>
      <c r="S303">
        <v>99.045188126299863</v>
      </c>
      <c r="T303">
        <v>98.906777785262605</v>
      </c>
      <c r="U303">
        <v>98.829651355314823</v>
      </c>
      <c r="V303">
        <v>97.76</v>
      </c>
      <c r="W303">
        <v>91.93</v>
      </c>
      <c r="X303">
        <v>97.19</v>
      </c>
      <c r="Y303">
        <v>98.17</v>
      </c>
      <c r="Z303">
        <v>97.93</v>
      </c>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312" activePane="bottomRight" state="frozen"/>
      <selection activeCell="N70" sqref="N70"/>
      <selection pane="topRight" activeCell="N70" sqref="N70"/>
      <selection pane="bottomLeft" activeCell="N70" sqref="N70"/>
      <selection pane="bottomRight" activeCell="K2" sqref="K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67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UA1</v>
      </c>
      <c r="B3" s="22" t="str">
        <f>J3&amp;(COUNTIF(J$2:J3,J3))</f>
        <v>Unitary1</v>
      </c>
      <c r="C3" t="s">
        <v>898</v>
      </c>
      <c r="D3" t="s">
        <v>898</v>
      </c>
      <c r="E3" s="25" t="s">
        <v>374</v>
      </c>
      <c r="F3" s="25" t="s">
        <v>385</v>
      </c>
      <c r="G3" s="25" t="s">
        <v>394</v>
      </c>
      <c r="H3" s="26" t="s">
        <v>890</v>
      </c>
      <c r="I3" s="27" t="s">
        <v>380</v>
      </c>
      <c r="J3" s="3" t="s">
        <v>394</v>
      </c>
      <c r="K3" s="3" t="s">
        <v>335</v>
      </c>
    </row>
    <row r="4" spans="1:13" ht="14.4">
      <c r="A4" s="22" t="str">
        <f>F4&amp;(COUNTIFS(F$2:F4,F4,K$2:K4,"Sparse"))</f>
        <v>SD0</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SD0</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SD0</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SD0</v>
      </c>
      <c r="B7" s="22" t="str">
        <f>J7&amp;(COUNTIF(J$2:J7,J7))</f>
        <v>Kent1</v>
      </c>
      <c r="C7" t="s">
        <v>10</v>
      </c>
      <c r="D7" t="s">
        <v>10</v>
      </c>
      <c r="E7" s="25" t="s">
        <v>0</v>
      </c>
      <c r="F7" s="25" t="s">
        <v>379</v>
      </c>
      <c r="G7" s="25" t="s">
        <v>5</v>
      </c>
      <c r="H7" s="26" t="s">
        <v>891</v>
      </c>
      <c r="I7" s="27" t="s">
        <v>891</v>
      </c>
      <c r="J7" t="s">
        <v>315</v>
      </c>
    </row>
    <row r="8" spans="1:13" ht="14.4">
      <c r="A8" s="22" t="str">
        <f>F8&amp;(COUNTIFS(F$2:F8,F8,K$2:K8,"Sparse"))</f>
        <v>SD1</v>
      </c>
      <c r="B8" s="22" t="str">
        <f>J8&amp;(COUNTIF(J$2:J8,J8))</f>
        <v>Suffolk1</v>
      </c>
      <c r="C8" t="s">
        <v>12</v>
      </c>
      <c r="D8" t="s">
        <v>12</v>
      </c>
      <c r="E8" s="25" t="s">
        <v>368</v>
      </c>
      <c r="F8" s="25" t="s">
        <v>379</v>
      </c>
      <c r="G8" s="25" t="s">
        <v>5</v>
      </c>
      <c r="H8" s="26" t="s">
        <v>890</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UA2</v>
      </c>
      <c r="B12" s="22" t="str">
        <f>J12&amp;(COUNTIF(J$2:J12,J12))</f>
        <v>Unitary2</v>
      </c>
      <c r="C12" t="s">
        <v>899</v>
      </c>
      <c r="D12" t="s">
        <v>899</v>
      </c>
      <c r="E12" s="25" t="s">
        <v>374</v>
      </c>
      <c r="F12" s="25" t="s">
        <v>385</v>
      </c>
      <c r="G12" s="25" t="s">
        <v>394</v>
      </c>
      <c r="H12" s="26" t="s">
        <v>890</v>
      </c>
      <c r="I12" s="27" t="s">
        <v>380</v>
      </c>
      <c r="J12" s="3" t="s">
        <v>394</v>
      </c>
      <c r="K12" t="s">
        <v>335</v>
      </c>
    </row>
    <row r="13" spans="1:13" ht="14.4">
      <c r="A13" s="22" t="str">
        <f>F13&amp;(COUNTIFS(F$2:F13,F13,K$2:K13,"Sparse"))</f>
        <v>SD1</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SD1</v>
      </c>
      <c r="B14" s="22" t="str">
        <f>J14&amp;(COUNTIF(J$2:J14,J14))</f>
        <v>Hampshire1</v>
      </c>
      <c r="C14" t="s">
        <v>342</v>
      </c>
      <c r="D14" t="s">
        <v>342</v>
      </c>
      <c r="E14" s="25" t="s">
        <v>0</v>
      </c>
      <c r="F14" s="25" t="s">
        <v>379</v>
      </c>
      <c r="G14" s="25" t="s">
        <v>5</v>
      </c>
      <c r="H14" s="26" t="s">
        <v>891</v>
      </c>
      <c r="I14" s="27" t="s">
        <v>891</v>
      </c>
      <c r="J14" t="s">
        <v>313</v>
      </c>
    </row>
    <row r="15" spans="1:13" ht="14.4">
      <c r="A15" s="22" t="str">
        <f>F15&amp;(COUNTIFS(F$2:F15,F15,K$2:K15,"Sparse"))</f>
        <v>SD1</v>
      </c>
      <c r="B15" s="22" t="str">
        <f>J15&amp;(COUNTIF(J$2:J15,J15))</f>
        <v>Nottinghamshire2</v>
      </c>
      <c r="C15" t="s">
        <v>15</v>
      </c>
      <c r="D15" t="s">
        <v>15</v>
      </c>
      <c r="E15" s="25" t="s">
        <v>366</v>
      </c>
      <c r="F15" s="25" t="s">
        <v>379</v>
      </c>
      <c r="G15" s="25" t="s">
        <v>5</v>
      </c>
      <c r="H15" s="26" t="s">
        <v>890</v>
      </c>
      <c r="I15" s="27" t="s">
        <v>380</v>
      </c>
      <c r="J15" t="s">
        <v>323</v>
      </c>
    </row>
    <row r="16" spans="1:13" ht="14.4">
      <c r="A16" s="22" t="str">
        <f>F16&amp;(COUNTIFS(F$2:F16,F16,K$2:K16,"Sparse"))</f>
        <v>UA2</v>
      </c>
      <c r="B16" s="22" t="str">
        <f>J16&amp;(COUNTIF(J$2:J16,J16))</f>
        <v>Unitary3</v>
      </c>
      <c r="C16" t="s">
        <v>258</v>
      </c>
      <c r="D16" t="s">
        <v>258</v>
      </c>
      <c r="E16" s="25" t="s">
        <v>1</v>
      </c>
      <c r="F16" s="25" t="s">
        <v>385</v>
      </c>
      <c r="G16" s="25" t="s">
        <v>394</v>
      </c>
      <c r="H16" s="26" t="s">
        <v>891</v>
      </c>
      <c r="I16" s="27" t="s">
        <v>891</v>
      </c>
      <c r="J16" s="3" t="s">
        <v>394</v>
      </c>
    </row>
    <row r="17" spans="1:11" ht="14.4">
      <c r="A17" s="22" t="str">
        <f>F17&amp;(COUNTIFS(F$2:F17,F17,K$2:K17,"Sparse"))</f>
        <v>UA2</v>
      </c>
      <c r="B17" s="22" t="str">
        <f>J17&amp;(COUNTIF(J$2:J17,J17))</f>
        <v>Unitary4</v>
      </c>
      <c r="C17" t="s">
        <v>259</v>
      </c>
      <c r="D17" t="s">
        <v>259</v>
      </c>
      <c r="E17" s="25" t="s">
        <v>368</v>
      </c>
      <c r="F17" s="25" t="s">
        <v>385</v>
      </c>
      <c r="G17" s="25" t="s">
        <v>394</v>
      </c>
      <c r="H17" s="26" t="s">
        <v>891</v>
      </c>
      <c r="I17" s="27" t="s">
        <v>891</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SD1</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UA2</v>
      </c>
      <c r="B21" s="22" t="str">
        <f>J21&amp;(COUNTIF(J$2:J21,J21))</f>
        <v>Unitary5</v>
      </c>
      <c r="C21" t="s">
        <v>260</v>
      </c>
      <c r="D21" t="s">
        <v>260</v>
      </c>
      <c r="E21" s="25" t="s">
        <v>374</v>
      </c>
      <c r="F21" s="25" t="s">
        <v>385</v>
      </c>
      <c r="G21" s="25" t="s">
        <v>394</v>
      </c>
      <c r="H21" s="26" t="s">
        <v>382</v>
      </c>
      <c r="I21" s="27" t="s">
        <v>382</v>
      </c>
      <c r="J21" s="3" t="s">
        <v>394</v>
      </c>
    </row>
    <row r="22" spans="1:11" ht="14.4">
      <c r="A22" s="22" t="str">
        <f>F22&amp;(COUNTIFS(F$2:F22,F22,K$2:K22,"Sparse"))</f>
        <v>UA2</v>
      </c>
      <c r="B22" s="22" t="str">
        <f>J22&amp;(COUNTIF(J$2:J22,J22))</f>
        <v>Unitary6</v>
      </c>
      <c r="C22" t="s">
        <v>261</v>
      </c>
      <c r="D22" t="s">
        <v>261</v>
      </c>
      <c r="E22" s="25" t="s">
        <v>374</v>
      </c>
      <c r="F22" s="25" t="s">
        <v>385</v>
      </c>
      <c r="G22" s="25" t="s">
        <v>394</v>
      </c>
      <c r="H22" s="26" t="s">
        <v>382</v>
      </c>
      <c r="I22" s="27" t="s">
        <v>382</v>
      </c>
      <c r="J22" s="3" t="s">
        <v>394</v>
      </c>
    </row>
    <row r="23" spans="1:11" ht="14.4">
      <c r="A23" s="22" t="str">
        <f>F23&amp;(COUNTIFS(F$2:F23,F23,K$2:K23,"Sparse"))</f>
        <v>SD1</v>
      </c>
      <c r="B23" s="22" t="str">
        <f>J23&amp;(COUNTIF(J$2:J23,J23))</f>
        <v>Derbyshire2</v>
      </c>
      <c r="C23" t="s">
        <v>17</v>
      </c>
      <c r="D23" t="s">
        <v>17</v>
      </c>
      <c r="E23" s="25" t="s">
        <v>366</v>
      </c>
      <c r="F23" s="25" t="s">
        <v>379</v>
      </c>
      <c r="G23" s="25" t="s">
        <v>5</v>
      </c>
      <c r="H23" s="26" t="s">
        <v>891</v>
      </c>
      <c r="I23" s="27" t="s">
        <v>891</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SD2</v>
      </c>
      <c r="B25" s="22" t="str">
        <f>J25&amp;(COUNTIF(J$2:J25,J25))</f>
        <v>Lincolnshire1</v>
      </c>
      <c r="C25" t="s">
        <v>18</v>
      </c>
      <c r="D25" t="s">
        <v>18</v>
      </c>
      <c r="E25" s="25" t="s">
        <v>366</v>
      </c>
      <c r="F25" s="25" t="s">
        <v>379</v>
      </c>
      <c r="G25" s="25" t="s">
        <v>5</v>
      </c>
      <c r="H25" s="26" t="s">
        <v>891</v>
      </c>
      <c r="I25" s="27" t="s">
        <v>891</v>
      </c>
      <c r="J25" t="s">
        <v>318</v>
      </c>
      <c r="K25" t="s">
        <v>335</v>
      </c>
    </row>
    <row r="26" spans="1:11" ht="14.4">
      <c r="A26" s="22" t="str">
        <f>F26&amp;(COUNTIFS(F$2:F26,F26,K$2:K26,"Sparse"))</f>
        <v>UA2</v>
      </c>
      <c r="B26" s="22" t="str">
        <f>J26&amp;(COUNTIF(J$2:J26,J26))</f>
        <v>Unitary7</v>
      </c>
      <c r="C26" t="s">
        <v>895</v>
      </c>
      <c r="D26" t="s">
        <v>895</v>
      </c>
      <c r="E26" s="25" t="s">
        <v>1</v>
      </c>
      <c r="F26" s="25" t="s">
        <v>385</v>
      </c>
      <c r="G26" s="25" t="s">
        <v>394</v>
      </c>
      <c r="H26" s="26" t="s">
        <v>382</v>
      </c>
      <c r="I26" s="27" t="s">
        <v>382</v>
      </c>
      <c r="J26" s="3" t="s">
        <v>394</v>
      </c>
    </row>
    <row r="27" spans="1:11" ht="14.4">
      <c r="A27" s="22" t="str">
        <f>F27&amp;(COUNTIFS(F$2:F27,F27,K$2:K27,"Sparse"))</f>
        <v>UA2</v>
      </c>
      <c r="B27" s="22" t="str">
        <f>J27&amp;(COUNTIF(J$2:J27,J27))</f>
        <v>Unitary8</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SD3</v>
      </c>
      <c r="B29" s="22" t="str">
        <f>J29&amp;(COUNTIF(J$2:J29,J29))</f>
        <v>Essex2</v>
      </c>
      <c r="C29" t="s">
        <v>19</v>
      </c>
      <c r="D29" t="s">
        <v>19</v>
      </c>
      <c r="E29" s="25" t="s">
        <v>368</v>
      </c>
      <c r="F29" s="25" t="s">
        <v>379</v>
      </c>
      <c r="G29" s="25" t="s">
        <v>5</v>
      </c>
      <c r="H29" s="26" t="s">
        <v>890</v>
      </c>
      <c r="I29" s="27" t="s">
        <v>380</v>
      </c>
      <c r="J29" t="s">
        <v>311</v>
      </c>
      <c r="K29" t="s">
        <v>335</v>
      </c>
    </row>
    <row r="30" spans="1:11" ht="14.4">
      <c r="A30" s="22" t="str">
        <f>F30&amp;(COUNTIFS(F$2:F30,F30,K$2:K30,"Sparse"))</f>
        <v>SD3</v>
      </c>
      <c r="B30" s="22" t="str">
        <f>J30&amp;(COUNTIF(J$2:J30,J30))</f>
        <v>Norfolk1</v>
      </c>
      <c r="C30" t="s">
        <v>20</v>
      </c>
      <c r="D30" t="s">
        <v>20</v>
      </c>
      <c r="E30" s="25" t="s">
        <v>368</v>
      </c>
      <c r="F30" s="25" t="s">
        <v>379</v>
      </c>
      <c r="G30" s="25" t="s">
        <v>5</v>
      </c>
      <c r="H30" s="26" t="s">
        <v>890</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SD3</v>
      </c>
      <c r="B32" s="22" t="str">
        <f>J32&amp;(COUNTIF(J$2:J32,J32))</f>
        <v>Essex3</v>
      </c>
      <c r="C32" t="s">
        <v>21</v>
      </c>
      <c r="D32" t="s">
        <v>21</v>
      </c>
      <c r="E32" s="25" t="s">
        <v>368</v>
      </c>
      <c r="F32" s="25" t="s">
        <v>379</v>
      </c>
      <c r="G32" s="25" t="s">
        <v>5</v>
      </c>
      <c r="H32" s="26" t="s">
        <v>891</v>
      </c>
      <c r="I32" s="27" t="s">
        <v>891</v>
      </c>
      <c r="J32" t="s">
        <v>311</v>
      </c>
    </row>
    <row r="33" spans="1:10" ht="14.4">
      <c r="A33" s="22" t="str">
        <f>F33&amp;(COUNTIFS(F$2:F33,F33,K$2:K33,"Sparse"))</f>
        <v>UA2</v>
      </c>
      <c r="B33" s="22" t="str">
        <f>J33&amp;(COUNTIF(J$2:J33,J33))</f>
        <v>Unitary9</v>
      </c>
      <c r="C33" t="s">
        <v>812</v>
      </c>
      <c r="D33" t="s">
        <v>812</v>
      </c>
      <c r="E33" s="25" t="s">
        <v>0</v>
      </c>
      <c r="F33" s="25" t="s">
        <v>385</v>
      </c>
      <c r="G33" s="25" t="s">
        <v>394</v>
      </c>
      <c r="H33" s="26" t="s">
        <v>382</v>
      </c>
      <c r="I33" s="27" t="s">
        <v>382</v>
      </c>
      <c r="J33" s="3" t="s">
        <v>394</v>
      </c>
    </row>
    <row r="34" spans="1:10" ht="14.4">
      <c r="A34" s="22" t="str">
        <f>F34&amp;(COUNTIFS(F$2:F34,F34,K$2:K34,"Sparse"))</f>
        <v>UA2</v>
      </c>
      <c r="B34" s="22" t="str">
        <f>J34&amp;(COUNTIF(J$2:J34,J34))</f>
        <v>Unitary10</v>
      </c>
      <c r="C34" t="s">
        <v>816</v>
      </c>
      <c r="D34" t="s">
        <v>386</v>
      </c>
      <c r="E34" s="25" t="s">
        <v>1</v>
      </c>
      <c r="F34" s="25" t="s">
        <v>385</v>
      </c>
      <c r="G34" s="25" t="s">
        <v>394</v>
      </c>
      <c r="H34" s="26" t="s">
        <v>382</v>
      </c>
      <c r="I34" s="27" t="s">
        <v>382</v>
      </c>
      <c r="J34" s="3" t="s">
        <v>394</v>
      </c>
    </row>
    <row r="35" spans="1:10" ht="14.4">
      <c r="A35" s="22" t="str">
        <f>F35&amp;(COUNTIFS(F$2:F35,F35,K$2:K35,"Sparse"))</f>
        <v>SD3</v>
      </c>
      <c r="B35" s="22" t="str">
        <f>J35&amp;(COUNTIF(J$2:J35,J35))</f>
        <v>Norfolk2</v>
      </c>
      <c r="C35" t="s">
        <v>22</v>
      </c>
      <c r="D35" t="s">
        <v>22</v>
      </c>
      <c r="E35" s="25" t="s">
        <v>368</v>
      </c>
      <c r="F35" s="25" t="s">
        <v>379</v>
      </c>
      <c r="G35" s="25" t="s">
        <v>5</v>
      </c>
      <c r="H35" s="26" t="s">
        <v>891</v>
      </c>
      <c r="I35" s="27" t="s">
        <v>891</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SD3</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SD3</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SD3</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UA2</v>
      </c>
      <c r="B40" s="22" t="str">
        <f>J40&amp;(COUNTIF(J$2:J40,J40))</f>
        <v>Unitary11</v>
      </c>
      <c r="C40" t="s">
        <v>300</v>
      </c>
      <c r="D40" t="s">
        <v>300</v>
      </c>
      <c r="E40" s="25" t="s">
        <v>0</v>
      </c>
      <c r="F40" s="25" t="s">
        <v>385</v>
      </c>
      <c r="G40" s="25" t="s">
        <v>394</v>
      </c>
      <c r="H40" s="27" t="s">
        <v>891</v>
      </c>
      <c r="I40" s="27" t="s">
        <v>891</v>
      </c>
      <c r="J40" s="3" t="s">
        <v>394</v>
      </c>
    </row>
    <row r="41" spans="1:10" ht="14.4">
      <c r="A41" s="22" t="str">
        <f>F41&amp;(COUNTIFS(F$2:F41,F41,K$2:K41,"Sparse"))</f>
        <v>SD3</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SD3</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SD3</v>
      </c>
      <c r="B47" s="22" t="str">
        <f>J47&amp;(COUNTIF(J$2:J47,J47))</f>
        <v>Staffordshire1</v>
      </c>
      <c r="C47" t="s">
        <v>28</v>
      </c>
      <c r="D47" t="s">
        <v>28</v>
      </c>
      <c r="E47" s="25" t="s">
        <v>367</v>
      </c>
      <c r="F47" s="25" t="s">
        <v>379</v>
      </c>
      <c r="G47" s="25" t="s">
        <v>5</v>
      </c>
      <c r="H47" s="26" t="s">
        <v>891</v>
      </c>
      <c r="I47" s="27" t="s">
        <v>891</v>
      </c>
      <c r="J47" t="s">
        <v>327</v>
      </c>
    </row>
    <row r="48" spans="1:10" ht="14.4">
      <c r="A48" s="22" t="str">
        <f>F48&amp;(COUNTIFS(F$2:F48,F48,K$2:K48,"Sparse"))</f>
        <v>SD3</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SD3</v>
      </c>
      <c r="B49" s="22" t="str">
        <f>J49&amp;(COUNTIF(J$2:J49,J49))</f>
        <v>Essex4</v>
      </c>
      <c r="C49" t="s">
        <v>31</v>
      </c>
      <c r="D49" t="s">
        <v>31</v>
      </c>
      <c r="E49" s="25" t="s">
        <v>368</v>
      </c>
      <c r="F49" s="25" t="s">
        <v>379</v>
      </c>
      <c r="G49" s="25" t="s">
        <v>5</v>
      </c>
      <c r="H49" s="26" t="s">
        <v>382</v>
      </c>
      <c r="I49" s="27" t="s">
        <v>382</v>
      </c>
      <c r="J49" t="s">
        <v>311</v>
      </c>
    </row>
    <row r="50" spans="1:11" ht="14.4">
      <c r="A50" s="22" t="str">
        <f>F50&amp;(COUNTIFS(F$2:F50,F50,K$2:K50,"Sparse"))</f>
        <v>UA2</v>
      </c>
      <c r="B50" s="22" t="str">
        <f>J50&amp;(COUNTIF(J$2:J50,J50))</f>
        <v>Unitary12</v>
      </c>
      <c r="C50" t="s">
        <v>303</v>
      </c>
      <c r="D50" t="s">
        <v>303</v>
      </c>
      <c r="E50" s="25" t="s">
        <v>368</v>
      </c>
      <c r="F50" s="25" t="s">
        <v>385</v>
      </c>
      <c r="G50" s="25" t="s">
        <v>394</v>
      </c>
      <c r="H50" s="26" t="s">
        <v>890</v>
      </c>
      <c r="I50" s="27" t="s">
        <v>380</v>
      </c>
      <c r="J50" s="3" t="s">
        <v>394</v>
      </c>
    </row>
    <row r="51" spans="1:11" ht="14.4">
      <c r="A51" s="22" t="str">
        <f>F51&amp;(COUNTIFS(F$2:F51,F51,K$2:K51,"Sparse"))</f>
        <v>SD3</v>
      </c>
      <c r="B51" s="22" t="str">
        <f>J51&amp;(COUNTIF(J$2:J51,J51))</f>
        <v>Leicestershire2</v>
      </c>
      <c r="C51" t="s">
        <v>32</v>
      </c>
      <c r="D51" t="s">
        <v>32</v>
      </c>
      <c r="E51" s="25" t="s">
        <v>366</v>
      </c>
      <c r="F51" s="25" t="s">
        <v>379</v>
      </c>
      <c r="G51" s="25" t="s">
        <v>5</v>
      </c>
      <c r="H51" s="26" t="s">
        <v>382</v>
      </c>
      <c r="I51" s="27" t="s">
        <v>382</v>
      </c>
      <c r="J51" t="s">
        <v>317</v>
      </c>
    </row>
    <row r="52" spans="1:11" ht="14.4">
      <c r="A52" s="22" t="str">
        <f>F52&amp;(COUNTIFS(F$2:F52,F52,K$2:K52,"Sparse"))</f>
        <v>SD3</v>
      </c>
      <c r="B52" s="22" t="str">
        <f>J52&amp;(COUNTIF(J$2:J52,J52))</f>
        <v>Essex5</v>
      </c>
      <c r="C52" t="s">
        <v>33</v>
      </c>
      <c r="D52" t="s">
        <v>33</v>
      </c>
      <c r="E52" s="25" t="s">
        <v>368</v>
      </c>
      <c r="F52" s="25" t="s">
        <v>379</v>
      </c>
      <c r="G52" s="25" t="s">
        <v>5</v>
      </c>
      <c r="H52" s="26" t="s">
        <v>382</v>
      </c>
      <c r="I52" s="27" t="s">
        <v>382</v>
      </c>
      <c r="J52" t="s">
        <v>311</v>
      </c>
    </row>
    <row r="53" spans="1:11" ht="14.4">
      <c r="A53" s="22" t="str">
        <f>F53&amp;(COUNTIFS(F$2:F53,F53,K$2:K53,"Sparse"))</f>
        <v>SD3</v>
      </c>
      <c r="B53" s="22" t="str">
        <f>J53&amp;(COUNTIF(J$2:J53,J53))</f>
        <v>Gloucestershire1</v>
      </c>
      <c r="C53" t="s">
        <v>34</v>
      </c>
      <c r="D53" t="s">
        <v>34</v>
      </c>
      <c r="E53" s="25" t="s">
        <v>1</v>
      </c>
      <c r="F53" s="25" t="s">
        <v>379</v>
      </c>
      <c r="G53" s="25" t="s">
        <v>5</v>
      </c>
      <c r="H53" s="26" t="s">
        <v>382</v>
      </c>
      <c r="I53" s="27" t="s">
        <v>382</v>
      </c>
      <c r="J53" t="s">
        <v>312</v>
      </c>
    </row>
    <row r="54" spans="1:11" ht="14.4">
      <c r="A54" s="22" t="str">
        <f>F54&amp;(COUNTIFS(F$2:F54,F54,K$2:K54,"Sparse"))</f>
        <v>SD3</v>
      </c>
      <c r="B54" s="22" t="str">
        <f>J54&amp;(COUNTIF(J$2:J54,J54))</f>
        <v>Oxfordshire1</v>
      </c>
      <c r="C54" t="s">
        <v>35</v>
      </c>
      <c r="D54" t="s">
        <v>35</v>
      </c>
      <c r="E54" s="25" t="s">
        <v>0</v>
      </c>
      <c r="F54" s="25" t="s">
        <v>379</v>
      </c>
      <c r="G54" s="25" t="s">
        <v>5</v>
      </c>
      <c r="H54" s="26" t="s">
        <v>891</v>
      </c>
      <c r="I54" s="27" t="s">
        <v>891</v>
      </c>
      <c r="J54" t="s">
        <v>324</v>
      </c>
    </row>
    <row r="55" spans="1:11" ht="14.4">
      <c r="A55" s="22" t="str">
        <f>F55&amp;(COUNTIFS(F$2:F55,F55,K$2:K55,"Sparse"))</f>
        <v>UA3</v>
      </c>
      <c r="B55" s="22" t="str">
        <f>J55&amp;(COUNTIF(J$2:J55,J55))</f>
        <v>Unitary13</v>
      </c>
      <c r="C55" t="s">
        <v>304</v>
      </c>
      <c r="D55" t="s">
        <v>304</v>
      </c>
      <c r="E55" s="25" t="s">
        <v>374</v>
      </c>
      <c r="F55" s="25" t="s">
        <v>385</v>
      </c>
      <c r="G55" s="25" t="s">
        <v>394</v>
      </c>
      <c r="H55" s="26" t="s">
        <v>891</v>
      </c>
      <c r="I55" s="27" t="s">
        <v>891</v>
      </c>
      <c r="J55" s="3" t="s">
        <v>394</v>
      </c>
      <c r="K55" t="s">
        <v>335</v>
      </c>
    </row>
    <row r="56" spans="1:11" ht="14.4">
      <c r="A56" s="22" t="str">
        <f>F56&amp;(COUNTIFS(F$2:F56,F56,K$2:K56,"Sparse"))</f>
        <v>UA3</v>
      </c>
      <c r="B56" s="22" t="str">
        <f>J56&amp;(COUNTIF(J$2:J56,J56))</f>
        <v>Unitary14</v>
      </c>
      <c r="C56" t="s">
        <v>813</v>
      </c>
      <c r="D56" t="s">
        <v>813</v>
      </c>
      <c r="E56" s="25" t="s">
        <v>374</v>
      </c>
      <c r="F56" s="25" t="s">
        <v>385</v>
      </c>
      <c r="G56" s="25" t="s">
        <v>394</v>
      </c>
      <c r="H56" s="26" t="s">
        <v>891</v>
      </c>
      <c r="I56" s="27" t="s">
        <v>891</v>
      </c>
      <c r="J56" s="3" t="s">
        <v>394</v>
      </c>
    </row>
    <row r="57" spans="1:11" ht="14.4">
      <c r="A57" s="22" t="str">
        <f>F57&amp;(COUNTIFS(F$2:F57,F57,K$2:K57,"Sparse"))</f>
        <v>SD3</v>
      </c>
      <c r="B57" s="22" t="str">
        <f>J57&amp;(COUNTIF(J$2:J57,J57))</f>
        <v>Derbyshire3</v>
      </c>
      <c r="C57" t="s">
        <v>36</v>
      </c>
      <c r="D57" t="s">
        <v>36</v>
      </c>
      <c r="E57" s="25" t="s">
        <v>366</v>
      </c>
      <c r="F57" s="25" t="s">
        <v>379</v>
      </c>
      <c r="G57" s="25" t="s">
        <v>5</v>
      </c>
      <c r="H57" s="26" t="s">
        <v>382</v>
      </c>
      <c r="I57" s="27" t="s">
        <v>382</v>
      </c>
      <c r="J57" t="s">
        <v>307</v>
      </c>
    </row>
    <row r="58" spans="1:11" ht="14.4">
      <c r="A58" s="22" t="str">
        <f>F58&amp;(COUNTIFS(F$2:F58,F58,K$2:K58,"Sparse"))</f>
        <v>SD4</v>
      </c>
      <c r="B58" s="22" t="str">
        <f>J58&amp;(COUNTIF(J$2:J58,J58))</f>
        <v>West Sussex3</v>
      </c>
      <c r="C58" t="s">
        <v>37</v>
      </c>
      <c r="D58" t="s">
        <v>37</v>
      </c>
      <c r="E58" s="25" t="s">
        <v>0</v>
      </c>
      <c r="F58" s="25" t="s">
        <v>379</v>
      </c>
      <c r="G58" s="25" t="s">
        <v>5</v>
      </c>
      <c r="H58" s="26" t="s">
        <v>890</v>
      </c>
      <c r="I58" s="27" t="s">
        <v>380</v>
      </c>
      <c r="J58" t="s">
        <v>331</v>
      </c>
      <c r="K58" t="s">
        <v>335</v>
      </c>
    </row>
    <row r="59" spans="1:11" ht="14.4">
      <c r="A59" s="22" t="str">
        <f>F59&amp;(COUNTIFS(F$2:F59,F59,K$2:K59,"Sparse"))</f>
        <v>SD4</v>
      </c>
      <c r="B59" s="22" t="str">
        <f>J59&amp;(COUNTIF(J$2:J59,J59))</f>
        <v>Lancashire2</v>
      </c>
      <c r="C59" t="s">
        <v>39</v>
      </c>
      <c r="D59" t="s">
        <v>39</v>
      </c>
      <c r="E59" s="25" t="s">
        <v>374</v>
      </c>
      <c r="F59" s="25" t="s">
        <v>379</v>
      </c>
      <c r="G59" s="25" t="s">
        <v>5</v>
      </c>
      <c r="H59" s="26" t="s">
        <v>891</v>
      </c>
      <c r="I59" s="27" t="s">
        <v>891</v>
      </c>
      <c r="J59" t="s">
        <v>316</v>
      </c>
    </row>
    <row r="60" spans="1:11" ht="14.4">
      <c r="A60" s="22" t="str">
        <f>F60&amp;(COUNTIFS(F$2:F60,F60,K$2:K60,"Sparse"))</f>
        <v>L0</v>
      </c>
      <c r="B60" s="22" t="str">
        <f>J60&amp;(COUNTIF(J$2:J60,J60))</f>
        <v>London7</v>
      </c>
      <c r="C60" t="s">
        <v>369</v>
      </c>
      <c r="D60" t="s">
        <v>369</v>
      </c>
      <c r="E60" s="25" t="s">
        <v>381</v>
      </c>
      <c r="F60" s="25" t="s">
        <v>358</v>
      </c>
      <c r="G60" s="25" t="s">
        <v>381</v>
      </c>
      <c r="H60" s="28" t="s">
        <v>382</v>
      </c>
      <c r="I60" s="27" t="s">
        <v>382</v>
      </c>
      <c r="J60" t="s">
        <v>381</v>
      </c>
    </row>
    <row r="61" spans="1:11" ht="14.4">
      <c r="A61" s="22" t="str">
        <f>F61&amp;(COUNTIFS(F$2:F61,F61,K$2:K61,"Sparse"))</f>
        <v>SD4</v>
      </c>
      <c r="B61" s="22" t="str">
        <f>J61&amp;(COUNTIF(J$2:J61,J61))</f>
        <v>Essex6</v>
      </c>
      <c r="C61" t="s">
        <v>41</v>
      </c>
      <c r="D61" t="s">
        <v>41</v>
      </c>
      <c r="E61" s="25" t="s">
        <v>368</v>
      </c>
      <c r="F61" s="25" t="s">
        <v>379</v>
      </c>
      <c r="G61" s="25" t="s">
        <v>5</v>
      </c>
      <c r="H61" s="26" t="s">
        <v>891</v>
      </c>
      <c r="I61" s="27" t="s">
        <v>891</v>
      </c>
      <c r="J61" t="s">
        <v>311</v>
      </c>
    </row>
    <row r="62" spans="1:11" ht="14.4">
      <c r="A62" s="22" t="str">
        <f>F62&amp;(COUNTIFS(F$2:F62,F62,K$2:K62,"Sparse"))</f>
        <v>UA4</v>
      </c>
      <c r="B62" s="22" t="str">
        <f>J62&amp;(COUNTIF(J$2:J62,J62))</f>
        <v>Unitary15</v>
      </c>
      <c r="C62" t="s">
        <v>305</v>
      </c>
      <c r="D62" t="s">
        <v>305</v>
      </c>
      <c r="E62" s="25" t="s">
        <v>1</v>
      </c>
      <c r="F62" s="25" t="s">
        <v>385</v>
      </c>
      <c r="G62" s="25" t="s">
        <v>394</v>
      </c>
      <c r="H62" s="26" t="s">
        <v>890</v>
      </c>
      <c r="I62" s="27" t="s">
        <v>380</v>
      </c>
      <c r="J62" t="s">
        <v>394</v>
      </c>
      <c r="K62" t="s">
        <v>335</v>
      </c>
    </row>
    <row r="63" spans="1:11" ht="14.4">
      <c r="A63" s="22" t="str">
        <f>F63&amp;(COUNTIFS(F$2:F63,F63,K$2:K63,"Sparse"))</f>
        <v>SD5</v>
      </c>
      <c r="B63" s="22" t="str">
        <f>J63&amp;(COUNTIF(J$2:J63,J63))</f>
        <v>Gloucestershire2</v>
      </c>
      <c r="C63" t="s">
        <v>44</v>
      </c>
      <c r="D63" t="s">
        <v>44</v>
      </c>
      <c r="E63" s="25" t="s">
        <v>1</v>
      </c>
      <c r="F63" s="25" t="s">
        <v>379</v>
      </c>
      <c r="G63" s="25" t="s">
        <v>5</v>
      </c>
      <c r="H63" s="26" t="s">
        <v>890</v>
      </c>
      <c r="I63" s="27" t="s">
        <v>380</v>
      </c>
      <c r="J63" s="3" t="s">
        <v>312</v>
      </c>
      <c r="K63" t="s">
        <v>335</v>
      </c>
    </row>
    <row r="64" spans="1:11" ht="14.4">
      <c r="A64" s="22" t="str">
        <f>F64&amp;(COUNTIFS(F$2:F64,F64,K$2:K64,"Sparse"))</f>
        <v>MD0</v>
      </c>
      <c r="B64" s="22" t="str">
        <f>J64&amp;(COUNTIF(J$2:J64,J64))</f>
        <v>Coventry1</v>
      </c>
      <c r="C64" t="s">
        <v>228</v>
      </c>
      <c r="D64" t="s">
        <v>228</v>
      </c>
      <c r="E64" s="25" t="s">
        <v>367</v>
      </c>
      <c r="F64" s="25" t="s">
        <v>384</v>
      </c>
      <c r="G64" s="25" t="s">
        <v>395</v>
      </c>
      <c r="H64" s="26" t="s">
        <v>382</v>
      </c>
      <c r="I64" s="27" t="s">
        <v>382</v>
      </c>
      <c r="J64" t="s">
        <v>228</v>
      </c>
    </row>
    <row r="65" spans="1:11" ht="14.4">
      <c r="A65" s="22" t="str">
        <f>F65&amp;(COUNTIFS(F$2:F65,F65,K$2:K65,"Sparse"))</f>
        <v>SD5</v>
      </c>
      <c r="B65" s="22" t="str">
        <f>J65&amp;(COUNTIF(J$2:J65,J65))</f>
        <v>West Sussex4</v>
      </c>
      <c r="C65" t="s">
        <v>46</v>
      </c>
      <c r="D65" t="s">
        <v>46</v>
      </c>
      <c r="E65" s="25" t="s">
        <v>0</v>
      </c>
      <c r="F65" s="25" t="s">
        <v>379</v>
      </c>
      <c r="G65" s="25" t="s">
        <v>5</v>
      </c>
      <c r="H65" s="26" t="s">
        <v>382</v>
      </c>
      <c r="I65" s="27" t="s">
        <v>382</v>
      </c>
      <c r="J65" t="s">
        <v>331</v>
      </c>
    </row>
    <row r="66" spans="1:11" ht="14.4">
      <c r="A66" s="22" t="str">
        <f>F66&amp;(COUNTIFS(F$2:F66,F66,K$2:K66,"Sparse"))</f>
        <v>L0</v>
      </c>
      <c r="B66" s="22" t="str">
        <f>J66&amp;(COUNTIF(J$2:J66,J66))</f>
        <v>London8</v>
      </c>
      <c r="C66" t="s">
        <v>201</v>
      </c>
      <c r="D66" t="s">
        <v>201</v>
      </c>
      <c r="E66" s="25" t="s">
        <v>381</v>
      </c>
      <c r="F66" s="25" t="s">
        <v>358</v>
      </c>
      <c r="G66" s="25" t="s">
        <v>381</v>
      </c>
      <c r="H66" s="26" t="s">
        <v>382</v>
      </c>
      <c r="I66" s="27" t="s">
        <v>382</v>
      </c>
      <c r="J66" t="s">
        <v>381</v>
      </c>
    </row>
    <row r="67" spans="1:11" ht="14.4">
      <c r="A67" s="22" t="str">
        <f>F67&amp;(COUNTIFS(F$2:F67,F67,K$2:K67,"Sparse"))</f>
        <v>SD5</v>
      </c>
      <c r="B67" s="22" t="str">
        <f>J67&amp;(COUNTIF(J$2:J67,J67))</f>
        <v>Hertfordshire2</v>
      </c>
      <c r="C67" t="s">
        <v>47</v>
      </c>
      <c r="D67" t="s">
        <v>47</v>
      </c>
      <c r="E67" s="25" t="s">
        <v>368</v>
      </c>
      <c r="F67" s="25" t="s">
        <v>379</v>
      </c>
      <c r="G67" s="25" t="s">
        <v>5</v>
      </c>
      <c r="H67" s="27" t="s">
        <v>891</v>
      </c>
      <c r="I67" s="27" t="s">
        <v>891</v>
      </c>
      <c r="J67" t="s">
        <v>314</v>
      </c>
    </row>
    <row r="68" spans="1:11" ht="14.4">
      <c r="A68" s="22" t="str">
        <f>F68&amp;(COUNTIFS(F$2:F68,F68,K$2:K68,"Sparse"))</f>
        <v>UA4</v>
      </c>
      <c r="B68" s="22" t="str">
        <f>J68&amp;(COUNTIF(J$2:J68,J68))</f>
        <v>Unitary16</v>
      </c>
      <c r="C68" t="s">
        <v>264</v>
      </c>
      <c r="D68" t="s">
        <v>264</v>
      </c>
      <c r="E68" s="25" t="s">
        <v>388</v>
      </c>
      <c r="F68" s="25" t="s">
        <v>385</v>
      </c>
      <c r="G68" s="25" t="s">
        <v>394</v>
      </c>
      <c r="H68" s="26" t="s">
        <v>382</v>
      </c>
      <c r="I68" s="27" t="s">
        <v>382</v>
      </c>
      <c r="J68" t="s">
        <v>394</v>
      </c>
    </row>
    <row r="69" spans="1:11" ht="14.4">
      <c r="A69" s="22" t="str">
        <f>F69&amp;(COUNTIFS(F$2:F69,F69,K$2:K69,"Sparse"))</f>
        <v>SD5</v>
      </c>
      <c r="B69" s="22" t="str">
        <f>J69&amp;(COUNTIF(J$2:J69,J69))</f>
        <v>Kent3</v>
      </c>
      <c r="C69" t="s">
        <v>48</v>
      </c>
      <c r="D69" t="s">
        <v>48</v>
      </c>
      <c r="E69" s="25" t="s">
        <v>0</v>
      </c>
      <c r="F69" s="25" t="s">
        <v>379</v>
      </c>
      <c r="G69" s="25" t="s">
        <v>5</v>
      </c>
      <c r="H69" s="26" t="s">
        <v>382</v>
      </c>
      <c r="I69" s="27" t="s">
        <v>382</v>
      </c>
      <c r="J69" s="3" t="s">
        <v>315</v>
      </c>
    </row>
    <row r="70" spans="1:11" ht="14.4">
      <c r="A70" s="22" t="str">
        <f>F70&amp;(COUNTIFS(F$2:F70,F70,K$2:K70,"Sparse"))</f>
        <v>UA4</v>
      </c>
      <c r="B70" s="22" t="str">
        <f>J70&amp;(COUNTIF(J$2:J70,J70))</f>
        <v>Unitary17</v>
      </c>
      <c r="C70" t="s">
        <v>265</v>
      </c>
      <c r="D70" t="s">
        <v>265</v>
      </c>
      <c r="E70" s="25" t="s">
        <v>366</v>
      </c>
      <c r="F70" s="25" t="s">
        <v>385</v>
      </c>
      <c r="G70" s="25" t="s">
        <v>394</v>
      </c>
      <c r="H70" s="26" t="s">
        <v>382</v>
      </c>
      <c r="I70" s="27" t="s">
        <v>382</v>
      </c>
      <c r="J70" t="s">
        <v>394</v>
      </c>
    </row>
    <row r="71" spans="1:11" ht="14.4">
      <c r="A71" s="22" t="str">
        <f>F71&amp;(COUNTIFS(F$2:F71,F71,K$2:K71,"Sparse"))</f>
        <v>SC0</v>
      </c>
      <c r="B71" s="22" t="str">
        <f>J71&amp;(COUNTIF(J$2:J71,J71))</f>
        <v>Derbyshire4</v>
      </c>
      <c r="C71" t="s">
        <v>307</v>
      </c>
      <c r="D71" t="s">
        <v>307</v>
      </c>
      <c r="E71" s="25" t="s">
        <v>366</v>
      </c>
      <c r="F71" s="25" t="s">
        <v>387</v>
      </c>
      <c r="G71" s="25" t="s">
        <v>301</v>
      </c>
      <c r="H71" s="26" t="s">
        <v>891</v>
      </c>
      <c r="I71" s="27" t="s">
        <v>891</v>
      </c>
      <c r="J71" t="s">
        <v>307</v>
      </c>
    </row>
    <row r="72" spans="1:11" ht="14.4">
      <c r="A72" s="22" t="str">
        <f>F72&amp;(COUNTIFS(F$2:F72,F72,K$2:K72,"Sparse"))</f>
        <v>SD6</v>
      </c>
      <c r="B72" s="22" t="str">
        <f>J72&amp;(COUNTIF(J$2:J72,J72))</f>
        <v>Derbyshire5</v>
      </c>
      <c r="C72" t="s">
        <v>50</v>
      </c>
      <c r="D72" t="s">
        <v>50</v>
      </c>
      <c r="E72" s="25" t="s">
        <v>366</v>
      </c>
      <c r="F72" s="25" t="s">
        <v>379</v>
      </c>
      <c r="G72" s="25" t="s">
        <v>5</v>
      </c>
      <c r="H72" s="26" t="s">
        <v>890</v>
      </c>
      <c r="I72" s="27" t="s">
        <v>380</v>
      </c>
      <c r="J72" s="3" t="s">
        <v>307</v>
      </c>
      <c r="K72" t="s">
        <v>335</v>
      </c>
    </row>
    <row r="73" spans="1:11" ht="14.4">
      <c r="A73" s="22" t="str">
        <f>F73&amp;(COUNTIFS(F$2:F73,F73,K$2:K73,"Sparse"))</f>
        <v>SC1</v>
      </c>
      <c r="B73" s="22" t="str">
        <f>J73&amp;(COUNTIF(J$2:J73,J73))</f>
        <v>Devon1</v>
      </c>
      <c r="C73" t="s">
        <v>308</v>
      </c>
      <c r="D73" t="s">
        <v>308</v>
      </c>
      <c r="E73" s="25" t="s">
        <v>1</v>
      </c>
      <c r="F73" s="25" t="s">
        <v>387</v>
      </c>
      <c r="G73" s="25" t="s">
        <v>301</v>
      </c>
      <c r="H73" s="27" t="s">
        <v>380</v>
      </c>
      <c r="I73" s="27" t="s">
        <v>380</v>
      </c>
      <c r="J73" t="s">
        <v>308</v>
      </c>
      <c r="K73" t="s">
        <v>335</v>
      </c>
    </row>
    <row r="74" spans="1:11" ht="14.4">
      <c r="A74" s="22" t="str">
        <f>F74&amp;(COUNTIFS(F$2:F74,F74,K$2:K74,"Sparse"))</f>
        <v>MD0</v>
      </c>
      <c r="B74" s="22" t="str">
        <f>J74&amp;(COUNTIF(J$2:J74,J74))</f>
        <v>Doncaster1</v>
      </c>
      <c r="C74" t="s">
        <v>229</v>
      </c>
      <c r="D74" t="s">
        <v>229</v>
      </c>
      <c r="E74" s="25" t="s">
        <v>383</v>
      </c>
      <c r="F74" s="25" t="s">
        <v>384</v>
      </c>
      <c r="G74" s="25" t="s">
        <v>395</v>
      </c>
      <c r="H74" s="26" t="s">
        <v>382</v>
      </c>
      <c r="I74" s="27" t="s">
        <v>382</v>
      </c>
      <c r="J74" t="s">
        <v>229</v>
      </c>
    </row>
    <row r="75" spans="1:11" ht="14.4">
      <c r="A75" s="22" t="str">
        <f>F75&amp;(COUNTIFS(F$2:F75,F75,K$2:K75,"Sparse"))</f>
        <v>UA4</v>
      </c>
      <c r="B75" s="22" t="str">
        <f>J75&amp;(COUNTIF(J$2:J75,J75))</f>
        <v>Unitary18</v>
      </c>
      <c r="C75" t="s">
        <v>309</v>
      </c>
      <c r="D75" t="s">
        <v>309</v>
      </c>
      <c r="E75" s="25" t="s">
        <v>1</v>
      </c>
      <c r="F75" s="25" t="s">
        <v>385</v>
      </c>
      <c r="G75" s="25" t="s">
        <v>394</v>
      </c>
      <c r="H75" s="27" t="s">
        <v>380</v>
      </c>
      <c r="I75" s="27" t="s">
        <v>380</v>
      </c>
      <c r="J75" t="s">
        <v>394</v>
      </c>
    </row>
    <row r="76" spans="1:11" ht="14.4">
      <c r="A76" s="22" t="str">
        <f>F76&amp;(COUNTIFS(F$2:F76,F76,K$2:K76,"Sparse"))</f>
        <v>SD6</v>
      </c>
      <c r="B76" s="22" t="str">
        <f>J76&amp;(COUNTIF(J$2:J76,J76))</f>
        <v>Kent4</v>
      </c>
      <c r="C76" t="s">
        <v>51</v>
      </c>
      <c r="D76" t="s">
        <v>51</v>
      </c>
      <c r="E76" s="25" t="s">
        <v>0</v>
      </c>
      <c r="F76" s="25" t="s">
        <v>379</v>
      </c>
      <c r="G76" s="25" t="s">
        <v>5</v>
      </c>
      <c r="H76" s="26" t="s">
        <v>891</v>
      </c>
      <c r="I76" s="27" t="s">
        <v>891</v>
      </c>
      <c r="J76" t="s">
        <v>315</v>
      </c>
    </row>
    <row r="77" spans="1:11" ht="14.4">
      <c r="A77" s="22" t="str">
        <f>F77&amp;(COUNTIFS(F$2:F77,F77,K$2:K77,"Sparse"))</f>
        <v>MD0</v>
      </c>
      <c r="B77" s="22" t="str">
        <f>J77&amp;(COUNTIF(J$2:J77,J77))</f>
        <v>Dudley1</v>
      </c>
      <c r="C77" t="s">
        <v>230</v>
      </c>
      <c r="D77" t="s">
        <v>230</v>
      </c>
      <c r="E77" s="25" t="s">
        <v>367</v>
      </c>
      <c r="F77" s="3" t="s">
        <v>384</v>
      </c>
      <c r="G77" s="3" t="s">
        <v>395</v>
      </c>
      <c r="H77" s="27" t="s">
        <v>382</v>
      </c>
      <c r="I77" s="27" t="s">
        <v>382</v>
      </c>
      <c r="J77" t="s">
        <v>230</v>
      </c>
    </row>
    <row r="78" spans="1:11" ht="14.4">
      <c r="A78" s="22" t="str">
        <f>F78&amp;(COUNTIFS(F$2:F78,F78,K$2:K78,"Sparse"))</f>
        <v>UA5</v>
      </c>
      <c r="B78" s="22" t="str">
        <f>J78&amp;(COUNTIF(J$2:J78,J78))</f>
        <v>Unitary19</v>
      </c>
      <c r="C78" t="s">
        <v>266</v>
      </c>
      <c r="D78" t="s">
        <v>266</v>
      </c>
      <c r="E78" s="25" t="s">
        <v>388</v>
      </c>
      <c r="F78" s="25" t="s">
        <v>385</v>
      </c>
      <c r="G78" s="25" t="s">
        <v>394</v>
      </c>
      <c r="H78" s="26" t="s">
        <v>890</v>
      </c>
      <c r="I78" s="27" t="s">
        <v>380</v>
      </c>
      <c r="J78" t="s">
        <v>394</v>
      </c>
      <c r="K78" t="s">
        <v>335</v>
      </c>
    </row>
    <row r="79" spans="1:11" ht="14.4">
      <c r="A79" s="22" t="str">
        <f>F79&amp;(COUNTIFS(F$2:F79,F79,K$2:K79,"Sparse"))</f>
        <v>L0</v>
      </c>
      <c r="B79" s="22" t="str">
        <f>J79&amp;(COUNTIF(J$2:J79,J79))</f>
        <v>London9</v>
      </c>
      <c r="C79" t="s">
        <v>202</v>
      </c>
      <c r="D79" t="s">
        <v>202</v>
      </c>
      <c r="E79" s="25" t="s">
        <v>381</v>
      </c>
      <c r="F79" s="25" t="s">
        <v>358</v>
      </c>
      <c r="G79" s="25" t="s">
        <v>381</v>
      </c>
      <c r="H79" s="26" t="s">
        <v>382</v>
      </c>
      <c r="I79" s="27" t="s">
        <v>382</v>
      </c>
      <c r="J79" s="3" t="s">
        <v>381</v>
      </c>
    </row>
    <row r="80" spans="1:11" ht="14.4">
      <c r="A80" s="22" t="str">
        <f>F80&amp;(COUNTIFS(F$2:F80,F80,K$2:K80,"Sparse"))</f>
        <v>SD7</v>
      </c>
      <c r="B80" s="22" t="str">
        <f>J80&amp;(COUNTIF(J$2:J80,J80))</f>
        <v>Cambridgeshire3</v>
      </c>
      <c r="C80" t="s">
        <v>52</v>
      </c>
      <c r="D80" t="s">
        <v>52</v>
      </c>
      <c r="E80" s="25" t="s">
        <v>368</v>
      </c>
      <c r="F80" s="25" t="s">
        <v>379</v>
      </c>
      <c r="G80" s="25" t="s">
        <v>5</v>
      </c>
      <c r="H80" s="26" t="s">
        <v>890</v>
      </c>
      <c r="I80" s="27" t="s">
        <v>380</v>
      </c>
      <c r="J80" t="s">
        <v>302</v>
      </c>
      <c r="K80" t="s">
        <v>335</v>
      </c>
    </row>
    <row r="81" spans="1:11" ht="14.4">
      <c r="A81" s="22" t="str">
        <f>F81&amp;(COUNTIFS(F$2:F81,F81,K$2:K81,"Sparse"))</f>
        <v>SD8</v>
      </c>
      <c r="B81" s="22" t="str">
        <f>J81&amp;(COUNTIF(J$2:J81,J81))</f>
        <v>Devon2</v>
      </c>
      <c r="C81" t="s">
        <v>53</v>
      </c>
      <c r="D81" t="s">
        <v>53</v>
      </c>
      <c r="E81" s="25" t="s">
        <v>1</v>
      </c>
      <c r="F81" s="25" t="s">
        <v>379</v>
      </c>
      <c r="G81" s="25" t="s">
        <v>5</v>
      </c>
      <c r="H81" s="26" t="s">
        <v>890</v>
      </c>
      <c r="I81" s="27" t="s">
        <v>380</v>
      </c>
      <c r="J81" t="s">
        <v>308</v>
      </c>
      <c r="K81" t="s">
        <v>335</v>
      </c>
    </row>
    <row r="82" spans="1:11" ht="14.4">
      <c r="A82" s="22" t="str">
        <f>F82&amp;(COUNTIFS(F$2:F82,F82,K$2:K82,"Sparse"))</f>
        <v>SD8</v>
      </c>
      <c r="B82" s="22" t="str">
        <f>J82&amp;(COUNTIF(J$2:J82,J82))</f>
        <v>Hampshire2</v>
      </c>
      <c r="C82" t="s">
        <v>55</v>
      </c>
      <c r="D82" t="s">
        <v>55</v>
      </c>
      <c r="E82" s="25" t="s">
        <v>0</v>
      </c>
      <c r="F82" s="25" t="s">
        <v>379</v>
      </c>
      <c r="G82" s="25" t="s">
        <v>5</v>
      </c>
      <c r="H82" s="26" t="s">
        <v>890</v>
      </c>
      <c r="I82" s="27" t="s">
        <v>380</v>
      </c>
      <c r="J82" t="s">
        <v>313</v>
      </c>
    </row>
    <row r="83" spans="1:11" ht="14.4">
      <c r="A83" s="22" t="str">
        <f>F83&amp;(COUNTIFS(F$2:F83,F83,K$2:K83,"Sparse"))</f>
        <v>SD8</v>
      </c>
      <c r="B83" s="22" t="str">
        <f>J83&amp;(COUNTIF(J$2:J83,J83))</f>
        <v>Hertfordshire3</v>
      </c>
      <c r="C83" t="s">
        <v>56</v>
      </c>
      <c r="D83" t="s">
        <v>56</v>
      </c>
      <c r="E83" s="25" t="s">
        <v>368</v>
      </c>
      <c r="F83" s="25" t="s">
        <v>379</v>
      </c>
      <c r="G83" s="25" t="s">
        <v>5</v>
      </c>
      <c r="H83" s="26" t="s">
        <v>891</v>
      </c>
      <c r="I83" s="27" t="s">
        <v>891</v>
      </c>
      <c r="J83" t="s">
        <v>314</v>
      </c>
    </row>
    <row r="84" spans="1:11" ht="14.4">
      <c r="A84" s="22" t="str">
        <f>F84&amp;(COUNTIFS(F$2:F84,F84,K$2:K84,"Sparse"))</f>
        <v>SD9</v>
      </c>
      <c r="B84" s="22" t="str">
        <f>J84&amp;(COUNTIF(J$2:J84,J84))</f>
        <v>Lincolnshire2</v>
      </c>
      <c r="C84" t="s">
        <v>57</v>
      </c>
      <c r="D84" t="s">
        <v>57</v>
      </c>
      <c r="E84" s="25" t="s">
        <v>366</v>
      </c>
      <c r="F84" s="25" t="s">
        <v>379</v>
      </c>
      <c r="G84" s="25" t="s">
        <v>5</v>
      </c>
      <c r="H84" s="26" t="s">
        <v>890</v>
      </c>
      <c r="I84" s="27" t="s">
        <v>380</v>
      </c>
      <c r="J84" t="s">
        <v>318</v>
      </c>
      <c r="K84" t="s">
        <v>335</v>
      </c>
    </row>
    <row r="85" spans="1:11" ht="14.4">
      <c r="A85" s="22" t="str">
        <f>F85&amp;(COUNTIFS(F$2:F85,F85,K$2:K85,"Sparse"))</f>
        <v>UA6</v>
      </c>
      <c r="B85" s="22" t="str">
        <f>J85&amp;(COUNTIF(J$2:J85,J85))</f>
        <v>Unitary20</v>
      </c>
      <c r="C85" t="s">
        <v>267</v>
      </c>
      <c r="D85" t="s">
        <v>267</v>
      </c>
      <c r="E85" s="25" t="s">
        <v>383</v>
      </c>
      <c r="F85" s="25" t="s">
        <v>385</v>
      </c>
      <c r="G85" s="25" t="s">
        <v>394</v>
      </c>
      <c r="H85" s="26" t="s">
        <v>890</v>
      </c>
      <c r="I85" s="27" t="s">
        <v>380</v>
      </c>
      <c r="J85" t="s">
        <v>394</v>
      </c>
      <c r="K85" t="s">
        <v>335</v>
      </c>
    </row>
    <row r="86" spans="1:11" ht="14.4">
      <c r="A86" s="22" t="str">
        <f>F86&amp;(COUNTIFS(F$2:F86,F86,K$2:K86,"Sparse"))</f>
        <v>SD9</v>
      </c>
      <c r="B86" s="22" t="str">
        <f>J86&amp;(COUNTIF(J$2:J86,J86))</f>
        <v>Staffordshire2</v>
      </c>
      <c r="C86" t="s">
        <v>59</v>
      </c>
      <c r="D86" t="s">
        <v>59</v>
      </c>
      <c r="E86" s="25" t="s">
        <v>367</v>
      </c>
      <c r="F86" s="25" t="s">
        <v>379</v>
      </c>
      <c r="G86" s="25" t="s">
        <v>5</v>
      </c>
      <c r="H86" s="26" t="s">
        <v>891</v>
      </c>
      <c r="I86" s="27" t="s">
        <v>891</v>
      </c>
      <c r="J86" t="s">
        <v>327</v>
      </c>
    </row>
    <row r="87" spans="1:11" ht="14.4">
      <c r="A87" s="22" t="str">
        <f>F87&amp;(COUNTIFS(F$2:F87,F87,K$2:K87,"Sparse"))</f>
        <v>SD10</v>
      </c>
      <c r="B87" s="22" t="str">
        <f>J87&amp;(COUNTIF(J$2:J87,J87))</f>
        <v>Suffolk2</v>
      </c>
      <c r="C87" t="s">
        <v>893</v>
      </c>
      <c r="D87" t="s">
        <v>893</v>
      </c>
      <c r="E87" s="25" t="s">
        <v>368</v>
      </c>
      <c r="F87" s="25" t="s">
        <v>379</v>
      </c>
      <c r="G87" s="25" t="s">
        <v>5</v>
      </c>
      <c r="H87" s="26" t="s">
        <v>890</v>
      </c>
      <c r="I87" s="27" t="s">
        <v>890</v>
      </c>
      <c r="J87" t="s">
        <v>328</v>
      </c>
      <c r="K87" t="s">
        <v>335</v>
      </c>
    </row>
    <row r="88" spans="1:11" ht="14.4">
      <c r="A88" s="22" t="str">
        <f>F88&amp;(COUNTIFS(F$2:F88,F88,K$2:K88,"Sparse"))</f>
        <v>SC1</v>
      </c>
      <c r="B88" s="22" t="str">
        <f>J88&amp;(COUNTIF(J$2:J88,J88))</f>
        <v>East Sussex1</v>
      </c>
      <c r="C88" t="s">
        <v>310</v>
      </c>
      <c r="D88" t="s">
        <v>310</v>
      </c>
      <c r="E88" s="25" t="s">
        <v>0</v>
      </c>
      <c r="F88" s="25" t="s">
        <v>387</v>
      </c>
      <c r="G88" s="25" t="s">
        <v>301</v>
      </c>
      <c r="H88" s="26" t="s">
        <v>891</v>
      </c>
      <c r="I88" s="27" t="s">
        <v>891</v>
      </c>
      <c r="J88" s="3" t="s">
        <v>310</v>
      </c>
    </row>
    <row r="89" spans="1:11" ht="14.4">
      <c r="A89" s="22" t="str">
        <f>F89&amp;(COUNTIFS(F$2:F89,F89,K$2:K89,"Sparse"))</f>
        <v>SD10</v>
      </c>
      <c r="B89" s="22" t="str">
        <f>J89&amp;(COUNTIF(J$2:J89,J89))</f>
        <v>East Sussex2</v>
      </c>
      <c r="C89" t="s">
        <v>60</v>
      </c>
      <c r="D89" t="s">
        <v>60</v>
      </c>
      <c r="E89" s="25" t="s">
        <v>0</v>
      </c>
      <c r="F89" s="25" t="s">
        <v>379</v>
      </c>
      <c r="G89" s="25" t="s">
        <v>5</v>
      </c>
      <c r="H89" s="26" t="s">
        <v>382</v>
      </c>
      <c r="I89" s="27" t="s">
        <v>382</v>
      </c>
      <c r="J89" t="s">
        <v>310</v>
      </c>
    </row>
    <row r="90" spans="1:11">
      <c r="A90" s="22" t="str">
        <f>F90&amp;(COUNTIFS(F$2:F90,F90,K$2:K90,"Sparse"))</f>
        <v>SD10</v>
      </c>
      <c r="B90" s="22" t="str">
        <f>J90&amp;(COUNTIF(J$2:J90,J90))</f>
        <v>Hampshire3</v>
      </c>
      <c r="C90" t="s">
        <v>61</v>
      </c>
      <c r="D90" t="s">
        <v>61</v>
      </c>
      <c r="E90" s="25" t="s">
        <v>0</v>
      </c>
      <c r="F90" s="25" t="s">
        <v>379</v>
      </c>
      <c r="G90" s="25" t="s">
        <v>5</v>
      </c>
      <c r="H90" s="26" t="s">
        <v>382</v>
      </c>
      <c r="I90" s="26" t="s">
        <v>382</v>
      </c>
      <c r="J90" t="s">
        <v>313</v>
      </c>
    </row>
    <row r="91" spans="1:11" ht="14.4">
      <c r="A91" s="22" t="str">
        <f>F91&amp;(COUNTIFS(F$2:F91,F91,K$2:K91,"Sparse"))</f>
        <v>SD10</v>
      </c>
      <c r="B91" s="22" t="str">
        <f>J91&amp;(COUNTIF(J$2:J91,J91))</f>
        <v>Surrey1</v>
      </c>
      <c r="C91" t="s">
        <v>63</v>
      </c>
      <c r="D91" t="s">
        <v>63</v>
      </c>
      <c r="E91" s="25" t="s">
        <v>0</v>
      </c>
      <c r="F91" s="25" t="s">
        <v>379</v>
      </c>
      <c r="G91" s="25" t="s">
        <v>5</v>
      </c>
      <c r="H91" s="26" t="s">
        <v>382</v>
      </c>
      <c r="I91" s="27" t="s">
        <v>382</v>
      </c>
      <c r="J91" t="s">
        <v>329</v>
      </c>
    </row>
    <row r="92" spans="1:11" ht="14.4">
      <c r="A92" s="22" t="str">
        <f>F92&amp;(COUNTIFS(F$2:F92,F92,K$2:K92,"Sparse"))</f>
        <v>L0</v>
      </c>
      <c r="B92" s="22" t="str">
        <f>J92&amp;(COUNTIF(J$2:J92,J92))</f>
        <v>London10</v>
      </c>
      <c r="C92" t="s">
        <v>203</v>
      </c>
      <c r="D92" t="s">
        <v>203</v>
      </c>
      <c r="E92" s="25" t="s">
        <v>381</v>
      </c>
      <c r="F92" s="25" t="s">
        <v>358</v>
      </c>
      <c r="G92" s="25" t="s">
        <v>381</v>
      </c>
      <c r="H92" s="26" t="s">
        <v>382</v>
      </c>
      <c r="I92" s="27" t="s">
        <v>382</v>
      </c>
      <c r="J92" t="s">
        <v>381</v>
      </c>
    </row>
    <row r="93" spans="1:11" ht="14.4">
      <c r="A93" s="22" t="str">
        <f>F93&amp;(COUNTIFS(F$2:F93,F93,K$2:K93,"Sparse"))</f>
        <v>SD10</v>
      </c>
      <c r="B93" s="22" t="str">
        <f>J93&amp;(COUNTIF(J$2:J93,J93))</f>
        <v>Essex7</v>
      </c>
      <c r="C93" t="s">
        <v>64</v>
      </c>
      <c r="D93" t="s">
        <v>64</v>
      </c>
      <c r="E93" s="25" t="s">
        <v>368</v>
      </c>
      <c r="F93" s="25" t="s">
        <v>379</v>
      </c>
      <c r="G93" s="25" t="s">
        <v>5</v>
      </c>
      <c r="H93" s="26" t="s">
        <v>891</v>
      </c>
      <c r="I93" s="27" t="s">
        <v>891</v>
      </c>
      <c r="J93" t="s">
        <v>311</v>
      </c>
    </row>
    <row r="94" spans="1:11" ht="14.4">
      <c r="A94" s="22" t="str">
        <f>F94&amp;(COUNTIFS(F$2:F94,F94,K$2:K94,"Sparse"))</f>
        <v>SD10</v>
      </c>
      <c r="B94" s="22" t="str">
        <f>J94&amp;(COUNTIF(J$2:J94,J94))</f>
        <v>Surrey2</v>
      </c>
      <c r="C94" t="s">
        <v>343</v>
      </c>
      <c r="D94" t="s">
        <v>343</v>
      </c>
      <c r="E94" s="25" t="s">
        <v>0</v>
      </c>
      <c r="F94" s="25" t="s">
        <v>379</v>
      </c>
      <c r="G94" s="25" t="s">
        <v>5</v>
      </c>
      <c r="H94" s="26" t="s">
        <v>382</v>
      </c>
      <c r="I94" s="27" t="s">
        <v>382</v>
      </c>
      <c r="J94" t="s">
        <v>329</v>
      </c>
    </row>
    <row r="95" spans="1:11" ht="14.4">
      <c r="A95" s="22" t="str">
        <f>F95&amp;(COUNTIFS(F$2:F95,F95,K$2:K95,"Sparse"))</f>
        <v>SD10</v>
      </c>
      <c r="B95" s="22" t="str">
        <f>J95&amp;(COUNTIF(J$2:J95,J95))</f>
        <v>Derbyshire6</v>
      </c>
      <c r="C95" t="s">
        <v>65</v>
      </c>
      <c r="D95" t="s">
        <v>65</v>
      </c>
      <c r="E95" s="25" t="s">
        <v>366</v>
      </c>
      <c r="F95" s="25" t="s">
        <v>379</v>
      </c>
      <c r="G95" s="25" t="s">
        <v>5</v>
      </c>
      <c r="H95" s="26" t="s">
        <v>382</v>
      </c>
      <c r="I95" s="27" t="s">
        <v>382</v>
      </c>
      <c r="J95" t="s">
        <v>307</v>
      </c>
    </row>
    <row r="96" spans="1:11" ht="14.4">
      <c r="A96" s="22" t="str">
        <f>F96&amp;(COUNTIFS(F$2:F96,F96,K$2:K96,"Sparse"))</f>
        <v>SC1</v>
      </c>
      <c r="B96" s="22" t="str">
        <f>J96&amp;(COUNTIF(J$2:J96,J96))</f>
        <v>Essex8</v>
      </c>
      <c r="C96" t="s">
        <v>311</v>
      </c>
      <c r="D96" t="s">
        <v>311</v>
      </c>
      <c r="E96" s="25" t="s">
        <v>368</v>
      </c>
      <c r="F96" s="25" t="s">
        <v>387</v>
      </c>
      <c r="G96" s="25" t="s">
        <v>301</v>
      </c>
      <c r="H96" s="26" t="s">
        <v>891</v>
      </c>
      <c r="I96" s="27" t="s">
        <v>891</v>
      </c>
      <c r="J96" t="s">
        <v>311</v>
      </c>
    </row>
    <row r="97" spans="1:11" ht="14.4">
      <c r="A97" s="22" t="str">
        <f>F97&amp;(COUNTIFS(F$2:F97,F97,K$2:K97,"Sparse"))</f>
        <v>SD10</v>
      </c>
      <c r="B97" s="22" t="str">
        <f>J97&amp;(COUNTIF(J$2:J97,J97))</f>
        <v>Devon3</v>
      </c>
      <c r="C97" t="s">
        <v>66</v>
      </c>
      <c r="D97" t="s">
        <v>66</v>
      </c>
      <c r="E97" s="25" t="s">
        <v>1</v>
      </c>
      <c r="F97" s="25" t="s">
        <v>379</v>
      </c>
      <c r="G97" s="25" t="s">
        <v>5</v>
      </c>
      <c r="H97" s="26" t="s">
        <v>382</v>
      </c>
      <c r="I97" s="27" t="s">
        <v>382</v>
      </c>
      <c r="J97" t="s">
        <v>308</v>
      </c>
    </row>
    <row r="98" spans="1:11" ht="14.4">
      <c r="A98" s="22" t="str">
        <f>F98&amp;(COUNTIFS(F$2:F98,F98,K$2:K98,"Sparse"))</f>
        <v>SD10</v>
      </c>
      <c r="B98" s="22" t="str">
        <f>J98&amp;(COUNTIF(J$2:J98,J98))</f>
        <v>Hampshire4</v>
      </c>
      <c r="C98" t="s">
        <v>67</v>
      </c>
      <c r="D98" t="s">
        <v>67</v>
      </c>
      <c r="E98" s="25" t="s">
        <v>0</v>
      </c>
      <c r="F98" s="25" t="s">
        <v>379</v>
      </c>
      <c r="G98" s="25" t="s">
        <v>5</v>
      </c>
      <c r="H98" s="26" t="s">
        <v>382</v>
      </c>
      <c r="I98" s="27" t="s">
        <v>382</v>
      </c>
      <c r="J98" t="s">
        <v>313</v>
      </c>
    </row>
    <row r="99" spans="1:11" ht="14.4">
      <c r="A99" s="22" t="str">
        <f>F99&amp;(COUNTIFS(F$2:F99,F99,K$2:K99,"Sparse"))</f>
        <v>SD10</v>
      </c>
      <c r="B99" s="22" t="str">
        <f>J99&amp;(COUNTIF(J$2:J99,J99))</f>
        <v>Cambridgeshire4</v>
      </c>
      <c r="C99" s="27" t="s">
        <v>68</v>
      </c>
      <c r="D99" s="27" t="s">
        <v>68</v>
      </c>
      <c r="E99" s="25" t="s">
        <v>368</v>
      </c>
      <c r="F99" s="25" t="s">
        <v>379</v>
      </c>
      <c r="G99" s="25" t="s">
        <v>5</v>
      </c>
      <c r="H99" s="27" t="s">
        <v>890</v>
      </c>
      <c r="I99" s="27" t="s">
        <v>380</v>
      </c>
      <c r="J99" t="s">
        <v>302</v>
      </c>
    </row>
    <row r="100" spans="1:11" ht="14.4">
      <c r="A100" s="22" t="str">
        <f>F100&amp;(COUNTIFS(F$2:F100,F100,K$2:K100,"Sparse"))</f>
        <v>SD10</v>
      </c>
      <c r="B100" s="22" t="str">
        <f>J100&amp;(COUNTIF(J$2:J100,J100))</f>
        <v>Kent5</v>
      </c>
      <c r="C100" t="s">
        <v>889</v>
      </c>
      <c r="D100" t="s">
        <v>889</v>
      </c>
      <c r="E100" s="25" t="s">
        <v>0</v>
      </c>
      <c r="F100" s="25" t="s">
        <v>379</v>
      </c>
      <c r="G100" s="25" t="s">
        <v>5</v>
      </c>
      <c r="H100" s="26" t="s">
        <v>891</v>
      </c>
      <c r="I100" s="27" t="s">
        <v>891</v>
      </c>
      <c r="J100" t="s">
        <v>315</v>
      </c>
    </row>
    <row r="101" spans="1:11" ht="14.4">
      <c r="A101" s="22" t="str">
        <f>F101&amp;(COUNTIFS(F$2:F101,F101,K$2:K101,"Sparse"))</f>
        <v>SD11</v>
      </c>
      <c r="B101" s="22" t="str">
        <f>J101&amp;(COUNTIF(J$2:J101,J101))</f>
        <v>Gloucestershire3</v>
      </c>
      <c r="C101" t="s">
        <v>70</v>
      </c>
      <c r="D101" t="s">
        <v>70</v>
      </c>
      <c r="E101" s="25" t="s">
        <v>1</v>
      </c>
      <c r="F101" s="25" t="s">
        <v>379</v>
      </c>
      <c r="G101" s="25" t="s">
        <v>5</v>
      </c>
      <c r="H101" s="26" t="s">
        <v>890</v>
      </c>
      <c r="I101" s="27" t="s">
        <v>380</v>
      </c>
      <c r="J101" t="s">
        <v>312</v>
      </c>
      <c r="K101" t="s">
        <v>335</v>
      </c>
    </row>
    <row r="102" spans="1:11" ht="14.4">
      <c r="A102" s="22" t="str">
        <f>F102&amp;(COUNTIFS(F$2:F102,F102,K$2:K102,"Sparse"))</f>
        <v>SD11</v>
      </c>
      <c r="B102" s="22" t="str">
        <f>J102&amp;(COUNTIF(J$2:J102,J102))</f>
        <v>Lancashire3</v>
      </c>
      <c r="C102" t="s">
        <v>71</v>
      </c>
      <c r="D102" t="s">
        <v>71</v>
      </c>
      <c r="E102" s="25" t="s">
        <v>374</v>
      </c>
      <c r="F102" s="25" t="s">
        <v>379</v>
      </c>
      <c r="G102" s="25" t="s">
        <v>5</v>
      </c>
      <c r="H102" s="26" t="s">
        <v>382</v>
      </c>
      <c r="I102" s="27" t="s">
        <v>382</v>
      </c>
      <c r="J102" t="s">
        <v>316</v>
      </c>
    </row>
    <row r="103" spans="1:11" ht="14.4">
      <c r="A103" s="22" t="str">
        <f>F103&amp;(COUNTIFS(F$2:F103,F103,K$2:K103,"Sparse"))</f>
        <v>MD0</v>
      </c>
      <c r="B103" s="22" t="str">
        <f>J103&amp;(COUNTIF(J$2:J103,J103))</f>
        <v>Gateshead1</v>
      </c>
      <c r="C103" t="s">
        <v>231</v>
      </c>
      <c r="D103" t="s">
        <v>231</v>
      </c>
      <c r="E103" s="25" t="s">
        <v>388</v>
      </c>
      <c r="F103" s="25" t="s">
        <v>384</v>
      </c>
      <c r="G103" s="25" t="s">
        <v>395</v>
      </c>
      <c r="H103" s="26" t="s">
        <v>382</v>
      </c>
      <c r="I103" s="27" t="s">
        <v>382</v>
      </c>
      <c r="J103" t="s">
        <v>231</v>
      </c>
    </row>
    <row r="104" spans="1:11" ht="14.4">
      <c r="A104" s="22" t="str">
        <f>F104&amp;(COUNTIFS(F$2:F104,F104,K$2:K104,"Sparse"))</f>
        <v>SD11</v>
      </c>
      <c r="B104" s="22" t="str">
        <f>J104&amp;(COUNTIF(J$2:J104,J104))</f>
        <v>Nottinghamshire4</v>
      </c>
      <c r="C104" t="s">
        <v>72</v>
      </c>
      <c r="D104" t="s">
        <v>72</v>
      </c>
      <c r="E104" s="25" t="s">
        <v>366</v>
      </c>
      <c r="F104" s="25" t="s">
        <v>379</v>
      </c>
      <c r="G104" s="25" t="s">
        <v>5</v>
      </c>
      <c r="H104" s="26" t="s">
        <v>382</v>
      </c>
      <c r="I104" s="27" t="s">
        <v>382</v>
      </c>
      <c r="J104" t="s">
        <v>323</v>
      </c>
    </row>
    <row r="105" spans="1:11" ht="14.4">
      <c r="A105" s="22" t="str">
        <f>F105&amp;(COUNTIFS(F$2:F105,F105,K$2:K105,"Sparse"))</f>
        <v>SD11</v>
      </c>
      <c r="B105" s="22" t="str">
        <f>J105&amp;(COUNTIF(J$2:J105,J105))</f>
        <v>Gloucestershire4</v>
      </c>
      <c r="C105" t="s">
        <v>73</v>
      </c>
      <c r="D105" t="s">
        <v>73</v>
      </c>
      <c r="E105" s="25" t="s">
        <v>1</v>
      </c>
      <c r="F105" s="25" t="s">
        <v>379</v>
      </c>
      <c r="G105" s="25" t="s">
        <v>5</v>
      </c>
      <c r="H105" s="26" t="s">
        <v>382</v>
      </c>
      <c r="I105" s="27" t="s">
        <v>382</v>
      </c>
      <c r="J105" t="s">
        <v>312</v>
      </c>
    </row>
    <row r="106" spans="1:11" ht="14.4">
      <c r="A106" s="22" t="str">
        <f>F106&amp;(COUNTIFS(F$2:F106,F106,K$2:K106,"Sparse"))</f>
        <v>SC1</v>
      </c>
      <c r="B106" s="22" t="str">
        <f>J106&amp;(COUNTIF(J$2:J106,J106))</f>
        <v>Gloucestershire5</v>
      </c>
      <c r="C106" t="s">
        <v>312</v>
      </c>
      <c r="D106" t="s">
        <v>312</v>
      </c>
      <c r="E106" s="25" t="s">
        <v>1</v>
      </c>
      <c r="F106" s="25" t="s">
        <v>387</v>
      </c>
      <c r="G106" s="25" t="s">
        <v>301</v>
      </c>
      <c r="H106" s="26" t="s">
        <v>891</v>
      </c>
      <c r="I106" s="27" t="s">
        <v>891</v>
      </c>
      <c r="J106" t="s">
        <v>312</v>
      </c>
    </row>
    <row r="107" spans="1:11" ht="14.4">
      <c r="A107" s="22" t="str">
        <f>F107&amp;(COUNTIFS(F$2:F107,F107,K$2:K107,"Sparse"))</f>
        <v>SD11</v>
      </c>
      <c r="B107" s="22" t="str">
        <f>J107&amp;(COUNTIF(J$2:J107,J107))</f>
        <v>Hampshire5</v>
      </c>
      <c r="C107" t="s">
        <v>74</v>
      </c>
      <c r="D107" t="s">
        <v>74</v>
      </c>
      <c r="E107" s="25" t="s">
        <v>0</v>
      </c>
      <c r="F107" s="25" t="s">
        <v>379</v>
      </c>
      <c r="G107" s="25" t="s">
        <v>5</v>
      </c>
      <c r="H107" s="26" t="s">
        <v>382</v>
      </c>
      <c r="I107" s="27" t="s">
        <v>382</v>
      </c>
      <c r="J107" t="s">
        <v>313</v>
      </c>
    </row>
    <row r="108" spans="1:11" ht="14.4">
      <c r="A108" s="22" t="str">
        <f>F108&amp;(COUNTIFS(F$2:F108,F108,K$2:K108,"Sparse"))</f>
        <v>SD11</v>
      </c>
      <c r="B108" s="22" t="str">
        <f>J108&amp;(COUNTIF(J$2:J108,J108))</f>
        <v>Kent6</v>
      </c>
      <c r="C108" s="27" t="s">
        <v>75</v>
      </c>
      <c r="D108" s="27" t="s">
        <v>75</v>
      </c>
      <c r="E108" s="25" t="s">
        <v>0</v>
      </c>
      <c r="F108" s="25" t="s">
        <v>379</v>
      </c>
      <c r="G108" s="25" t="s">
        <v>5</v>
      </c>
      <c r="H108" s="27" t="s">
        <v>382</v>
      </c>
      <c r="I108" s="27" t="s">
        <v>382</v>
      </c>
      <c r="J108" t="s">
        <v>315</v>
      </c>
    </row>
    <row r="109" spans="1:11" ht="14.4">
      <c r="A109" s="22" t="str">
        <f>F109&amp;(COUNTIFS(F$2:F109,F109,K$2:K109,"Sparse"))</f>
        <v>SD11</v>
      </c>
      <c r="B109" s="22" t="str">
        <f>J109&amp;(COUNTIF(J$2:J109,J109))</f>
        <v>Norfolk3</v>
      </c>
      <c r="C109" t="s">
        <v>76</v>
      </c>
      <c r="D109" t="s">
        <v>76</v>
      </c>
      <c r="E109" s="25" t="s">
        <v>368</v>
      </c>
      <c r="F109" s="25" t="s">
        <v>379</v>
      </c>
      <c r="G109" s="25" t="s">
        <v>5</v>
      </c>
      <c r="H109" s="26" t="s">
        <v>891</v>
      </c>
      <c r="I109" s="27" t="s">
        <v>891</v>
      </c>
      <c r="J109" t="s">
        <v>319</v>
      </c>
    </row>
    <row r="110" spans="1:11" ht="14.4">
      <c r="A110" s="22" t="str">
        <f>F110&amp;(COUNTIFS(F$2:F110,F110,K$2:K110,"Sparse"))</f>
        <v>L0</v>
      </c>
      <c r="B110" s="22" t="str">
        <f>J110&amp;(COUNTIF(J$2:J110,J110))</f>
        <v>London11</v>
      </c>
      <c r="C110" t="s">
        <v>204</v>
      </c>
      <c r="D110" t="s">
        <v>204</v>
      </c>
      <c r="E110" s="25" t="s">
        <v>381</v>
      </c>
      <c r="F110" s="25" t="s">
        <v>358</v>
      </c>
      <c r="G110" s="25" t="s">
        <v>381</v>
      </c>
      <c r="H110" s="26" t="s">
        <v>382</v>
      </c>
      <c r="I110" s="27" t="s">
        <v>382</v>
      </c>
      <c r="J110" t="s">
        <v>381</v>
      </c>
    </row>
    <row r="111" spans="1:11" ht="14.4">
      <c r="A111" s="22" t="str">
        <f>F111&amp;(COUNTIFS(F$2:F111,F111,K$2:K111,"Sparse"))</f>
        <v>SD11</v>
      </c>
      <c r="B111" s="22" t="str">
        <f>J111&amp;(COUNTIF(J$2:J111,J111))</f>
        <v>Surrey3</v>
      </c>
      <c r="C111" t="s">
        <v>77</v>
      </c>
      <c r="D111" t="s">
        <v>77</v>
      </c>
      <c r="E111" s="25" t="s">
        <v>0</v>
      </c>
      <c r="F111" s="25" t="s">
        <v>379</v>
      </c>
      <c r="G111" s="25" t="s">
        <v>5</v>
      </c>
      <c r="H111" s="26" t="s">
        <v>382</v>
      </c>
      <c r="I111" s="27" t="s">
        <v>382</v>
      </c>
      <c r="J111" t="s">
        <v>329</v>
      </c>
    </row>
    <row r="112" spans="1:11" ht="14.4">
      <c r="A112" s="22" t="str">
        <f>F112&amp;(COUNTIFS(F$2:F112,F112,K$2:K112,"Sparse"))</f>
        <v>L0</v>
      </c>
      <c r="B112" s="22" t="str">
        <f>J112&amp;(COUNTIF(J$2:J112,J112))</f>
        <v>London12</v>
      </c>
      <c r="C112" t="s">
        <v>205</v>
      </c>
      <c r="D112" t="s">
        <v>205</v>
      </c>
      <c r="E112" s="25" t="s">
        <v>381</v>
      </c>
      <c r="F112" s="25" t="s">
        <v>358</v>
      </c>
      <c r="G112" s="25" t="s">
        <v>381</v>
      </c>
      <c r="H112" s="26" t="s">
        <v>382</v>
      </c>
      <c r="I112" s="27" t="s">
        <v>382</v>
      </c>
      <c r="J112" t="s">
        <v>381</v>
      </c>
    </row>
    <row r="113" spans="1:11" ht="14.4">
      <c r="A113" s="22" t="str">
        <f>F113&amp;(COUNTIFS(F$2:F113,F113,K$2:K113,"Sparse"))</f>
        <v>UA6</v>
      </c>
      <c r="B113" s="22" t="str">
        <f>J113&amp;(COUNTIF(J$2:J113,J113))</f>
        <v>Unitary21</v>
      </c>
      <c r="C113" t="s">
        <v>268</v>
      </c>
      <c r="D113" t="s">
        <v>268</v>
      </c>
      <c r="E113" s="25" t="s">
        <v>374</v>
      </c>
      <c r="F113" s="25" t="s">
        <v>385</v>
      </c>
      <c r="G113" s="25" t="s">
        <v>394</v>
      </c>
      <c r="H113" s="26" t="s">
        <v>382</v>
      </c>
      <c r="I113" s="27" t="s">
        <v>382</v>
      </c>
      <c r="J113" t="s">
        <v>394</v>
      </c>
    </row>
    <row r="114" spans="1:11" ht="14.4">
      <c r="A114" s="22" t="str">
        <f>F114&amp;(COUNTIFS(F$2:F114,F114,K$2:K114,"Sparse"))</f>
        <v>L0</v>
      </c>
      <c r="B114" s="22" t="str">
        <f>J114&amp;(COUNTIF(J$2:J114,J114))</f>
        <v>London13</v>
      </c>
      <c r="C114" t="s">
        <v>336</v>
      </c>
      <c r="D114" t="s">
        <v>336</v>
      </c>
      <c r="E114" s="25" t="s">
        <v>381</v>
      </c>
      <c r="F114" s="25" t="s">
        <v>358</v>
      </c>
      <c r="G114" s="25" t="s">
        <v>381</v>
      </c>
      <c r="H114" s="26" t="s">
        <v>382</v>
      </c>
      <c r="I114" s="27" t="s">
        <v>382</v>
      </c>
      <c r="J114" s="3" t="s">
        <v>381</v>
      </c>
    </row>
    <row r="115" spans="1:11" ht="14.4">
      <c r="A115" s="22" t="str">
        <f>F115&amp;(COUNTIFS(F$2:F115,F115,K$2:K115,"Sparse"))</f>
        <v>SC2</v>
      </c>
      <c r="B115" s="22" t="str">
        <f>J115&amp;(COUNTIF(J$2:J115,J115))</f>
        <v>Hampshire6</v>
      </c>
      <c r="C115" t="s">
        <v>313</v>
      </c>
      <c r="D115" t="s">
        <v>313</v>
      </c>
      <c r="E115" s="25" t="s">
        <v>0</v>
      </c>
      <c r="F115" s="25" t="s">
        <v>387</v>
      </c>
      <c r="G115" s="25" t="s">
        <v>301</v>
      </c>
      <c r="H115" s="26" t="s">
        <v>891</v>
      </c>
      <c r="I115" s="27" t="s">
        <v>891</v>
      </c>
      <c r="J115" t="s">
        <v>313</v>
      </c>
      <c r="K115" t="s">
        <v>335</v>
      </c>
    </row>
    <row r="116" spans="1:11" ht="14.4">
      <c r="A116" s="22" t="str">
        <f>F116&amp;(COUNTIFS(F$2:F116,F116,K$2:K116,"Sparse"))</f>
        <v>SD12</v>
      </c>
      <c r="B116" s="22" t="str">
        <f>J116&amp;(COUNTIF(J$2:J116,J116))</f>
        <v>Leicestershire3</v>
      </c>
      <c r="C116" t="s">
        <v>79</v>
      </c>
      <c r="D116" t="s">
        <v>79</v>
      </c>
      <c r="E116" s="25" t="s">
        <v>366</v>
      </c>
      <c r="F116" s="25" t="s">
        <v>379</v>
      </c>
      <c r="G116" s="25" t="s">
        <v>5</v>
      </c>
      <c r="H116" s="26" t="s">
        <v>890</v>
      </c>
      <c r="I116" s="27" t="s">
        <v>380</v>
      </c>
      <c r="J116" t="s">
        <v>317</v>
      </c>
      <c r="K116" t="s">
        <v>335</v>
      </c>
    </row>
    <row r="117" spans="1:11" ht="14.4">
      <c r="A117" s="22" t="str">
        <f>F117&amp;(COUNTIFS(F$2:F117,F117,K$2:K117,"Sparse"))</f>
        <v>L0</v>
      </c>
      <c r="B117" s="22" t="str">
        <f>J117&amp;(COUNTIF(J$2:J117,J117))</f>
        <v>London14</v>
      </c>
      <c r="C117" s="27" t="s">
        <v>206</v>
      </c>
      <c r="D117" s="27" t="s">
        <v>206</v>
      </c>
      <c r="E117" s="25" t="s">
        <v>381</v>
      </c>
      <c r="F117" s="25" t="s">
        <v>358</v>
      </c>
      <c r="G117" s="25" t="s">
        <v>381</v>
      </c>
      <c r="H117" s="27" t="s">
        <v>382</v>
      </c>
      <c r="I117" s="27" t="s">
        <v>382</v>
      </c>
      <c r="J117" t="s">
        <v>381</v>
      </c>
    </row>
    <row r="118" spans="1:11" ht="14.4">
      <c r="A118" s="22" t="str">
        <f>F118&amp;(COUNTIFS(F$2:F118,F118,K$2:K118,"Sparse"))</f>
        <v>SD12</v>
      </c>
      <c r="B118" s="22" t="str">
        <f>J118&amp;(COUNTIF(J$2:J118,J118))</f>
        <v>Essex9</v>
      </c>
      <c r="C118" t="s">
        <v>80</v>
      </c>
      <c r="D118" t="s">
        <v>80</v>
      </c>
      <c r="E118" s="25" t="s">
        <v>368</v>
      </c>
      <c r="F118" s="25" t="s">
        <v>379</v>
      </c>
      <c r="G118" s="25" t="s">
        <v>5</v>
      </c>
      <c r="H118" s="26" t="s">
        <v>382</v>
      </c>
      <c r="I118" s="27" t="s">
        <v>382</v>
      </c>
      <c r="J118" t="s">
        <v>311</v>
      </c>
    </row>
    <row r="119" spans="1:11" ht="14.4">
      <c r="A119" s="22" t="str">
        <f>F119&amp;(COUNTIFS(F$2:F119,F119,K$2:K119,"Sparse"))</f>
        <v>L0</v>
      </c>
      <c r="B119" s="22" t="str">
        <f>J119&amp;(COUNTIF(J$2:J119,J119))</f>
        <v>London15</v>
      </c>
      <c r="C119" t="s">
        <v>207</v>
      </c>
      <c r="D119" t="s">
        <v>207</v>
      </c>
      <c r="E119" s="25" t="s">
        <v>381</v>
      </c>
      <c r="F119" s="25" t="s">
        <v>358</v>
      </c>
      <c r="G119" s="25" t="s">
        <v>381</v>
      </c>
      <c r="H119" s="26" t="s">
        <v>382</v>
      </c>
      <c r="I119" s="27" t="s">
        <v>382</v>
      </c>
      <c r="J119" t="s">
        <v>381</v>
      </c>
    </row>
    <row r="120" spans="1:11" ht="14.4">
      <c r="A120" s="22" t="str">
        <f>F120&amp;(COUNTIFS(F$2:F120,F120,K$2:K120,"Sparse"))</f>
        <v>SD12</v>
      </c>
      <c r="B120" s="22" t="str">
        <f>J120&amp;(COUNTIF(J$2:J120,J120))</f>
        <v>Hampshire7</v>
      </c>
      <c r="C120" t="s">
        <v>82</v>
      </c>
      <c r="D120" t="s">
        <v>82</v>
      </c>
      <c r="E120" s="25" t="s">
        <v>0</v>
      </c>
      <c r="F120" s="25" t="s">
        <v>379</v>
      </c>
      <c r="G120" s="25" t="s">
        <v>5</v>
      </c>
      <c r="H120" s="26" t="s">
        <v>891</v>
      </c>
      <c r="I120" s="27" t="s">
        <v>891</v>
      </c>
      <c r="J120" t="s">
        <v>313</v>
      </c>
    </row>
    <row r="121" spans="1:11" ht="14.4">
      <c r="A121" s="22" t="str">
        <f>F121&amp;(COUNTIFS(F$2:F121,F121,K$2:K121,"Sparse"))</f>
        <v>UA6</v>
      </c>
      <c r="B121" s="22" t="str">
        <f>J121&amp;(COUNTIF(J$2:J121,J121))</f>
        <v>Unitary22</v>
      </c>
      <c r="C121" t="s">
        <v>269</v>
      </c>
      <c r="D121" t="s">
        <v>269</v>
      </c>
      <c r="E121" s="25" t="s">
        <v>388</v>
      </c>
      <c r="F121" s="25" t="s">
        <v>385</v>
      </c>
      <c r="G121" s="25" t="s">
        <v>394</v>
      </c>
      <c r="H121" s="26" t="s">
        <v>382</v>
      </c>
      <c r="I121" s="27" t="s">
        <v>382</v>
      </c>
      <c r="J121" t="s">
        <v>394</v>
      </c>
    </row>
    <row r="122" spans="1:11" ht="14.4">
      <c r="A122" s="22" t="str">
        <f>F122&amp;(COUNTIFS(F$2:F122,F122,K$2:K122,"Sparse"))</f>
        <v>SD12</v>
      </c>
      <c r="B122" s="22" t="str">
        <f>J122&amp;(COUNTIF(J$2:J122,J122))</f>
        <v>East Sussex3</v>
      </c>
      <c r="C122" t="s">
        <v>83</v>
      </c>
      <c r="D122" t="s">
        <v>83</v>
      </c>
      <c r="E122" s="25" t="s">
        <v>0</v>
      </c>
      <c r="F122" s="25" t="s">
        <v>379</v>
      </c>
      <c r="G122" s="25" t="s">
        <v>5</v>
      </c>
      <c r="H122" s="26" t="s">
        <v>382</v>
      </c>
      <c r="I122" s="27" t="s">
        <v>382</v>
      </c>
      <c r="J122" t="s">
        <v>310</v>
      </c>
    </row>
    <row r="123" spans="1:11" ht="14.4">
      <c r="A123" s="22" t="str">
        <f>F123&amp;(COUNTIFS(F$2:F123,F123,K$2:K123,"Sparse"))</f>
        <v>SD12</v>
      </c>
      <c r="B123" s="22" t="str">
        <f>J123&amp;(COUNTIF(J$2:J123,J123))</f>
        <v>Hampshire8</v>
      </c>
      <c r="C123" t="s">
        <v>84</v>
      </c>
      <c r="D123" t="s">
        <v>84</v>
      </c>
      <c r="E123" s="25" t="s">
        <v>0</v>
      </c>
      <c r="F123" s="25" t="s">
        <v>379</v>
      </c>
      <c r="G123" s="25" t="s">
        <v>5</v>
      </c>
      <c r="H123" s="26" t="s">
        <v>382</v>
      </c>
      <c r="I123" s="27" t="s">
        <v>382</v>
      </c>
      <c r="J123" s="3" t="s">
        <v>313</v>
      </c>
    </row>
    <row r="124" spans="1:11" ht="14.4">
      <c r="A124" s="22" t="str">
        <f>F124&amp;(COUNTIFS(F$2:F124,F124,K$2:K124,"Sparse"))</f>
        <v>L0</v>
      </c>
      <c r="B124" s="22" t="str">
        <f>J124&amp;(COUNTIF(J$2:J124,J124))</f>
        <v>London16</v>
      </c>
      <c r="C124" t="s">
        <v>208</v>
      </c>
      <c r="D124" t="s">
        <v>208</v>
      </c>
      <c r="E124" s="25" t="s">
        <v>381</v>
      </c>
      <c r="F124" s="25" t="s">
        <v>358</v>
      </c>
      <c r="G124" s="25" t="s">
        <v>381</v>
      </c>
      <c r="H124" s="26" t="s">
        <v>382</v>
      </c>
      <c r="I124" s="27" t="s">
        <v>382</v>
      </c>
      <c r="J124" t="s">
        <v>381</v>
      </c>
    </row>
    <row r="125" spans="1:11" ht="14.4">
      <c r="A125" s="22" t="str">
        <f>F125&amp;(COUNTIFS(F$2:F125,F125,K$2:K125,"Sparse"))</f>
        <v>UA7</v>
      </c>
      <c r="B125" s="22" t="str">
        <f>J125&amp;(COUNTIF(J$2:J125,J125))</f>
        <v>Unitary23</v>
      </c>
      <c r="C125" t="s">
        <v>817</v>
      </c>
      <c r="D125" t="s">
        <v>389</v>
      </c>
      <c r="E125" s="25" t="s">
        <v>367</v>
      </c>
      <c r="F125" s="25" t="s">
        <v>385</v>
      </c>
      <c r="G125" s="25" t="s">
        <v>394</v>
      </c>
      <c r="H125" s="26" t="s">
        <v>890</v>
      </c>
      <c r="I125" s="27" t="s">
        <v>380</v>
      </c>
      <c r="J125" t="s">
        <v>394</v>
      </c>
      <c r="K125" t="s">
        <v>335</v>
      </c>
    </row>
    <row r="126" spans="1:11" ht="14.4">
      <c r="A126" s="22" t="str">
        <f>F126&amp;(COUNTIFS(F$2:F126,F126,K$2:K126,"Sparse"))</f>
        <v>SC2</v>
      </c>
      <c r="B126" s="22" t="str">
        <f>J126&amp;(COUNTIF(J$2:J126,J126))</f>
        <v>Hertfordshire4</v>
      </c>
      <c r="C126" t="s">
        <v>314</v>
      </c>
      <c r="D126" t="s">
        <v>314</v>
      </c>
      <c r="E126" s="25" t="s">
        <v>368</v>
      </c>
      <c r="F126" s="25" t="s">
        <v>387</v>
      </c>
      <c r="G126" s="25" t="s">
        <v>301</v>
      </c>
      <c r="H126" s="26" t="s">
        <v>382</v>
      </c>
      <c r="I126" s="27" t="s">
        <v>382</v>
      </c>
      <c r="J126" t="s">
        <v>314</v>
      </c>
    </row>
    <row r="127" spans="1:11" ht="14.4">
      <c r="A127" s="22" t="str">
        <f>F127&amp;(COUNTIFS(F$2:F127,F127,K$2:K127,"Sparse"))</f>
        <v>SD12</v>
      </c>
      <c r="B127" s="22" t="str">
        <f>J127&amp;(COUNTIF(J$2:J127,J127))</f>
        <v>Hertfordshire5</v>
      </c>
      <c r="C127" t="s">
        <v>85</v>
      </c>
      <c r="D127" t="s">
        <v>85</v>
      </c>
      <c r="E127" s="25" t="s">
        <v>368</v>
      </c>
      <c r="F127" s="25" t="s">
        <v>379</v>
      </c>
      <c r="G127" s="25" t="s">
        <v>5</v>
      </c>
      <c r="H127" s="26" t="s">
        <v>382</v>
      </c>
      <c r="I127" s="27" t="s">
        <v>382</v>
      </c>
      <c r="J127" s="3" t="s">
        <v>314</v>
      </c>
    </row>
    <row r="128" spans="1:11" ht="14.4">
      <c r="A128" s="22" t="str">
        <f>F128&amp;(COUNTIFS(F$2:F128,F128,K$2:K128,"Sparse"))</f>
        <v>SD12</v>
      </c>
      <c r="B128" s="22" t="str">
        <f>J128&amp;(COUNTIF(J$2:J128,J128))</f>
        <v>Derbyshire7</v>
      </c>
      <c r="C128" s="27" t="s">
        <v>86</v>
      </c>
      <c r="D128" s="27" t="s">
        <v>86</v>
      </c>
      <c r="E128" s="25" t="s">
        <v>366</v>
      </c>
      <c r="F128" s="25" t="s">
        <v>379</v>
      </c>
      <c r="G128" s="25" t="s">
        <v>5</v>
      </c>
      <c r="H128" s="27" t="s">
        <v>890</v>
      </c>
      <c r="I128" s="27" t="s">
        <v>380</v>
      </c>
      <c r="J128" t="s">
        <v>307</v>
      </c>
    </row>
    <row r="129" spans="1:11" ht="14.4">
      <c r="A129" s="22" t="str">
        <f>F129&amp;(COUNTIFS(F$2:F129,F129,K$2:K129,"Sparse"))</f>
        <v>L0</v>
      </c>
      <c r="B129" s="22" t="str">
        <f>J129&amp;(COUNTIF(J$2:J129,J129))</f>
        <v>London17</v>
      </c>
      <c r="C129" t="s">
        <v>209</v>
      </c>
      <c r="D129" t="s">
        <v>209</v>
      </c>
      <c r="E129" s="25" t="s">
        <v>381</v>
      </c>
      <c r="F129" s="25" t="s">
        <v>358</v>
      </c>
      <c r="G129" s="25" t="s">
        <v>381</v>
      </c>
      <c r="H129" s="26" t="s">
        <v>382</v>
      </c>
      <c r="I129" s="27" t="s">
        <v>382</v>
      </c>
      <c r="J129" t="s">
        <v>381</v>
      </c>
    </row>
    <row r="130" spans="1:11" ht="14.4">
      <c r="A130" s="22" t="str">
        <f>F130&amp;(COUNTIFS(F$2:F130,F130,K$2:K130,"Sparse"))</f>
        <v>SD12</v>
      </c>
      <c r="B130" s="22" t="str">
        <f>J130&amp;(COUNTIF(J$2:J130,J130))</f>
        <v>Leicestershire4</v>
      </c>
      <c r="C130" t="s">
        <v>344</v>
      </c>
      <c r="D130" t="s">
        <v>344</v>
      </c>
      <c r="E130" s="25" t="s">
        <v>366</v>
      </c>
      <c r="F130" s="25" t="s">
        <v>379</v>
      </c>
      <c r="G130" s="25" t="s">
        <v>5</v>
      </c>
      <c r="H130" s="26" t="s">
        <v>890</v>
      </c>
      <c r="I130" s="27" t="s">
        <v>380</v>
      </c>
      <c r="J130" t="s">
        <v>317</v>
      </c>
    </row>
    <row r="131" spans="1:11" ht="14.4">
      <c r="A131" s="22" t="str">
        <f>F131&amp;(COUNTIFS(F$2:F131,F131,K$2:K131,"Sparse"))</f>
        <v>SD12</v>
      </c>
      <c r="B131" s="22" t="str">
        <f>J131&amp;(COUNTIF(J$2:J131,J131))</f>
        <v>West Sussex5</v>
      </c>
      <c r="C131" t="s">
        <v>87</v>
      </c>
      <c r="D131" t="s">
        <v>87</v>
      </c>
      <c r="E131" s="25" t="s">
        <v>0</v>
      </c>
      <c r="F131" s="25" t="s">
        <v>379</v>
      </c>
      <c r="G131" s="25" t="s">
        <v>5</v>
      </c>
      <c r="H131" s="26" t="s">
        <v>890</v>
      </c>
      <c r="I131" s="27" t="s">
        <v>380</v>
      </c>
      <c r="J131" t="s">
        <v>331</v>
      </c>
    </row>
    <row r="132" spans="1:11" ht="14.4">
      <c r="A132" s="22" t="str">
        <f>F132&amp;(COUNTIFS(F$2:F132,F132,K$2:K132,"Sparse"))</f>
        <v>L0</v>
      </c>
      <c r="B132" s="22" t="str">
        <f>J132&amp;(COUNTIF(J$2:J132,J132))</f>
        <v>London18</v>
      </c>
      <c r="C132" t="s">
        <v>210</v>
      </c>
      <c r="D132" t="s">
        <v>210</v>
      </c>
      <c r="E132" s="25" t="s">
        <v>381</v>
      </c>
      <c r="F132" s="25" t="s">
        <v>358</v>
      </c>
      <c r="G132" s="25" t="s">
        <v>381</v>
      </c>
      <c r="H132" s="26" t="s">
        <v>382</v>
      </c>
      <c r="I132" s="27" t="s">
        <v>382</v>
      </c>
      <c r="J132" t="s">
        <v>381</v>
      </c>
    </row>
    <row r="133" spans="1:11" ht="14.4">
      <c r="A133" s="22" t="str">
        <f>F133&amp;(COUNTIFS(F$2:F133,F133,K$2:K133,"Sparse"))</f>
        <v>SD12</v>
      </c>
      <c r="B133" s="22" t="str">
        <f>J133&amp;(COUNTIF(J$2:J133,J133))</f>
        <v>Cambridgeshire5</v>
      </c>
      <c r="C133" t="s">
        <v>88</v>
      </c>
      <c r="D133" t="s">
        <v>88</v>
      </c>
      <c r="E133" s="25" t="s">
        <v>368</v>
      </c>
      <c r="F133" s="25" t="s">
        <v>379</v>
      </c>
      <c r="G133" s="25" t="s">
        <v>5</v>
      </c>
      <c r="H133" s="26" t="s">
        <v>890</v>
      </c>
      <c r="I133" s="27" t="s">
        <v>380</v>
      </c>
      <c r="J133" t="s">
        <v>302</v>
      </c>
    </row>
    <row r="134" spans="1:11" ht="14.4">
      <c r="A134" s="22" t="str">
        <f>F134&amp;(COUNTIFS(F$2:F134,F134,K$2:K134,"Sparse"))</f>
        <v>SD12</v>
      </c>
      <c r="B134" s="22" t="str">
        <f>J134&amp;(COUNTIF(J$2:J134,J134))</f>
        <v>Lancashire4</v>
      </c>
      <c r="C134" t="s">
        <v>89</v>
      </c>
      <c r="D134" t="s">
        <v>89</v>
      </c>
      <c r="E134" s="25" t="s">
        <v>374</v>
      </c>
      <c r="F134" s="25" t="s">
        <v>379</v>
      </c>
      <c r="G134" s="25" t="s">
        <v>5</v>
      </c>
      <c r="H134" s="26" t="s">
        <v>382</v>
      </c>
      <c r="I134" s="27" t="s">
        <v>382</v>
      </c>
      <c r="J134" t="s">
        <v>316</v>
      </c>
    </row>
    <row r="135" spans="1:11" ht="14.4">
      <c r="A135" s="22" t="str">
        <f>F135&amp;(COUNTIFS(F$2:F135,F135,K$2:K135,"Sparse"))</f>
        <v>SD12</v>
      </c>
      <c r="B135" s="22" t="str">
        <f>J135&amp;(COUNTIF(J$2:J135,J135))</f>
        <v>Suffolk3</v>
      </c>
      <c r="C135" t="s">
        <v>90</v>
      </c>
      <c r="D135" t="s">
        <v>90</v>
      </c>
      <c r="E135" s="25" t="s">
        <v>368</v>
      </c>
      <c r="F135" s="25" t="s">
        <v>379</v>
      </c>
      <c r="G135" s="25" t="s">
        <v>5</v>
      </c>
      <c r="H135" s="26" t="s">
        <v>382</v>
      </c>
      <c r="I135" s="27" t="s">
        <v>382</v>
      </c>
      <c r="J135" t="s">
        <v>328</v>
      </c>
    </row>
    <row r="136" spans="1:11" ht="14.4">
      <c r="A136" s="22" t="str">
        <f>F136&amp;(COUNTIFS(F$2:F136,F136,K$2:K136,"Sparse"))</f>
        <v>UA8</v>
      </c>
      <c r="B136" s="22" t="str">
        <f>J136&amp;(COUNTIF(J$2:J136,J136))</f>
        <v>Unitary24</v>
      </c>
      <c r="C136" t="s">
        <v>810</v>
      </c>
      <c r="D136" t="s">
        <v>270</v>
      </c>
      <c r="E136" s="25" t="s">
        <v>0</v>
      </c>
      <c r="F136" s="25" t="s">
        <v>385</v>
      </c>
      <c r="G136" s="25" t="s">
        <v>394</v>
      </c>
      <c r="H136" s="26" t="s">
        <v>890</v>
      </c>
      <c r="I136" s="27" t="s">
        <v>380</v>
      </c>
      <c r="J136" t="s">
        <v>394</v>
      </c>
      <c r="K136" t="s">
        <v>335</v>
      </c>
    </row>
    <row r="137" spans="1:11" ht="14.4">
      <c r="A137" s="22" t="str">
        <f>F137&amp;(COUNTIFS(F$2:F137,F137,K$2:K137,"Sparse"))</f>
        <v>00</v>
      </c>
      <c r="B137" s="22" t="str">
        <f>J137&amp;(COUNTIF(J$2:J137,J137))</f>
        <v>01</v>
      </c>
      <c r="C137" t="s">
        <v>2</v>
      </c>
      <c r="D137" t="s">
        <v>2</v>
      </c>
      <c r="E137" s="25" t="s">
        <v>1</v>
      </c>
      <c r="F137" s="25">
        <v>0</v>
      </c>
      <c r="G137" s="25" t="s">
        <v>398</v>
      </c>
      <c r="H137" s="26" t="s">
        <v>890</v>
      </c>
      <c r="I137" s="27" t="s">
        <v>380</v>
      </c>
      <c r="J137">
        <v>0</v>
      </c>
    </row>
    <row r="138" spans="1:11" ht="14.4">
      <c r="A138" s="22" t="str">
        <f>F138&amp;(COUNTIFS(F$2:F138,F138,K$2:K138,"Sparse"))</f>
        <v>L0</v>
      </c>
      <c r="B138" s="22" t="str">
        <f>J138&amp;(COUNTIF(J$2:J138,J138))</f>
        <v>London19</v>
      </c>
      <c r="C138" t="s">
        <v>211</v>
      </c>
      <c r="D138" t="s">
        <v>211</v>
      </c>
      <c r="E138" s="25" t="s">
        <v>381</v>
      </c>
      <c r="F138" s="25" t="s">
        <v>358</v>
      </c>
      <c r="G138" s="25" t="s">
        <v>381</v>
      </c>
      <c r="H138" s="26" t="s">
        <v>382</v>
      </c>
      <c r="I138" s="27" t="s">
        <v>382</v>
      </c>
      <c r="J138" s="3" t="s">
        <v>381</v>
      </c>
    </row>
    <row r="139" spans="1:11" ht="14.4">
      <c r="A139" s="22" t="str">
        <f>F139&amp;(COUNTIFS(F$2:F139,F139,K$2:K139,"Sparse"))</f>
        <v>L0</v>
      </c>
      <c r="B139" s="22" t="str">
        <f>J139&amp;(COUNTIF(J$2:J139,J139))</f>
        <v>London20</v>
      </c>
      <c r="C139" t="s">
        <v>337</v>
      </c>
      <c r="D139" t="s">
        <v>337</v>
      </c>
      <c r="E139" s="25" t="s">
        <v>381</v>
      </c>
      <c r="F139" s="25" t="s">
        <v>358</v>
      </c>
      <c r="G139" s="3" t="s">
        <v>381</v>
      </c>
      <c r="H139" s="26" t="s">
        <v>382</v>
      </c>
      <c r="I139" s="27" t="s">
        <v>382</v>
      </c>
      <c r="J139" t="s">
        <v>381</v>
      </c>
    </row>
    <row r="140" spans="1:11" ht="14.4">
      <c r="A140" s="22" t="str">
        <f>F140&amp;(COUNTIFS(F$2:F140,F140,K$2:K140,"Sparse"))</f>
        <v>SC2</v>
      </c>
      <c r="B140" s="22" t="str">
        <f>J140&amp;(COUNTIF(J$2:J140,J140))</f>
        <v>Kent7</v>
      </c>
      <c r="C140" t="s">
        <v>315</v>
      </c>
      <c r="D140" t="s">
        <v>315</v>
      </c>
      <c r="E140" s="25" t="s">
        <v>368</v>
      </c>
      <c r="F140" s="25" t="s">
        <v>387</v>
      </c>
      <c r="G140" s="25" t="s">
        <v>301</v>
      </c>
      <c r="H140" s="26" t="s">
        <v>891</v>
      </c>
      <c r="I140" s="27" t="s">
        <v>891</v>
      </c>
      <c r="J140" t="s">
        <v>315</v>
      </c>
    </row>
    <row r="141" spans="1:11" ht="14.4">
      <c r="A141" s="22" t="str">
        <f>F141&amp;(COUNTIFS(F$2:F141,F141,K$2:K141,"Sparse"))</f>
        <v>SD13</v>
      </c>
      <c r="B141" s="22" t="str">
        <f>J141&amp;(COUNTIF(J$2:J141,J141))</f>
        <v>Norfolk4</v>
      </c>
      <c r="C141" t="s">
        <v>375</v>
      </c>
      <c r="D141" t="s">
        <v>375</v>
      </c>
      <c r="E141" s="25" t="s">
        <v>368</v>
      </c>
      <c r="F141" s="25" t="s">
        <v>379</v>
      </c>
      <c r="G141" s="25" t="s">
        <v>5</v>
      </c>
      <c r="H141" s="26" t="s">
        <v>890</v>
      </c>
      <c r="I141" s="27" t="s">
        <v>380</v>
      </c>
      <c r="J141" t="s">
        <v>319</v>
      </c>
      <c r="K141" t="s">
        <v>335</v>
      </c>
    </row>
    <row r="142" spans="1:11" ht="14.4">
      <c r="A142" s="22" t="str">
        <f>F142&amp;(COUNTIFS(F$2:F142,F142,K$2:K142,"Sparse"))</f>
        <v>UA8</v>
      </c>
      <c r="B142" s="22" t="str">
        <f>J142&amp;(COUNTIF(J$2:J142,J142))</f>
        <v>Unitary25</v>
      </c>
      <c r="C142" s="27" t="s">
        <v>818</v>
      </c>
      <c r="D142" s="27" t="s">
        <v>390</v>
      </c>
      <c r="E142" s="25" t="s">
        <v>383</v>
      </c>
      <c r="F142" s="25" t="s">
        <v>385</v>
      </c>
      <c r="G142" s="25" t="s">
        <v>394</v>
      </c>
      <c r="H142" s="27" t="s">
        <v>382</v>
      </c>
      <c r="I142" s="27" t="s">
        <v>382</v>
      </c>
      <c r="J142" t="s">
        <v>394</v>
      </c>
    </row>
    <row r="143" spans="1:11" ht="14.4">
      <c r="A143" s="22" t="str">
        <f>F143&amp;(COUNTIFS(F$2:F143,F143,K$2:K143,"Sparse"))</f>
        <v>L0</v>
      </c>
      <c r="B143" s="22" t="str">
        <f>J143&amp;(COUNTIF(J$2:J143,J143))</f>
        <v>London21</v>
      </c>
      <c r="C143" t="s">
        <v>391</v>
      </c>
      <c r="D143" t="s">
        <v>391</v>
      </c>
      <c r="E143" s="25" t="s">
        <v>381</v>
      </c>
      <c r="F143" s="25" t="s">
        <v>358</v>
      </c>
      <c r="G143" s="25" t="s">
        <v>381</v>
      </c>
      <c r="H143" s="26" t="s">
        <v>382</v>
      </c>
      <c r="I143" s="27" t="s">
        <v>382</v>
      </c>
      <c r="J143" t="s">
        <v>381</v>
      </c>
    </row>
    <row r="144" spans="1:11" ht="14.4">
      <c r="A144" s="22" t="str">
        <f>F144&amp;(COUNTIFS(F$2:F144,F144,K$2:K144,"Sparse"))</f>
        <v>MD0</v>
      </c>
      <c r="B144" s="22" t="str">
        <f>J144&amp;(COUNTIF(J$2:J144,J144))</f>
        <v>Kirklees1</v>
      </c>
      <c r="C144" t="s">
        <v>232</v>
      </c>
      <c r="D144" t="s">
        <v>232</v>
      </c>
      <c r="E144" s="25" t="s">
        <v>383</v>
      </c>
      <c r="F144" s="25" t="s">
        <v>384</v>
      </c>
      <c r="G144" s="25" t="s">
        <v>395</v>
      </c>
      <c r="H144" s="26" t="s">
        <v>382</v>
      </c>
      <c r="I144" s="27" t="s">
        <v>382</v>
      </c>
      <c r="J144" t="s">
        <v>232</v>
      </c>
    </row>
    <row r="145" spans="1:11" ht="14.4">
      <c r="A145" s="22" t="str">
        <f>F145&amp;(COUNTIFS(F$2:F145,F145,K$2:K145,"Sparse"))</f>
        <v>MD0</v>
      </c>
      <c r="B145" s="22" t="str">
        <f>J145&amp;(COUNTIF(J$2:J145,J145))</f>
        <v>Knowsley1</v>
      </c>
      <c r="C145" t="s">
        <v>233</v>
      </c>
      <c r="D145" t="s">
        <v>233</v>
      </c>
      <c r="E145" s="25" t="s">
        <v>374</v>
      </c>
      <c r="F145" s="25" t="s">
        <v>384</v>
      </c>
      <c r="G145" s="25" t="s">
        <v>395</v>
      </c>
      <c r="H145" s="26" t="s">
        <v>382</v>
      </c>
      <c r="I145" s="27" t="s">
        <v>382</v>
      </c>
      <c r="J145" s="3" t="s">
        <v>233</v>
      </c>
    </row>
    <row r="146" spans="1:11" ht="14.4">
      <c r="A146" s="22" t="str">
        <f>F146&amp;(COUNTIFS(F$2:F146,F146,K$2:K146,"Sparse"))</f>
        <v>L0</v>
      </c>
      <c r="B146" s="22" t="str">
        <f>J146&amp;(COUNTIF(J$2:J146,J146))</f>
        <v>London22</v>
      </c>
      <c r="C146" t="s">
        <v>212</v>
      </c>
      <c r="D146" t="s">
        <v>212</v>
      </c>
      <c r="E146" s="25" t="s">
        <v>381</v>
      </c>
      <c r="F146" s="25" t="s">
        <v>358</v>
      </c>
      <c r="G146" s="25" t="s">
        <v>381</v>
      </c>
      <c r="H146" s="26" t="s">
        <v>382</v>
      </c>
      <c r="I146" s="27" t="s">
        <v>382</v>
      </c>
      <c r="J146" t="s">
        <v>381</v>
      </c>
    </row>
    <row r="147" spans="1:11" ht="14.4">
      <c r="A147" s="22" t="str">
        <f>F147&amp;(COUNTIFS(F$2:F147,F147,K$2:K147,"Sparse"))</f>
        <v>SC3</v>
      </c>
      <c r="B147" s="22" t="str">
        <f>J147&amp;(COUNTIF(J$2:J147,J147))</f>
        <v>Lancashire5</v>
      </c>
      <c r="C147" t="s">
        <v>316</v>
      </c>
      <c r="D147" t="s">
        <v>316</v>
      </c>
      <c r="E147" s="25" t="s">
        <v>374</v>
      </c>
      <c r="F147" s="25" t="s">
        <v>387</v>
      </c>
      <c r="G147" s="25" t="s">
        <v>301</v>
      </c>
      <c r="H147" s="26" t="s">
        <v>891</v>
      </c>
      <c r="I147" s="27" t="s">
        <v>891</v>
      </c>
      <c r="J147" t="s">
        <v>316</v>
      </c>
      <c r="K147" t="s">
        <v>335</v>
      </c>
    </row>
    <row r="148" spans="1:11" ht="14.4">
      <c r="A148" s="22" t="str">
        <f>F148&amp;(COUNTIFS(F$2:F148,F148,K$2:K148,"Sparse"))</f>
        <v>SD13</v>
      </c>
      <c r="B148" s="22" t="str">
        <f>J148&amp;(COUNTIF(J$2:J148,J148))</f>
        <v>Lancashire6</v>
      </c>
      <c r="C148" t="s">
        <v>92</v>
      </c>
      <c r="D148" t="s">
        <v>92</v>
      </c>
      <c r="E148" s="25" t="s">
        <v>374</v>
      </c>
      <c r="F148" s="25" t="s">
        <v>379</v>
      </c>
      <c r="G148" s="25" t="s">
        <v>5</v>
      </c>
      <c r="H148" s="26" t="s">
        <v>891</v>
      </c>
      <c r="I148" s="27" t="s">
        <v>891</v>
      </c>
      <c r="J148" t="s">
        <v>316</v>
      </c>
    </row>
    <row r="149" spans="1:11" ht="14.4">
      <c r="A149" s="22" t="str">
        <f>F149&amp;(COUNTIFS(F$2:F149,F149,K$2:K149,"Sparse"))</f>
        <v>MD0</v>
      </c>
      <c r="B149" s="22" t="str">
        <f>J149&amp;(COUNTIF(J$2:J149,J149))</f>
        <v>Leeds1</v>
      </c>
      <c r="C149" t="s">
        <v>234</v>
      </c>
      <c r="D149" t="s">
        <v>234</v>
      </c>
      <c r="E149" s="25" t="s">
        <v>383</v>
      </c>
      <c r="F149" s="25" t="s">
        <v>384</v>
      </c>
      <c r="G149" s="25" t="s">
        <v>395</v>
      </c>
      <c r="H149" s="26" t="s">
        <v>382</v>
      </c>
      <c r="I149" s="27" t="s">
        <v>382</v>
      </c>
      <c r="J149" t="s">
        <v>234</v>
      </c>
    </row>
    <row r="150" spans="1:11" ht="14.4">
      <c r="A150" s="22" t="str">
        <f>F150&amp;(COUNTIFS(F$2:F150,F150,K$2:K150,"Sparse"))</f>
        <v>UA8</v>
      </c>
      <c r="B150" s="22" t="str">
        <f>J150&amp;(COUNTIF(J$2:J150,J150))</f>
        <v>Unitary26</v>
      </c>
      <c r="C150" s="27" t="s">
        <v>271</v>
      </c>
      <c r="D150" s="27" t="s">
        <v>271</v>
      </c>
      <c r="E150" s="25" t="s">
        <v>366</v>
      </c>
      <c r="F150" s="25" t="s">
        <v>385</v>
      </c>
      <c r="G150" s="25" t="s">
        <v>394</v>
      </c>
      <c r="H150" s="27" t="s">
        <v>382</v>
      </c>
      <c r="I150" s="27" t="s">
        <v>382</v>
      </c>
      <c r="J150" t="s">
        <v>394</v>
      </c>
    </row>
    <row r="151" spans="1:11" ht="14.4">
      <c r="A151" s="22" t="str">
        <f>F151&amp;(COUNTIFS(F$2:F151,F151,K$2:K151,"Sparse"))</f>
        <v>SC3</v>
      </c>
      <c r="B151" s="22" t="str">
        <f>J151&amp;(COUNTIF(J$2:J151,J151))</f>
        <v>Leicestershire5</v>
      </c>
      <c r="C151" t="s">
        <v>317</v>
      </c>
      <c r="D151" t="s">
        <v>317</v>
      </c>
      <c r="E151" s="25" t="s">
        <v>366</v>
      </c>
      <c r="F151" s="25" t="s">
        <v>387</v>
      </c>
      <c r="G151" s="25" t="s">
        <v>301</v>
      </c>
      <c r="H151" s="26" t="s">
        <v>891</v>
      </c>
      <c r="I151" s="27" t="s">
        <v>891</v>
      </c>
      <c r="J151" t="s">
        <v>317</v>
      </c>
    </row>
    <row r="152" spans="1:11" ht="14.4">
      <c r="A152" s="22" t="str">
        <f>F152&amp;(COUNTIFS(F$2:F152,F152,K$2:K152,"Sparse"))</f>
        <v>SD14</v>
      </c>
      <c r="B152" s="22" t="str">
        <f>J152&amp;(COUNTIF(J$2:J152,J152))</f>
        <v>East Sussex4</v>
      </c>
      <c r="C152" t="s">
        <v>93</v>
      </c>
      <c r="D152" t="s">
        <v>93</v>
      </c>
      <c r="E152" s="25" t="s">
        <v>0</v>
      </c>
      <c r="F152" s="25" t="s">
        <v>379</v>
      </c>
      <c r="G152" s="25" t="s">
        <v>5</v>
      </c>
      <c r="H152" s="26" t="s">
        <v>891</v>
      </c>
      <c r="I152" s="27" t="s">
        <v>891</v>
      </c>
      <c r="J152" t="s">
        <v>310</v>
      </c>
      <c r="K152" t="s">
        <v>335</v>
      </c>
    </row>
    <row r="153" spans="1:11" ht="14.4">
      <c r="A153" s="22" t="str">
        <f>F153&amp;(COUNTIFS(F$2:F153,F153,K$2:K153,"Sparse"))</f>
        <v>L0</v>
      </c>
      <c r="B153" s="22" t="str">
        <f>J153&amp;(COUNTIF(J$2:J153,J153))</f>
        <v>London23</v>
      </c>
      <c r="C153" t="s">
        <v>213</v>
      </c>
      <c r="D153" t="s">
        <v>213</v>
      </c>
      <c r="E153" s="25" t="s">
        <v>381</v>
      </c>
      <c r="F153" s="25" t="s">
        <v>358</v>
      </c>
      <c r="G153" s="25" t="s">
        <v>381</v>
      </c>
      <c r="H153" s="26" t="s">
        <v>382</v>
      </c>
      <c r="I153" s="27" t="s">
        <v>382</v>
      </c>
      <c r="J153" s="3" t="s">
        <v>381</v>
      </c>
    </row>
    <row r="154" spans="1:11" ht="14.4">
      <c r="A154" s="22" t="str">
        <f>F154&amp;(COUNTIFS(F$2:F154,F154,K$2:K154,"Sparse"))</f>
        <v>SD15</v>
      </c>
      <c r="B154" s="22" t="str">
        <f>J154&amp;(COUNTIF(J$2:J154,J154))</f>
        <v>Staffordshire3</v>
      </c>
      <c r="C154" s="27" t="s">
        <v>94</v>
      </c>
      <c r="D154" s="27" t="s">
        <v>94</v>
      </c>
      <c r="E154" s="25" t="s">
        <v>367</v>
      </c>
      <c r="F154" s="25" t="s">
        <v>379</v>
      </c>
      <c r="G154" s="25" t="s">
        <v>5</v>
      </c>
      <c r="H154" s="27" t="s">
        <v>891</v>
      </c>
      <c r="I154" s="27" t="s">
        <v>891</v>
      </c>
      <c r="J154" t="s">
        <v>327</v>
      </c>
      <c r="K154" t="s">
        <v>335</v>
      </c>
    </row>
    <row r="155" spans="1:11" ht="14.4">
      <c r="A155" s="22" t="str">
        <f>F155&amp;(COUNTIFS(F$2:F155,F155,K$2:K155,"Sparse"))</f>
        <v>SD15</v>
      </c>
      <c r="B155" s="22" t="str">
        <f>J155&amp;(COUNTIF(J$2:J155,J155))</f>
        <v>Lincolnshire3</v>
      </c>
      <c r="C155" t="s">
        <v>95</v>
      </c>
      <c r="D155" t="s">
        <v>95</v>
      </c>
      <c r="E155" s="25" t="s">
        <v>366</v>
      </c>
      <c r="F155" s="25" t="s">
        <v>379</v>
      </c>
      <c r="G155" s="25" t="s">
        <v>5</v>
      </c>
      <c r="H155" s="26" t="s">
        <v>382</v>
      </c>
      <c r="I155" s="27" t="s">
        <v>382</v>
      </c>
      <c r="J155" t="s">
        <v>318</v>
      </c>
    </row>
    <row r="156" spans="1:11" ht="14.4">
      <c r="A156" s="22" t="str">
        <f>F156&amp;(COUNTIFS(F$2:F156,F156,K$2:K156,"Sparse"))</f>
        <v>SC4</v>
      </c>
      <c r="B156" s="22" t="str">
        <f>J156&amp;(COUNTIF(J$2:J156,J156))</f>
        <v>Lincolnshire4</v>
      </c>
      <c r="C156" t="s">
        <v>318</v>
      </c>
      <c r="D156" t="s">
        <v>318</v>
      </c>
      <c r="E156" s="25" t="s">
        <v>366</v>
      </c>
      <c r="F156" s="25" t="s">
        <v>387</v>
      </c>
      <c r="G156" s="25" t="s">
        <v>301</v>
      </c>
      <c r="H156" s="26" t="s">
        <v>380</v>
      </c>
      <c r="I156" s="27" t="s">
        <v>380</v>
      </c>
      <c r="J156" t="s">
        <v>318</v>
      </c>
      <c r="K156" t="s">
        <v>335</v>
      </c>
    </row>
    <row r="157" spans="1:11" ht="14.4">
      <c r="A157" s="22" t="str">
        <f>F157&amp;(COUNTIFS(F$2:F157,F157,K$2:K157,"Sparse"))</f>
        <v>MD0</v>
      </c>
      <c r="B157" s="22" t="str">
        <f>J157&amp;(COUNTIF(J$2:J157,J157))</f>
        <v>Liverpool1</v>
      </c>
      <c r="C157" t="s">
        <v>235</v>
      </c>
      <c r="D157" t="s">
        <v>235</v>
      </c>
      <c r="E157" s="25" t="s">
        <v>374</v>
      </c>
      <c r="F157" s="25" t="s">
        <v>384</v>
      </c>
      <c r="G157" s="25" t="s">
        <v>395</v>
      </c>
      <c r="H157" s="26" t="s">
        <v>382</v>
      </c>
      <c r="I157" s="27" t="s">
        <v>382</v>
      </c>
      <c r="J157" t="s">
        <v>235</v>
      </c>
    </row>
    <row r="158" spans="1:11" ht="14.4">
      <c r="A158" s="22" t="str">
        <f>F158&amp;(COUNTIFS(F$2:F158,F158,K$2:K158,"Sparse"))</f>
        <v>UA8</v>
      </c>
      <c r="B158" s="22" t="str">
        <f>J158&amp;(COUNTIF(J$2:J158,J158))</f>
        <v>Unitary27</v>
      </c>
      <c r="C158" t="s">
        <v>272</v>
      </c>
      <c r="D158" t="s">
        <v>272</v>
      </c>
      <c r="E158" s="25" t="s">
        <v>368</v>
      </c>
      <c r="F158" s="25" t="s">
        <v>385</v>
      </c>
      <c r="G158" s="25" t="s">
        <v>394</v>
      </c>
      <c r="H158" s="26" t="s">
        <v>382</v>
      </c>
      <c r="I158" s="27" t="s">
        <v>382</v>
      </c>
      <c r="J158" t="s">
        <v>394</v>
      </c>
    </row>
    <row r="159" spans="1:11" ht="14.4">
      <c r="A159" s="22" t="str">
        <f>F159&amp;(COUNTIFS(F$2:F159,F159,K$2:K159,"Sparse"))</f>
        <v>SD15</v>
      </c>
      <c r="B159" s="22" t="str">
        <f>J159&amp;(COUNTIF(J$2:J159,J159))</f>
        <v>Kent8</v>
      </c>
      <c r="C159" s="27" t="s">
        <v>96</v>
      </c>
      <c r="D159" s="27" t="s">
        <v>96</v>
      </c>
      <c r="E159" s="25" t="s">
        <v>0</v>
      </c>
      <c r="F159" s="25" t="s">
        <v>379</v>
      </c>
      <c r="G159" s="25" t="s">
        <v>5</v>
      </c>
      <c r="H159" s="27" t="s">
        <v>891</v>
      </c>
      <c r="I159" s="27" t="s">
        <v>891</v>
      </c>
      <c r="J159" t="s">
        <v>315</v>
      </c>
    </row>
    <row r="160" spans="1:11" ht="14.4">
      <c r="A160" s="22" t="str">
        <f>F160&amp;(COUNTIFS(F$2:F160,F160,K$2:K160,"Sparse"))</f>
        <v>SD15</v>
      </c>
      <c r="B160" s="22" t="str">
        <f>J160&amp;(COUNTIF(J$2:J160,J160))</f>
        <v>Essex10</v>
      </c>
      <c r="C160" t="s">
        <v>97</v>
      </c>
      <c r="D160" t="s">
        <v>97</v>
      </c>
      <c r="E160" s="25" t="s">
        <v>368</v>
      </c>
      <c r="F160" s="25" t="s">
        <v>379</v>
      </c>
      <c r="G160" s="25" t="s">
        <v>5</v>
      </c>
      <c r="H160" s="26" t="s">
        <v>890</v>
      </c>
      <c r="I160" s="27" t="s">
        <v>380</v>
      </c>
      <c r="J160" t="s">
        <v>311</v>
      </c>
    </row>
    <row r="161" spans="1:11" ht="14.4">
      <c r="A161" s="22" t="str">
        <f>F161&amp;(COUNTIFS(F$2:F161,F161,K$2:K161,"Sparse"))</f>
        <v>SD16</v>
      </c>
      <c r="B161" s="22" t="str">
        <f>J161&amp;(COUNTIF(J$2:J161,J161))</f>
        <v>Worcestershire2</v>
      </c>
      <c r="C161" t="s">
        <v>98</v>
      </c>
      <c r="D161" t="s">
        <v>98</v>
      </c>
      <c r="E161" s="25" t="s">
        <v>367</v>
      </c>
      <c r="F161" s="25" t="s">
        <v>379</v>
      </c>
      <c r="G161" s="25" t="s">
        <v>5</v>
      </c>
      <c r="H161" s="26" t="s">
        <v>890</v>
      </c>
      <c r="I161" s="27" t="s">
        <v>380</v>
      </c>
      <c r="J161" s="3" t="s">
        <v>332</v>
      </c>
      <c r="K161" t="s">
        <v>335</v>
      </c>
    </row>
    <row r="162" spans="1:11" ht="14.4">
      <c r="A162" s="22" t="str">
        <f>F162&amp;(COUNTIFS(F$2:F162,F162,K$2:K162,"Sparse"))</f>
        <v>MD0</v>
      </c>
      <c r="B162" s="22" t="str">
        <f>J162&amp;(COUNTIF(J$2:J162,J162))</f>
        <v>Manchester1</v>
      </c>
      <c r="C162" t="s">
        <v>236</v>
      </c>
      <c r="D162" t="s">
        <v>236</v>
      </c>
      <c r="E162" s="25" t="s">
        <v>374</v>
      </c>
      <c r="F162" s="25" t="s">
        <v>384</v>
      </c>
      <c r="G162" s="25" t="s">
        <v>395</v>
      </c>
      <c r="H162" s="26" t="s">
        <v>382</v>
      </c>
      <c r="I162" s="27" t="s">
        <v>382</v>
      </c>
      <c r="J162" t="s">
        <v>236</v>
      </c>
    </row>
    <row r="163" spans="1:11" ht="14.4">
      <c r="A163" s="22" t="str">
        <f>F163&amp;(COUNTIFS(F$2:F163,F163,K$2:K163,"Sparse"))</f>
        <v>SD16</v>
      </c>
      <c r="B163" s="22" t="str">
        <f>J163&amp;(COUNTIF(J$2:J163,J163))</f>
        <v>Nottinghamshire5</v>
      </c>
      <c r="C163" t="s">
        <v>99</v>
      </c>
      <c r="D163" t="s">
        <v>99</v>
      </c>
      <c r="E163" s="25" t="s">
        <v>366</v>
      </c>
      <c r="F163" s="25" t="s">
        <v>379</v>
      </c>
      <c r="G163" s="25" t="s">
        <v>5</v>
      </c>
      <c r="H163" s="26" t="s">
        <v>382</v>
      </c>
      <c r="I163" s="27" t="s">
        <v>382</v>
      </c>
      <c r="J163" t="s">
        <v>323</v>
      </c>
    </row>
    <row r="164" spans="1:11" ht="14.4">
      <c r="A164" s="22" t="str">
        <f>F164&amp;(COUNTIFS(F$2:F164,F164,K$2:K164,"Sparse"))</f>
        <v>UA8</v>
      </c>
      <c r="B164" s="22" t="str">
        <f>J164&amp;(COUNTIF(J$2:J164,J164))</f>
        <v>Unitary28</v>
      </c>
      <c r="C164" t="s">
        <v>273</v>
      </c>
      <c r="D164" t="s">
        <v>273</v>
      </c>
      <c r="E164" s="25" t="s">
        <v>0</v>
      </c>
      <c r="F164" s="25" t="s">
        <v>385</v>
      </c>
      <c r="G164" s="25" t="s">
        <v>394</v>
      </c>
      <c r="H164" s="26" t="s">
        <v>382</v>
      </c>
      <c r="I164" s="27" t="s">
        <v>382</v>
      </c>
      <c r="J164" t="s">
        <v>394</v>
      </c>
    </row>
    <row r="165" spans="1:11" ht="14.4">
      <c r="A165" s="22" t="str">
        <f>F165&amp;(COUNTIFS(F$2:F165,F165,K$2:K165,"Sparse"))</f>
        <v>SD17</v>
      </c>
      <c r="B165" s="22" t="str">
        <f>J165&amp;(COUNTIF(J$2:J165,J165))</f>
        <v>Leicestershire6</v>
      </c>
      <c r="C165" t="s">
        <v>100</v>
      </c>
      <c r="D165" t="s">
        <v>100</v>
      </c>
      <c r="E165" s="25" t="s">
        <v>366</v>
      </c>
      <c r="F165" s="25" t="s">
        <v>379</v>
      </c>
      <c r="G165" s="25" t="s">
        <v>5</v>
      </c>
      <c r="H165" s="26" t="s">
        <v>890</v>
      </c>
      <c r="I165" s="27" t="s">
        <v>380</v>
      </c>
      <c r="J165" t="s">
        <v>317</v>
      </c>
      <c r="K165" t="s">
        <v>335</v>
      </c>
    </row>
    <row r="166" spans="1:11" ht="14.4">
      <c r="A166" s="22" t="str">
        <f>F166&amp;(COUNTIFS(F$2:F166,F166,K$2:K166,"Sparse"))</f>
        <v>L0</v>
      </c>
      <c r="B166" s="22" t="str">
        <f>J166&amp;(COUNTIF(J$2:J166,J166))</f>
        <v>London24</v>
      </c>
      <c r="C166" t="s">
        <v>214</v>
      </c>
      <c r="D166" t="s">
        <v>214</v>
      </c>
      <c r="E166" s="25" t="s">
        <v>381</v>
      </c>
      <c r="F166" s="25" t="s">
        <v>358</v>
      </c>
      <c r="G166" s="25" t="s">
        <v>381</v>
      </c>
      <c r="H166" s="26" t="s">
        <v>382</v>
      </c>
      <c r="I166" s="27" t="s">
        <v>382</v>
      </c>
      <c r="J166" s="3" t="s">
        <v>381</v>
      </c>
    </row>
    <row r="167" spans="1:11" ht="14.4">
      <c r="A167" s="22" t="str">
        <f>F167&amp;(COUNTIFS(F$2:F167,F167,K$2:K167,"Sparse"))</f>
        <v>SD18</v>
      </c>
      <c r="B167" s="22" t="str">
        <f>J167&amp;(COUNTIF(J$2:J167,J167))</f>
        <v>Devon4</v>
      </c>
      <c r="C167" t="s">
        <v>102</v>
      </c>
      <c r="D167" t="s">
        <v>102</v>
      </c>
      <c r="E167" s="25" t="s">
        <v>1</v>
      </c>
      <c r="F167" s="25" t="s">
        <v>379</v>
      </c>
      <c r="G167" s="25" t="s">
        <v>5</v>
      </c>
      <c r="H167" s="26" t="s">
        <v>890</v>
      </c>
      <c r="I167" s="27" t="s">
        <v>380</v>
      </c>
      <c r="J167" t="s">
        <v>308</v>
      </c>
      <c r="K167" t="s">
        <v>335</v>
      </c>
    </row>
    <row r="168" spans="1:11" ht="14.4">
      <c r="A168" s="22" t="str">
        <f>F168&amp;(COUNTIFS(F$2:F168,F168,K$2:K168,"Sparse"))</f>
        <v>SD19</v>
      </c>
      <c r="B168" s="22" t="str">
        <f>J168&amp;(COUNTIF(J$2:J168,J168))</f>
        <v>Suffolk4</v>
      </c>
      <c r="C168" t="s">
        <v>103</v>
      </c>
      <c r="D168" t="s">
        <v>103</v>
      </c>
      <c r="E168" s="25" t="s">
        <v>368</v>
      </c>
      <c r="F168" s="25" t="s">
        <v>379</v>
      </c>
      <c r="G168" s="25" t="s">
        <v>5</v>
      </c>
      <c r="H168" s="26" t="s">
        <v>890</v>
      </c>
      <c r="I168" s="27" t="s">
        <v>380</v>
      </c>
      <c r="J168" t="s">
        <v>328</v>
      </c>
      <c r="K168" t="s">
        <v>335</v>
      </c>
    </row>
    <row r="169" spans="1:11" ht="14.4">
      <c r="A169" s="22" t="str">
        <f>F169&amp;(COUNTIFS(F$2:F169,F169,K$2:K169,"Sparse"))</f>
        <v>SD19</v>
      </c>
      <c r="B169" s="22" t="str">
        <f>J169&amp;(COUNTIF(J$2:J169,J169))</f>
        <v>West Sussex6</v>
      </c>
      <c r="C169" t="s">
        <v>104</v>
      </c>
      <c r="D169" t="s">
        <v>104</v>
      </c>
      <c r="E169" s="25" t="s">
        <v>0</v>
      </c>
      <c r="F169" s="25" t="s">
        <v>379</v>
      </c>
      <c r="G169" s="25" t="s">
        <v>5</v>
      </c>
      <c r="H169" s="26" t="s">
        <v>382</v>
      </c>
      <c r="I169" s="27" t="s">
        <v>382</v>
      </c>
      <c r="J169" t="s">
        <v>331</v>
      </c>
    </row>
    <row r="170" spans="1:11" ht="14.4">
      <c r="A170" s="22" t="str">
        <f>F170&amp;(COUNTIFS(F$2:F170,F170,K$2:K170,"Sparse"))</f>
        <v>UA8</v>
      </c>
      <c r="B170" s="22" t="str">
        <f>J170&amp;(COUNTIF(J$2:J170,J170))</f>
        <v>Unitary29</v>
      </c>
      <c r="C170" t="s">
        <v>274</v>
      </c>
      <c r="D170" t="s">
        <v>274</v>
      </c>
      <c r="E170" s="25" t="s">
        <v>388</v>
      </c>
      <c r="F170" s="25" t="s">
        <v>385</v>
      </c>
      <c r="G170" s="25" t="s">
        <v>394</v>
      </c>
      <c r="H170" s="26" t="s">
        <v>382</v>
      </c>
      <c r="I170" s="27" t="s">
        <v>382</v>
      </c>
      <c r="J170" t="s">
        <v>394</v>
      </c>
    </row>
    <row r="171" spans="1:11" ht="14.4">
      <c r="A171" s="22" t="str">
        <f>F171&amp;(COUNTIFS(F$2:F171,F171,K$2:K171,"Sparse"))</f>
        <v>UA8</v>
      </c>
      <c r="B171" s="22" t="str">
        <f>J171&amp;(COUNTIF(J$2:J171,J171))</f>
        <v>Unitary30</v>
      </c>
      <c r="C171" t="s">
        <v>275</v>
      </c>
      <c r="D171" t="s">
        <v>275</v>
      </c>
      <c r="E171" s="25" t="s">
        <v>0</v>
      </c>
      <c r="F171" s="25" t="s">
        <v>385</v>
      </c>
      <c r="G171" s="25" t="s">
        <v>394</v>
      </c>
      <c r="H171" s="26" t="s">
        <v>382</v>
      </c>
      <c r="I171" s="27" t="s">
        <v>382</v>
      </c>
      <c r="J171" t="s">
        <v>394</v>
      </c>
    </row>
    <row r="172" spans="1:11" ht="14.4">
      <c r="A172" s="22" t="str">
        <f>F172&amp;(COUNTIFS(F$2:F172,F172,K$2:K172,"Sparse"))</f>
        <v>SD19</v>
      </c>
      <c r="B172" s="22" t="str">
        <f>J172&amp;(COUNTIF(J$2:J172,J172))</f>
        <v>Surrey4</v>
      </c>
      <c r="C172" t="s">
        <v>105</v>
      </c>
      <c r="D172" t="s">
        <v>105</v>
      </c>
      <c r="E172" s="25" t="s">
        <v>0</v>
      </c>
      <c r="F172" s="25" t="s">
        <v>379</v>
      </c>
      <c r="G172" s="25" t="s">
        <v>5</v>
      </c>
      <c r="H172" s="26" t="s">
        <v>891</v>
      </c>
      <c r="I172" s="27" t="s">
        <v>891</v>
      </c>
      <c r="J172" t="s">
        <v>329</v>
      </c>
    </row>
    <row r="173" spans="1:11" ht="14.4">
      <c r="A173" s="22" t="str">
        <f>F173&amp;(COUNTIFS(F$2:F173,F173,K$2:K173,"Sparse"))</f>
        <v>SD19</v>
      </c>
      <c r="B173" s="22" t="str">
        <f>J173&amp;(COUNTIF(J$2:J173,J173))</f>
        <v>Hampshire9</v>
      </c>
      <c r="C173" t="s">
        <v>106</v>
      </c>
      <c r="D173" t="s">
        <v>106</v>
      </c>
      <c r="E173" s="25" t="s">
        <v>0</v>
      </c>
      <c r="F173" s="25" t="s">
        <v>379</v>
      </c>
      <c r="G173" s="25" t="s">
        <v>5</v>
      </c>
      <c r="H173" s="26" t="s">
        <v>891</v>
      </c>
      <c r="I173" s="27" t="s">
        <v>891</v>
      </c>
      <c r="J173" s="3" t="s">
        <v>313</v>
      </c>
    </row>
    <row r="174" spans="1:11" ht="14.4">
      <c r="A174" s="22" t="str">
        <f>F174&amp;(COUNTIFS(F$2:F174,F174,K$2:K174,"Sparse"))</f>
        <v>SD19</v>
      </c>
      <c r="B174" s="22" t="str">
        <f>J174&amp;(COUNTIF(J$2:J174,J174))</f>
        <v>Nottinghamshire6</v>
      </c>
      <c r="C174" t="s">
        <v>345</v>
      </c>
      <c r="D174" t="s">
        <v>345</v>
      </c>
      <c r="E174" s="25" t="s">
        <v>366</v>
      </c>
      <c r="F174" s="25" t="s">
        <v>379</v>
      </c>
      <c r="G174" s="25" t="s">
        <v>5</v>
      </c>
      <c r="H174" s="26" t="s">
        <v>890</v>
      </c>
      <c r="I174" s="27" t="s">
        <v>380</v>
      </c>
      <c r="J174" s="3" t="s">
        <v>323</v>
      </c>
    </row>
    <row r="175" spans="1:11" ht="14.4">
      <c r="A175" s="22" t="str">
        <f>F175&amp;(COUNTIFS(F$2:F175,F175,K$2:K175,"Sparse"))</f>
        <v>MD0</v>
      </c>
      <c r="B175" s="22" t="str">
        <f>J175&amp;(COUNTIF(J$2:J175,J175))</f>
        <v>Newcastle upon Tyne1</v>
      </c>
      <c r="C175" t="s">
        <v>237</v>
      </c>
      <c r="D175" t="s">
        <v>237</v>
      </c>
      <c r="E175" s="25" t="s">
        <v>388</v>
      </c>
      <c r="F175" s="25" t="s">
        <v>384</v>
      </c>
      <c r="G175" s="25" t="s">
        <v>395</v>
      </c>
      <c r="H175" s="26" t="s">
        <v>382</v>
      </c>
      <c r="I175" s="27" t="s">
        <v>382</v>
      </c>
      <c r="J175" t="s">
        <v>237</v>
      </c>
    </row>
    <row r="176" spans="1:11" ht="14.4">
      <c r="A176" s="22" t="str">
        <f>F176&amp;(COUNTIFS(F$2:F176,F176,K$2:K176,"Sparse"))</f>
        <v>SD19</v>
      </c>
      <c r="B176" s="22" t="str">
        <f>J176&amp;(COUNTIF(J$2:J176,J176))</f>
        <v>Staffordshire4</v>
      </c>
      <c r="C176" t="s">
        <v>107</v>
      </c>
      <c r="D176" t="s">
        <v>107</v>
      </c>
      <c r="E176" s="25" t="s">
        <v>367</v>
      </c>
      <c r="F176" s="25" t="s">
        <v>379</v>
      </c>
      <c r="G176" s="25" t="s">
        <v>5</v>
      </c>
      <c r="H176" s="26" t="s">
        <v>382</v>
      </c>
      <c r="I176" s="27" t="s">
        <v>382</v>
      </c>
      <c r="J176" t="s">
        <v>327</v>
      </c>
    </row>
    <row r="177" spans="1:11" ht="14.4">
      <c r="A177" s="22" t="str">
        <f>F177&amp;(COUNTIFS(F$2:F177,F177,K$2:K177,"Sparse"))</f>
        <v>L0</v>
      </c>
      <c r="B177" s="22" t="str">
        <f>J177&amp;(COUNTIF(J$2:J177,J177))</f>
        <v>London25</v>
      </c>
      <c r="C177" t="s">
        <v>215</v>
      </c>
      <c r="D177" t="s">
        <v>215</v>
      </c>
      <c r="E177" s="25" t="s">
        <v>381</v>
      </c>
      <c r="F177" s="25" t="s">
        <v>358</v>
      </c>
      <c r="G177" s="25" t="s">
        <v>381</v>
      </c>
      <c r="H177" s="26" t="s">
        <v>382</v>
      </c>
      <c r="I177" s="27" t="s">
        <v>382</v>
      </c>
      <c r="J177" t="s">
        <v>381</v>
      </c>
    </row>
    <row r="178" spans="1:11" ht="14.4">
      <c r="A178" s="22" t="str">
        <f>F178&amp;(COUNTIFS(F$2:F178,F178,K$2:K178,"Sparse"))</f>
        <v>SC5</v>
      </c>
      <c r="B178" s="22" t="str">
        <f>J178&amp;(COUNTIF(J$2:J178,J178))</f>
        <v>Norfolk5</v>
      </c>
      <c r="C178" t="s">
        <v>319</v>
      </c>
      <c r="D178" t="s">
        <v>319</v>
      </c>
      <c r="E178" s="25" t="s">
        <v>368</v>
      </c>
      <c r="F178" s="25" t="s">
        <v>387</v>
      </c>
      <c r="G178" s="25" t="s">
        <v>301</v>
      </c>
      <c r="H178" s="26" t="s">
        <v>380</v>
      </c>
      <c r="I178" s="27" t="s">
        <v>380</v>
      </c>
      <c r="J178" t="s">
        <v>319</v>
      </c>
      <c r="K178" t="s">
        <v>335</v>
      </c>
    </row>
    <row r="179" spans="1:11" ht="14.4">
      <c r="A179" s="22" t="str">
        <f>F179&amp;(COUNTIFS(F$2:F179,F179,K$2:K179,"Sparse"))</f>
        <v>SD20</v>
      </c>
      <c r="B179" s="22" t="str">
        <f>J179&amp;(COUNTIF(J$2:J179,J179))</f>
        <v>Devon5</v>
      </c>
      <c r="C179" t="s">
        <v>108</v>
      </c>
      <c r="D179" t="s">
        <v>108</v>
      </c>
      <c r="E179" s="25" t="s">
        <v>1</v>
      </c>
      <c r="F179" s="25" t="s">
        <v>379</v>
      </c>
      <c r="G179" s="25" t="s">
        <v>5</v>
      </c>
      <c r="H179" s="26" t="s">
        <v>890</v>
      </c>
      <c r="I179" s="27" t="s">
        <v>380</v>
      </c>
      <c r="J179" t="s">
        <v>308</v>
      </c>
      <c r="K179" t="s">
        <v>335</v>
      </c>
    </row>
    <row r="180" spans="1:11" ht="14.4">
      <c r="A180" s="22" t="str">
        <f>F180&amp;(COUNTIFS(F$2:F180,F180,K$2:K180,"Sparse"))</f>
        <v>SD20</v>
      </c>
      <c r="B180" s="22" t="str">
        <f>J180&amp;(COUNTIF(J$2:J180,J180))</f>
        <v>Derbyshire8</v>
      </c>
      <c r="C180" t="s">
        <v>110</v>
      </c>
      <c r="D180" t="s">
        <v>110</v>
      </c>
      <c r="E180" s="25" t="s">
        <v>366</v>
      </c>
      <c r="F180" s="25" t="s">
        <v>379</v>
      </c>
      <c r="G180" s="25" t="s">
        <v>5</v>
      </c>
      <c r="H180" s="26" t="s">
        <v>382</v>
      </c>
      <c r="I180" s="27" t="s">
        <v>382</v>
      </c>
      <c r="J180" t="s">
        <v>307</v>
      </c>
    </row>
    <row r="181" spans="1:11" ht="14.4">
      <c r="A181" s="22" t="str">
        <f>F181&amp;(COUNTIFS(F$2:F181,F181,K$2:K181,"Sparse"))</f>
        <v>UA8</v>
      </c>
      <c r="B181" s="22" t="str">
        <f>J181&amp;(COUNTIF(J$2:J181,J181))</f>
        <v>Unitary31</v>
      </c>
      <c r="C181" s="30" t="s">
        <v>276</v>
      </c>
      <c r="D181" s="30" t="s">
        <v>276</v>
      </c>
      <c r="E181" s="25" t="s">
        <v>383</v>
      </c>
      <c r="F181" s="25" t="s">
        <v>385</v>
      </c>
      <c r="G181" s="25" t="s">
        <v>394</v>
      </c>
      <c r="H181" s="30" t="s">
        <v>382</v>
      </c>
      <c r="I181" s="27" t="s">
        <v>382</v>
      </c>
      <c r="J181" t="s">
        <v>394</v>
      </c>
    </row>
    <row r="182" spans="1:11" ht="14.4">
      <c r="A182" s="22" t="str">
        <f>F182&amp;(COUNTIFS(F$2:F182,F182,K$2:K182,"Sparse"))</f>
        <v>SD20</v>
      </c>
      <c r="B182" s="22" t="str">
        <f>J182&amp;(COUNTIF(J$2:J182,J182))</f>
        <v>Hertfordshire6</v>
      </c>
      <c r="C182" t="s">
        <v>111</v>
      </c>
      <c r="D182" t="s">
        <v>111</v>
      </c>
      <c r="E182" s="25" t="s">
        <v>368</v>
      </c>
      <c r="F182" s="25" t="s">
        <v>379</v>
      </c>
      <c r="G182" s="25" t="s">
        <v>5</v>
      </c>
      <c r="H182" s="26" t="s">
        <v>891</v>
      </c>
      <c r="I182" s="27" t="s">
        <v>891</v>
      </c>
      <c r="J182" t="s">
        <v>314</v>
      </c>
    </row>
    <row r="183" spans="1:11" ht="14.4">
      <c r="A183" s="22" t="str">
        <f>F183&amp;(COUNTIFS(F$2:F183,F183,K$2:K183,"Sparse"))</f>
        <v>SD21</v>
      </c>
      <c r="B183" s="22" t="str">
        <f>J183&amp;(COUNTIF(J$2:J183,J183))</f>
        <v>Lincolnshire5</v>
      </c>
      <c r="C183" t="s">
        <v>112</v>
      </c>
      <c r="D183" t="s">
        <v>112</v>
      </c>
      <c r="E183" s="25" t="s">
        <v>366</v>
      </c>
      <c r="F183" s="25" t="s">
        <v>379</v>
      </c>
      <c r="G183" s="25" t="s">
        <v>5</v>
      </c>
      <c r="H183" s="26" t="s">
        <v>890</v>
      </c>
      <c r="I183" s="27" t="s">
        <v>380</v>
      </c>
      <c r="J183" t="s">
        <v>318</v>
      </c>
      <c r="K183" t="s">
        <v>335</v>
      </c>
    </row>
    <row r="184" spans="1:11" ht="14.4">
      <c r="A184" s="22" t="str">
        <f>F184&amp;(COUNTIFS(F$2:F184,F184,K$2:K184,"Sparse"))</f>
        <v>UA9</v>
      </c>
      <c r="B184" s="22" t="str">
        <f>J184&amp;(COUNTIF(J$2:J184,J184))</f>
        <v>Unitary32</v>
      </c>
      <c r="C184" t="s">
        <v>277</v>
      </c>
      <c r="D184" t="s">
        <v>277</v>
      </c>
      <c r="E184" s="25" t="s">
        <v>383</v>
      </c>
      <c r="F184" s="25" t="s">
        <v>385</v>
      </c>
      <c r="G184" s="25" t="s">
        <v>394</v>
      </c>
      <c r="H184" s="26" t="s">
        <v>891</v>
      </c>
      <c r="I184" s="27" t="s">
        <v>891</v>
      </c>
      <c r="J184" s="3" t="s">
        <v>394</v>
      </c>
      <c r="K184" t="s">
        <v>335</v>
      </c>
    </row>
    <row r="185" spans="1:11" ht="14.4">
      <c r="A185" s="22" t="str">
        <f>F185&amp;(COUNTIFS(F$2:F185,F185,K$2:K185,"Sparse"))</f>
        <v>SD22</v>
      </c>
      <c r="B185" s="22" t="str">
        <f>J185&amp;(COUNTIF(J$2:J185,J185))</f>
        <v>Norfolk6</v>
      </c>
      <c r="C185" t="s">
        <v>113</v>
      </c>
      <c r="D185" t="s">
        <v>113</v>
      </c>
      <c r="E185" s="25" t="s">
        <v>368</v>
      </c>
      <c r="F185" s="25" t="s">
        <v>379</v>
      </c>
      <c r="G185" s="25" t="s">
        <v>5</v>
      </c>
      <c r="H185" s="26" t="s">
        <v>890</v>
      </c>
      <c r="I185" s="27" t="s">
        <v>380</v>
      </c>
      <c r="J185" t="s">
        <v>319</v>
      </c>
      <c r="K185" t="s">
        <v>335</v>
      </c>
    </row>
    <row r="186" spans="1:11" ht="14.4">
      <c r="A186" s="22" t="str">
        <f>F186&amp;(COUNTIFS(F$2:F186,F186,K$2:K186,"Sparse"))</f>
        <v>UA9</v>
      </c>
      <c r="B186" s="22" t="str">
        <f>J186&amp;(COUNTIF(J$2:J186,J186))</f>
        <v>Unitary33</v>
      </c>
      <c r="C186" t="s">
        <v>896</v>
      </c>
      <c r="D186" t="s">
        <v>896</v>
      </c>
      <c r="E186" s="25" t="s">
        <v>366</v>
      </c>
      <c r="F186" s="25" t="s">
        <v>385</v>
      </c>
      <c r="G186" s="25" t="s">
        <v>394</v>
      </c>
      <c r="H186" s="26" t="s">
        <v>891</v>
      </c>
      <c r="I186" s="27" t="s">
        <v>891</v>
      </c>
      <c r="J186" t="s">
        <v>394</v>
      </c>
    </row>
    <row r="187" spans="1:11" ht="14.4">
      <c r="A187" s="22" t="str">
        <f>F187&amp;(COUNTIFS(F$2:F187,F187,K$2:K187,"Sparse"))</f>
        <v>UA10</v>
      </c>
      <c r="B187" s="22" t="str">
        <f>J187&amp;(COUNTIF(J$2:J187,J187))</f>
        <v>Unitary34</v>
      </c>
      <c r="C187" t="s">
        <v>278</v>
      </c>
      <c r="D187" t="s">
        <v>278</v>
      </c>
      <c r="E187" s="25" t="s">
        <v>1</v>
      </c>
      <c r="F187" s="25" t="s">
        <v>385</v>
      </c>
      <c r="G187" s="25" t="s">
        <v>394</v>
      </c>
      <c r="H187" s="26" t="s">
        <v>891</v>
      </c>
      <c r="I187" s="27" t="s">
        <v>891</v>
      </c>
      <c r="J187" s="3" t="s">
        <v>394</v>
      </c>
      <c r="K187" t="s">
        <v>335</v>
      </c>
    </row>
    <row r="188" spans="1:11" ht="14.4">
      <c r="A188" s="22" t="str">
        <f>F188&amp;(COUNTIFS(F$2:F188,F188,K$2:K188,"Sparse"))</f>
        <v>MD0</v>
      </c>
      <c r="B188" s="22" t="str">
        <f>J188&amp;(COUNTIF(J$2:J188,J188))</f>
        <v>North Tyneside1</v>
      </c>
      <c r="C188" t="s">
        <v>238</v>
      </c>
      <c r="D188" t="s">
        <v>238</v>
      </c>
      <c r="E188" s="25" t="s">
        <v>388</v>
      </c>
      <c r="F188" s="25" t="s">
        <v>384</v>
      </c>
      <c r="G188" s="25" t="s">
        <v>395</v>
      </c>
      <c r="H188" s="26" t="s">
        <v>382</v>
      </c>
      <c r="I188" s="27" t="s">
        <v>382</v>
      </c>
      <c r="J188" s="3" t="s">
        <v>238</v>
      </c>
    </row>
    <row r="189" spans="1:11" ht="14.4">
      <c r="A189" s="22" t="str">
        <f>F189&amp;(COUNTIFS(F$2:F189,F189,K$2:K189,"Sparse"))</f>
        <v>SD22</v>
      </c>
      <c r="B189" s="22" t="str">
        <f>J189&amp;(COUNTIF(J$2:J189,J189))</f>
        <v>Warwickshire1</v>
      </c>
      <c r="C189" t="s">
        <v>114</v>
      </c>
      <c r="D189" t="s">
        <v>114</v>
      </c>
      <c r="E189" s="25" t="s">
        <v>367</v>
      </c>
      <c r="F189" s="25" t="s">
        <v>379</v>
      </c>
      <c r="G189" s="25" t="s">
        <v>5</v>
      </c>
      <c r="H189" s="26" t="s">
        <v>890</v>
      </c>
      <c r="I189" s="27" t="s">
        <v>380</v>
      </c>
      <c r="J189" s="3" t="s">
        <v>330</v>
      </c>
    </row>
    <row r="190" spans="1:11" ht="14.4">
      <c r="A190" s="22" t="str">
        <f>F190&amp;(COUNTIFS(F$2:F190,F190,K$2:K190,"Sparse"))</f>
        <v>SD22</v>
      </c>
      <c r="B190" s="22" t="str">
        <f>J190&amp;(COUNTIF(J$2:J190,J190))</f>
        <v>Leicestershire7</v>
      </c>
      <c r="C190" t="s">
        <v>115</v>
      </c>
      <c r="D190" t="s">
        <v>115</v>
      </c>
      <c r="E190" s="25" t="s">
        <v>366</v>
      </c>
      <c r="F190" s="25" t="s">
        <v>379</v>
      </c>
      <c r="G190" s="25" t="s">
        <v>5</v>
      </c>
      <c r="H190" s="26" t="s">
        <v>890</v>
      </c>
      <c r="I190" s="27" t="s">
        <v>380</v>
      </c>
      <c r="J190" t="s">
        <v>317</v>
      </c>
    </row>
    <row r="191" spans="1:11" ht="14.4">
      <c r="A191" s="22" t="str">
        <f>F191&amp;(COUNTIFS(F$2:F191,F191,K$2:K191,"Sparse"))</f>
        <v>UA11</v>
      </c>
      <c r="B191" s="22" t="str">
        <f>J191&amp;(COUNTIF(J$2:J191,J191))</f>
        <v>Unitary35</v>
      </c>
      <c r="C191" t="s">
        <v>320</v>
      </c>
      <c r="D191" t="s">
        <v>320</v>
      </c>
      <c r="E191" s="25" t="s">
        <v>383</v>
      </c>
      <c r="F191" s="25" t="s">
        <v>385</v>
      </c>
      <c r="G191" s="25" t="s">
        <v>394</v>
      </c>
      <c r="H191" s="26" t="s">
        <v>380</v>
      </c>
      <c r="I191" s="27" t="s">
        <v>380</v>
      </c>
      <c r="J191" t="s">
        <v>394</v>
      </c>
      <c r="K191" t="s">
        <v>335</v>
      </c>
    </row>
    <row r="192" spans="1:11" ht="14.4">
      <c r="A192" s="22" t="str">
        <f>F192&amp;(COUNTIFS(F$2:F192,F192,K$2:K192,"Sparse"))</f>
        <v>UA12</v>
      </c>
      <c r="B192" s="22" t="str">
        <f>J192&amp;(COUNTIF(J$2:J192,J192))</f>
        <v>Unitary36</v>
      </c>
      <c r="C192" t="s">
        <v>322</v>
      </c>
      <c r="D192" t="s">
        <v>322</v>
      </c>
      <c r="E192" s="25" t="s">
        <v>388</v>
      </c>
      <c r="F192" s="25" t="s">
        <v>385</v>
      </c>
      <c r="G192" s="25" t="s">
        <v>394</v>
      </c>
      <c r="H192" s="26" t="s">
        <v>890</v>
      </c>
      <c r="I192" s="27" t="s">
        <v>380</v>
      </c>
      <c r="J192" t="s">
        <v>394</v>
      </c>
      <c r="K192" t="s">
        <v>335</v>
      </c>
    </row>
    <row r="193" spans="1:10" ht="14.4">
      <c r="A193" s="22" t="str">
        <f>F193&amp;(COUNTIFS(F$2:F193,F193,K$2:K193,"Sparse"))</f>
        <v>SD22</v>
      </c>
      <c r="B193" s="22" t="str">
        <f>J193&amp;(COUNTIF(J$2:J193,J193))</f>
        <v>Norfolk7</v>
      </c>
      <c r="C193" s="27" t="s">
        <v>117</v>
      </c>
      <c r="D193" s="27" t="s">
        <v>117</v>
      </c>
      <c r="E193" s="25" t="s">
        <v>368</v>
      </c>
      <c r="F193" s="25" t="s">
        <v>379</v>
      </c>
      <c r="G193" s="25" t="s">
        <v>5</v>
      </c>
      <c r="H193" s="27" t="s">
        <v>382</v>
      </c>
      <c r="I193" s="27" t="s">
        <v>382</v>
      </c>
      <c r="J193" t="s">
        <v>319</v>
      </c>
    </row>
    <row r="194" spans="1:10" ht="14.4">
      <c r="A194" s="22" t="str">
        <f>F194&amp;(COUNTIFS(F$2:F194,F194,K$2:K194,"Sparse"))</f>
        <v>UA12</v>
      </c>
      <c r="B194" s="22" t="str">
        <f>J194&amp;(COUNTIF(J$2:J194,J194))</f>
        <v>Unitary37</v>
      </c>
      <c r="C194" t="s">
        <v>279</v>
      </c>
      <c r="D194" t="s">
        <v>279</v>
      </c>
      <c r="E194" s="25" t="s">
        <v>366</v>
      </c>
      <c r="F194" s="25" t="s">
        <v>385</v>
      </c>
      <c r="G194" s="25" t="s">
        <v>394</v>
      </c>
      <c r="H194" s="26" t="s">
        <v>382</v>
      </c>
      <c r="I194" s="27" t="s">
        <v>382</v>
      </c>
      <c r="J194" t="s">
        <v>394</v>
      </c>
    </row>
    <row r="195" spans="1:10" ht="14.4">
      <c r="A195" s="22" t="str">
        <f>F195&amp;(COUNTIFS(F$2:F195,F195,K$2:K195,"Sparse"))</f>
        <v>SC5</v>
      </c>
      <c r="B195" s="22" t="str">
        <f>J195&amp;(COUNTIF(J$2:J195,J195))</f>
        <v>Nottinghamshire7</v>
      </c>
      <c r="C195" s="27" t="s">
        <v>323</v>
      </c>
      <c r="D195" s="27" t="s">
        <v>323</v>
      </c>
      <c r="E195" s="25" t="s">
        <v>366</v>
      </c>
      <c r="F195" s="25" t="s">
        <v>387</v>
      </c>
      <c r="G195" s="25" t="s">
        <v>301</v>
      </c>
      <c r="H195" s="27" t="s">
        <v>891</v>
      </c>
      <c r="I195" s="27" t="s">
        <v>891</v>
      </c>
      <c r="J195" t="s">
        <v>323</v>
      </c>
    </row>
    <row r="196" spans="1:10" ht="14.4">
      <c r="A196" s="22" t="str">
        <f>F196&amp;(COUNTIFS(F$2:F196,F196,K$2:K196,"Sparse"))</f>
        <v>SD22</v>
      </c>
      <c r="B196" s="22" t="str">
        <f>J196&amp;(COUNTIF(J$2:J196,J196))</f>
        <v>Warwickshire2</v>
      </c>
      <c r="C196" t="s">
        <v>346</v>
      </c>
      <c r="D196" t="s">
        <v>346</v>
      </c>
      <c r="E196" s="25" t="s">
        <v>367</v>
      </c>
      <c r="F196" s="25" t="s">
        <v>379</v>
      </c>
      <c r="G196" s="25" t="s">
        <v>5</v>
      </c>
      <c r="H196" s="26" t="s">
        <v>382</v>
      </c>
      <c r="I196" s="27" t="s">
        <v>382</v>
      </c>
      <c r="J196" s="3" t="s">
        <v>330</v>
      </c>
    </row>
    <row r="197" spans="1:10" ht="14.4">
      <c r="A197" s="22" t="str">
        <f>F197&amp;(COUNTIFS(F$2:F197,F197,K$2:K197,"Sparse"))</f>
        <v>SD22</v>
      </c>
      <c r="B197" s="22" t="str">
        <f>J197&amp;(COUNTIF(J$2:J197,J197))</f>
        <v>Leicestershire8</v>
      </c>
      <c r="C197" t="s">
        <v>347</v>
      </c>
      <c r="D197" t="s">
        <v>347</v>
      </c>
      <c r="E197" s="25" t="s">
        <v>366</v>
      </c>
      <c r="F197" s="25" t="s">
        <v>379</v>
      </c>
      <c r="G197" s="25" t="s">
        <v>5</v>
      </c>
      <c r="H197" s="26" t="s">
        <v>382</v>
      </c>
      <c r="I197" s="27" t="s">
        <v>382</v>
      </c>
      <c r="J197" t="s">
        <v>317</v>
      </c>
    </row>
    <row r="198" spans="1:10" ht="14.4">
      <c r="A198" s="22" t="str">
        <f>F198&amp;(COUNTIFS(F$2:F198,F198,K$2:K198,"Sparse"))</f>
        <v>MD0</v>
      </c>
      <c r="B198" s="22" t="str">
        <f>J198&amp;(COUNTIF(J$2:J198,J198))</f>
        <v>Oldham1</v>
      </c>
      <c r="C198" t="s">
        <v>239</v>
      </c>
      <c r="D198" t="s">
        <v>239</v>
      </c>
      <c r="E198" s="25" t="s">
        <v>374</v>
      </c>
      <c r="F198" s="25" t="s">
        <v>384</v>
      </c>
      <c r="G198" s="25" t="s">
        <v>395</v>
      </c>
      <c r="H198" s="26" t="s">
        <v>382</v>
      </c>
      <c r="I198" s="27" t="s">
        <v>382</v>
      </c>
      <c r="J198" s="3" t="s">
        <v>239</v>
      </c>
    </row>
    <row r="199" spans="1:10" ht="14.4">
      <c r="A199" s="22" t="str">
        <f>F199&amp;(COUNTIFS(F$2:F199,F199,K$2:K199,"Sparse"))</f>
        <v>SD22</v>
      </c>
      <c r="B199" s="22" t="str">
        <f>J199&amp;(COUNTIF(J$2:J199,J199))</f>
        <v>Oxfordshire2</v>
      </c>
      <c r="C199" s="27" t="s">
        <v>118</v>
      </c>
      <c r="D199" s="27" t="s">
        <v>118</v>
      </c>
      <c r="E199" s="25" t="s">
        <v>0</v>
      </c>
      <c r="F199" s="25" t="s">
        <v>379</v>
      </c>
      <c r="G199" s="25" t="s">
        <v>5</v>
      </c>
      <c r="H199" s="27" t="s">
        <v>382</v>
      </c>
      <c r="I199" s="27" t="s">
        <v>382</v>
      </c>
      <c r="J199" t="s">
        <v>324</v>
      </c>
    </row>
    <row r="200" spans="1:10" ht="14.4">
      <c r="A200" s="22" t="str">
        <f>F200&amp;(COUNTIFS(F$2:F200,F200,K$2:K200,"Sparse"))</f>
        <v>SC5</v>
      </c>
      <c r="B200" s="22" t="str">
        <f>J200&amp;(COUNTIF(J$2:J200,J200))</f>
        <v>Oxfordshire3</v>
      </c>
      <c r="C200" t="s">
        <v>324</v>
      </c>
      <c r="D200" t="s">
        <v>324</v>
      </c>
      <c r="E200" s="25" t="s">
        <v>0</v>
      </c>
      <c r="F200" s="25" t="s">
        <v>387</v>
      </c>
      <c r="G200" s="25" t="s">
        <v>301</v>
      </c>
      <c r="H200" s="26" t="s">
        <v>380</v>
      </c>
      <c r="I200" s="27" t="s">
        <v>380</v>
      </c>
      <c r="J200" t="s">
        <v>324</v>
      </c>
    </row>
    <row r="201" spans="1:10" ht="14.4">
      <c r="A201" s="22" t="str">
        <f>F201&amp;(COUNTIFS(F$2:F201,F201,K$2:K201,"Sparse"))</f>
        <v>SD22</v>
      </c>
      <c r="B201" s="22" t="str">
        <f>J201&amp;(COUNTIF(J$2:J201,J201))</f>
        <v>Lancashire7</v>
      </c>
      <c r="C201" t="s">
        <v>119</v>
      </c>
      <c r="D201" t="s">
        <v>119</v>
      </c>
      <c r="E201" s="25" t="s">
        <v>374</v>
      </c>
      <c r="F201" s="25" t="s">
        <v>379</v>
      </c>
      <c r="G201" s="25" t="s">
        <v>5</v>
      </c>
      <c r="H201" s="26" t="s">
        <v>382</v>
      </c>
      <c r="I201" s="27" t="s">
        <v>382</v>
      </c>
      <c r="J201" t="s">
        <v>316</v>
      </c>
    </row>
    <row r="202" spans="1:10" ht="14.4">
      <c r="A202" s="22" t="str">
        <f>F202&amp;(COUNTIFS(F$2:F202,F202,K$2:K202,"Sparse"))</f>
        <v>UA12</v>
      </c>
      <c r="B202" s="22" t="str">
        <f>J202&amp;(COUNTIF(J$2:J202,J202))</f>
        <v>Unitary38</v>
      </c>
      <c r="C202" t="s">
        <v>280</v>
      </c>
      <c r="D202" t="s">
        <v>280</v>
      </c>
      <c r="E202" s="25" t="s">
        <v>368</v>
      </c>
      <c r="F202" s="25" t="s">
        <v>385</v>
      </c>
      <c r="G202" s="25" t="s">
        <v>394</v>
      </c>
      <c r="H202" s="26" t="s">
        <v>382</v>
      </c>
      <c r="I202" s="27" t="s">
        <v>382</v>
      </c>
      <c r="J202" t="s">
        <v>394</v>
      </c>
    </row>
    <row r="203" spans="1:10" ht="14.4">
      <c r="A203" s="22" t="str">
        <f>F203&amp;(COUNTIFS(F$2:F203,F203,K$2:K203,"Sparse"))</f>
        <v>UA12</v>
      </c>
      <c r="B203" s="22" t="str">
        <f>J203&amp;(COUNTIF(J$2:J203,J203))</f>
        <v>Unitary39</v>
      </c>
      <c r="C203" t="s">
        <v>281</v>
      </c>
      <c r="D203" t="s">
        <v>281</v>
      </c>
      <c r="E203" s="25" t="s">
        <v>1</v>
      </c>
      <c r="F203" s="25" t="s">
        <v>385</v>
      </c>
      <c r="G203" s="25" t="s">
        <v>394</v>
      </c>
      <c r="H203" s="26" t="s">
        <v>382</v>
      </c>
      <c r="I203" s="27" t="s">
        <v>382</v>
      </c>
      <c r="J203" t="s">
        <v>394</v>
      </c>
    </row>
    <row r="204" spans="1:10" ht="14.4">
      <c r="A204" s="22" t="str">
        <f>F204&amp;(COUNTIFS(F$2:F204,F204,K$2:K204,"Sparse"))</f>
        <v>UA12</v>
      </c>
      <c r="B204" s="22" t="str">
        <f>J204&amp;(COUNTIF(J$2:J204,J204))</f>
        <v>Unitary40</v>
      </c>
      <c r="C204" s="27" t="s">
        <v>283</v>
      </c>
      <c r="D204" s="27" t="s">
        <v>283</v>
      </c>
      <c r="E204" s="25" t="s">
        <v>0</v>
      </c>
      <c r="F204" s="25" t="s">
        <v>385</v>
      </c>
      <c r="G204" s="25" t="s">
        <v>394</v>
      </c>
      <c r="H204" s="27" t="s">
        <v>382</v>
      </c>
      <c r="I204" s="27" t="s">
        <v>382</v>
      </c>
      <c r="J204" t="s">
        <v>394</v>
      </c>
    </row>
    <row r="205" spans="1:10" ht="14.4">
      <c r="A205" s="22" t="str">
        <f>F205&amp;(COUNTIFS(F$2:F205,F205,K$2:K205,"Sparse"))</f>
        <v>SD22</v>
      </c>
      <c r="B205" s="22" t="str">
        <f>J205&amp;(COUNTIF(J$2:J205,J205))</f>
        <v>Lancashire8</v>
      </c>
      <c r="C205" t="s">
        <v>120</v>
      </c>
      <c r="D205" t="s">
        <v>120</v>
      </c>
      <c r="E205" s="25" t="s">
        <v>374</v>
      </c>
      <c r="F205" s="25" t="s">
        <v>379</v>
      </c>
      <c r="G205" s="25" t="s">
        <v>5</v>
      </c>
      <c r="H205" s="26" t="s">
        <v>382</v>
      </c>
      <c r="I205" s="27" t="s">
        <v>382</v>
      </c>
      <c r="J205" t="s">
        <v>316</v>
      </c>
    </row>
    <row r="206" spans="1:10" ht="14.4">
      <c r="A206" s="22" t="str">
        <f>F206&amp;(COUNTIFS(F$2:F206,F206,K$2:K206,"Sparse"))</f>
        <v>UA12</v>
      </c>
      <c r="B206" s="22" t="str">
        <f>J206&amp;(COUNTIF(J$2:J206,J206))</f>
        <v>Unitary41</v>
      </c>
      <c r="C206" t="s">
        <v>284</v>
      </c>
      <c r="D206" t="s">
        <v>284</v>
      </c>
      <c r="E206" s="25" t="s">
        <v>0</v>
      </c>
      <c r="F206" s="25" t="s">
        <v>385</v>
      </c>
      <c r="G206" s="25" t="s">
        <v>394</v>
      </c>
      <c r="H206" s="26" t="s">
        <v>382</v>
      </c>
      <c r="I206" s="27" t="s">
        <v>382</v>
      </c>
      <c r="J206" s="3" t="s">
        <v>394</v>
      </c>
    </row>
    <row r="207" spans="1:10" ht="14.4">
      <c r="A207" s="22" t="str">
        <f>F207&amp;(COUNTIFS(F$2:F207,F207,K$2:K207,"Sparse"))</f>
        <v>L0</v>
      </c>
      <c r="B207" s="22" t="str">
        <f>J207&amp;(COUNTIF(J$2:J207,J207))</f>
        <v>London26</v>
      </c>
      <c r="C207" t="s">
        <v>216</v>
      </c>
      <c r="D207" t="s">
        <v>216</v>
      </c>
      <c r="E207" s="25" t="s">
        <v>381</v>
      </c>
      <c r="F207" s="25" t="s">
        <v>358</v>
      </c>
      <c r="G207" s="25" t="s">
        <v>381</v>
      </c>
      <c r="H207" s="26" t="s">
        <v>382</v>
      </c>
      <c r="I207" s="27" t="s">
        <v>382</v>
      </c>
      <c r="J207" s="3" t="s">
        <v>381</v>
      </c>
    </row>
    <row r="208" spans="1:10" ht="14.4">
      <c r="A208" s="22" t="str">
        <f>F208&amp;(COUNTIFS(F$2:F208,F208,K$2:K208,"Sparse"))</f>
        <v>UA12</v>
      </c>
      <c r="B208" s="22" t="str">
        <f>J208&amp;(COUNTIF(J$2:J208,J208))</f>
        <v>Unitary42</v>
      </c>
      <c r="C208" t="s">
        <v>808</v>
      </c>
      <c r="D208" t="s">
        <v>808</v>
      </c>
      <c r="E208" s="25" t="s">
        <v>388</v>
      </c>
      <c r="F208" s="25" t="s">
        <v>385</v>
      </c>
      <c r="G208" s="25" t="s">
        <v>394</v>
      </c>
      <c r="H208" s="26" t="s">
        <v>891</v>
      </c>
      <c r="I208" s="27" t="s">
        <v>891</v>
      </c>
      <c r="J208" s="3" t="s">
        <v>394</v>
      </c>
    </row>
    <row r="209" spans="1:11" ht="14.4">
      <c r="A209" s="22" t="str">
        <f>F209&amp;(COUNTIFS(F$2:F209,F209,K$2:K209,"Sparse"))</f>
        <v>SD22</v>
      </c>
      <c r="B209" s="22" t="str">
        <f>J209&amp;(COUNTIF(J$2:J209,J209))</f>
        <v>Worcestershire3</v>
      </c>
      <c r="C209" t="s">
        <v>122</v>
      </c>
      <c r="D209" t="s">
        <v>122</v>
      </c>
      <c r="E209" s="25" t="s">
        <v>367</v>
      </c>
      <c r="F209" s="25" t="s">
        <v>379</v>
      </c>
      <c r="G209" s="25" t="s">
        <v>5</v>
      </c>
      <c r="H209" s="26" t="s">
        <v>382</v>
      </c>
      <c r="I209" s="27" t="s">
        <v>382</v>
      </c>
      <c r="J209" t="s">
        <v>332</v>
      </c>
    </row>
    <row r="210" spans="1:11" ht="14.4">
      <c r="A210" s="22" t="str">
        <f>F210&amp;(COUNTIFS(F$2:F210,F210,K$2:K210,"Sparse"))</f>
        <v>SD22</v>
      </c>
      <c r="B210" s="22" t="str">
        <f>J210&amp;(COUNTIF(J$2:J210,J210))</f>
        <v>Surrey5</v>
      </c>
      <c r="C210" t="s">
        <v>348</v>
      </c>
      <c r="D210" t="s">
        <v>348</v>
      </c>
      <c r="E210" s="25" t="s">
        <v>0</v>
      </c>
      <c r="F210" s="25" t="s">
        <v>379</v>
      </c>
      <c r="G210" s="25" t="s">
        <v>5</v>
      </c>
      <c r="H210" s="26" t="s">
        <v>382</v>
      </c>
      <c r="I210" s="27" t="s">
        <v>382</v>
      </c>
      <c r="J210" s="3" t="s">
        <v>329</v>
      </c>
    </row>
    <row r="211" spans="1:11" ht="14.4">
      <c r="A211" s="22" t="str">
        <f>F211&amp;(COUNTIFS(F$2:F211,F211,K$2:K211,"Sparse"))</f>
        <v>SD23</v>
      </c>
      <c r="B211" s="22" t="str">
        <f>J211&amp;(COUNTIF(J$2:J211,J211))</f>
        <v>Lancashire9</v>
      </c>
      <c r="C211" t="s">
        <v>123</v>
      </c>
      <c r="D211" t="s">
        <v>123</v>
      </c>
      <c r="E211" s="25" t="s">
        <v>374</v>
      </c>
      <c r="F211" s="25" t="s">
        <v>379</v>
      </c>
      <c r="G211" s="25" t="s">
        <v>5</v>
      </c>
      <c r="H211" s="26" t="s">
        <v>890</v>
      </c>
      <c r="I211" s="27" t="s">
        <v>380</v>
      </c>
      <c r="J211" t="s">
        <v>316</v>
      </c>
      <c r="K211" t="s">
        <v>335</v>
      </c>
    </row>
    <row r="212" spans="1:11" ht="14.4">
      <c r="A212" s="22" t="str">
        <f>F212&amp;(COUNTIFS(F$2:F212,F212,K$2:K212,"Sparse"))</f>
        <v>L0</v>
      </c>
      <c r="B212" s="22" t="str">
        <f>J212&amp;(COUNTIF(J$2:J212,J212))</f>
        <v>London27</v>
      </c>
      <c r="C212" t="s">
        <v>392</v>
      </c>
      <c r="D212" t="s">
        <v>392</v>
      </c>
      <c r="E212" s="25" t="s">
        <v>381</v>
      </c>
      <c r="F212" s="25" t="s">
        <v>358</v>
      </c>
      <c r="G212" s="25" t="s">
        <v>381</v>
      </c>
      <c r="H212" s="26" t="s">
        <v>382</v>
      </c>
      <c r="I212" s="27" t="s">
        <v>382</v>
      </c>
      <c r="J212" s="3" t="s">
        <v>381</v>
      </c>
    </row>
    <row r="213" spans="1:11" ht="14.4">
      <c r="A213" s="22" t="str">
        <f>F213&amp;(COUNTIFS(F$2:F213,F213,K$2:K213,"Sparse"))</f>
        <v>MD0</v>
      </c>
      <c r="B213" s="22" t="str">
        <f>J213&amp;(COUNTIF(J$2:J213,J213))</f>
        <v>Rochdale1</v>
      </c>
      <c r="C213" t="s">
        <v>240</v>
      </c>
      <c r="D213" t="s">
        <v>240</v>
      </c>
      <c r="E213" s="25" t="s">
        <v>374</v>
      </c>
      <c r="F213" s="25" t="s">
        <v>384</v>
      </c>
      <c r="G213" s="25" t="s">
        <v>395</v>
      </c>
      <c r="H213" s="26" t="s">
        <v>382</v>
      </c>
      <c r="I213" s="27" t="s">
        <v>382</v>
      </c>
      <c r="J213" t="s">
        <v>240</v>
      </c>
    </row>
    <row r="214" spans="1:11" ht="14.4">
      <c r="A214" s="22" t="str">
        <f>F214&amp;(COUNTIFS(F$2:F214,F214,K$2:K214,"Sparse"))</f>
        <v>SD23</v>
      </c>
      <c r="B214" s="22" t="str">
        <f>J214&amp;(COUNTIF(J$2:J214,J214))</f>
        <v>Essex11</v>
      </c>
      <c r="C214" t="s">
        <v>125</v>
      </c>
      <c r="D214" t="s">
        <v>125</v>
      </c>
      <c r="E214" s="25" t="s">
        <v>368</v>
      </c>
      <c r="F214" s="25" t="s">
        <v>379</v>
      </c>
      <c r="G214" s="25" t="s">
        <v>5</v>
      </c>
      <c r="H214" s="26" t="s">
        <v>382</v>
      </c>
      <c r="I214" s="27" t="s">
        <v>382</v>
      </c>
      <c r="J214" t="s">
        <v>311</v>
      </c>
    </row>
    <row r="215" spans="1:11" ht="14.4">
      <c r="A215" s="22" t="str">
        <f>F215&amp;(COUNTIFS(F$2:F215,F215,K$2:K215,"Sparse"))</f>
        <v>SD23</v>
      </c>
      <c r="B215" s="22" t="str">
        <f>J215&amp;(COUNTIF(J$2:J215,J215))</f>
        <v>Lancashire10</v>
      </c>
      <c r="C215" t="s">
        <v>126</v>
      </c>
      <c r="D215" t="s">
        <v>126</v>
      </c>
      <c r="E215" s="25" t="s">
        <v>374</v>
      </c>
      <c r="F215" s="25" t="s">
        <v>379</v>
      </c>
      <c r="G215" s="25" t="s">
        <v>5</v>
      </c>
      <c r="H215" s="26" t="s">
        <v>382</v>
      </c>
      <c r="I215" s="27" t="s">
        <v>382</v>
      </c>
      <c r="J215" t="s">
        <v>316</v>
      </c>
    </row>
    <row r="216" spans="1:11" ht="14.4">
      <c r="A216" s="22" t="str">
        <f>F216&amp;(COUNTIFS(F$2:F216,F216,K$2:K216,"Sparse"))</f>
        <v>SD24</v>
      </c>
      <c r="B216" s="22" t="str">
        <f>J216&amp;(COUNTIF(J$2:J216,J216))</f>
        <v>East Sussex5</v>
      </c>
      <c r="C216" t="s">
        <v>127</v>
      </c>
      <c r="D216" t="s">
        <v>127</v>
      </c>
      <c r="E216" s="25" t="s">
        <v>0</v>
      </c>
      <c r="F216" s="25" t="s">
        <v>379</v>
      </c>
      <c r="G216" s="25" t="s">
        <v>5</v>
      </c>
      <c r="H216" s="26" t="s">
        <v>890</v>
      </c>
      <c r="I216" s="27" t="s">
        <v>380</v>
      </c>
      <c r="J216" t="s">
        <v>310</v>
      </c>
      <c r="K216" t="s">
        <v>335</v>
      </c>
    </row>
    <row r="217" spans="1:11" ht="14.4">
      <c r="A217" s="22" t="str">
        <f>F217&amp;(COUNTIFS(F$2:F217,F217,K$2:K217,"Sparse"))</f>
        <v>MD0</v>
      </c>
      <c r="B217" s="22" t="str">
        <f>J217&amp;(COUNTIF(J$2:J217,J217))</f>
        <v>Rotherham1</v>
      </c>
      <c r="C217" t="s">
        <v>241</v>
      </c>
      <c r="D217" t="s">
        <v>241</v>
      </c>
      <c r="E217" s="25" t="s">
        <v>383</v>
      </c>
      <c r="F217" s="25" t="s">
        <v>384</v>
      </c>
      <c r="G217" s="25" t="s">
        <v>395</v>
      </c>
      <c r="H217" s="26" t="s">
        <v>382</v>
      </c>
      <c r="I217" s="27" t="s">
        <v>382</v>
      </c>
      <c r="J217" t="s">
        <v>241</v>
      </c>
    </row>
    <row r="218" spans="1:11" ht="14.4">
      <c r="A218" s="22" t="str">
        <f>F218&amp;(COUNTIFS(F$2:F218,F218,K$2:K218,"Sparse"))</f>
        <v>SD25</v>
      </c>
      <c r="B218" s="22" t="str">
        <f>J218&amp;(COUNTIF(J$2:J218,J218))</f>
        <v>Warwickshire3</v>
      </c>
      <c r="C218" t="s">
        <v>128</v>
      </c>
      <c r="D218" t="s">
        <v>128</v>
      </c>
      <c r="E218" s="25" t="s">
        <v>367</v>
      </c>
      <c r="F218" s="25" t="s">
        <v>379</v>
      </c>
      <c r="G218" s="25" t="s">
        <v>5</v>
      </c>
      <c r="H218" s="26" t="s">
        <v>382</v>
      </c>
      <c r="I218" s="27" t="s">
        <v>382</v>
      </c>
      <c r="J218" t="s">
        <v>330</v>
      </c>
      <c r="K218" t="s">
        <v>335</v>
      </c>
    </row>
    <row r="219" spans="1:11" ht="14.4">
      <c r="A219" s="22" t="str">
        <f>F219&amp;(COUNTIFS(F$2:F219,F219,K$2:K219,"Sparse"))</f>
        <v>SD25</v>
      </c>
      <c r="B219" s="22" t="str">
        <f>J219&amp;(COUNTIF(J$2:J219,J219))</f>
        <v>Surrey6</v>
      </c>
      <c r="C219" t="s">
        <v>129</v>
      </c>
      <c r="D219" t="s">
        <v>129</v>
      </c>
      <c r="E219" s="25" t="s">
        <v>0</v>
      </c>
      <c r="F219" s="25" t="s">
        <v>379</v>
      </c>
      <c r="G219" s="25" t="s">
        <v>5</v>
      </c>
      <c r="H219" s="26" t="s">
        <v>382</v>
      </c>
      <c r="I219" s="27" t="s">
        <v>382</v>
      </c>
      <c r="J219" t="s">
        <v>329</v>
      </c>
    </row>
    <row r="220" spans="1:11" ht="14.4">
      <c r="A220" s="22" t="str">
        <f>F220&amp;(COUNTIFS(F$2:F220,F220,K$2:K220,"Sparse"))</f>
        <v>SD25</v>
      </c>
      <c r="B220" s="22" t="str">
        <f>J220&amp;(COUNTIF(J$2:J220,J220))</f>
        <v>Nottinghamshire8</v>
      </c>
      <c r="C220" t="s">
        <v>130</v>
      </c>
      <c r="D220" t="s">
        <v>130</v>
      </c>
      <c r="E220" s="25" t="s">
        <v>366</v>
      </c>
      <c r="F220" s="25" t="s">
        <v>379</v>
      </c>
      <c r="G220" s="25" t="s">
        <v>5</v>
      </c>
      <c r="H220" s="26" t="s">
        <v>890</v>
      </c>
      <c r="I220" s="27" t="s">
        <v>380</v>
      </c>
      <c r="J220" t="s">
        <v>323</v>
      </c>
    </row>
    <row r="221" spans="1:11" ht="14.4">
      <c r="A221" s="22" t="str">
        <f>F221&amp;(COUNTIFS(F$2:F221,F221,K$2:K221,"Sparse"))</f>
        <v>SD25</v>
      </c>
      <c r="B221" s="22" t="str">
        <f>J221&amp;(COUNTIF(J$2:J221,J221))</f>
        <v>Hampshire10</v>
      </c>
      <c r="C221" t="s">
        <v>131</v>
      </c>
      <c r="D221" t="s">
        <v>131</v>
      </c>
      <c r="E221" s="25" t="s">
        <v>0</v>
      </c>
      <c r="F221" s="25" t="s">
        <v>379</v>
      </c>
      <c r="G221" s="25" t="s">
        <v>5</v>
      </c>
      <c r="H221" s="26" t="s">
        <v>382</v>
      </c>
      <c r="I221" s="27" t="s">
        <v>382</v>
      </c>
      <c r="J221" t="s">
        <v>313</v>
      </c>
    </row>
    <row r="222" spans="1:11" ht="14.4">
      <c r="A222" s="22" t="str">
        <f>F222&amp;(COUNTIFS(F$2:F222,F222,K$2:K222,"Sparse"))</f>
        <v>UA13</v>
      </c>
      <c r="B222" s="22" t="str">
        <f>J222&amp;(COUNTIF(J$2:J222,J222))</f>
        <v>Unitary43</v>
      </c>
      <c r="C222" t="s">
        <v>285</v>
      </c>
      <c r="D222" t="s">
        <v>285</v>
      </c>
      <c r="E222" s="25" t="s">
        <v>366</v>
      </c>
      <c r="F222" s="25" t="s">
        <v>385</v>
      </c>
      <c r="G222" s="25" t="s">
        <v>394</v>
      </c>
      <c r="H222" s="26" t="s">
        <v>890</v>
      </c>
      <c r="I222" s="27" t="s">
        <v>380</v>
      </c>
      <c r="J222" t="s">
        <v>394</v>
      </c>
      <c r="K222" t="s">
        <v>335</v>
      </c>
    </row>
    <row r="223" spans="1:11" ht="14.4">
      <c r="A223" s="22" t="str">
        <f>F223&amp;(COUNTIFS(F$2:F223,F223,K$2:K223,"Sparse"))</f>
        <v>MD0</v>
      </c>
      <c r="B223" s="22" t="str">
        <f>J223&amp;(COUNTIF(J$2:J223,J223))</f>
        <v>Salford1</v>
      </c>
      <c r="C223" t="s">
        <v>242</v>
      </c>
      <c r="D223" t="s">
        <v>242</v>
      </c>
      <c r="E223" s="25" t="s">
        <v>374</v>
      </c>
      <c r="F223" s="25" t="s">
        <v>384</v>
      </c>
      <c r="G223" s="25" t="s">
        <v>395</v>
      </c>
      <c r="H223" s="26" t="s">
        <v>382</v>
      </c>
      <c r="I223" s="27" t="s">
        <v>382</v>
      </c>
      <c r="J223" t="s">
        <v>242</v>
      </c>
    </row>
    <row r="224" spans="1:11" ht="14.4">
      <c r="A224" s="22" t="str">
        <f>F224&amp;(COUNTIFS(F$2:F224,F224,K$2:K224,"Sparse"))</f>
        <v>MD0</v>
      </c>
      <c r="B224" s="22" t="str">
        <f>J224&amp;(COUNTIF(J$2:J224,J224))</f>
        <v>Sandwell1</v>
      </c>
      <c r="C224" t="s">
        <v>243</v>
      </c>
      <c r="D224" t="s">
        <v>243</v>
      </c>
      <c r="E224" s="25" t="s">
        <v>367</v>
      </c>
      <c r="F224" s="25" t="s">
        <v>384</v>
      </c>
      <c r="G224" s="25" t="s">
        <v>395</v>
      </c>
      <c r="H224" s="26" t="s">
        <v>382</v>
      </c>
      <c r="I224" s="27" t="s">
        <v>382</v>
      </c>
      <c r="J224" t="s">
        <v>243</v>
      </c>
    </row>
    <row r="225" spans="1:11" ht="14.4">
      <c r="A225" s="22" t="str">
        <f>F225&amp;(COUNTIFS(F$2:F225,F225,K$2:K225,"Sparse"))</f>
        <v>MD0</v>
      </c>
      <c r="B225" s="22" t="str">
        <f>J225&amp;(COUNTIF(J$2:J225,J225))</f>
        <v>Sefton1</v>
      </c>
      <c r="C225" t="s">
        <v>244</v>
      </c>
      <c r="D225" t="s">
        <v>244</v>
      </c>
      <c r="E225" s="25" t="s">
        <v>374</v>
      </c>
      <c r="F225" s="25" t="s">
        <v>384</v>
      </c>
      <c r="G225" s="25" t="s">
        <v>395</v>
      </c>
      <c r="H225" s="26" t="s">
        <v>382</v>
      </c>
      <c r="I225" s="27" t="s">
        <v>382</v>
      </c>
      <c r="J225" t="s">
        <v>244</v>
      </c>
    </row>
    <row r="226" spans="1:11" ht="14.4">
      <c r="A226" s="22" t="str">
        <f>F226&amp;(COUNTIFS(F$2:F226,F226,K$2:K226,"Sparse"))</f>
        <v>SD25</v>
      </c>
      <c r="B226" s="22" t="str">
        <f>J226&amp;(COUNTIF(J$2:J226,J226))</f>
        <v>Kent9</v>
      </c>
      <c r="C226" t="s">
        <v>136</v>
      </c>
      <c r="D226" t="s">
        <v>136</v>
      </c>
      <c r="E226" s="25" t="s">
        <v>0</v>
      </c>
      <c r="F226" s="25" t="s">
        <v>379</v>
      </c>
      <c r="G226" s="25" t="s">
        <v>5</v>
      </c>
      <c r="H226" s="26" t="s">
        <v>890</v>
      </c>
      <c r="I226" s="27" t="s">
        <v>380</v>
      </c>
      <c r="J226" t="s">
        <v>315</v>
      </c>
    </row>
    <row r="227" spans="1:11" ht="14.4">
      <c r="A227" s="22" t="str">
        <f>F227&amp;(COUNTIFS(F$2:F227,F227,K$2:K227,"Sparse"))</f>
        <v>MD0</v>
      </c>
      <c r="B227" s="22" t="str">
        <f>J227&amp;(COUNTIF(J$2:J227,J227))</f>
        <v>Sheffield1</v>
      </c>
      <c r="C227" t="s">
        <v>245</v>
      </c>
      <c r="D227" t="s">
        <v>245</v>
      </c>
      <c r="E227" s="25" t="s">
        <v>383</v>
      </c>
      <c r="F227" s="25" t="s">
        <v>384</v>
      </c>
      <c r="G227" s="25" t="s">
        <v>395</v>
      </c>
      <c r="H227" s="26" t="s">
        <v>382</v>
      </c>
      <c r="I227" s="27" t="s">
        <v>382</v>
      </c>
      <c r="J227" t="s">
        <v>245</v>
      </c>
    </row>
    <row r="228" spans="1:11" ht="14.4">
      <c r="A228" s="22" t="str">
        <f>F228&amp;(COUNTIFS(F$2:F228,F228,K$2:K228,"Sparse"))</f>
        <v>UA14</v>
      </c>
      <c r="B228" s="22" t="str">
        <f>J228&amp;(COUNTIF(J$2:J228,J228))</f>
        <v>Unitary44</v>
      </c>
      <c r="C228" t="s">
        <v>325</v>
      </c>
      <c r="D228" t="s">
        <v>325</v>
      </c>
      <c r="E228" s="25" t="s">
        <v>367</v>
      </c>
      <c r="F228" s="25" t="s">
        <v>385</v>
      </c>
      <c r="G228" s="25" t="s">
        <v>394</v>
      </c>
      <c r="H228" s="26" t="s">
        <v>890</v>
      </c>
      <c r="I228" s="27" t="s">
        <v>380</v>
      </c>
      <c r="J228" t="s">
        <v>394</v>
      </c>
      <c r="K228" t="s">
        <v>335</v>
      </c>
    </row>
    <row r="229" spans="1:11" ht="14.4">
      <c r="A229" s="22" t="str">
        <f>F229&amp;(COUNTIFS(F$2:F229,F229,K$2:K229,"Sparse"))</f>
        <v>UA14</v>
      </c>
      <c r="B229" s="22" t="str">
        <f>J229&amp;(COUNTIF(J$2:J229,J229))</f>
        <v>Unitary45</v>
      </c>
      <c r="C229" t="s">
        <v>286</v>
      </c>
      <c r="D229" t="s">
        <v>286</v>
      </c>
      <c r="E229" s="25" t="s">
        <v>0</v>
      </c>
      <c r="F229" s="25" t="s">
        <v>385</v>
      </c>
      <c r="G229" s="25" t="s">
        <v>394</v>
      </c>
      <c r="H229" s="26" t="s">
        <v>382</v>
      </c>
      <c r="I229" s="27" t="s">
        <v>382</v>
      </c>
      <c r="J229" t="s">
        <v>394</v>
      </c>
    </row>
    <row r="230" spans="1:11" ht="14.4">
      <c r="A230" s="22" t="str">
        <f>F230&amp;(COUNTIFS(F$2:F230,F230,K$2:K230,"Sparse"))</f>
        <v>MD0</v>
      </c>
      <c r="B230" s="22" t="str">
        <f>J230&amp;(COUNTIF(J$2:J230,J230))</f>
        <v>Solihull1</v>
      </c>
      <c r="C230" t="s">
        <v>246</v>
      </c>
      <c r="D230" t="s">
        <v>246</v>
      </c>
      <c r="E230" s="25" t="s">
        <v>367</v>
      </c>
      <c r="F230" s="25" t="s">
        <v>384</v>
      </c>
      <c r="G230" s="25" t="s">
        <v>395</v>
      </c>
      <c r="H230" s="26" t="s">
        <v>382</v>
      </c>
      <c r="I230" s="27" t="s">
        <v>382</v>
      </c>
      <c r="J230" t="s">
        <v>246</v>
      </c>
    </row>
    <row r="231" spans="1:11" ht="14.4">
      <c r="A231" s="22" t="str">
        <f>F231&amp;(COUNTIFS(F$2:F231,F231,K$2:K231,"Sparse"))</f>
        <v>UA14</v>
      </c>
      <c r="B231" s="22" t="str">
        <f>J231&amp;(COUNTIF(J$2:J231,J231))</f>
        <v>Unitary46</v>
      </c>
      <c r="C231" t="s">
        <v>326</v>
      </c>
      <c r="D231" t="s">
        <v>326</v>
      </c>
      <c r="E231" s="25" t="s">
        <v>1</v>
      </c>
      <c r="F231" s="25" t="s">
        <v>385</v>
      </c>
      <c r="G231" s="25" t="s">
        <v>394</v>
      </c>
      <c r="H231" s="26" t="s">
        <v>380</v>
      </c>
      <c r="I231" s="27" t="s">
        <v>380</v>
      </c>
      <c r="J231" t="s">
        <v>394</v>
      </c>
    </row>
    <row r="232" spans="1:11" ht="14.4">
      <c r="A232" s="22" t="str">
        <f>F232&amp;(COUNTIFS(F$2:F232,F232,K$2:K232,"Sparse"))</f>
        <v>SD26</v>
      </c>
      <c r="B232" s="22" t="str">
        <f>J232&amp;(COUNTIF(J$2:J232,J232))</f>
        <v>Cambridgeshire6</v>
      </c>
      <c r="C232" t="s">
        <v>138</v>
      </c>
      <c r="D232" t="s">
        <v>138</v>
      </c>
      <c r="E232" s="25" t="s">
        <v>368</v>
      </c>
      <c r="F232" s="25" t="s">
        <v>379</v>
      </c>
      <c r="G232" s="25" t="s">
        <v>5</v>
      </c>
      <c r="H232" s="26" t="s">
        <v>890</v>
      </c>
      <c r="I232" s="27" t="s">
        <v>380</v>
      </c>
      <c r="J232" s="3" t="s">
        <v>302</v>
      </c>
      <c r="K232" t="s">
        <v>335</v>
      </c>
    </row>
    <row r="233" spans="1:11" ht="14.4">
      <c r="A233" s="22" t="str">
        <f>F233&amp;(COUNTIFS(F$2:F233,F233,K$2:K233,"Sparse"))</f>
        <v>SD26</v>
      </c>
      <c r="B233" s="22" t="str">
        <f>J233&amp;(COUNTIF(J$2:J233,J233))</f>
        <v>Derbyshire9</v>
      </c>
      <c r="C233" t="s">
        <v>139</v>
      </c>
      <c r="D233" t="s">
        <v>139</v>
      </c>
      <c r="E233" s="25" t="s">
        <v>366</v>
      </c>
      <c r="F233" s="25" t="s">
        <v>379</v>
      </c>
      <c r="G233" s="25" t="s">
        <v>5</v>
      </c>
      <c r="H233" s="26" t="s">
        <v>891</v>
      </c>
      <c r="I233" s="27" t="s">
        <v>891</v>
      </c>
      <c r="J233" s="3" t="s">
        <v>307</v>
      </c>
    </row>
    <row r="234" spans="1:11" ht="14.4">
      <c r="A234" s="22" t="str">
        <f>F234&amp;(COUNTIFS(F$2:F234,F234,K$2:K234,"Sparse"))</f>
        <v>UA14</v>
      </c>
      <c r="B234" s="22" t="str">
        <f>J234&amp;(COUNTIF(J$2:J234,J234))</f>
        <v>Unitary47</v>
      </c>
      <c r="C234" t="s">
        <v>287</v>
      </c>
      <c r="D234" t="s">
        <v>287</v>
      </c>
      <c r="E234" s="25" t="s">
        <v>1</v>
      </c>
      <c r="F234" s="25" t="s">
        <v>385</v>
      </c>
      <c r="G234" s="25" t="s">
        <v>394</v>
      </c>
      <c r="H234" s="26" t="s">
        <v>382</v>
      </c>
      <c r="I234" s="27" t="s">
        <v>382</v>
      </c>
      <c r="J234" t="s">
        <v>394</v>
      </c>
    </row>
    <row r="235" spans="1:11" ht="14.4">
      <c r="A235" s="22" t="str">
        <f>F235&amp;(COUNTIFS(F$2:F235,F235,K$2:K235,"Sparse"))</f>
        <v>SD27</v>
      </c>
      <c r="B235" s="22" t="str">
        <f>J235&amp;(COUNTIF(J$2:J235,J235))</f>
        <v>Devon6</v>
      </c>
      <c r="C235" s="27" t="s">
        <v>140</v>
      </c>
      <c r="D235" s="27" t="s">
        <v>140</v>
      </c>
      <c r="E235" s="25" t="s">
        <v>1</v>
      </c>
      <c r="F235" s="25" t="s">
        <v>379</v>
      </c>
      <c r="G235" s="25" t="s">
        <v>5</v>
      </c>
      <c r="H235" s="27" t="s">
        <v>890</v>
      </c>
      <c r="I235" s="27" t="s">
        <v>380</v>
      </c>
      <c r="J235" t="s">
        <v>308</v>
      </c>
      <c r="K235" t="s">
        <v>335</v>
      </c>
    </row>
    <row r="236" spans="1:11" ht="14.4">
      <c r="A236" s="22" t="str">
        <f>F236&amp;(COUNTIFS(F$2:F236,F236,K$2:K236,"Sparse"))</f>
        <v>SD28</v>
      </c>
      <c r="B236" s="22" t="str">
        <f>J236&amp;(COUNTIF(J$2:J236,J236))</f>
        <v>Lincolnshire6</v>
      </c>
      <c r="C236" t="s">
        <v>141</v>
      </c>
      <c r="D236" t="s">
        <v>141</v>
      </c>
      <c r="E236" s="25" t="s">
        <v>366</v>
      </c>
      <c r="F236" s="25" t="s">
        <v>379</v>
      </c>
      <c r="G236" s="25" t="s">
        <v>5</v>
      </c>
      <c r="H236" s="26" t="s">
        <v>890</v>
      </c>
      <c r="I236" s="27" t="s">
        <v>380</v>
      </c>
      <c r="J236" t="s">
        <v>318</v>
      </c>
      <c r="K236" t="s">
        <v>335</v>
      </c>
    </row>
    <row r="237" spans="1:11" ht="14.4">
      <c r="A237" s="22" t="str">
        <f>F237&amp;(COUNTIFS(F$2:F237,F237,K$2:K237,"Sparse"))</f>
        <v>SD29</v>
      </c>
      <c r="B237" s="22" t="str">
        <f>J237&amp;(COUNTIF(J$2:J237,J237))</f>
        <v>Lincolnshire7</v>
      </c>
      <c r="C237" t="s">
        <v>142</v>
      </c>
      <c r="D237" t="s">
        <v>142</v>
      </c>
      <c r="E237" s="25" t="s">
        <v>366</v>
      </c>
      <c r="F237" s="25" t="s">
        <v>379</v>
      </c>
      <c r="G237" s="25" t="s">
        <v>5</v>
      </c>
      <c r="H237" s="26" t="s">
        <v>890</v>
      </c>
      <c r="I237" s="27" t="s">
        <v>380</v>
      </c>
      <c r="J237" t="s">
        <v>318</v>
      </c>
      <c r="K237" t="s">
        <v>335</v>
      </c>
    </row>
    <row r="238" spans="1:11" ht="14.4">
      <c r="A238" s="22" t="str">
        <f>F238&amp;(COUNTIFS(F$2:F238,F238,K$2:K238,"Sparse"))</f>
        <v>SD29</v>
      </c>
      <c r="B238" s="22" t="str">
        <f>J238&amp;(COUNTIF(J$2:J238,J238))</f>
        <v>Norfolk8</v>
      </c>
      <c r="C238" t="s">
        <v>144</v>
      </c>
      <c r="D238" t="s">
        <v>144</v>
      </c>
      <c r="E238" s="25" t="s">
        <v>368</v>
      </c>
      <c r="F238" s="25" t="s">
        <v>379</v>
      </c>
      <c r="G238" s="25" t="s">
        <v>5</v>
      </c>
      <c r="H238" s="26" t="s">
        <v>890</v>
      </c>
      <c r="I238" s="27" t="s">
        <v>380</v>
      </c>
      <c r="J238" s="3" t="s">
        <v>319</v>
      </c>
    </row>
    <row r="239" spans="1:11" ht="14.4">
      <c r="A239" s="22" t="str">
        <f>F239&amp;(COUNTIFS(F$2:F239,F239,K$2:K239,"Sparse"))</f>
        <v>SD30</v>
      </c>
      <c r="B239" s="22" t="str">
        <f>J239&amp;(COUNTIF(J$2:J239,J239))</f>
        <v>Oxfordshire4</v>
      </c>
      <c r="C239" t="s">
        <v>146</v>
      </c>
      <c r="D239" t="s">
        <v>146</v>
      </c>
      <c r="E239" s="25" t="s">
        <v>0</v>
      </c>
      <c r="F239" s="25" t="s">
        <v>379</v>
      </c>
      <c r="G239" s="25" t="s">
        <v>5</v>
      </c>
      <c r="H239" s="26" t="s">
        <v>890</v>
      </c>
      <c r="I239" s="27" t="s">
        <v>380</v>
      </c>
      <c r="J239" t="s">
        <v>324</v>
      </c>
      <c r="K239" t="s">
        <v>335</v>
      </c>
    </row>
    <row r="240" spans="1:11" ht="14.4">
      <c r="A240" s="22" t="str">
        <f>F240&amp;(COUNTIFS(F$2:F240,F240,K$2:K240,"Sparse"))</f>
        <v>SD30</v>
      </c>
      <c r="B240" s="22" t="str">
        <f>J240&amp;(COUNTIF(J$2:J240,J240))</f>
        <v>Lancashire11</v>
      </c>
      <c r="C240" t="s">
        <v>147</v>
      </c>
      <c r="D240" t="s">
        <v>147</v>
      </c>
      <c r="E240" s="25" t="s">
        <v>374</v>
      </c>
      <c r="F240" s="25" t="s">
        <v>379</v>
      </c>
      <c r="G240" s="25" t="s">
        <v>5</v>
      </c>
      <c r="H240" s="26" t="s">
        <v>382</v>
      </c>
      <c r="I240" s="27" t="s">
        <v>382</v>
      </c>
      <c r="J240" t="s">
        <v>316</v>
      </c>
    </row>
    <row r="241" spans="1:11" ht="14.4">
      <c r="A241" s="22" t="str">
        <f>F241&amp;(COUNTIFS(F$2:F241,F241,K$2:K241,"Sparse"))</f>
        <v>SD30</v>
      </c>
      <c r="B241" s="22" t="str">
        <f>J241&amp;(COUNTIF(J$2:J241,J241))</f>
        <v>Staffordshire5</v>
      </c>
      <c r="C241" t="s">
        <v>149</v>
      </c>
      <c r="D241" t="s">
        <v>149</v>
      </c>
      <c r="E241" s="25" t="s">
        <v>367</v>
      </c>
      <c r="F241" s="25" t="s">
        <v>379</v>
      </c>
      <c r="G241" s="25" t="s">
        <v>5</v>
      </c>
      <c r="H241" s="26" t="s">
        <v>891</v>
      </c>
      <c r="I241" s="27" t="s">
        <v>891</v>
      </c>
      <c r="J241" t="s">
        <v>327</v>
      </c>
    </row>
    <row r="242" spans="1:11" ht="14.4">
      <c r="A242" s="22" t="str">
        <f>F242&amp;(COUNTIFS(F$2:F242,F242,K$2:K242,"Sparse"))</f>
        <v>MD0</v>
      </c>
      <c r="B242" s="22" t="str">
        <f>J242&amp;(COUNTIF(J$2:J242,J242))</f>
        <v>South Tyneside1</v>
      </c>
      <c r="C242" t="s">
        <v>247</v>
      </c>
      <c r="D242" t="s">
        <v>247</v>
      </c>
      <c r="E242" s="25" t="s">
        <v>388</v>
      </c>
      <c r="F242" s="25" t="s">
        <v>384</v>
      </c>
      <c r="G242" s="25" t="s">
        <v>395</v>
      </c>
      <c r="H242" s="26" t="s">
        <v>382</v>
      </c>
      <c r="I242" s="27" t="s">
        <v>382</v>
      </c>
      <c r="J242" t="s">
        <v>247</v>
      </c>
    </row>
    <row r="243" spans="1:11" ht="14.4">
      <c r="A243" s="22" t="str">
        <f>F243&amp;(COUNTIFS(F$2:F243,F243,K$2:K243,"Sparse"))</f>
        <v>UA14</v>
      </c>
      <c r="B243" s="22" t="str">
        <f>J243&amp;(COUNTIF(J$2:J243,J243))</f>
        <v>Unitary48</v>
      </c>
      <c r="C243" t="s">
        <v>288</v>
      </c>
      <c r="D243" t="s">
        <v>288</v>
      </c>
      <c r="E243" s="25" t="s">
        <v>0</v>
      </c>
      <c r="F243" s="25" t="s">
        <v>385</v>
      </c>
      <c r="G243" s="25" t="s">
        <v>394</v>
      </c>
      <c r="H243" s="26" t="s">
        <v>382</v>
      </c>
      <c r="I243" s="27" t="s">
        <v>382</v>
      </c>
      <c r="J243" t="s">
        <v>394</v>
      </c>
    </row>
    <row r="244" spans="1:11" ht="14.4">
      <c r="A244" s="22" t="str">
        <f>F244&amp;(COUNTIFS(F$2:F244,F244,K$2:K244,"Sparse"))</f>
        <v>UA14</v>
      </c>
      <c r="B244" s="22" t="str">
        <f>J244&amp;(COUNTIF(J$2:J244,J244))</f>
        <v>Unitary49</v>
      </c>
      <c r="C244" t="s">
        <v>289</v>
      </c>
      <c r="D244" t="s">
        <v>289</v>
      </c>
      <c r="E244" s="25" t="s">
        <v>368</v>
      </c>
      <c r="F244" s="25" t="s">
        <v>385</v>
      </c>
      <c r="G244" s="25" t="s">
        <v>394</v>
      </c>
      <c r="H244" s="26" t="s">
        <v>382</v>
      </c>
      <c r="I244" s="27" t="s">
        <v>382</v>
      </c>
      <c r="J244" t="s">
        <v>394</v>
      </c>
    </row>
    <row r="245" spans="1:11" ht="14.4">
      <c r="A245" s="22" t="str">
        <f>F245&amp;(COUNTIFS(F$2:F245,F245,K$2:K245,"Sparse"))</f>
        <v>L0</v>
      </c>
      <c r="B245" s="22" t="str">
        <f>J245&amp;(COUNTIF(J$2:J245,J245))</f>
        <v>London28</v>
      </c>
      <c r="C245" t="s">
        <v>217</v>
      </c>
      <c r="D245" t="s">
        <v>217</v>
      </c>
      <c r="E245" s="25" t="s">
        <v>381</v>
      </c>
      <c r="F245" s="25" t="s">
        <v>358</v>
      </c>
      <c r="G245" s="25" t="s">
        <v>381</v>
      </c>
      <c r="H245" s="26" t="s">
        <v>382</v>
      </c>
      <c r="I245" s="27" t="s">
        <v>382</v>
      </c>
      <c r="J245" t="s">
        <v>381</v>
      </c>
    </row>
    <row r="246" spans="1:11" ht="14.4">
      <c r="A246" s="22" t="str">
        <f>F246&amp;(COUNTIFS(F$2:F246,F246,K$2:K246,"Sparse"))</f>
        <v>SD30</v>
      </c>
      <c r="B246" s="22" t="str">
        <f>J246&amp;(COUNTIF(J$2:J246,J246))</f>
        <v>Surrey7</v>
      </c>
      <c r="C246" t="s">
        <v>150</v>
      </c>
      <c r="D246" t="s">
        <v>150</v>
      </c>
      <c r="E246" s="25" t="s">
        <v>0</v>
      </c>
      <c r="F246" s="25" t="s">
        <v>379</v>
      </c>
      <c r="G246" s="25" t="s">
        <v>5</v>
      </c>
      <c r="H246" s="26" t="s">
        <v>382</v>
      </c>
      <c r="I246" s="27" t="s">
        <v>382</v>
      </c>
      <c r="J246" t="s">
        <v>329</v>
      </c>
    </row>
    <row r="247" spans="1:11" ht="14.4">
      <c r="A247" s="22" t="str">
        <f>F247&amp;(COUNTIFS(F$2:F247,F247,K$2:K247,"Sparse"))</f>
        <v>SD30</v>
      </c>
      <c r="B247" s="22" t="str">
        <f>J247&amp;(COUNTIF(J$2:J247,J247))</f>
        <v>Hertfordshire7</v>
      </c>
      <c r="C247" t="s">
        <v>151</v>
      </c>
      <c r="D247" t="s">
        <v>151</v>
      </c>
      <c r="E247" s="25" t="s">
        <v>368</v>
      </c>
      <c r="F247" s="25" t="s">
        <v>379</v>
      </c>
      <c r="G247" s="25" t="s">
        <v>5</v>
      </c>
      <c r="H247" s="26" t="s">
        <v>382</v>
      </c>
      <c r="I247" s="27" t="s">
        <v>382</v>
      </c>
      <c r="J247" t="s">
        <v>314</v>
      </c>
    </row>
    <row r="248" spans="1:11" ht="14.4">
      <c r="A248" s="22" t="str">
        <f>F248&amp;(COUNTIFS(F$2:F248,F248,K$2:K248,"Sparse"))</f>
        <v>MD0</v>
      </c>
      <c r="B248" s="22" t="str">
        <f>J248&amp;(COUNTIF(J$2:J248,J248))</f>
        <v>St Helens1</v>
      </c>
      <c r="C248" t="s">
        <v>248</v>
      </c>
      <c r="D248" t="s">
        <v>393</v>
      </c>
      <c r="E248" s="25" t="s">
        <v>374</v>
      </c>
      <c r="F248" s="25" t="s">
        <v>384</v>
      </c>
      <c r="G248" s="25" t="s">
        <v>395</v>
      </c>
      <c r="H248" s="26" t="s">
        <v>382</v>
      </c>
      <c r="I248" s="27" t="s">
        <v>382</v>
      </c>
      <c r="J248" t="s">
        <v>248</v>
      </c>
    </row>
    <row r="249" spans="1:11" ht="14.4">
      <c r="A249" s="22" t="str">
        <f>F249&amp;(COUNTIFS(F$2:F249,F249,K$2:K249,"Sparse"))</f>
        <v>SD31</v>
      </c>
      <c r="B249" s="22" t="str">
        <f>J249&amp;(COUNTIF(J$2:J249,J249))</f>
        <v>Staffordshire6</v>
      </c>
      <c r="C249" t="s">
        <v>153</v>
      </c>
      <c r="D249" t="s">
        <v>153</v>
      </c>
      <c r="E249" s="25" t="s">
        <v>367</v>
      </c>
      <c r="F249" s="25" t="s">
        <v>379</v>
      </c>
      <c r="G249" s="25" t="s">
        <v>5</v>
      </c>
      <c r="H249" s="26" t="s">
        <v>891</v>
      </c>
      <c r="I249" s="27" t="s">
        <v>891</v>
      </c>
      <c r="J249" s="3" t="s">
        <v>327</v>
      </c>
      <c r="K249" t="s">
        <v>335</v>
      </c>
    </row>
    <row r="250" spans="1:11" ht="14.4">
      <c r="A250" s="22" t="str">
        <f>F250&amp;(COUNTIFS(F$2:F250,F250,K$2:K250,"Sparse"))</f>
        <v>SC6</v>
      </c>
      <c r="B250" s="22" t="str">
        <f>J250&amp;(COUNTIF(J$2:J250,J250))</f>
        <v>Staffordshire7</v>
      </c>
      <c r="C250" t="s">
        <v>327</v>
      </c>
      <c r="D250" t="s">
        <v>327</v>
      </c>
      <c r="E250" s="25" t="s">
        <v>367</v>
      </c>
      <c r="F250" s="25" t="s">
        <v>387</v>
      </c>
      <c r="G250" s="25" t="s">
        <v>301</v>
      </c>
      <c r="H250" s="26" t="s">
        <v>891</v>
      </c>
      <c r="I250" s="27" t="s">
        <v>891</v>
      </c>
      <c r="J250" s="3" t="s">
        <v>327</v>
      </c>
      <c r="K250" t="s">
        <v>335</v>
      </c>
    </row>
    <row r="251" spans="1:11" ht="14.4">
      <c r="A251" s="22" t="str">
        <f>F251&amp;(COUNTIFS(F$2:F251,F251,K$2:K251,"Sparse"))</f>
        <v>SD31</v>
      </c>
      <c r="B251" s="22" t="str">
        <f>J251&amp;(COUNTIF(J$2:J251,J251))</f>
        <v>Staffordshire8</v>
      </c>
      <c r="C251" t="s">
        <v>154</v>
      </c>
      <c r="D251" t="s">
        <v>154</v>
      </c>
      <c r="E251" s="25" t="s">
        <v>367</v>
      </c>
      <c r="F251" s="25" t="s">
        <v>379</v>
      </c>
      <c r="G251" s="25" t="s">
        <v>5</v>
      </c>
      <c r="H251" s="26" t="s">
        <v>890</v>
      </c>
      <c r="I251" s="27" t="s">
        <v>380</v>
      </c>
      <c r="J251" t="s">
        <v>327</v>
      </c>
    </row>
    <row r="252" spans="1:11" ht="14.4">
      <c r="A252" s="22" t="str">
        <f>F252&amp;(COUNTIFS(F$2:F252,F252,K$2:K252,"Sparse"))</f>
        <v>SD31</v>
      </c>
      <c r="B252" s="22" t="str">
        <f>J252&amp;(COUNTIF(J$2:J252,J252))</f>
        <v>Hertfordshire8</v>
      </c>
      <c r="C252" t="s">
        <v>155</v>
      </c>
      <c r="D252" t="s">
        <v>155</v>
      </c>
      <c r="E252" s="25" t="s">
        <v>368</v>
      </c>
      <c r="F252" s="25" t="s">
        <v>379</v>
      </c>
      <c r="G252" s="25" t="s">
        <v>5</v>
      </c>
      <c r="H252" s="26" t="s">
        <v>382</v>
      </c>
      <c r="I252" s="27" t="s">
        <v>382</v>
      </c>
      <c r="J252" t="s">
        <v>314</v>
      </c>
    </row>
    <row r="253" spans="1:11" ht="14.4">
      <c r="A253" s="22" t="str">
        <f>F253&amp;(COUNTIFS(F$2:F253,F253,K$2:K253,"Sparse"))</f>
        <v>MD0</v>
      </c>
      <c r="B253" s="22" t="str">
        <f>J253&amp;(COUNTIF(J$2:J253,J253))</f>
        <v>Stockport1</v>
      </c>
      <c r="C253" t="s">
        <v>249</v>
      </c>
      <c r="D253" t="s">
        <v>249</v>
      </c>
      <c r="E253" s="25" t="s">
        <v>374</v>
      </c>
      <c r="F253" s="25" t="s">
        <v>384</v>
      </c>
      <c r="G253" s="25" t="s">
        <v>395</v>
      </c>
      <c r="H253" s="26" t="s">
        <v>382</v>
      </c>
      <c r="I253" s="27" t="s">
        <v>382</v>
      </c>
      <c r="J253" t="s">
        <v>249</v>
      </c>
    </row>
    <row r="254" spans="1:11" ht="14.4">
      <c r="A254" s="22" t="str">
        <f>F254&amp;(COUNTIFS(F$2:F254,F254,K$2:K254,"Sparse"))</f>
        <v>UA14</v>
      </c>
      <c r="B254" s="22" t="str">
        <f>J254&amp;(COUNTIF(J$2:J254,J254))</f>
        <v>Unitary50</v>
      </c>
      <c r="C254" t="s">
        <v>290</v>
      </c>
      <c r="D254" t="s">
        <v>290</v>
      </c>
      <c r="E254" s="25" t="s">
        <v>388</v>
      </c>
      <c r="F254" s="25" t="s">
        <v>385</v>
      </c>
      <c r="G254" s="25" t="s">
        <v>394</v>
      </c>
      <c r="H254" s="26" t="s">
        <v>382</v>
      </c>
      <c r="I254" s="27" t="s">
        <v>382</v>
      </c>
      <c r="J254" t="s">
        <v>394</v>
      </c>
    </row>
    <row r="255" spans="1:11" ht="14.4">
      <c r="A255" s="22" t="str">
        <f>F255&amp;(COUNTIFS(F$2:F255,F255,K$2:K255,"Sparse"))</f>
        <v>UA14</v>
      </c>
      <c r="B255" s="22" t="str">
        <f>J255&amp;(COUNTIF(J$2:J255,J255))</f>
        <v>Unitary51</v>
      </c>
      <c r="C255" t="s">
        <v>291</v>
      </c>
      <c r="D255" t="s">
        <v>291</v>
      </c>
      <c r="E255" s="25" t="s">
        <v>367</v>
      </c>
      <c r="F255" s="25" t="s">
        <v>385</v>
      </c>
      <c r="G255" s="25" t="s">
        <v>394</v>
      </c>
      <c r="H255" s="26" t="s">
        <v>382</v>
      </c>
      <c r="I255" s="27" t="s">
        <v>382</v>
      </c>
      <c r="J255" t="s">
        <v>394</v>
      </c>
    </row>
    <row r="256" spans="1:11" ht="14.4">
      <c r="A256" s="22" t="str">
        <f>F256&amp;(COUNTIFS(F$2:F256,F256,K$2:K256,"Sparse"))</f>
        <v>SD32</v>
      </c>
      <c r="B256" s="22" t="str">
        <f>J256&amp;(COUNTIF(J$2:J256,J256))</f>
        <v>Warwickshire4</v>
      </c>
      <c r="C256" s="27" t="s">
        <v>156</v>
      </c>
      <c r="D256" s="27" t="s">
        <v>156</v>
      </c>
      <c r="E256" s="25" t="s">
        <v>367</v>
      </c>
      <c r="F256" s="25" t="s">
        <v>379</v>
      </c>
      <c r="G256" s="25" t="s">
        <v>5</v>
      </c>
      <c r="H256" s="27" t="s">
        <v>890</v>
      </c>
      <c r="I256" s="27" t="s">
        <v>380</v>
      </c>
      <c r="J256" t="s">
        <v>330</v>
      </c>
      <c r="K256" t="s">
        <v>335</v>
      </c>
    </row>
    <row r="257" spans="1:11" ht="14.4">
      <c r="A257" s="22" t="str">
        <f>F257&amp;(COUNTIFS(F$2:F257,F257,K$2:K257,"Sparse"))</f>
        <v>SD33</v>
      </c>
      <c r="B257" s="22" t="str">
        <f>J257&amp;(COUNTIF(J$2:J257,J257))</f>
        <v>Gloucestershire6</v>
      </c>
      <c r="C257" t="s">
        <v>157</v>
      </c>
      <c r="D257" t="s">
        <v>157</v>
      </c>
      <c r="E257" s="25" t="s">
        <v>1</v>
      </c>
      <c r="F257" s="25" t="s">
        <v>379</v>
      </c>
      <c r="G257" s="25" t="s">
        <v>5</v>
      </c>
      <c r="H257" s="26" t="s">
        <v>891</v>
      </c>
      <c r="I257" s="27" t="s">
        <v>891</v>
      </c>
      <c r="J257" t="s">
        <v>312</v>
      </c>
      <c r="K257" t="s">
        <v>335</v>
      </c>
    </row>
    <row r="258" spans="1:11" ht="14.4">
      <c r="A258" s="22" t="str">
        <f>F258&amp;(COUNTIFS(F$2:F258,F258,K$2:K258,"Sparse"))</f>
        <v>SC7</v>
      </c>
      <c r="B258" s="22" t="str">
        <f>J258&amp;(COUNTIF(J$2:J258,J258))</f>
        <v>Suffolk5</v>
      </c>
      <c r="C258" t="s">
        <v>328</v>
      </c>
      <c r="D258" t="s">
        <v>328</v>
      </c>
      <c r="E258" s="25" t="s">
        <v>368</v>
      </c>
      <c r="F258" s="25" t="s">
        <v>387</v>
      </c>
      <c r="G258" s="25" t="s">
        <v>301</v>
      </c>
      <c r="H258" s="26" t="s">
        <v>380</v>
      </c>
      <c r="I258" s="27" t="s">
        <v>380</v>
      </c>
      <c r="J258" t="s">
        <v>328</v>
      </c>
      <c r="K258" t="s">
        <v>335</v>
      </c>
    </row>
    <row r="259" spans="1:11" ht="14.4">
      <c r="A259" s="22" t="str">
        <f>F259&amp;(COUNTIFS(F$2:F259,F259,K$2:K259,"Sparse"))</f>
        <v>MD0</v>
      </c>
      <c r="B259" s="22" t="str">
        <f>J259&amp;(COUNTIF(J$2:J259,J259))</f>
        <v>Sunderland1</v>
      </c>
      <c r="C259" t="s">
        <v>250</v>
      </c>
      <c r="D259" t="s">
        <v>250</v>
      </c>
      <c r="E259" s="25" t="s">
        <v>388</v>
      </c>
      <c r="F259" s="25" t="s">
        <v>384</v>
      </c>
      <c r="G259" s="25" t="s">
        <v>395</v>
      </c>
      <c r="H259" s="26" t="s">
        <v>382</v>
      </c>
      <c r="I259" s="27" t="s">
        <v>382</v>
      </c>
      <c r="J259" t="s">
        <v>250</v>
      </c>
    </row>
    <row r="260" spans="1:11" ht="14.4">
      <c r="A260" s="22" t="str">
        <f>F260&amp;(COUNTIFS(F$2:F260,F260,K$2:K260,"Sparse"))</f>
        <v>SC7</v>
      </c>
      <c r="B260" s="22" t="str">
        <f>J260&amp;(COUNTIF(J$2:J260,J260))</f>
        <v>Surrey8</v>
      </c>
      <c r="C260" t="s">
        <v>329</v>
      </c>
      <c r="D260" t="s">
        <v>329</v>
      </c>
      <c r="E260" s="25" t="s">
        <v>0</v>
      </c>
      <c r="F260" s="25" t="s">
        <v>387</v>
      </c>
      <c r="G260" s="25" t="s">
        <v>301</v>
      </c>
      <c r="H260" s="26" t="s">
        <v>382</v>
      </c>
      <c r="I260" s="27" t="s">
        <v>382</v>
      </c>
      <c r="J260" s="3" t="s">
        <v>329</v>
      </c>
    </row>
    <row r="261" spans="1:11" ht="14.4">
      <c r="A261" s="22" t="str">
        <f>F261&amp;(COUNTIFS(F$2:F261,F261,K$2:K261,"Sparse"))</f>
        <v>SD33</v>
      </c>
      <c r="B261" s="22" t="str">
        <f>J261&amp;(COUNTIF(J$2:J261,J261))</f>
        <v>Surrey9</v>
      </c>
      <c r="C261" t="s">
        <v>159</v>
      </c>
      <c r="D261" t="s">
        <v>159</v>
      </c>
      <c r="E261" s="25" t="s">
        <v>0</v>
      </c>
      <c r="F261" s="25" t="s">
        <v>379</v>
      </c>
      <c r="G261" s="25" t="s">
        <v>5</v>
      </c>
      <c r="H261" s="26" t="s">
        <v>382</v>
      </c>
      <c r="I261" s="27" t="s">
        <v>382</v>
      </c>
      <c r="J261" s="3" t="s">
        <v>329</v>
      </c>
    </row>
    <row r="262" spans="1:11" ht="14.4">
      <c r="A262" s="22" t="str">
        <f>F262&amp;(COUNTIFS(F$2:F262,F262,K$2:K262,"Sparse"))</f>
        <v>L0</v>
      </c>
      <c r="B262" s="22" t="str">
        <f>J262&amp;(COUNTIF(J$2:J262,J262))</f>
        <v>London29</v>
      </c>
      <c r="C262" t="s">
        <v>218</v>
      </c>
      <c r="D262" t="s">
        <v>218</v>
      </c>
      <c r="E262" s="25" t="s">
        <v>381</v>
      </c>
      <c r="F262" s="25" t="s">
        <v>358</v>
      </c>
      <c r="G262" s="25" t="s">
        <v>381</v>
      </c>
      <c r="H262" s="26" t="s">
        <v>382</v>
      </c>
      <c r="I262" s="27" t="s">
        <v>382</v>
      </c>
      <c r="J262" t="s">
        <v>381</v>
      </c>
    </row>
    <row r="263" spans="1:11" ht="14.4">
      <c r="A263" s="22" t="str">
        <f>F263&amp;(COUNTIFS(F$2:F263,F263,K$2:K263,"Sparse"))</f>
        <v>SD33</v>
      </c>
      <c r="B263" s="22" t="str">
        <f>J263&amp;(COUNTIF(J$2:J263,J263))</f>
        <v>Kent10</v>
      </c>
      <c r="C263" t="s">
        <v>160</v>
      </c>
      <c r="D263" t="s">
        <v>160</v>
      </c>
      <c r="E263" s="25" t="s">
        <v>0</v>
      </c>
      <c r="F263" s="25" t="s">
        <v>379</v>
      </c>
      <c r="G263" s="25" t="s">
        <v>5</v>
      </c>
      <c r="H263" s="26" t="s">
        <v>890</v>
      </c>
      <c r="I263" s="27" t="s">
        <v>380</v>
      </c>
      <c r="J263" t="s">
        <v>315</v>
      </c>
    </row>
    <row r="264" spans="1:11" ht="14.4">
      <c r="A264" s="22" t="str">
        <f>F264&amp;(COUNTIFS(F$2:F264,F264,K$2:K264,"Sparse"))</f>
        <v>UA14</v>
      </c>
      <c r="B264" s="22" t="str">
        <f>J264&amp;(COUNTIF(J$2:J264,J264))</f>
        <v>Unitary52</v>
      </c>
      <c r="C264" s="27" t="s">
        <v>292</v>
      </c>
      <c r="D264" s="27" t="s">
        <v>292</v>
      </c>
      <c r="E264" s="25" t="s">
        <v>1</v>
      </c>
      <c r="F264" s="25" t="s">
        <v>385</v>
      </c>
      <c r="G264" s="25" t="s">
        <v>394</v>
      </c>
      <c r="H264" s="27" t="s">
        <v>382</v>
      </c>
      <c r="I264" s="27" t="s">
        <v>382</v>
      </c>
      <c r="J264" t="s">
        <v>394</v>
      </c>
    </row>
    <row r="265" spans="1:11" ht="14.4">
      <c r="A265" s="22" t="str">
        <f>F265&amp;(COUNTIFS(F$2:F265,F265,K$2:K265,"Sparse"))</f>
        <v>MD0</v>
      </c>
      <c r="B265" s="22" t="str">
        <f>J265&amp;(COUNTIF(J$2:J265,J265))</f>
        <v>Tameside1</v>
      </c>
      <c r="C265" t="s">
        <v>251</v>
      </c>
      <c r="D265" t="s">
        <v>251</v>
      </c>
      <c r="E265" s="25" t="s">
        <v>374</v>
      </c>
      <c r="F265" s="25" t="s">
        <v>384</v>
      </c>
      <c r="G265" s="25" t="s">
        <v>395</v>
      </c>
      <c r="H265" s="26" t="s">
        <v>382</v>
      </c>
      <c r="I265" s="27" t="s">
        <v>382</v>
      </c>
      <c r="J265" t="s">
        <v>251</v>
      </c>
    </row>
    <row r="266" spans="1:11" ht="14.4">
      <c r="A266" s="22" t="str">
        <f>F266&amp;(COUNTIFS(F$2:F266,F266,K$2:K266,"Sparse"))</f>
        <v>SD33</v>
      </c>
      <c r="B266" s="22" t="str">
        <f>J266&amp;(COUNTIF(J$2:J266,J266))</f>
        <v>Staffordshire9</v>
      </c>
      <c r="C266" s="27" t="s">
        <v>161</v>
      </c>
      <c r="D266" s="27" t="s">
        <v>161</v>
      </c>
      <c r="E266" s="25" t="s">
        <v>367</v>
      </c>
      <c r="F266" s="25" t="s">
        <v>379</v>
      </c>
      <c r="G266" s="25" t="s">
        <v>5</v>
      </c>
      <c r="H266" s="27" t="s">
        <v>382</v>
      </c>
      <c r="I266" s="27" t="s">
        <v>382</v>
      </c>
      <c r="J266" t="s">
        <v>327</v>
      </c>
    </row>
    <row r="267" spans="1:11" ht="14.4">
      <c r="A267" s="22" t="str">
        <f>F267&amp;(COUNTIFS(F$2:F267,F267,K$2:K267,"Sparse"))</f>
        <v>SD33</v>
      </c>
      <c r="B267" s="22" t="str">
        <f>J267&amp;(COUNTIF(J$2:J267,J267))</f>
        <v>Surrey10</v>
      </c>
      <c r="C267" t="s">
        <v>162</v>
      </c>
      <c r="D267" t="s">
        <v>162</v>
      </c>
      <c r="E267" s="25" t="s">
        <v>0</v>
      </c>
      <c r="F267" s="25" t="s">
        <v>379</v>
      </c>
      <c r="G267" s="25" t="s">
        <v>5</v>
      </c>
      <c r="H267" s="26" t="s">
        <v>891</v>
      </c>
      <c r="I267" s="27" t="s">
        <v>891</v>
      </c>
      <c r="J267" t="s">
        <v>329</v>
      </c>
    </row>
    <row r="268" spans="1:11" ht="14.4">
      <c r="A268" s="22" t="str">
        <f>F268&amp;(COUNTIFS(F$2:F268,F268,K$2:K268,"Sparse"))</f>
        <v>SD34</v>
      </c>
      <c r="B268" s="22" t="str">
        <f>J268&amp;(COUNTIF(J$2:J268,J268))</f>
        <v>Devon7</v>
      </c>
      <c r="C268" t="s">
        <v>164</v>
      </c>
      <c r="D268" t="s">
        <v>164</v>
      </c>
      <c r="E268" s="25" t="s">
        <v>1</v>
      </c>
      <c r="F268" s="25" t="s">
        <v>379</v>
      </c>
      <c r="G268" s="25" t="s">
        <v>5</v>
      </c>
      <c r="H268" s="26" t="s">
        <v>890</v>
      </c>
      <c r="I268" s="27" t="s">
        <v>380</v>
      </c>
      <c r="J268" t="s">
        <v>308</v>
      </c>
      <c r="K268" t="s">
        <v>335</v>
      </c>
    </row>
    <row r="269" spans="1:11" ht="14.4">
      <c r="A269" s="22" t="str">
        <f>F269&amp;(COUNTIFS(F$2:F269,F269,K$2:K269,"Sparse"))</f>
        <v>UA14</v>
      </c>
      <c r="B269" s="22" t="str">
        <f>J269&amp;(COUNTIF(J$2:J269,J269))</f>
        <v>Unitary53</v>
      </c>
      <c r="C269" t="s">
        <v>814</v>
      </c>
      <c r="D269" t="s">
        <v>814</v>
      </c>
      <c r="E269" s="25" t="s">
        <v>367</v>
      </c>
      <c r="F269" s="25" t="s">
        <v>385</v>
      </c>
      <c r="G269" s="25" t="s">
        <v>394</v>
      </c>
      <c r="H269" s="26" t="s">
        <v>382</v>
      </c>
      <c r="I269" s="27" t="s">
        <v>382</v>
      </c>
      <c r="J269" t="s">
        <v>394</v>
      </c>
    </row>
    <row r="270" spans="1:11" ht="14.4">
      <c r="A270" s="22" t="str">
        <f>F270&amp;(COUNTIFS(F$2:F270,F270,K$2:K270,"Sparse"))</f>
        <v>SD34</v>
      </c>
      <c r="B270" s="22" t="str">
        <f>J270&amp;(COUNTIF(J$2:J270,J270))</f>
        <v>Essex12</v>
      </c>
      <c r="C270" t="s">
        <v>165</v>
      </c>
      <c r="D270" t="s">
        <v>165</v>
      </c>
      <c r="E270" s="25" t="s">
        <v>368</v>
      </c>
      <c r="F270" s="25" t="s">
        <v>379</v>
      </c>
      <c r="G270" s="25" t="s">
        <v>5</v>
      </c>
      <c r="H270" s="26" t="s">
        <v>890</v>
      </c>
      <c r="I270" s="27" t="s">
        <v>380</v>
      </c>
      <c r="J270" s="3" t="s">
        <v>311</v>
      </c>
    </row>
    <row r="271" spans="1:11" ht="14.4">
      <c r="A271" s="22" t="str">
        <f>F271&amp;(COUNTIFS(F$2:F271,F271,K$2:K271,"Sparse"))</f>
        <v>SD34</v>
      </c>
      <c r="B271" s="22" t="str">
        <f>J271&amp;(COUNTIF(J$2:J271,J271))</f>
        <v>Hampshire11</v>
      </c>
      <c r="C271" t="s">
        <v>166</v>
      </c>
      <c r="D271" t="s">
        <v>166</v>
      </c>
      <c r="E271" s="25" t="s">
        <v>0</v>
      </c>
      <c r="F271" s="25" t="s">
        <v>379</v>
      </c>
      <c r="G271" s="25" t="s">
        <v>5</v>
      </c>
      <c r="H271" s="26" t="s">
        <v>891</v>
      </c>
      <c r="I271" s="27" t="s">
        <v>891</v>
      </c>
      <c r="J271" t="s">
        <v>313</v>
      </c>
    </row>
    <row r="272" spans="1:11" ht="14.4">
      <c r="A272" s="22" t="str">
        <f>F272&amp;(COUNTIFS(F$2:F272,F272,K$2:K272,"Sparse"))</f>
        <v>SD35</v>
      </c>
      <c r="B272" s="22" t="str">
        <f>J272&amp;(COUNTIF(J$2:J272,J272))</f>
        <v>Gloucestershire7</v>
      </c>
      <c r="C272" t="s">
        <v>167</v>
      </c>
      <c r="D272" t="s">
        <v>167</v>
      </c>
      <c r="E272" s="25" t="s">
        <v>1</v>
      </c>
      <c r="F272" s="25" t="s">
        <v>379</v>
      </c>
      <c r="G272" s="25" t="s">
        <v>5</v>
      </c>
      <c r="H272" s="26" t="s">
        <v>890</v>
      </c>
      <c r="I272" s="27" t="s">
        <v>380</v>
      </c>
      <c r="J272" t="s">
        <v>312</v>
      </c>
      <c r="K272" t="s">
        <v>335</v>
      </c>
    </row>
    <row r="273" spans="1:11" ht="14.4">
      <c r="A273" s="22" t="str">
        <f>F273&amp;(COUNTIFS(F$2:F273,F273,K$2:K273,"Sparse"))</f>
        <v>SD35</v>
      </c>
      <c r="B273" s="22" t="str">
        <f>J273&amp;(COUNTIF(J$2:J273,J273))</f>
        <v>Kent11</v>
      </c>
      <c r="C273" t="s">
        <v>168</v>
      </c>
      <c r="D273" t="s">
        <v>168</v>
      </c>
      <c r="E273" s="25" t="s">
        <v>0</v>
      </c>
      <c r="F273" s="25" t="s">
        <v>379</v>
      </c>
      <c r="G273" s="25" t="s">
        <v>5</v>
      </c>
      <c r="H273" s="26" t="s">
        <v>382</v>
      </c>
      <c r="I273" s="27" t="s">
        <v>382</v>
      </c>
      <c r="J273" t="s">
        <v>315</v>
      </c>
    </row>
    <row r="274" spans="1:11" ht="14.4">
      <c r="A274" s="22" t="str">
        <f>F274&amp;(COUNTIFS(F$2:F274,F274,K$2:K274,"Sparse"))</f>
        <v>SD35</v>
      </c>
      <c r="B274" s="22" t="str">
        <f>J274&amp;(COUNTIF(J$2:J274,J274))</f>
        <v>Hertfordshire9</v>
      </c>
      <c r="C274" t="s">
        <v>169</v>
      </c>
      <c r="D274" t="s">
        <v>169</v>
      </c>
      <c r="E274" s="25" t="s">
        <v>368</v>
      </c>
      <c r="F274" s="25" t="s">
        <v>379</v>
      </c>
      <c r="G274" s="25" t="s">
        <v>5</v>
      </c>
      <c r="H274" s="26" t="s">
        <v>382</v>
      </c>
      <c r="I274" s="27" t="s">
        <v>382</v>
      </c>
      <c r="J274" t="s">
        <v>314</v>
      </c>
    </row>
    <row r="275" spans="1:11" ht="14.4">
      <c r="A275" s="22" t="str">
        <f>F275&amp;(COUNTIFS(F$2:F275,F275,K$2:K275,"Sparse"))</f>
        <v>UA14</v>
      </c>
      <c r="B275" s="22" t="str">
        <f>J275&amp;(COUNTIF(J$2:J275,J275))</f>
        <v>Unitary54</v>
      </c>
      <c r="C275" t="s">
        <v>293</v>
      </c>
      <c r="D275" t="s">
        <v>293</v>
      </c>
      <c r="E275" s="25" t="s">
        <v>368</v>
      </c>
      <c r="F275" s="25" t="s">
        <v>385</v>
      </c>
      <c r="G275" s="25" t="s">
        <v>394</v>
      </c>
      <c r="H275" s="26" t="s">
        <v>382</v>
      </c>
      <c r="I275" s="27" t="s">
        <v>382</v>
      </c>
      <c r="J275" s="3" t="s">
        <v>394</v>
      </c>
    </row>
    <row r="276" spans="1:11" ht="14.4">
      <c r="A276" s="22" t="str">
        <f>F276&amp;(COUNTIFS(F$2:F276,F276,K$2:K276,"Sparse"))</f>
        <v>SD35</v>
      </c>
      <c r="B276" s="22" t="str">
        <f>J276&amp;(COUNTIF(J$2:J276,J276))</f>
        <v>Kent12</v>
      </c>
      <c r="C276" t="s">
        <v>349</v>
      </c>
      <c r="D276" t="s">
        <v>349</v>
      </c>
      <c r="E276" s="25" t="s">
        <v>0</v>
      </c>
      <c r="F276" s="25" t="s">
        <v>379</v>
      </c>
      <c r="G276" s="25" t="s">
        <v>5</v>
      </c>
      <c r="H276" s="26" t="s">
        <v>891</v>
      </c>
      <c r="I276" s="27" t="s">
        <v>891</v>
      </c>
      <c r="J276" t="s">
        <v>315</v>
      </c>
    </row>
    <row r="277" spans="1:11" ht="14.4">
      <c r="A277" s="22" t="str">
        <f>F277&amp;(COUNTIFS(F$2:F277,F277,K$2:K277,"Sparse"))</f>
        <v>UA14</v>
      </c>
      <c r="B277" s="22" t="str">
        <f>J277&amp;(COUNTIF(J$2:J277,J277))</f>
        <v>Unitary55</v>
      </c>
      <c r="C277" t="s">
        <v>294</v>
      </c>
      <c r="D277" t="s">
        <v>294</v>
      </c>
      <c r="E277" s="25" t="s">
        <v>1</v>
      </c>
      <c r="F277" s="25" t="s">
        <v>385</v>
      </c>
      <c r="G277" s="25" t="s">
        <v>394</v>
      </c>
      <c r="H277" s="26" t="s">
        <v>382</v>
      </c>
      <c r="I277" s="27" t="s">
        <v>382</v>
      </c>
      <c r="J277" t="s">
        <v>394</v>
      </c>
    </row>
    <row r="278" spans="1:11" ht="14.4">
      <c r="A278" s="22" t="str">
        <f>F278&amp;(COUNTIFS(F$2:F278,F278,K$2:K278,"Sparse"))</f>
        <v>SD36</v>
      </c>
      <c r="B278" s="22" t="str">
        <f>J278&amp;(COUNTIF(J$2:J278,J278))</f>
        <v>Devon8</v>
      </c>
      <c r="C278" t="s">
        <v>170</v>
      </c>
      <c r="D278" t="s">
        <v>170</v>
      </c>
      <c r="E278" s="25" t="s">
        <v>1</v>
      </c>
      <c r="F278" s="25" t="s">
        <v>379</v>
      </c>
      <c r="G278" s="25" t="s">
        <v>5</v>
      </c>
      <c r="H278" s="26" t="s">
        <v>890</v>
      </c>
      <c r="I278" s="27" t="s">
        <v>380</v>
      </c>
      <c r="J278" t="s">
        <v>308</v>
      </c>
      <c r="K278" t="s">
        <v>335</v>
      </c>
    </row>
    <row r="279" spans="1:11" ht="14.4">
      <c r="A279" s="22" t="str">
        <f>F279&amp;(COUNTIFS(F$2:F279,F279,K$2:K279,"Sparse"))</f>
        <v>L0</v>
      </c>
      <c r="B279" s="22" t="str">
        <f>J279&amp;(COUNTIF(J$2:J279,J279))</f>
        <v>London30</v>
      </c>
      <c r="C279" t="s">
        <v>219</v>
      </c>
      <c r="D279" t="s">
        <v>219</v>
      </c>
      <c r="E279" s="25" t="s">
        <v>381</v>
      </c>
      <c r="F279" s="25" t="s">
        <v>358</v>
      </c>
      <c r="G279" s="25" t="s">
        <v>381</v>
      </c>
      <c r="H279" s="26" t="s">
        <v>382</v>
      </c>
      <c r="I279" s="27" t="s">
        <v>382</v>
      </c>
      <c r="J279" t="s">
        <v>381</v>
      </c>
    </row>
    <row r="280" spans="1:11" ht="14.4">
      <c r="A280" s="22" t="str">
        <f>F280&amp;(COUNTIFS(F$2:F280,F280,K$2:K280,"Sparse"))</f>
        <v>MD0</v>
      </c>
      <c r="B280" s="22" t="str">
        <f>J280&amp;(COUNTIF(J$2:J280,J280))</f>
        <v>Trafford1</v>
      </c>
      <c r="C280" t="s">
        <v>252</v>
      </c>
      <c r="D280" t="s">
        <v>252</v>
      </c>
      <c r="E280" s="25" t="s">
        <v>374</v>
      </c>
      <c r="F280" s="25" t="s">
        <v>384</v>
      </c>
      <c r="G280" s="25" t="s">
        <v>395</v>
      </c>
      <c r="H280" s="26" t="s">
        <v>382</v>
      </c>
      <c r="I280" s="27" t="s">
        <v>382</v>
      </c>
      <c r="J280" t="s">
        <v>252</v>
      </c>
    </row>
    <row r="281" spans="1:11" ht="14.4">
      <c r="A281" s="22" t="str">
        <f>F281&amp;(COUNTIFS(F$2:F281,F281,K$2:K281,"Sparse"))</f>
        <v>SD36</v>
      </c>
      <c r="B281" s="22" t="str">
        <f>J281&amp;(COUNTIF(J$2:J281,J281))</f>
        <v>Kent13</v>
      </c>
      <c r="C281" t="s">
        <v>171</v>
      </c>
      <c r="D281" t="s">
        <v>171</v>
      </c>
      <c r="E281" s="25" t="s">
        <v>0</v>
      </c>
      <c r="F281" s="25" t="s">
        <v>379</v>
      </c>
      <c r="G281" s="25" t="s">
        <v>5</v>
      </c>
      <c r="H281" s="26" t="s">
        <v>891</v>
      </c>
      <c r="I281" s="27" t="s">
        <v>891</v>
      </c>
      <c r="J281" s="3" t="s">
        <v>315</v>
      </c>
    </row>
    <row r="282" spans="1:11" ht="14.4">
      <c r="A282" s="22" t="str">
        <f>F282&amp;(COUNTIFS(F$2:F282,F282,K$2:K282,"Sparse"))</f>
        <v>SD37</v>
      </c>
      <c r="B282" s="22" t="str">
        <f>J282&amp;(COUNTIF(J$2:J282,J282))</f>
        <v>Essex13</v>
      </c>
      <c r="C282" t="s">
        <v>172</v>
      </c>
      <c r="D282" t="s">
        <v>172</v>
      </c>
      <c r="E282" s="25" t="s">
        <v>368</v>
      </c>
      <c r="F282" s="25" t="s">
        <v>379</v>
      </c>
      <c r="G282" s="25" t="s">
        <v>5</v>
      </c>
      <c r="H282" s="26" t="s">
        <v>890</v>
      </c>
      <c r="I282" s="27" t="s">
        <v>380</v>
      </c>
      <c r="J282" t="s">
        <v>311</v>
      </c>
      <c r="K282" t="s">
        <v>335</v>
      </c>
    </row>
    <row r="283" spans="1:11" ht="14.4">
      <c r="A283" s="22" t="str">
        <f>F283&amp;(COUNTIFS(F$2:F283,F283,K$2:K283,"Sparse"))</f>
        <v>SD38</v>
      </c>
      <c r="B283" s="22" t="str">
        <f>J283&amp;(COUNTIF(J$2:J283,J283))</f>
        <v>Oxfordshire5</v>
      </c>
      <c r="C283" t="s">
        <v>173</v>
      </c>
      <c r="D283" t="s">
        <v>173</v>
      </c>
      <c r="E283" s="25" t="s">
        <v>0</v>
      </c>
      <c r="F283" s="25" t="s">
        <v>379</v>
      </c>
      <c r="G283" s="25" t="s">
        <v>5</v>
      </c>
      <c r="H283" s="26" t="s">
        <v>890</v>
      </c>
      <c r="I283" s="27" t="s">
        <v>380</v>
      </c>
      <c r="J283" s="3" t="s">
        <v>324</v>
      </c>
      <c r="K283" t="s">
        <v>335</v>
      </c>
    </row>
    <row r="284" spans="1:11" ht="14.4">
      <c r="A284" s="22" t="str">
        <f>F284&amp;(COUNTIFS(F$2:F284,F284,K$2:K284,"Sparse"))</f>
        <v>MD0</v>
      </c>
      <c r="B284" s="22" t="str">
        <f>J284&amp;(COUNTIF(J$2:J284,J284))</f>
        <v>Wakefield1</v>
      </c>
      <c r="C284" t="s">
        <v>253</v>
      </c>
      <c r="D284" t="s">
        <v>253</v>
      </c>
      <c r="E284" s="25" t="s">
        <v>383</v>
      </c>
      <c r="F284" s="25" t="s">
        <v>384</v>
      </c>
      <c r="G284" s="25" t="s">
        <v>395</v>
      </c>
      <c r="H284" s="26" t="s">
        <v>382</v>
      </c>
      <c r="I284" s="27" t="s">
        <v>382</v>
      </c>
      <c r="J284" t="s">
        <v>253</v>
      </c>
    </row>
    <row r="285" spans="1:11" ht="14.4">
      <c r="A285" s="22" t="str">
        <f>F285&amp;(COUNTIFS(F$2:F285,F285,K$2:K285,"Sparse"))</f>
        <v>MD0</v>
      </c>
      <c r="B285" s="22" t="str">
        <f>J285&amp;(COUNTIF(J$2:J285,J285))</f>
        <v>Walsall1</v>
      </c>
      <c r="C285" t="s">
        <v>254</v>
      </c>
      <c r="D285" t="s">
        <v>254</v>
      </c>
      <c r="E285" s="25" t="s">
        <v>367</v>
      </c>
      <c r="F285" s="25" t="s">
        <v>384</v>
      </c>
      <c r="G285" s="25" t="s">
        <v>395</v>
      </c>
      <c r="H285" s="26" t="s">
        <v>382</v>
      </c>
      <c r="I285" s="27" t="s">
        <v>382</v>
      </c>
      <c r="J285" t="s">
        <v>254</v>
      </c>
    </row>
    <row r="286" spans="1:11" ht="14.4">
      <c r="A286" s="22" t="str">
        <f>F286&amp;(COUNTIFS(F$2:F286,F286,K$2:K286,"Sparse"))</f>
        <v>L0</v>
      </c>
      <c r="B286" s="22" t="str">
        <f>J286&amp;(COUNTIF(J$2:J286,J286))</f>
        <v>London31</v>
      </c>
      <c r="C286" t="s">
        <v>220</v>
      </c>
      <c r="D286" t="s">
        <v>220</v>
      </c>
      <c r="E286" s="25" t="s">
        <v>381</v>
      </c>
      <c r="F286" s="25" t="s">
        <v>358</v>
      </c>
      <c r="G286" s="25" t="s">
        <v>381</v>
      </c>
      <c r="H286" s="26" t="s">
        <v>382</v>
      </c>
      <c r="I286" s="27" t="s">
        <v>382</v>
      </c>
      <c r="J286" t="s">
        <v>381</v>
      </c>
    </row>
    <row r="287" spans="1:11" ht="14.4">
      <c r="A287" s="22" t="str">
        <f>F287&amp;(COUNTIFS(F$2:F287,F287,K$2:K287,"Sparse"))</f>
        <v>L0</v>
      </c>
      <c r="B287" s="22" t="str">
        <f>J287&amp;(COUNTIF(J$2:J287,J287))</f>
        <v>London32</v>
      </c>
      <c r="C287" t="s">
        <v>221</v>
      </c>
      <c r="D287" t="s">
        <v>221</v>
      </c>
      <c r="E287" s="25" t="s">
        <v>381</v>
      </c>
      <c r="F287" s="25" t="s">
        <v>358</v>
      </c>
      <c r="G287" s="25" t="s">
        <v>381</v>
      </c>
      <c r="H287" s="26" t="s">
        <v>382</v>
      </c>
      <c r="I287" s="27" t="s">
        <v>382</v>
      </c>
      <c r="J287" t="s">
        <v>381</v>
      </c>
    </row>
    <row r="288" spans="1:11" ht="14.4">
      <c r="A288" s="22" t="str">
        <f>F288&amp;(COUNTIFS(F$2:F288,F288,K$2:K288,"Sparse"))</f>
        <v>UA14</v>
      </c>
      <c r="B288" s="22" t="str">
        <f>J288&amp;(COUNTIF(J$2:J288,J288))</f>
        <v>Unitary56</v>
      </c>
      <c r="C288" t="s">
        <v>295</v>
      </c>
      <c r="D288" t="s">
        <v>295</v>
      </c>
      <c r="E288" s="25" t="s">
        <v>374</v>
      </c>
      <c r="F288" s="25" t="s">
        <v>385</v>
      </c>
      <c r="G288" s="25" t="s">
        <v>394</v>
      </c>
      <c r="H288" s="26" t="s">
        <v>382</v>
      </c>
      <c r="I288" s="27" t="s">
        <v>382</v>
      </c>
      <c r="J288" t="s">
        <v>394</v>
      </c>
    </row>
    <row r="289" spans="1:11" ht="14.4">
      <c r="A289" s="22" t="str">
        <f>F289&amp;(COUNTIFS(F$2:F289,F289,K$2:K289,"Sparse"))</f>
        <v>SD38</v>
      </c>
      <c r="B289" s="22" t="str">
        <f>J289&amp;(COUNTIF(J$2:J289,J289))</f>
        <v>Warwickshire5</v>
      </c>
      <c r="C289" t="s">
        <v>174</v>
      </c>
      <c r="D289" t="s">
        <v>174</v>
      </c>
      <c r="E289" s="25" t="s">
        <v>367</v>
      </c>
      <c r="F289" s="25" t="s">
        <v>379</v>
      </c>
      <c r="G289" s="25" t="s">
        <v>5</v>
      </c>
      <c r="H289" s="26" t="s">
        <v>382</v>
      </c>
      <c r="I289" s="27" t="s">
        <v>382</v>
      </c>
      <c r="J289" t="s">
        <v>330</v>
      </c>
    </row>
    <row r="290" spans="1:11" ht="14.4">
      <c r="A290" s="22" t="str">
        <f>F290&amp;(COUNTIFS(F$2:F290,F290,K$2:K290,"Sparse"))</f>
        <v>SC7</v>
      </c>
      <c r="B290" s="22" t="str">
        <f>J290&amp;(COUNTIF(J$2:J290,J290))</f>
        <v>Warwickshire6</v>
      </c>
      <c r="C290" t="s">
        <v>330</v>
      </c>
      <c r="D290" t="s">
        <v>330</v>
      </c>
      <c r="E290" s="25" t="s">
        <v>367</v>
      </c>
      <c r="F290" s="25" t="s">
        <v>387</v>
      </c>
      <c r="G290" s="25" t="s">
        <v>301</v>
      </c>
      <c r="H290" s="26" t="s">
        <v>891</v>
      </c>
      <c r="I290" s="27" t="s">
        <v>891</v>
      </c>
      <c r="J290" t="s">
        <v>330</v>
      </c>
    </row>
    <row r="291" spans="1:11" ht="14.4">
      <c r="A291" s="22" t="str">
        <f>F291&amp;(COUNTIFS(F$2:F291,F291,K$2:K291,"Sparse"))</f>
        <v>SD38</v>
      </c>
      <c r="B291" s="22" t="str">
        <f>J291&amp;(COUNTIF(J$2:J291,J291))</f>
        <v>Hertfordshire10</v>
      </c>
      <c r="C291" t="s">
        <v>175</v>
      </c>
      <c r="D291" t="s">
        <v>175</v>
      </c>
      <c r="E291" s="25" t="s">
        <v>368</v>
      </c>
      <c r="F291" s="25" t="s">
        <v>379</v>
      </c>
      <c r="G291" s="25" t="s">
        <v>5</v>
      </c>
      <c r="H291" s="26" t="s">
        <v>382</v>
      </c>
      <c r="I291" s="27" t="s">
        <v>382</v>
      </c>
      <c r="J291" t="s">
        <v>314</v>
      </c>
    </row>
    <row r="292" spans="1:11" ht="14.4">
      <c r="A292" s="22" t="str">
        <f>F292&amp;(COUNTIFS(F$2:F292,F292,K$2:K292,"Sparse"))</f>
        <v>SD38</v>
      </c>
      <c r="B292" s="22" t="str">
        <f>J292&amp;(COUNTIF(J$2:J292,J292))</f>
        <v>Surrey11</v>
      </c>
      <c r="C292" t="s">
        <v>177</v>
      </c>
      <c r="D292" t="s">
        <v>177</v>
      </c>
      <c r="E292" s="25" t="s">
        <v>0</v>
      </c>
      <c r="F292" s="25" t="s">
        <v>379</v>
      </c>
      <c r="G292" s="25" t="s">
        <v>5</v>
      </c>
      <c r="H292" s="26" t="s">
        <v>890</v>
      </c>
      <c r="I292" s="27" t="s">
        <v>380</v>
      </c>
      <c r="J292" t="s">
        <v>329</v>
      </c>
    </row>
    <row r="293" spans="1:11" ht="14.4">
      <c r="A293" s="22" t="str">
        <f>F293&amp;(COUNTIFS(F$2:F293,F293,K$2:K293,"Sparse"))</f>
        <v>SD39</v>
      </c>
      <c r="B293" s="22" t="str">
        <f>J293&amp;(COUNTIF(J$2:J293,J293))</f>
        <v>East Sussex6</v>
      </c>
      <c r="C293" t="s">
        <v>178</v>
      </c>
      <c r="D293" t="s">
        <v>178</v>
      </c>
      <c r="E293" s="25" t="s">
        <v>0</v>
      </c>
      <c r="F293" s="25" t="s">
        <v>379</v>
      </c>
      <c r="G293" s="25" t="s">
        <v>5</v>
      </c>
      <c r="H293" s="26" t="s">
        <v>890</v>
      </c>
      <c r="I293" s="27" t="s">
        <v>380</v>
      </c>
      <c r="J293" t="s">
        <v>310</v>
      </c>
      <c r="K293" t="s">
        <v>335</v>
      </c>
    </row>
    <row r="294" spans="1:11" ht="14.4">
      <c r="A294" s="22" t="str">
        <f>F294&amp;(COUNTIFS(F$2:F294,F294,K$2:K294,"Sparse"))</f>
        <v>SD39</v>
      </c>
      <c r="B294" s="22" t="str">
        <f>J294&amp;(COUNTIF(J$2:J294,J294))</f>
        <v>Hertfordshire11</v>
      </c>
      <c r="C294" t="s">
        <v>180</v>
      </c>
      <c r="D294" t="s">
        <v>180</v>
      </c>
      <c r="E294" s="25" t="s">
        <v>368</v>
      </c>
      <c r="F294" s="25" t="s">
        <v>379</v>
      </c>
      <c r="G294" s="25" t="s">
        <v>5</v>
      </c>
      <c r="H294" s="26" t="s">
        <v>382</v>
      </c>
      <c r="I294" s="27" t="s">
        <v>382</v>
      </c>
      <c r="J294" s="3" t="s">
        <v>314</v>
      </c>
    </row>
    <row r="295" spans="1:11" ht="14.4">
      <c r="A295" s="22" t="str">
        <f>F295&amp;(COUNTIFS(F$2:F295,F295,K$2:K295,"Sparse"))</f>
        <v>UA14</v>
      </c>
      <c r="B295" s="22" t="str">
        <f>J295&amp;(COUNTIF(J$2:J295,J295))</f>
        <v>Unitary57</v>
      </c>
      <c r="C295" t="s">
        <v>296</v>
      </c>
      <c r="D295" t="s">
        <v>296</v>
      </c>
      <c r="E295" s="25" t="s">
        <v>0</v>
      </c>
      <c r="F295" s="25" t="s">
        <v>385</v>
      </c>
      <c r="G295" s="25" t="s">
        <v>394</v>
      </c>
      <c r="H295" s="26" t="s">
        <v>891</v>
      </c>
      <c r="I295" s="27" t="s">
        <v>891</v>
      </c>
      <c r="J295" t="s">
        <v>394</v>
      </c>
    </row>
    <row r="296" spans="1:11" ht="14.4">
      <c r="A296" s="22" t="str">
        <f>F296&amp;(COUNTIFS(F$2:F296,F296,K$2:K296,"Sparse"))</f>
        <v>SD40</v>
      </c>
      <c r="B296" s="22" t="str">
        <f>J296&amp;(COUNTIF(J$2:J296,J296))</f>
        <v>Devon9</v>
      </c>
      <c r="C296" s="27" t="s">
        <v>181</v>
      </c>
      <c r="D296" s="27" t="s">
        <v>181</v>
      </c>
      <c r="E296" s="25" t="s">
        <v>1</v>
      </c>
      <c r="F296" s="25" t="s">
        <v>379</v>
      </c>
      <c r="G296" s="25" t="s">
        <v>5</v>
      </c>
      <c r="H296" s="27" t="s">
        <v>890</v>
      </c>
      <c r="I296" s="27" t="s">
        <v>380</v>
      </c>
      <c r="J296" t="s">
        <v>308</v>
      </c>
      <c r="K296" t="s">
        <v>335</v>
      </c>
    </row>
    <row r="297" spans="1:11" ht="14.4">
      <c r="A297" s="22" t="str">
        <f>F297&amp;(COUNTIFS(F$2:F297,F297,K$2:K297,"Sparse"))</f>
        <v>SD40</v>
      </c>
      <c r="B297" s="22" t="str">
        <f>J297&amp;(COUNTIF(J$2:J297,J297))</f>
        <v>Lancashire12</v>
      </c>
      <c r="C297" t="s">
        <v>183</v>
      </c>
      <c r="D297" t="s">
        <v>183</v>
      </c>
      <c r="E297" s="25" t="s">
        <v>374</v>
      </c>
      <c r="F297" s="25" t="s">
        <v>379</v>
      </c>
      <c r="G297" s="25" t="s">
        <v>5</v>
      </c>
      <c r="H297" s="26" t="s">
        <v>891</v>
      </c>
      <c r="I297" s="27" t="s">
        <v>891</v>
      </c>
      <c r="J297" t="s">
        <v>316</v>
      </c>
    </row>
    <row r="298" spans="1:11" ht="14.4">
      <c r="A298" s="22" t="str">
        <f>F298&amp;(COUNTIFS(F$2:F298,F298,K$2:K298,"Sparse"))</f>
        <v>SD41</v>
      </c>
      <c r="B298" s="22" t="str">
        <f>J298&amp;(COUNTIF(J$2:J298,J298))</f>
        <v>Lincolnshire8</v>
      </c>
      <c r="C298" t="s">
        <v>184</v>
      </c>
      <c r="D298" t="s">
        <v>184</v>
      </c>
      <c r="E298" s="25" t="s">
        <v>366</v>
      </c>
      <c r="F298" s="25" t="s">
        <v>379</v>
      </c>
      <c r="G298" s="25" t="s">
        <v>5</v>
      </c>
      <c r="H298" s="26" t="s">
        <v>890</v>
      </c>
      <c r="I298" s="27" t="s">
        <v>380</v>
      </c>
      <c r="J298" t="s">
        <v>318</v>
      </c>
      <c r="K298" t="s">
        <v>335</v>
      </c>
    </row>
    <row r="299" spans="1:11" ht="14.4">
      <c r="A299" s="22" t="str">
        <f>F299&amp;(COUNTIFS(F$2:F299,F299,K$2:K299,"Sparse"))</f>
        <v>UA15</v>
      </c>
      <c r="B299" s="22" t="str">
        <f>J299&amp;(COUNTIF(J$2:J299,J299))</f>
        <v>Unitary58</v>
      </c>
      <c r="C299" t="s">
        <v>897</v>
      </c>
      <c r="D299" t="s">
        <v>897</v>
      </c>
      <c r="E299" s="25" t="s">
        <v>366</v>
      </c>
      <c r="F299" s="25" t="s">
        <v>385</v>
      </c>
      <c r="G299" s="25" t="s">
        <v>394</v>
      </c>
      <c r="H299" s="26" t="s">
        <v>891</v>
      </c>
      <c r="I299" s="27" t="s">
        <v>891</v>
      </c>
      <c r="J299" t="s">
        <v>394</v>
      </c>
      <c r="K299" t="s">
        <v>335</v>
      </c>
    </row>
    <row r="300" spans="1:11" ht="14.4">
      <c r="A300" s="22" t="str">
        <f>F300&amp;(COUNTIFS(F$2:F300,F300,K$2:K300,"Sparse"))</f>
        <v>SD42</v>
      </c>
      <c r="B300" s="22" t="str">
        <f>J300&amp;(COUNTIF(J$2:J300,J300))</f>
        <v>Oxfordshire6</v>
      </c>
      <c r="C300" t="s">
        <v>185</v>
      </c>
      <c r="D300" t="s">
        <v>185</v>
      </c>
      <c r="E300" s="25" t="s">
        <v>0</v>
      </c>
      <c r="F300" s="25" t="s">
        <v>379</v>
      </c>
      <c r="G300" s="25" t="s">
        <v>5</v>
      </c>
      <c r="H300" s="26" t="s">
        <v>890</v>
      </c>
      <c r="I300" s="27" t="s">
        <v>380</v>
      </c>
      <c r="J300" t="s">
        <v>324</v>
      </c>
      <c r="K300" t="s">
        <v>335</v>
      </c>
    </row>
    <row r="301" spans="1:11" ht="14.4">
      <c r="A301" s="22" t="str">
        <f>F301&amp;(COUNTIFS(F$2:F301,F301,K$2:K301,"Sparse"))</f>
        <v>SD43</v>
      </c>
      <c r="B301" s="22" t="str">
        <f>J301&amp;(COUNTIF(J$2:J301,J301))</f>
        <v>Suffolk6</v>
      </c>
      <c r="C301" t="s">
        <v>894</v>
      </c>
      <c r="D301" t="s">
        <v>894</v>
      </c>
      <c r="E301" s="25" t="s">
        <v>368</v>
      </c>
      <c r="F301" s="25" t="s">
        <v>379</v>
      </c>
      <c r="G301" s="25" t="s">
        <v>5</v>
      </c>
      <c r="H301" s="26" t="s">
        <v>890</v>
      </c>
      <c r="I301" s="27" t="s">
        <v>380</v>
      </c>
      <c r="J301" t="s">
        <v>328</v>
      </c>
      <c r="K301" t="s">
        <v>335</v>
      </c>
    </row>
    <row r="302" spans="1:11" ht="14.4">
      <c r="A302" s="22" t="str">
        <f>F302&amp;(COUNTIFS(F$2:F302,F302,K$2:K302,"Sparse"))</f>
        <v>SC7</v>
      </c>
      <c r="B302" s="22" t="str">
        <f>J302&amp;(COUNTIF(J$2:J302,J302))</f>
        <v>West Sussex7</v>
      </c>
      <c r="C302" t="s">
        <v>331</v>
      </c>
      <c r="D302" t="s">
        <v>331</v>
      </c>
      <c r="E302" s="25" t="s">
        <v>0</v>
      </c>
      <c r="F302" s="25" t="s">
        <v>387</v>
      </c>
      <c r="G302" s="25" t="s">
        <v>301</v>
      </c>
      <c r="H302" s="26" t="s">
        <v>891</v>
      </c>
      <c r="I302" s="27" t="s">
        <v>891</v>
      </c>
      <c r="J302" s="3" t="s">
        <v>331</v>
      </c>
    </row>
    <row r="303" spans="1:11" ht="14.4">
      <c r="A303" s="22" t="str">
        <f>F303&amp;(COUNTIFS(F$2:F303,F303,K$2:K303,"Sparse"))</f>
        <v>L0</v>
      </c>
      <c r="B303" s="22" t="str">
        <f>J303&amp;(COUNTIF(J$2:J303,J303))</f>
        <v>London33</v>
      </c>
      <c r="C303" t="s">
        <v>187</v>
      </c>
      <c r="D303" t="s">
        <v>187</v>
      </c>
      <c r="E303" s="25" t="s">
        <v>381</v>
      </c>
      <c r="F303" s="25" t="s">
        <v>358</v>
      </c>
      <c r="G303" s="25" t="s">
        <v>381</v>
      </c>
      <c r="H303" s="26" t="s">
        <v>382</v>
      </c>
      <c r="I303" s="27" t="s">
        <v>382</v>
      </c>
      <c r="J303" t="s">
        <v>381</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890</v>
      </c>
      <c r="I305" s="27" t="s">
        <v>380</v>
      </c>
      <c r="J305" t="s">
        <v>394</v>
      </c>
    </row>
    <row r="306" spans="1:11" ht="14.4">
      <c r="A306" s="22" t="str">
        <f>F306&amp;(COUNTIFS(F$2:F306,F306,K$2:K306,"Sparse"))</f>
        <v>SD43</v>
      </c>
      <c r="B306" s="22" t="str">
        <f>J306&amp;(COUNTIF(J$2:J306,J306))</f>
        <v>Hampshire12</v>
      </c>
      <c r="C306" t="s">
        <v>188</v>
      </c>
      <c r="D306" t="s">
        <v>188</v>
      </c>
      <c r="E306" s="25" t="s">
        <v>0</v>
      </c>
      <c r="F306" s="25" t="s">
        <v>379</v>
      </c>
      <c r="G306" s="25" t="s">
        <v>5</v>
      </c>
      <c r="H306" s="26" t="s">
        <v>890</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SD43</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SD43</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SC7</v>
      </c>
      <c r="B313" s="22" t="str">
        <f>J313&amp;(COUNTIF(J$2:J313,J313))</f>
        <v>Worcestershire5</v>
      </c>
      <c r="C313" t="s">
        <v>332</v>
      </c>
      <c r="D313" t="s">
        <v>332</v>
      </c>
      <c r="E313" s="25" t="s">
        <v>367</v>
      </c>
      <c r="F313" s="25" t="s">
        <v>387</v>
      </c>
      <c r="G313" s="25" t="s">
        <v>301</v>
      </c>
      <c r="H313" s="26" t="s">
        <v>891</v>
      </c>
      <c r="I313" s="27" t="s">
        <v>891</v>
      </c>
      <c r="J313" s="3" t="s">
        <v>332</v>
      </c>
    </row>
    <row r="314" spans="1:11" ht="14.4">
      <c r="A314" s="22" t="str">
        <f>F314&amp;(COUNTIFS(F$2:F314,F314,K$2:K314,"Sparse"))</f>
        <v>SD43</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SD44</v>
      </c>
      <c r="B315" s="22" t="str">
        <f>J315&amp;(COUNTIF(J$2:J315,J315))</f>
        <v>Worcestershire6</v>
      </c>
      <c r="C315" t="s">
        <v>192</v>
      </c>
      <c r="D315" t="s">
        <v>192</v>
      </c>
      <c r="E315" s="25" t="s">
        <v>367</v>
      </c>
      <c r="F315" s="25" t="s">
        <v>379</v>
      </c>
      <c r="G315" s="25" t="s">
        <v>5</v>
      </c>
      <c r="H315" s="26" t="s">
        <v>890</v>
      </c>
      <c r="I315" s="27" t="s">
        <v>380</v>
      </c>
      <c r="J315" t="s">
        <v>332</v>
      </c>
      <c r="K315" t="s">
        <v>335</v>
      </c>
    </row>
    <row r="316" spans="1:11" ht="14.4">
      <c r="A316" s="22" t="str">
        <f>F316&amp;(COUNTIFS(F$2:F316,F316,K$2:K316,"Sparse"))</f>
        <v>SD44</v>
      </c>
      <c r="B316" s="22" t="str">
        <f>J316&amp;(COUNTIF(J$2:J316,J316))</f>
        <v>Lancashire13</v>
      </c>
      <c r="C316" t="s">
        <v>194</v>
      </c>
      <c r="D316" t="s">
        <v>194</v>
      </c>
      <c r="E316" s="25" t="s">
        <v>374</v>
      </c>
      <c r="F316" s="25" t="s">
        <v>379</v>
      </c>
      <c r="G316" s="25" t="s">
        <v>5</v>
      </c>
      <c r="H316" s="26" t="s">
        <v>890</v>
      </c>
      <c r="I316" s="27" t="s">
        <v>380</v>
      </c>
      <c r="J316" s="3" t="s">
        <v>316</v>
      </c>
    </row>
    <row r="317" spans="1:11" ht="14.4">
      <c r="A317" s="22" t="str">
        <f>F317&amp;(COUNTIFS(F$2:F317,F317,K$2:K317,"Sparse"))</f>
        <v>SD44</v>
      </c>
      <c r="B317" s="22" t="str">
        <f>J317&amp;(COUNTIF(J$2:J317,J317))</f>
        <v>Worcestershire7</v>
      </c>
      <c r="C317" t="s">
        <v>195</v>
      </c>
      <c r="D317" t="s">
        <v>195</v>
      </c>
      <c r="E317" s="25" t="s">
        <v>367</v>
      </c>
      <c r="F317" s="25" t="s">
        <v>379</v>
      </c>
      <c r="G317" s="25" t="s">
        <v>5</v>
      </c>
      <c r="H317" s="26" t="s">
        <v>891</v>
      </c>
      <c r="I317" s="27" t="s">
        <v>891</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L308:L659">
    <sortCondition ref="L30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889</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889</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889</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889</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889</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889</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889</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889</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889</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889</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889</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889</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889</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889</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889</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889</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889</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889</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889</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889</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889</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7" t="s">
        <v>858</v>
      </c>
      <c r="G20" s="327"/>
      <c r="H20" s="180" t="s">
        <v>799</v>
      </c>
      <c r="I20" s="181" t="s">
        <v>791</v>
      </c>
    </row>
    <row r="21" spans="1:11">
      <c r="C21" s="178"/>
      <c r="E21" s="193" t="s">
        <v>849</v>
      </c>
      <c r="F21" s="327"/>
      <c r="G21" s="327"/>
      <c r="H21" s="7" t="s">
        <v>811</v>
      </c>
      <c r="I21" s="9" t="s">
        <v>822</v>
      </c>
    </row>
    <row r="22" spans="1:11" ht="36">
      <c r="C22" s="178"/>
      <c r="E22" s="194" t="s">
        <v>850</v>
      </c>
      <c r="F22" s="327"/>
      <c r="G22" s="327"/>
    </row>
    <row r="23" spans="1:11">
      <c r="C23" s="178"/>
      <c r="E23" s="195">
        <v>87</v>
      </c>
      <c r="F23" s="327"/>
      <c r="G23" s="327"/>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892</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4211b96a87b18b543134fc5bf4321283">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137ec0d3c1c1b14d1dbc5c16845cfa6a"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2.xml><?xml version="1.0" encoding="utf-8"?>
<ds:datastoreItem xmlns:ds="http://schemas.openxmlformats.org/officeDocument/2006/customXml" ds:itemID="{533A1D21-34D8-4FE4-9052-752B0DF7E6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2024-10-04T15:14:08Z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