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Waste and Recy/"/>
    </mc:Choice>
  </mc:AlternateContent>
  <workbookProtection workbookPassword="CE46" lockStructure="1"/>
  <bookViews>
    <workbookView xWindow="-15" yWindow="45" windowWidth="12480" windowHeight="11190"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E318" i="34" l="1"/>
  <c r="E312" i="34"/>
  <c r="E210" i="34"/>
  <c r="E185" i="34"/>
  <c r="E162" i="34"/>
  <c r="E90" i="34"/>
  <c r="E66" i="34"/>
  <c r="E14" i="34"/>
  <c r="D14" i="34"/>
  <c r="C14" i="34"/>
  <c r="C66" i="34"/>
  <c r="D66" i="34"/>
  <c r="D90" i="34"/>
  <c r="C90" i="34"/>
  <c r="C150" i="34"/>
  <c r="C162" i="34"/>
  <c r="D162" i="34"/>
  <c r="D185" i="34"/>
  <c r="C185" i="34"/>
  <c r="D210" i="34"/>
  <c r="C210" i="34"/>
  <c r="D318" i="34"/>
  <c r="D312" i="34"/>
  <c r="C312" i="34"/>
  <c r="C318"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E203" i="16"/>
  <c r="D203" i="16"/>
  <c r="A203" i="16"/>
  <c r="E202" i="16"/>
  <c r="D202" i="16"/>
  <c r="H202" i="16" s="1"/>
  <c r="I202" i="16" s="1"/>
  <c r="A202" i="16"/>
  <c r="B202" i="16" s="1"/>
  <c r="E201" i="16"/>
  <c r="D201" i="16"/>
  <c r="H201" i="16" s="1"/>
  <c r="A201" i="16"/>
  <c r="E200" i="16"/>
  <c r="D200" i="16"/>
  <c r="A200" i="16"/>
  <c r="E199" i="16"/>
  <c r="D199" i="16"/>
  <c r="H199" i="16" s="1"/>
  <c r="A199" i="16"/>
  <c r="E198" i="16"/>
  <c r="D198" i="16"/>
  <c r="A198" i="16"/>
  <c r="B198" i="16" s="1"/>
  <c r="E197" i="16"/>
  <c r="D197" i="16"/>
  <c r="A197" i="16"/>
  <c r="E196" i="16"/>
  <c r="D196" i="16"/>
  <c r="A196" i="16"/>
  <c r="E195" i="16"/>
  <c r="D195" i="16"/>
  <c r="A195" i="16"/>
  <c r="E194" i="16"/>
  <c r="D194" i="16"/>
  <c r="A194" i="16"/>
  <c r="B194" i="16" s="1"/>
  <c r="E193" i="16"/>
  <c r="D193" i="16"/>
  <c r="A193" i="16"/>
  <c r="E192" i="16"/>
  <c r="D192" i="16"/>
  <c r="A192" i="16"/>
  <c r="E191" i="16"/>
  <c r="D191" i="16"/>
  <c r="A191" i="16"/>
  <c r="E190" i="16"/>
  <c r="D190" i="16"/>
  <c r="H190" i="16" s="1"/>
  <c r="A190" i="16"/>
  <c r="B190" i="16" s="1"/>
  <c r="E189" i="16"/>
  <c r="D189" i="16"/>
  <c r="A189" i="16"/>
  <c r="E188" i="16"/>
  <c r="D188" i="16"/>
  <c r="A188" i="16"/>
  <c r="E187" i="16"/>
  <c r="D187" i="16"/>
  <c r="A187" i="16"/>
  <c r="E186" i="16"/>
  <c r="D186" i="16"/>
  <c r="H186" i="16" s="1"/>
  <c r="A186" i="16"/>
  <c r="B186" i="16" s="1"/>
  <c r="E185" i="16"/>
  <c r="D185" i="16"/>
  <c r="A185" i="16"/>
  <c r="E184" i="16"/>
  <c r="D184" i="16"/>
  <c r="A184" i="16"/>
  <c r="E183" i="16"/>
  <c r="D183" i="16"/>
  <c r="A183" i="16"/>
  <c r="E182" i="16"/>
  <c r="D182" i="16"/>
  <c r="A182" i="16"/>
  <c r="B182" i="16" s="1"/>
  <c r="E181" i="16"/>
  <c r="D181" i="16"/>
  <c r="H181" i="16" s="1"/>
  <c r="A181" i="16"/>
  <c r="E180" i="16"/>
  <c r="D180" i="16"/>
  <c r="H180" i="16" s="1"/>
  <c r="I180" i="16" s="1"/>
  <c r="A180" i="16"/>
  <c r="E179" i="16"/>
  <c r="D179" i="16"/>
  <c r="A179" i="16"/>
  <c r="E178" i="16"/>
  <c r="D178" i="16"/>
  <c r="A178" i="16"/>
  <c r="B178" i="16" s="1"/>
  <c r="E177" i="16"/>
  <c r="D177" i="16"/>
  <c r="H177" i="16" s="1"/>
  <c r="A177" i="16"/>
  <c r="E176" i="16"/>
  <c r="D176" i="16"/>
  <c r="A176" i="16"/>
  <c r="E175" i="16"/>
  <c r="D175" i="16"/>
  <c r="H175" i="16" s="1"/>
  <c r="I175" i="16" s="1"/>
  <c r="A175" i="16"/>
  <c r="E174" i="16"/>
  <c r="D174" i="16"/>
  <c r="A174" i="16"/>
  <c r="B174" i="16" s="1"/>
  <c r="E173" i="16"/>
  <c r="D173" i="16"/>
  <c r="H173" i="16" s="1"/>
  <c r="A173" i="16"/>
  <c r="E172" i="16"/>
  <c r="D172" i="16"/>
  <c r="A172" i="16"/>
  <c r="E171" i="16"/>
  <c r="D171" i="16"/>
  <c r="H171" i="16" s="1"/>
  <c r="I171" i="16" s="1"/>
  <c r="A171" i="16"/>
  <c r="E170" i="16"/>
  <c r="D170" i="16"/>
  <c r="H170" i="16" s="1"/>
  <c r="A170" i="16"/>
  <c r="B170" i="16" s="1"/>
  <c r="E169" i="16"/>
  <c r="D169" i="16"/>
  <c r="H169" i="16" s="1"/>
  <c r="A169" i="16"/>
  <c r="E168" i="16"/>
  <c r="D168" i="16"/>
  <c r="H168" i="16" s="1"/>
  <c r="A168" i="16"/>
  <c r="E167" i="16"/>
  <c r="D167" i="16"/>
  <c r="H167" i="16" s="1"/>
  <c r="A167" i="16"/>
  <c r="E166" i="16"/>
  <c r="D166" i="16"/>
  <c r="A166" i="16"/>
  <c r="B166" i="16" s="1"/>
  <c r="E165" i="16"/>
  <c r="D165" i="16"/>
  <c r="A165" i="16"/>
  <c r="E164" i="16"/>
  <c r="D164" i="16"/>
  <c r="A164" i="16"/>
  <c r="E163" i="16"/>
  <c r="D163" i="16"/>
  <c r="H163" i="16" s="1"/>
  <c r="I163" i="16" s="1"/>
  <c r="A163" i="16"/>
  <c r="E162" i="16"/>
  <c r="D162" i="16"/>
  <c r="H162" i="16" s="1"/>
  <c r="A162" i="16"/>
  <c r="B162" i="16" s="1"/>
  <c r="E161" i="16"/>
  <c r="D161" i="16"/>
  <c r="H161" i="16" s="1"/>
  <c r="A161" i="16"/>
  <c r="E160" i="16"/>
  <c r="D160" i="16"/>
  <c r="H160" i="16" s="1"/>
  <c r="I160" i="16" s="1"/>
  <c r="A160" i="16"/>
  <c r="E159" i="16"/>
  <c r="D159" i="16"/>
  <c r="A159" i="16"/>
  <c r="E158" i="16"/>
  <c r="D158" i="16"/>
  <c r="A158" i="16"/>
  <c r="B158" i="16" s="1"/>
  <c r="E157" i="16"/>
  <c r="D157" i="16"/>
  <c r="A157" i="16"/>
  <c r="E156" i="16"/>
  <c r="D156" i="16"/>
  <c r="A156" i="16"/>
  <c r="E155" i="16"/>
  <c r="D155" i="16"/>
  <c r="H155" i="16" s="1"/>
  <c r="A155" i="16"/>
  <c r="E154" i="16"/>
  <c r="D154" i="16"/>
  <c r="A154" i="16"/>
  <c r="B154" i="16" s="1"/>
  <c r="E153" i="16"/>
  <c r="D153" i="16"/>
  <c r="A153" i="16"/>
  <c r="E152" i="16"/>
  <c r="D152" i="16"/>
  <c r="H152" i="16" s="1"/>
  <c r="A152" i="16"/>
  <c r="E151" i="16"/>
  <c r="D151" i="16"/>
  <c r="A151" i="16"/>
  <c r="E150" i="16"/>
  <c r="D150" i="16"/>
  <c r="A150" i="16"/>
  <c r="B150" i="16" s="1"/>
  <c r="E149" i="16"/>
  <c r="D149" i="16"/>
  <c r="H149" i="16" s="1"/>
  <c r="I149" i="16" s="1"/>
  <c r="A149" i="16"/>
  <c r="E148" i="16"/>
  <c r="D148" i="16"/>
  <c r="A148" i="16"/>
  <c r="E147" i="16"/>
  <c r="D147" i="16"/>
  <c r="H147" i="16" s="1"/>
  <c r="A147" i="16"/>
  <c r="E146" i="16"/>
  <c r="D146" i="16"/>
  <c r="A146" i="16"/>
  <c r="B146" i="16" s="1"/>
  <c r="E145" i="16"/>
  <c r="D145" i="16"/>
  <c r="A145" i="16"/>
  <c r="E144" i="16"/>
  <c r="D144" i="16"/>
  <c r="A144" i="16"/>
  <c r="E143" i="16"/>
  <c r="D143" i="16"/>
  <c r="A143" i="16"/>
  <c r="E142" i="16"/>
  <c r="D142" i="16"/>
  <c r="H142" i="16" s="1"/>
  <c r="A142" i="16"/>
  <c r="B142" i="16" s="1"/>
  <c r="E141" i="16"/>
  <c r="D141" i="16"/>
  <c r="A141" i="16"/>
  <c r="E140" i="16"/>
  <c r="D140" i="16"/>
  <c r="A140" i="16"/>
  <c r="E139" i="16"/>
  <c r="D139" i="16"/>
  <c r="H139" i="16" s="1"/>
  <c r="A139" i="16"/>
  <c r="E138" i="16"/>
  <c r="D138" i="16"/>
  <c r="A138" i="16"/>
  <c r="B138" i="16" s="1"/>
  <c r="E137" i="16"/>
  <c r="D137" i="16"/>
  <c r="H137" i="16" s="1"/>
  <c r="I137" i="16" s="1"/>
  <c r="A137" i="16"/>
  <c r="E136" i="16"/>
  <c r="D136" i="16"/>
  <c r="H136" i="16" s="1"/>
  <c r="A136" i="16"/>
  <c r="E135" i="16"/>
  <c r="D135" i="16"/>
  <c r="A135" i="16"/>
  <c r="E134" i="16"/>
  <c r="D134" i="16"/>
  <c r="A134" i="16"/>
  <c r="B134" i="16" s="1"/>
  <c r="E133" i="16"/>
  <c r="D133" i="16"/>
  <c r="H133" i="16" s="1"/>
  <c r="A133" i="16"/>
  <c r="E132" i="16"/>
  <c r="D132" i="16"/>
  <c r="A132" i="16"/>
  <c r="E131" i="16"/>
  <c r="D131" i="16"/>
  <c r="H131" i="16" s="1"/>
  <c r="A131" i="16"/>
  <c r="E130" i="16"/>
  <c r="D130" i="16"/>
  <c r="A130" i="16"/>
  <c r="B130" i="16" s="1"/>
  <c r="E129" i="16"/>
  <c r="D129" i="16"/>
  <c r="A129" i="16"/>
  <c r="E128" i="16"/>
  <c r="D128" i="16"/>
  <c r="A128" i="16"/>
  <c r="E127" i="16"/>
  <c r="D127" i="16"/>
  <c r="A127" i="16"/>
  <c r="E126" i="16"/>
  <c r="D126" i="16"/>
  <c r="A126" i="16"/>
  <c r="B126" i="16" s="1"/>
  <c r="E125" i="16"/>
  <c r="D125" i="16"/>
  <c r="A125" i="16"/>
  <c r="E124" i="16"/>
  <c r="D124" i="16"/>
  <c r="A124" i="16"/>
  <c r="E123" i="16"/>
  <c r="D123" i="16"/>
  <c r="A123" i="16"/>
  <c r="E122" i="16"/>
  <c r="D122" i="16"/>
  <c r="A122" i="16"/>
  <c r="B122" i="16" s="1"/>
  <c r="E121" i="16"/>
  <c r="D121" i="16"/>
  <c r="A121" i="16"/>
  <c r="E120" i="16"/>
  <c r="D120" i="16"/>
  <c r="A120" i="16"/>
  <c r="E119" i="16"/>
  <c r="D119" i="16"/>
  <c r="A119" i="16"/>
  <c r="E118" i="16"/>
  <c r="D118" i="16"/>
  <c r="A118" i="16"/>
  <c r="B118" i="16" s="1"/>
  <c r="E117" i="16"/>
  <c r="D117" i="16"/>
  <c r="A117" i="16"/>
  <c r="E116" i="16"/>
  <c r="D116" i="16"/>
  <c r="A116" i="16"/>
  <c r="E115" i="16"/>
  <c r="D115" i="16"/>
  <c r="A115" i="16"/>
  <c r="E114" i="16"/>
  <c r="D114" i="16"/>
  <c r="A114" i="16"/>
  <c r="B114" i="16" s="1"/>
  <c r="E113" i="16"/>
  <c r="D113" i="16"/>
  <c r="A113" i="16"/>
  <c r="E112" i="16"/>
  <c r="D112" i="16"/>
  <c r="A112" i="16"/>
  <c r="E111" i="16"/>
  <c r="D111" i="16"/>
  <c r="A111" i="16"/>
  <c r="E110" i="16"/>
  <c r="D110" i="16"/>
  <c r="A110" i="16"/>
  <c r="B110" i="16" s="1"/>
  <c r="E109" i="16"/>
  <c r="D109" i="16"/>
  <c r="A109" i="16"/>
  <c r="E108" i="16"/>
  <c r="D108" i="16"/>
  <c r="A108" i="16"/>
  <c r="E107" i="16"/>
  <c r="D107" i="16"/>
  <c r="A107" i="16"/>
  <c r="E106" i="16"/>
  <c r="D106" i="16"/>
  <c r="A106" i="16"/>
  <c r="B106" i="16" s="1"/>
  <c r="E105" i="16"/>
  <c r="D105" i="16"/>
  <c r="A105" i="16"/>
  <c r="E104" i="16"/>
  <c r="D104" i="16"/>
  <c r="A104" i="16"/>
  <c r="E103" i="16"/>
  <c r="D103" i="16"/>
  <c r="A103" i="16"/>
  <c r="E102" i="16"/>
  <c r="D102" i="16"/>
  <c r="A102" i="16"/>
  <c r="B102" i="16" s="1"/>
  <c r="E101" i="16"/>
  <c r="D101" i="16"/>
  <c r="A101" i="16"/>
  <c r="E100" i="16"/>
  <c r="D100" i="16"/>
  <c r="A100" i="16"/>
  <c r="E99" i="16"/>
  <c r="D99" i="16"/>
  <c r="A99" i="16"/>
  <c r="E98" i="16"/>
  <c r="D98" i="16"/>
  <c r="A98" i="16"/>
  <c r="B98" i="16" s="1"/>
  <c r="E97" i="16"/>
  <c r="D97" i="16"/>
  <c r="A97" i="16"/>
  <c r="E96" i="16"/>
  <c r="D96" i="16"/>
  <c r="A96" i="16"/>
  <c r="E95" i="16"/>
  <c r="D95" i="16"/>
  <c r="A95" i="16"/>
  <c r="E94" i="16"/>
  <c r="D94" i="16"/>
  <c r="A94" i="16"/>
  <c r="B94" i="16" s="1"/>
  <c r="E93" i="16"/>
  <c r="D93" i="16"/>
  <c r="A93" i="16"/>
  <c r="E92" i="16"/>
  <c r="D92" i="16"/>
  <c r="A92" i="16"/>
  <c r="E91" i="16"/>
  <c r="D91" i="16"/>
  <c r="A91" i="16"/>
  <c r="E90" i="16"/>
  <c r="D90" i="16"/>
  <c r="A90" i="16"/>
  <c r="B90" i="16" s="1"/>
  <c r="E89" i="16"/>
  <c r="D89" i="16"/>
  <c r="A89" i="16"/>
  <c r="E88" i="16"/>
  <c r="D88" i="16"/>
  <c r="A88" i="16"/>
  <c r="E87" i="16"/>
  <c r="D87" i="16"/>
  <c r="A87" i="16"/>
  <c r="E86" i="16"/>
  <c r="D86" i="16"/>
  <c r="A86" i="16"/>
  <c r="B86" i="16" s="1"/>
  <c r="E85" i="16"/>
  <c r="D85" i="16"/>
  <c r="A85" i="16"/>
  <c r="E84" i="16"/>
  <c r="D84" i="16"/>
  <c r="A84" i="16"/>
  <c r="E83" i="16"/>
  <c r="D83" i="16"/>
  <c r="A83" i="16"/>
  <c r="E82" i="16"/>
  <c r="D82" i="16"/>
  <c r="A82" i="16"/>
  <c r="B82" i="16" s="1"/>
  <c r="E81" i="16"/>
  <c r="D81" i="16"/>
  <c r="A81" i="16"/>
  <c r="E80" i="16"/>
  <c r="D80" i="16"/>
  <c r="A80" i="16"/>
  <c r="E79" i="16"/>
  <c r="D79" i="16"/>
  <c r="A79" i="16"/>
  <c r="E78" i="16"/>
  <c r="D78" i="16"/>
  <c r="A78" i="16"/>
  <c r="B78" i="16" s="1"/>
  <c r="E77" i="16"/>
  <c r="D77" i="16"/>
  <c r="A77" i="16"/>
  <c r="E76" i="16"/>
  <c r="D76" i="16"/>
  <c r="A76" i="16"/>
  <c r="E75" i="16"/>
  <c r="D75" i="16"/>
  <c r="A75" i="16"/>
  <c r="E74" i="16"/>
  <c r="D74" i="16"/>
  <c r="A74" i="16"/>
  <c r="B74" i="16" s="1"/>
  <c r="E73" i="16"/>
  <c r="D73" i="16"/>
  <c r="A73" i="16"/>
  <c r="E72" i="16"/>
  <c r="D72" i="16"/>
  <c r="A72" i="16"/>
  <c r="E71" i="16"/>
  <c r="D71" i="16"/>
  <c r="A71" i="16"/>
  <c r="E70" i="16"/>
  <c r="D70" i="16"/>
  <c r="A70" i="16"/>
  <c r="B70" i="16" s="1"/>
  <c r="E69" i="16"/>
  <c r="D69" i="16"/>
  <c r="A69" i="16"/>
  <c r="E68" i="16"/>
  <c r="D68" i="16"/>
  <c r="A68" i="16"/>
  <c r="E67" i="16"/>
  <c r="D67" i="16"/>
  <c r="A67" i="16"/>
  <c r="E66" i="16"/>
  <c r="D66" i="16"/>
  <c r="A66" i="16"/>
  <c r="B66" i="16" s="1"/>
  <c r="E65" i="16"/>
  <c r="D65" i="16"/>
  <c r="A65" i="16"/>
  <c r="E64" i="16"/>
  <c r="D64" i="16"/>
  <c r="A64" i="16"/>
  <c r="E63" i="16"/>
  <c r="D63" i="16"/>
  <c r="A63" i="16"/>
  <c r="E62" i="16"/>
  <c r="D62" i="16"/>
  <c r="A62" i="16"/>
  <c r="B62" i="16" s="1"/>
  <c r="E61" i="16"/>
  <c r="D61" i="16"/>
  <c r="A61" i="16"/>
  <c r="E60" i="16"/>
  <c r="D60" i="16"/>
  <c r="A60" i="16"/>
  <c r="E59" i="16"/>
  <c r="D59" i="16"/>
  <c r="A59" i="16"/>
  <c r="E58" i="16"/>
  <c r="D58" i="16"/>
  <c r="A58" i="16"/>
  <c r="B58" i="16" s="1"/>
  <c r="E57" i="16"/>
  <c r="D57" i="16"/>
  <c r="A57" i="16"/>
  <c r="E56" i="16"/>
  <c r="D56" i="16"/>
  <c r="A56" i="16"/>
  <c r="E55" i="16"/>
  <c r="D55" i="16"/>
  <c r="A55" i="16"/>
  <c r="E54" i="16"/>
  <c r="D54" i="16"/>
  <c r="A54" i="16"/>
  <c r="B54" i="16" s="1"/>
  <c r="E53" i="16"/>
  <c r="D53" i="16"/>
  <c r="A53" i="16"/>
  <c r="E52" i="16"/>
  <c r="D52" i="16"/>
  <c r="A52" i="16"/>
  <c r="E51" i="16"/>
  <c r="D51" i="16"/>
  <c r="A51" i="16"/>
  <c r="E50" i="16"/>
  <c r="D50" i="16"/>
  <c r="A50" i="16"/>
  <c r="B50" i="16" s="1"/>
  <c r="E49" i="16"/>
  <c r="D49" i="16"/>
  <c r="A49" i="16"/>
  <c r="E48" i="16"/>
  <c r="D48" i="16"/>
  <c r="A48" i="16"/>
  <c r="E47" i="16"/>
  <c r="D47" i="16"/>
  <c r="A47" i="16"/>
  <c r="E46" i="16"/>
  <c r="D46" i="16"/>
  <c r="A46" i="16"/>
  <c r="B46" i="16" s="1"/>
  <c r="E45" i="16"/>
  <c r="D45" i="16"/>
  <c r="A45" i="16"/>
  <c r="E44" i="16"/>
  <c r="D44" i="16"/>
  <c r="A44" i="16"/>
  <c r="E43" i="16"/>
  <c r="D43" i="16"/>
  <c r="A43" i="16"/>
  <c r="E42" i="16"/>
  <c r="D42" i="16"/>
  <c r="A42" i="16"/>
  <c r="B42" i="16" s="1"/>
  <c r="E41" i="16"/>
  <c r="D41" i="16"/>
  <c r="A41" i="16"/>
  <c r="E40" i="16"/>
  <c r="D40" i="16"/>
  <c r="A40" i="16"/>
  <c r="E39" i="16"/>
  <c r="D39" i="16"/>
  <c r="A39" i="16"/>
  <c r="E38" i="16"/>
  <c r="D38" i="16"/>
  <c r="A38" i="16"/>
  <c r="B38" i="16" s="1"/>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B33" i="16" s="1"/>
  <c r="E32" i="16"/>
  <c r="D32" i="16"/>
  <c r="A32" i="16"/>
  <c r="E31" i="16"/>
  <c r="D31" i="16"/>
  <c r="A31" i="16"/>
  <c r="E30" i="16"/>
  <c r="D30" i="16"/>
  <c r="A30" i="16"/>
  <c r="E29" i="16"/>
  <c r="D29" i="16"/>
  <c r="A29" i="16"/>
  <c r="B29" i="16" s="1"/>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45" i="16" l="1"/>
  <c r="B61" i="16"/>
  <c r="B69" i="16"/>
  <c r="B81" i="16"/>
  <c r="B105" i="16"/>
  <c r="B113" i="16"/>
  <c r="B141" i="16"/>
  <c r="B161" i="16"/>
  <c r="B165" i="16"/>
  <c r="B169" i="16"/>
  <c r="B177" i="16"/>
  <c r="B181" i="16"/>
  <c r="B185" i="16"/>
  <c r="B193" i="16"/>
  <c r="B205" i="16"/>
  <c r="B13" i="16"/>
  <c r="B14" i="16"/>
  <c r="B16" i="16"/>
  <c r="B28" i="16"/>
  <c r="B53" i="16"/>
  <c r="B93" i="16"/>
  <c r="B97" i="16"/>
  <c r="B121" i="16"/>
  <c r="B129" i="16"/>
  <c r="B137" i="16"/>
  <c r="B145" i="16"/>
  <c r="B153" i="16"/>
  <c r="B201" i="16"/>
  <c r="B209" i="16"/>
  <c r="B217" i="16"/>
  <c r="B32" i="16"/>
  <c r="B37" i="16"/>
  <c r="B41" i="16"/>
  <c r="B49" i="16"/>
  <c r="B57" i="16"/>
  <c r="B65" i="16"/>
  <c r="B73" i="16"/>
  <c r="B77" i="16"/>
  <c r="B85" i="16"/>
  <c r="B89" i="16"/>
  <c r="B101" i="16"/>
  <c r="B109" i="16"/>
  <c r="B117" i="16"/>
  <c r="B125" i="16"/>
  <c r="B133" i="16"/>
  <c r="B149" i="16"/>
  <c r="B157" i="16"/>
  <c r="B173" i="16"/>
  <c r="B189" i="16"/>
  <c r="B197" i="16"/>
  <c r="B213" i="16"/>
  <c r="B221" i="16"/>
  <c r="B15" i="16"/>
  <c r="B18" i="16"/>
  <c r="B19" i="16"/>
  <c r="B21" i="16"/>
  <c r="B24" i="16"/>
  <c r="B25" i="16"/>
  <c r="B27" i="16"/>
  <c r="B31" i="16"/>
  <c r="B35" i="16"/>
  <c r="B36" i="16"/>
  <c r="B40" i="16"/>
  <c r="B48" i="16"/>
  <c r="B52" i="16"/>
  <c r="B56" i="16"/>
  <c r="B60" i="16"/>
  <c r="B64" i="16"/>
  <c r="B68" i="16"/>
  <c r="B72" i="16"/>
  <c r="B76" i="16"/>
  <c r="B84" i="16"/>
  <c r="B88" i="16"/>
  <c r="B96" i="16"/>
  <c r="B100" i="16"/>
  <c r="B104" i="16"/>
  <c r="B112" i="16"/>
  <c r="B116" i="16"/>
  <c r="B124" i="16"/>
  <c r="B128" i="16"/>
  <c r="B132" i="16"/>
  <c r="B180" i="16"/>
  <c r="B188" i="16"/>
  <c r="B192" i="16"/>
  <c r="B196" i="16"/>
  <c r="B204"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7" i="16"/>
  <c r="B20" i="16"/>
  <c r="B23" i="16"/>
  <c r="B26" i="16"/>
  <c r="B44" i="16"/>
  <c r="B80" i="16"/>
  <c r="B92" i="16"/>
  <c r="B108" i="16"/>
  <c r="B120" i="16"/>
  <c r="B136" i="16"/>
  <c r="B140" i="16"/>
  <c r="B144" i="16"/>
  <c r="B148" i="16"/>
  <c r="B152" i="16"/>
  <c r="B156" i="16"/>
  <c r="B160" i="16"/>
  <c r="B164" i="16"/>
  <c r="B168" i="16"/>
  <c r="B172" i="16"/>
  <c r="B176" i="16"/>
  <c r="B184" i="16"/>
  <c r="B200"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F18" i="16" s="1"/>
  <c r="AX20" i="16"/>
  <c r="H20" i="16" s="1"/>
  <c r="AX22" i="16"/>
  <c r="H22" i="16" s="1"/>
  <c r="AX24" i="16"/>
  <c r="AX26" i="16"/>
  <c r="AX28" i="16"/>
  <c r="H28" i="16" s="1"/>
  <c r="AX30" i="16"/>
  <c r="F30" i="16" s="1"/>
  <c r="AX32" i="16"/>
  <c r="AX34" i="16"/>
  <c r="H34" i="16" s="1"/>
  <c r="AX36" i="16"/>
  <c r="AX38" i="16"/>
  <c r="H38" i="16" s="1"/>
  <c r="AX40" i="16"/>
  <c r="AX42" i="16"/>
  <c r="H42" i="16" s="1"/>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H130" i="16" s="1"/>
  <c r="AX132" i="16"/>
  <c r="AX134" i="16"/>
  <c r="AX136" i="16"/>
  <c r="AX138" i="16"/>
  <c r="H138" i="16" s="1"/>
  <c r="AX140" i="16"/>
  <c r="AX142" i="16"/>
  <c r="AX144" i="16"/>
  <c r="AX146" i="16"/>
  <c r="AX148" i="16"/>
  <c r="AX150" i="16"/>
  <c r="AX152" i="16"/>
  <c r="AX154" i="16"/>
  <c r="F154" i="16" s="1"/>
  <c r="AX156" i="16"/>
  <c r="AX158" i="16"/>
  <c r="AX160" i="16"/>
  <c r="AX162" i="16"/>
  <c r="F162" i="16" s="1"/>
  <c r="AX164" i="16"/>
  <c r="AX166" i="16"/>
  <c r="AX168" i="16"/>
  <c r="AX170" i="16"/>
  <c r="F170" i="16" s="1"/>
  <c r="AX172" i="16"/>
  <c r="AX174" i="16"/>
  <c r="AX176" i="16"/>
  <c r="AX178" i="16"/>
  <c r="H178" i="16" s="1"/>
  <c r="AX180" i="16"/>
  <c r="AX13" i="16"/>
  <c r="H13" i="16" s="1"/>
  <c r="AX15" i="16"/>
  <c r="AX17" i="16"/>
  <c r="H17" i="16" s="1"/>
  <c r="AX19" i="16"/>
  <c r="H19" i="16" s="1"/>
  <c r="AX21" i="16"/>
  <c r="H21" i="16" s="1"/>
  <c r="AX23" i="16"/>
  <c r="AX25" i="16"/>
  <c r="H25" i="16" s="1"/>
  <c r="AX27" i="16"/>
  <c r="AX29" i="16"/>
  <c r="H29" i="16" s="1"/>
  <c r="AX31" i="16"/>
  <c r="AX33" i="16"/>
  <c r="H33" i="16" s="1"/>
  <c r="AX35" i="16"/>
  <c r="AX37" i="16"/>
  <c r="AX39" i="16"/>
  <c r="AX41" i="16"/>
  <c r="H41" i="16" s="1"/>
  <c r="AX43" i="16"/>
  <c r="AX45" i="16"/>
  <c r="H45" i="16" s="1"/>
  <c r="AX47" i="16"/>
  <c r="AX49" i="16"/>
  <c r="F49" i="16" s="1"/>
  <c r="AX51" i="16"/>
  <c r="AX53" i="16"/>
  <c r="H53" i="16" s="1"/>
  <c r="AX55" i="16"/>
  <c r="H55" i="16" s="1"/>
  <c r="AX57" i="16"/>
  <c r="H57" i="16" s="1"/>
  <c r="AX59" i="16"/>
  <c r="AX61" i="16"/>
  <c r="AX63" i="16"/>
  <c r="H63" i="16" s="1"/>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H101" i="16" s="1"/>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H129" i="16" s="1"/>
  <c r="AX131" i="16"/>
  <c r="AX133" i="16"/>
  <c r="AX135" i="16"/>
  <c r="AX137" i="16"/>
  <c r="F137" i="16" s="1"/>
  <c r="AX139" i="16"/>
  <c r="AX141" i="16"/>
  <c r="AX143" i="16"/>
  <c r="H143" i="16" s="1"/>
  <c r="AX145" i="16"/>
  <c r="H145" i="16" s="1"/>
  <c r="AX147" i="16"/>
  <c r="AX149" i="16"/>
  <c r="AX151" i="16"/>
  <c r="AX153" i="16"/>
  <c r="F153" i="16" s="1"/>
  <c r="AX155" i="16"/>
  <c r="AX157" i="16"/>
  <c r="AX159" i="16"/>
  <c r="AX161" i="16"/>
  <c r="F161" i="16" s="1"/>
  <c r="AX163" i="16"/>
  <c r="AX165" i="16"/>
  <c r="AX167" i="16"/>
  <c r="AX169" i="16"/>
  <c r="F169" i="16" s="1"/>
  <c r="AX171" i="16"/>
  <c r="AX173" i="16"/>
  <c r="AX175" i="16"/>
  <c r="AX177" i="16"/>
  <c r="F177" i="16" s="1"/>
  <c r="AX179" i="16"/>
  <c r="AX181" i="16"/>
  <c r="AX182" i="16"/>
  <c r="AX184" i="16"/>
  <c r="H184" i="16" s="1"/>
  <c r="AX186" i="16"/>
  <c r="AX188" i="16"/>
  <c r="H188" i="16" s="1"/>
  <c r="AX190" i="16"/>
  <c r="AX192" i="16"/>
  <c r="H192" i="16" s="1"/>
  <c r="AX194" i="16"/>
  <c r="AX196" i="16"/>
  <c r="AX198" i="16"/>
  <c r="H198" i="16" s="1"/>
  <c r="AX200" i="16"/>
  <c r="H200" i="16" s="1"/>
  <c r="AX202" i="16"/>
  <c r="AX204" i="16"/>
  <c r="AX206" i="16"/>
  <c r="AX208" i="16"/>
  <c r="H208" i="16" s="1"/>
  <c r="AX210" i="16"/>
  <c r="AX212" i="16"/>
  <c r="AX214" i="16"/>
  <c r="AX216" i="16"/>
  <c r="H216" i="16" s="1"/>
  <c r="AX218" i="16"/>
  <c r="AX220" i="16"/>
  <c r="AX222" i="16"/>
  <c r="AX224" i="16"/>
  <c r="H224" i="16" s="1"/>
  <c r="AX226" i="16"/>
  <c r="AX228" i="16"/>
  <c r="AX230" i="16"/>
  <c r="AX232" i="16"/>
  <c r="H232" i="16" s="1"/>
  <c r="AX234" i="16"/>
  <c r="AX236" i="16"/>
  <c r="AX238" i="16"/>
  <c r="H238" i="16" s="1"/>
  <c r="AX240" i="16"/>
  <c r="F240" i="16" s="1"/>
  <c r="AX242" i="16"/>
  <c r="AX244" i="16"/>
  <c r="AX246" i="16"/>
  <c r="H246" i="16" s="1"/>
  <c r="AX248" i="16"/>
  <c r="H248" i="16" s="1"/>
  <c r="AX250" i="16"/>
  <c r="AX252" i="16"/>
  <c r="AX254" i="16"/>
  <c r="AX256" i="16"/>
  <c r="F256" i="16" s="1"/>
  <c r="AX258" i="16"/>
  <c r="AX260" i="16"/>
  <c r="F260" i="16" s="1"/>
  <c r="AX262" i="16"/>
  <c r="AX264" i="16"/>
  <c r="F264" i="16" s="1"/>
  <c r="AX266" i="16"/>
  <c r="AX268" i="16"/>
  <c r="AX270" i="16"/>
  <c r="AX272" i="16"/>
  <c r="H272" i="16" s="1"/>
  <c r="AX274" i="16"/>
  <c r="AX276" i="16"/>
  <c r="H276" i="16" s="1"/>
  <c r="AX278" i="16"/>
  <c r="H278" i="16" s="1"/>
  <c r="AX280" i="16"/>
  <c r="AX282" i="16"/>
  <c r="AX284" i="16"/>
  <c r="F284" i="16" s="1"/>
  <c r="AX286" i="16"/>
  <c r="AX288" i="16"/>
  <c r="AX290" i="16"/>
  <c r="AX292" i="16"/>
  <c r="AX294" i="16"/>
  <c r="AX296" i="16"/>
  <c r="F296" i="16" s="1"/>
  <c r="AX298" i="16"/>
  <c r="AX300" i="16"/>
  <c r="AX302" i="16"/>
  <c r="H302" i="16" s="1"/>
  <c r="AX304" i="16"/>
  <c r="F304" i="16" s="1"/>
  <c r="AX306" i="16"/>
  <c r="AX308" i="16"/>
  <c r="H308" i="16" s="1"/>
  <c r="AX310" i="16"/>
  <c r="AX312" i="16"/>
  <c r="H312" i="16" s="1"/>
  <c r="AX314" i="16"/>
  <c r="AX316" i="16"/>
  <c r="AX318" i="16"/>
  <c r="AX320" i="16"/>
  <c r="F320" i="16" s="1"/>
  <c r="AX322" i="16"/>
  <c r="AX324" i="16"/>
  <c r="H324" i="16" s="1"/>
  <c r="AX326" i="16"/>
  <c r="AX328" i="16"/>
  <c r="F328" i="16" s="1"/>
  <c r="AX330" i="16"/>
  <c r="F330" i="16" s="1"/>
  <c r="AX332" i="16"/>
  <c r="F332" i="16" s="1"/>
  <c r="AX334" i="16"/>
  <c r="H334" i="16" s="1"/>
  <c r="AX336" i="16"/>
  <c r="F336" i="16" s="1"/>
  <c r="AX338" i="16"/>
  <c r="AX340" i="16"/>
  <c r="H340" i="16" s="1"/>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AX195" i="16"/>
  <c r="AX197" i="16"/>
  <c r="H197" i="16" s="1"/>
  <c r="AX199" i="16"/>
  <c r="AX201" i="16"/>
  <c r="F201" i="16" s="1"/>
  <c r="AX203" i="16"/>
  <c r="H203" i="16" s="1"/>
  <c r="AX205" i="16"/>
  <c r="H205" i="16" s="1"/>
  <c r="AX207" i="16"/>
  <c r="H207" i="16" s="1"/>
  <c r="AX209" i="16"/>
  <c r="AX211" i="16"/>
  <c r="AX213" i="16"/>
  <c r="H213" i="16" s="1"/>
  <c r="AX215" i="16"/>
  <c r="F215" i="16" s="1"/>
  <c r="AX217" i="16"/>
  <c r="AX219" i="16"/>
  <c r="F219" i="16" s="1"/>
  <c r="AX221" i="16"/>
  <c r="F221" i="16" s="1"/>
  <c r="AX223" i="16"/>
  <c r="F223" i="16" s="1"/>
  <c r="AX225" i="16"/>
  <c r="F225" i="16" s="1"/>
  <c r="AX227" i="16"/>
  <c r="AX229" i="16"/>
  <c r="AX231" i="16"/>
  <c r="H231" i="16" s="1"/>
  <c r="AX233" i="16"/>
  <c r="AX235" i="16"/>
  <c r="AX237" i="16"/>
  <c r="H237" i="16" s="1"/>
  <c r="AX239" i="16"/>
  <c r="F239" i="16" s="1"/>
  <c r="AX241" i="16"/>
  <c r="AX243" i="16"/>
  <c r="H243" i="16" s="1"/>
  <c r="AX245" i="16"/>
  <c r="F245" i="16" s="1"/>
  <c r="AX247" i="16"/>
  <c r="AX249" i="16"/>
  <c r="F249" i="16" s="1"/>
  <c r="AX251" i="16"/>
  <c r="F251" i="16" s="1"/>
  <c r="AX253" i="16"/>
  <c r="F253" i="16" s="1"/>
  <c r="AX255" i="16"/>
  <c r="F255" i="16" s="1"/>
  <c r="AX257" i="16"/>
  <c r="F257" i="16" s="1"/>
  <c r="AX259" i="16"/>
  <c r="AX261" i="16"/>
  <c r="AX263" i="16"/>
  <c r="F263" i="16" s="1"/>
  <c r="AX265" i="16"/>
  <c r="F265" i="16" s="1"/>
  <c r="AX267" i="16"/>
  <c r="H267" i="16" s="1"/>
  <c r="AX269" i="16"/>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AX299" i="16"/>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5" i="16"/>
  <c r="H12" i="16"/>
  <c r="H15" i="16"/>
  <c r="H16" i="16"/>
  <c r="H30" i="16"/>
  <c r="H39" i="16"/>
  <c r="H48" i="16"/>
  <c r="H59" i="16"/>
  <c r="H69" i="16"/>
  <c r="H72" i="16"/>
  <c r="H76" i="16"/>
  <c r="H83" i="16"/>
  <c r="H96" i="16"/>
  <c r="H100" i="16"/>
  <c r="H107" i="16"/>
  <c r="H110" i="16"/>
  <c r="H112" i="16"/>
  <c r="H116" i="16"/>
  <c r="H119" i="16"/>
  <c r="H123" i="16"/>
  <c r="H132" i="16"/>
  <c r="H141" i="16"/>
  <c r="H151" i="16"/>
  <c r="H153" i="16"/>
  <c r="H156" i="16"/>
  <c r="H158" i="16"/>
  <c r="H165" i="16"/>
  <c r="H172" i="16"/>
  <c r="H176" i="16"/>
  <c r="H179" i="16"/>
  <c r="H183" i="16"/>
  <c r="H204" i="16"/>
  <c r="H210" i="16"/>
  <c r="H221" i="16"/>
  <c r="H226" i="16"/>
  <c r="H236" i="16"/>
  <c r="H242" i="16"/>
  <c r="H244" i="16"/>
  <c r="H254" i="16"/>
  <c r="H258" i="16"/>
  <c r="H260" i="16"/>
  <c r="H266" i="16"/>
  <c r="H270" i="16"/>
  <c r="H274" i="16"/>
  <c r="H297" i="16"/>
  <c r="H330" i="16"/>
  <c r="H332" i="16"/>
  <c r="H40" i="16"/>
  <c r="H47" i="16"/>
  <c r="H51" i="16"/>
  <c r="H54" i="16"/>
  <c r="H60" i="16"/>
  <c r="H64" i="16"/>
  <c r="H68" i="16"/>
  <c r="H70" i="16"/>
  <c r="H71" i="16"/>
  <c r="H75" i="16"/>
  <c r="H79" i="16"/>
  <c r="H86" i="16"/>
  <c r="H88" i="16"/>
  <c r="H92" i="16"/>
  <c r="H99" i="16"/>
  <c r="H103" i="16"/>
  <c r="H104" i="16"/>
  <c r="H111" i="16"/>
  <c r="H115" i="16"/>
  <c r="H120" i="16"/>
  <c r="H126" i="16"/>
  <c r="H128" i="16"/>
  <c r="H135" i="16"/>
  <c r="H140" i="16"/>
  <c r="H146" i="16"/>
  <c r="H150" i="16"/>
  <c r="H157" i="16"/>
  <c r="H164" i="16"/>
  <c r="H193" i="16"/>
  <c r="H196" i="16"/>
  <c r="H214" i="16"/>
  <c r="H222" i="16"/>
  <c r="H247" i="16"/>
  <c r="H255" i="16"/>
  <c r="H257" i="16"/>
  <c r="H269" i="16"/>
  <c r="H290" i="16"/>
  <c r="H294" i="16"/>
  <c r="H300" i="16"/>
  <c r="H306" i="16"/>
  <c r="H310" i="16"/>
  <c r="H322" i="16"/>
  <c r="H335"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62" i="16"/>
  <c r="F88" i="16"/>
  <c r="F96" i="16"/>
  <c r="F110" i="16"/>
  <c r="F132" i="16"/>
  <c r="F140" i="16"/>
  <c r="F156" i="16"/>
  <c r="F208" i="16"/>
  <c r="F238" i="16"/>
  <c r="F254" i="16"/>
  <c r="F274" i="16"/>
  <c r="F278" i="16"/>
  <c r="F306" i="16"/>
  <c r="F310" i="16"/>
  <c r="F15" i="16"/>
  <c r="F47" i="16"/>
  <c r="F65" i="16"/>
  <c r="F71" i="16"/>
  <c r="F83" i="16"/>
  <c r="F99" i="16"/>
  <c r="F103" i="16"/>
  <c r="F111" i="16"/>
  <c r="F125" i="16"/>
  <c r="F151" i="16"/>
  <c r="F179" i="16"/>
  <c r="F193" i="16"/>
  <c r="F203" i="16"/>
  <c r="F269" i="16"/>
  <c r="F295" i="16"/>
  <c r="F334" i="16"/>
  <c r="F64" i="16"/>
  <c r="F76" i="16"/>
  <c r="F104" i="16"/>
  <c r="F120" i="16"/>
  <c r="F146" i="16"/>
  <c r="F172" i="16"/>
  <c r="F188" i="16"/>
  <c r="F204" i="16"/>
  <c r="F210" i="16"/>
  <c r="F236" i="16"/>
  <c r="F244" i="16"/>
  <c r="F258" i="16"/>
  <c r="F266" i="16"/>
  <c r="F294" i="16"/>
  <c r="F302" i="16"/>
  <c r="F17" i="16"/>
  <c r="F45" i="16"/>
  <c r="F63" i="16"/>
  <c r="F69" i="16"/>
  <c r="F75" i="16"/>
  <c r="F79" i="16"/>
  <c r="F101" i="16"/>
  <c r="F109" i="16"/>
  <c r="F123" i="16"/>
  <c r="F141" i="16"/>
  <c r="F157" i="16"/>
  <c r="F187" i="16"/>
  <c r="F213" i="16"/>
  <c r="F247" i="16"/>
  <c r="F271" i="16"/>
  <c r="F297" i="16"/>
  <c r="F312" i="16"/>
  <c r="F350" i="16"/>
  <c r="F283" i="16"/>
  <c r="D50" i="8"/>
  <c r="G3" i="16"/>
  <c r="J9" i="8" s="1"/>
  <c r="I3" i="16"/>
  <c r="P8" i="16"/>
  <c r="AF11" i="16"/>
  <c r="F3" i="16"/>
  <c r="H3" i="16"/>
  <c r="J11" i="8" s="1"/>
  <c r="F346" i="16"/>
  <c r="F326" i="16"/>
  <c r="F299" i="16"/>
  <c r="F322" i="16"/>
  <c r="F300" i="16"/>
  <c r="F298" i="16"/>
  <c r="F290" i="16"/>
  <c r="F288" i="16"/>
  <c r="F286" i="16"/>
  <c r="F282" i="16"/>
  <c r="F276" i="16"/>
  <c r="F270" i="16"/>
  <c r="F252" i="16"/>
  <c r="F248" i="16"/>
  <c r="F246" i="16"/>
  <c r="F242" i="16"/>
  <c r="F234" i="16"/>
  <c r="F226" i="16"/>
  <c r="F222" i="16"/>
  <c r="F220" i="16"/>
  <c r="F214" i="16"/>
  <c r="F212" i="16"/>
  <c r="F202" i="16"/>
  <c r="F273" i="16"/>
  <c r="F259" i="16"/>
  <c r="F241" i="16"/>
  <c r="F237" i="16"/>
  <c r="F217" i="16"/>
  <c r="F207" i="16"/>
  <c r="F198" i="16"/>
  <c r="F196" i="16"/>
  <c r="F190" i="16"/>
  <c r="F186" i="16"/>
  <c r="F184" i="16"/>
  <c r="F180" i="16"/>
  <c r="F176" i="16"/>
  <c r="F168" i="16"/>
  <c r="F164" i="16"/>
  <c r="F160" i="16"/>
  <c r="F158" i="16"/>
  <c r="F152" i="16"/>
  <c r="F150" i="16"/>
  <c r="F142" i="16"/>
  <c r="F136" i="16"/>
  <c r="F128" i="16"/>
  <c r="F124" i="16"/>
  <c r="F199" i="16"/>
  <c r="F185" i="16"/>
  <c r="F181" i="16"/>
  <c r="F175" i="16"/>
  <c r="F173" i="16"/>
  <c r="F171" i="16"/>
  <c r="F167" i="16"/>
  <c r="F165" i="16"/>
  <c r="F163" i="16"/>
  <c r="F155" i="16"/>
  <c r="F149" i="16"/>
  <c r="F147" i="16"/>
  <c r="F145" i="16"/>
  <c r="F143" i="16"/>
  <c r="F139" i="16"/>
  <c r="F135" i="16"/>
  <c r="F133" i="16"/>
  <c r="F131" i="16"/>
  <c r="F127" i="16"/>
  <c r="F12" i="16"/>
  <c r="F14" i="16"/>
  <c r="F16" i="16"/>
  <c r="F19" i="16"/>
  <c r="F20" i="16"/>
  <c r="F21" i="16"/>
  <c r="F22" i="16"/>
  <c r="F23" i="16"/>
  <c r="F24" i="16"/>
  <c r="F29" i="16"/>
  <c r="F28" i="16"/>
  <c r="F35" i="16"/>
  <c r="F38" i="16"/>
  <c r="F39" i="16"/>
  <c r="F40" i="16"/>
  <c r="F46" i="16"/>
  <c r="F48" i="16"/>
  <c r="F50" i="16"/>
  <c r="F51" i="16"/>
  <c r="F52" i="16"/>
  <c r="F53" i="16"/>
  <c r="F55" i="16"/>
  <c r="F56" i="16"/>
  <c r="F59" i="16"/>
  <c r="F60" i="16"/>
  <c r="F68" i="16"/>
  <c r="F70" i="16"/>
  <c r="F72" i="16"/>
  <c r="F81" i="16"/>
  <c r="F84" i="16"/>
  <c r="F85" i="16"/>
  <c r="F86" i="16"/>
  <c r="F91" i="16"/>
  <c r="F92" i="16"/>
  <c r="F93" i="16"/>
  <c r="F95" i="16"/>
  <c r="F98" i="16"/>
  <c r="F100" i="16"/>
  <c r="F102" i="16"/>
  <c r="F107" i="16"/>
  <c r="F108" i="16"/>
  <c r="F112" i="16"/>
  <c r="F115" i="16"/>
  <c r="F116" i="16"/>
  <c r="F117" i="16"/>
  <c r="F119" i="16"/>
  <c r="F205" i="16" l="1"/>
  <c r="F216" i="16"/>
  <c r="F178" i="16"/>
  <c r="F138" i="16"/>
  <c r="F200" i="16"/>
  <c r="F34" i="16"/>
  <c r="F277" i="16"/>
  <c r="F197" i="16"/>
  <c r="F129" i="16"/>
  <c r="F57" i="16"/>
  <c r="F33" i="16"/>
  <c r="F232" i="16"/>
  <c r="F192" i="16"/>
  <c r="F42" i="16"/>
  <c r="H189" i="16"/>
  <c r="H154" i="16"/>
  <c r="H336" i="16"/>
  <c r="H240" i="16"/>
  <c r="H89" i="16"/>
  <c r="H18" i="16"/>
  <c r="F41" i="16"/>
  <c r="F130" i="16"/>
  <c r="F344" i="16"/>
  <c r="F272" i="16"/>
  <c r="F224" i="16"/>
  <c r="H114" i="16"/>
  <c r="H105" i="16"/>
  <c r="F73" i="16"/>
  <c r="H49" i="16"/>
  <c r="F113" i="16"/>
  <c r="F353" i="16"/>
  <c r="H284" i="16"/>
  <c r="H305" i="16"/>
  <c r="H249" i="16"/>
  <c r="H265" i="16"/>
  <c r="F313" i="16"/>
  <c r="F324" i="16"/>
  <c r="F308" i="16"/>
  <c r="F289" i="16"/>
  <c r="F340" i="16"/>
  <c r="H317" i="16"/>
  <c r="H285" i="16"/>
  <c r="F339" i="16"/>
  <c r="H11"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T94" i="16"/>
  <c r="S94" i="16"/>
  <c r="AP94" i="16"/>
  <c r="AA94" i="16"/>
  <c r="L95" i="16"/>
  <c r="AJ94" i="16" l="1"/>
  <c r="Y94" i="16"/>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AJ114" i="16" l="1"/>
  <c r="Y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AJ160" i="16" l="1"/>
  <c r="Y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Y165" i="16" l="1"/>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V182"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V198" i="16" l="1"/>
  <c r="U199" i="16"/>
  <c r="Y199" i="16"/>
  <c r="AB199" i="16"/>
  <c r="AJ199" i="16"/>
  <c r="AQ199" i="16"/>
  <c r="AP200" i="16"/>
  <c r="AA200" i="16"/>
  <c r="S200" i="16"/>
  <c r="AI200" i="16"/>
  <c r="T200" i="16"/>
  <c r="X200" i="16"/>
  <c r="M200" i="16"/>
  <c r="N200" i="16" s="1"/>
  <c r="L201" i="16"/>
  <c r="Y200" i="16" l="1"/>
  <c r="AJ200" i="16"/>
  <c r="AB200" i="16"/>
  <c r="U200" i="16"/>
  <c r="AQ200" i="16"/>
  <c r="X201" i="16"/>
  <c r="Y201" i="16" s="1"/>
  <c r="M201" i="16"/>
  <c r="N201" i="16" s="1"/>
  <c r="AI201" i="16"/>
  <c r="T201" i="16"/>
  <c r="U201" i="16" s="1"/>
  <c r="V201" i="16" s="1"/>
  <c r="S201" i="16"/>
  <c r="AP201" i="16"/>
  <c r="AA201" i="16"/>
  <c r="L202" i="16"/>
  <c r="Z201" i="16" l="1"/>
  <c r="AQ201" i="16"/>
  <c r="AJ201" i="16"/>
  <c r="AB201" i="16"/>
  <c r="AP202" i="16"/>
  <c r="AA202" i="16"/>
  <c r="S202" i="16"/>
  <c r="AI202" i="16"/>
  <c r="T202" i="16"/>
  <c r="X202" i="16"/>
  <c r="M202" i="16"/>
  <c r="N202" i="16" s="1"/>
  <c r="L203" i="16"/>
  <c r="AJ202" i="16" l="1"/>
  <c r="AQ202" i="16"/>
  <c r="Y202" i="16"/>
  <c r="AB202" i="16"/>
  <c r="U202" i="16"/>
  <c r="X203" i="16"/>
  <c r="AP203" i="16"/>
  <c r="M203" i="16"/>
  <c r="N203" i="16" s="1"/>
  <c r="AA203" i="16"/>
  <c r="S203" i="16"/>
  <c r="T203" i="16"/>
  <c r="AI203" i="16"/>
  <c r="AJ203" i="16" s="1"/>
  <c r="AK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V205" i="16" l="1"/>
  <c r="AP206" i="16"/>
  <c r="AQ206" i="16" s="1"/>
  <c r="AA206" i="16"/>
  <c r="S206" i="16"/>
  <c r="AI206" i="16"/>
  <c r="AJ206" i="16" s="1"/>
  <c r="T206" i="16"/>
  <c r="U206" i="16" s="1"/>
  <c r="V206" i="16" s="1"/>
  <c r="X206" i="16"/>
  <c r="Y206" i="16" s="1"/>
  <c r="Z206" i="16" s="1"/>
  <c r="M206" i="16"/>
  <c r="N206" i="16" s="1"/>
  <c r="L207" i="16"/>
  <c r="AK206" i="16" l="1"/>
  <c r="AR206" i="16"/>
  <c r="AB206" i="16"/>
  <c r="X207" i="16"/>
  <c r="Y207" i="16" s="1"/>
  <c r="M207" i="16"/>
  <c r="AI207" i="16"/>
  <c r="AJ207" i="16" s="1"/>
  <c r="AK207" i="16" s="1"/>
  <c r="T207" i="16"/>
  <c r="U207" i="16" s="1"/>
  <c r="V207" i="16" s="1"/>
  <c r="S207" i="16"/>
  <c r="AP207" i="16"/>
  <c r="AQ207" i="16" s="1"/>
  <c r="AA207" i="16"/>
  <c r="AB207" i="16" s="1"/>
  <c r="AC207" i="16" s="1"/>
  <c r="N207" i="16"/>
  <c r="L208" i="16"/>
  <c r="Z207" i="16" l="1"/>
  <c r="AR207" i="16"/>
  <c r="AC206" i="16"/>
  <c r="AP208" i="16"/>
  <c r="AQ208" i="16" s="1"/>
  <c r="AA208" i="16"/>
  <c r="S208" i="16"/>
  <c r="AI208" i="16"/>
  <c r="AJ208" i="16" s="1"/>
  <c r="T208" i="16"/>
  <c r="U208" i="16" s="1"/>
  <c r="X208" i="16"/>
  <c r="Y208" i="16" s="1"/>
  <c r="Z208" i="16" s="1"/>
  <c r="M208" i="16"/>
  <c r="N208" i="16" s="1"/>
  <c r="L209" i="16"/>
  <c r="AR208" i="16" l="1"/>
  <c r="V208" i="16"/>
  <c r="AK208" i="16"/>
  <c r="AB208" i="16"/>
  <c r="X209" i="16"/>
  <c r="Y209" i="16" s="1"/>
  <c r="M209" i="16"/>
  <c r="AI209" i="16"/>
  <c r="AJ209" i="16" s="1"/>
  <c r="AK209" i="16" s="1"/>
  <c r="T209" i="16"/>
  <c r="U209" i="16" s="1"/>
  <c r="V209" i="16" s="1"/>
  <c r="S209" i="16"/>
  <c r="AP209" i="16"/>
  <c r="AQ209" i="16" s="1"/>
  <c r="AR209" i="16" s="1"/>
  <c r="AA209" i="16"/>
  <c r="AB209" i="16" s="1"/>
  <c r="AC209" i="16" s="1"/>
  <c r="N209" i="16"/>
  <c r="L210" i="16"/>
  <c r="Z209" i="16" l="1"/>
  <c r="AC208" i="16"/>
  <c r="AP210" i="16"/>
  <c r="AQ210" i="16" s="1"/>
  <c r="AA210" i="16"/>
  <c r="S210" i="16"/>
  <c r="AI210" i="16"/>
  <c r="AJ210" i="16" s="1"/>
  <c r="AK210" i="16" s="1"/>
  <c r="T210" i="16"/>
  <c r="U210" i="16" s="1"/>
  <c r="V210" i="16" s="1"/>
  <c r="X210" i="16"/>
  <c r="Y210" i="16" s="1"/>
  <c r="Z210" i="16" s="1"/>
  <c r="M210" i="16"/>
  <c r="N210" i="16" s="1"/>
  <c r="L211" i="16"/>
  <c r="AR210" i="16" l="1"/>
  <c r="AB210" i="16"/>
  <c r="X211" i="16"/>
  <c r="Y211" i="16" s="1"/>
  <c r="M211" i="16"/>
  <c r="N211" i="16" s="1"/>
  <c r="AI211" i="16"/>
  <c r="AJ211" i="16" s="1"/>
  <c r="AK211" i="16" s="1"/>
  <c r="T211" i="16"/>
  <c r="U211" i="16" s="1"/>
  <c r="V211" i="16" s="1"/>
  <c r="S211" i="16"/>
  <c r="AP211" i="16"/>
  <c r="AQ211" i="16" s="1"/>
  <c r="AA211" i="16"/>
  <c r="AB211" i="16" s="1"/>
  <c r="AC211" i="16" s="1"/>
  <c r="L212" i="16"/>
  <c r="Z211" i="16" l="1"/>
  <c r="AR211" i="16"/>
  <c r="AC210"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V214" i="16" s="1"/>
  <c r="X214" i="16"/>
  <c r="Y214" i="16" s="1"/>
  <c r="Z214" i="16" s="1"/>
  <c r="M214" i="16"/>
  <c r="N214" i="16" s="1"/>
  <c r="L215" i="16"/>
  <c r="AJ214" i="16" l="1"/>
  <c r="AQ214" i="16"/>
  <c r="AR214" i="16" s="1"/>
  <c r="AB214" i="16"/>
  <c r="X215" i="16"/>
  <c r="Y215" i="16" s="1"/>
  <c r="Z215" i="16" s="1"/>
  <c r="M215" i="16"/>
  <c r="AI215" i="16"/>
  <c r="AJ215" i="16" s="1"/>
  <c r="AK215" i="16" s="1"/>
  <c r="T215" i="16"/>
  <c r="U215" i="16" s="1"/>
  <c r="V215" i="16" s="1"/>
  <c r="S215" i="16"/>
  <c r="AP215" i="16"/>
  <c r="AQ215" i="16" s="1"/>
  <c r="AR215" i="16" s="1"/>
  <c r="AA215" i="16"/>
  <c r="AB215" i="16" s="1"/>
  <c r="AC215" i="16" s="1"/>
  <c r="N215" i="16"/>
  <c r="L216" i="16"/>
  <c r="AC214" i="16" l="1"/>
  <c r="AP216" i="16"/>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00" i="16" l="1"/>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T363" i="16"/>
  <c r="U363" i="16" s="1"/>
  <c r="AA363" i="16"/>
  <c r="G119" i="8" s="1"/>
  <c r="S363" i="16"/>
  <c r="M363" i="16"/>
  <c r="M9" i="16" s="1"/>
  <c r="L37" i="8" s="1"/>
  <c r="K37" i="8" s="1"/>
  <c r="AI363" i="16"/>
  <c r="AJ363" i="16" s="1"/>
  <c r="O10" i="16"/>
  <c r="Y9" i="16"/>
  <c r="L38" i="8" s="1"/>
  <c r="AK51" i="16"/>
  <c r="AK60" i="16"/>
  <c r="AK49" i="16"/>
  <c r="AK44" i="16"/>
  <c r="AK36" i="16"/>
  <c r="AK27" i="16"/>
  <c r="AK21" i="16"/>
  <c r="AK13" i="16"/>
  <c r="AK41" i="16"/>
  <c r="AK34" i="16"/>
  <c r="AK17" i="16"/>
  <c r="U69" i="8"/>
  <c r="U67" i="8"/>
  <c r="U70" i="8"/>
  <c r="U68" i="8"/>
  <c r="U71" i="8"/>
  <c r="U73" i="8"/>
  <c r="U72" i="8"/>
  <c r="AK28" i="16" l="1"/>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21"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4" i="16"/>
  <c r="AC27" i="16"/>
  <c r="AC34" i="16"/>
  <c r="AC42" i="16"/>
  <c r="AC40" i="16"/>
  <c r="AC49" i="16"/>
  <c r="AC53" i="16"/>
  <c r="AC55" i="16"/>
  <c r="AC58" i="16"/>
  <c r="AC61" i="16"/>
  <c r="AC62" i="16"/>
  <c r="AC64" i="16"/>
  <c r="AC65" i="16"/>
  <c r="AC67" i="16"/>
  <c r="AC69" i="16"/>
  <c r="AC71" i="16"/>
  <c r="AC72" i="16"/>
  <c r="AC78" i="16"/>
  <c r="AC79" i="16"/>
  <c r="AC83" i="16"/>
  <c r="AC84" i="16"/>
  <c r="AC89" i="16"/>
  <c r="AC90" i="16"/>
  <c r="AC92" i="16"/>
  <c r="AC95" i="16"/>
  <c r="AC97" i="16"/>
  <c r="AC98" i="16"/>
  <c r="AC99" i="16"/>
  <c r="AC101" i="16"/>
  <c r="AC104" i="16"/>
  <c r="AC103" i="16"/>
  <c r="AC110" i="16"/>
  <c r="AC112" i="16"/>
  <c r="AC116" i="16"/>
  <c r="AC120" i="16"/>
  <c r="AC127" i="16"/>
  <c r="AC130" i="16"/>
  <c r="AC129" i="16"/>
  <c r="AC133" i="16"/>
  <c r="AC135" i="16"/>
  <c r="AC136" i="16"/>
  <c r="AC141" i="16"/>
  <c r="AC144" i="16"/>
  <c r="AC143" i="16"/>
  <c r="AC142" i="16"/>
  <c r="AC146" i="16"/>
  <c r="AC147" i="16"/>
  <c r="AC148" i="16"/>
  <c r="AC149" i="16"/>
  <c r="AC150" i="16"/>
  <c r="AC154" i="16"/>
  <c r="AC153" i="16"/>
  <c r="AC156" i="16"/>
  <c r="AC161" i="16"/>
  <c r="AC159" i="16"/>
  <c r="AC164" i="16"/>
  <c r="AC166" i="16"/>
  <c r="AC165" i="16"/>
  <c r="AC169" i="16"/>
  <c r="AC172" i="16"/>
  <c r="AC173" i="16"/>
  <c r="AC175" i="16"/>
  <c r="AC177" i="16"/>
  <c r="AC178" i="16"/>
  <c r="AC182" i="16"/>
  <c r="AC180" i="16"/>
  <c r="AC181" i="16"/>
  <c r="AC183" i="16"/>
  <c r="AC185" i="16"/>
  <c r="AC187" i="16"/>
  <c r="AC190" i="16"/>
  <c r="AC191" i="16"/>
  <c r="AC192" i="16"/>
  <c r="AC193" i="16"/>
  <c r="AC198" i="16"/>
  <c r="AC201" i="16"/>
  <c r="V11" i="16"/>
  <c r="V17" i="16"/>
  <c r="V23" i="16"/>
  <c r="V26" i="16"/>
  <c r="V35" i="16"/>
  <c r="V47" i="16"/>
  <c r="AC17" i="16"/>
  <c r="AC16" i="16"/>
  <c r="AC23" i="16"/>
  <c r="AC30" i="16"/>
  <c r="AC32" i="16"/>
  <c r="AC35" i="16"/>
  <c r="AC45" i="16"/>
  <c r="AC47" i="16"/>
  <c r="AC48" i="16"/>
  <c r="AC14" i="16"/>
  <c r="AC13" i="16"/>
  <c r="AC15" i="16"/>
  <c r="AC28" i="16"/>
  <c r="AC29" i="16"/>
  <c r="AC31" i="16"/>
  <c r="AC33" i="16"/>
  <c r="AC36" i="16"/>
  <c r="AC38" i="16"/>
  <c r="AC37" i="16"/>
  <c r="AC39" i="16"/>
  <c r="AC43" i="16"/>
  <c r="AC50" i="16"/>
  <c r="AC51" i="16"/>
  <c r="AC54" i="16"/>
  <c r="AC56" i="16"/>
  <c r="AC57" i="16"/>
  <c r="AC59" i="16"/>
  <c r="AC60" i="16"/>
  <c r="AC66" i="16"/>
  <c r="AC70" i="16"/>
  <c r="AC75" i="16"/>
  <c r="AC82" i="16"/>
  <c r="AC87" i="16"/>
  <c r="AC88" i="16"/>
  <c r="AC93" i="16"/>
  <c r="AC100" i="16"/>
  <c r="AC106" i="16"/>
  <c r="AC107" i="16"/>
  <c r="AC118" i="16"/>
  <c r="AC119" i="16"/>
  <c r="AC121" i="16"/>
  <c r="AC123" i="16"/>
  <c r="AC125" i="16"/>
  <c r="AC126" i="16"/>
  <c r="AC128" i="16"/>
  <c r="AC131" i="16"/>
  <c r="AC139" i="16"/>
  <c r="AC137" i="16"/>
  <c r="AC157" i="16"/>
  <c r="AC158" i="16"/>
  <c r="AC162" i="16"/>
  <c r="AC163" i="16"/>
  <c r="AC170" i="16"/>
  <c r="AC171"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Q287" i="16"/>
  <c r="P62" i="16"/>
  <c r="P58" i="16"/>
  <c r="P54" i="16"/>
  <c r="P50" i="16"/>
  <c r="P46" i="16"/>
  <c r="P42" i="16"/>
  <c r="P38" i="16"/>
  <c r="P34" i="16"/>
  <c r="P30" i="16"/>
  <c r="P26" i="16"/>
  <c r="P65" i="16"/>
  <c r="P61" i="16"/>
  <c r="P57" i="16"/>
  <c r="P53" i="16"/>
  <c r="P49" i="16"/>
  <c r="P45" i="16"/>
  <c r="P41" i="16"/>
  <c r="P37" i="16"/>
  <c r="P33" i="16"/>
  <c r="P29" i="16"/>
  <c r="P25" i="16"/>
  <c r="AC138" i="16" l="1"/>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363" i="16"/>
  <c r="AC151" i="16"/>
  <c r="AC122" i="16"/>
  <c r="AC117" i="16"/>
  <c r="Q247" i="16"/>
  <c r="Q328" i="16"/>
  <c r="Q231" i="16"/>
  <c r="Q292" i="16"/>
  <c r="Q264" i="16"/>
  <c r="Q240" i="16"/>
  <c r="Q324" i="16"/>
  <c r="Q359" i="16"/>
  <c r="Q352" i="16"/>
  <c r="Q272" i="16"/>
  <c r="Q343" i="16"/>
  <c r="Q356"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R357" i="16"/>
  <c r="Q163" i="16"/>
  <c r="R229" i="16"/>
  <c r="Q115" i="16"/>
  <c r="Q114" i="16"/>
  <c r="Q190" i="16"/>
  <c r="Q130" i="16"/>
  <c r="Q36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361"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1" i="8"/>
  <c r="O50" i="8"/>
  <c r="M52" i="8"/>
  <c r="M48" i="8"/>
  <c r="M51" i="8"/>
  <c r="M49" i="8"/>
  <c r="M50" i="8"/>
  <c r="AT13" i="16"/>
  <c r="AU13" i="16" s="1"/>
  <c r="U94" i="8"/>
  <c r="AS14" i="16"/>
  <c r="AM13" i="16"/>
  <c r="AN13" i="16" s="1"/>
  <c r="E51" i="8" l="1"/>
  <c r="AH93" i="8"/>
  <c r="K40" i="8"/>
  <c r="O49" i="8"/>
  <c r="O48" i="8"/>
  <c r="Q121" i="8" s="1"/>
  <c r="X92" i="8"/>
  <c r="AL92" i="8" s="1"/>
  <c r="AU11" i="16"/>
  <c r="AH94" i="8"/>
  <c r="E52" i="8"/>
  <c r="K38" i="8"/>
  <c r="M121" i="8"/>
  <c r="AH92"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<sst xmlns="http://schemas.openxmlformats.org/spreadsheetml/2006/main" count="9786" uniqueCount="899">
  <si>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</si>
  <si>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</si>
  <si>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</si>
  <si>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</si>
  <si>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</si>
  <si>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</si>
  <si>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</si>
  <si>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</si>
  <si>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</si>
  <si>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</si>
  <si>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</si>
  <si>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</si>
  <si>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</si>
  <si>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</si>
  <si>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</si>
  <si>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</si>
  <si>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</si>
  <si>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</si>
  <si>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</si>
  <si>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</si>
  <si>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</si>
  <si>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</si>
  <si>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</si>
  <si>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</si>
  <si>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</si>
  <si>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</si>
  <si>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</si>
  <si>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</si>
  <si>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</si>
  <si>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</si>
  <si>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</si>
  <si>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</si>
  <si>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</si>
  <si>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</si>
  <si>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</si>
  <si>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</si>
  <si>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</si>
  <si>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</si>
  <si>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</si>
  <si>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</si>
  <si>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</si>
  <si>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</si>
  <si>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</si>
  <si>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</si>
  <si>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</si>
  <si>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</si>
  <si>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</si>
  <si>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</si>
  <si>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</si>
  <si>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</si>
  <si>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</si>
  <si>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</si>
  <si>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</si>
  <si>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</si>
  <si>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</si>
  <si>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</si>
  <si>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</si>
  <si>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</si>
  <si>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</si>
  <si>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</si>
  <si>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</si>
  <si>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</si>
  <si>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</si>
  <si>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</si>
  <si>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</si>
  <si>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</si>
  <si>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</si>
  <si>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</si>
  <si>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</si>
  <si>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</si>
  <si>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</si>
  <si>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</si>
  <si>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</si>
  <si>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</si>
  <si>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</si>
  <si>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</si>
  <si>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</si>
  <si>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</si>
  <si>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</si>
  <si>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</si>
  <si>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</si>
  <si>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</si>
  <si>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</si>
  <si>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</si>
  <si>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</si>
  <si>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</si>
  <si>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</si>
  <si>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</si>
  <si>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</si>
  <si>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</si>
  <si>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</si>
  <si>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</si>
  <si>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</si>
  <si>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</si>
  <si>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</si>
  <si>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</si>
  <si>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</si>
  <si>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</si>
  <si>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</si>
  <si>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</si>
  <si>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</si>
  <si>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</si>
  <si>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</si>
  <si>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</si>
  <si>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</si>
  <si>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</si>
  <si>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</si>
  <si>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</si>
  <si>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</si>
  <si>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</si>
  <si>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</si>
  <si>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</si>
  <si>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</si>
  <si>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</si>
  <si>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</si>
  <si>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</si>
  <si>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</si>
  <si>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</si>
  <si>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</si>
  <si>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</si>
  <si>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</si>
  <si>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</si>
  <si>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</si>
  <si>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</si>
  <si>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</si>
  <si>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</si>
  <si>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</si>
  <si>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</si>
  <si>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</si>
  <si>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</si>
  <si>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</si>
  <si>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</si>
  <si>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</si>
  <si>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</si>
  <si>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</si>
  <si>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</si>
  <si>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</si>
  <si>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</si>
  <si>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</si>
  <si>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</si>
  <si>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</si>
  <si>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</si>
  <si>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</si>
  <si>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</si>
  <si>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</si>
  <si>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</si>
  <si>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</si>
  <si>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</si>
  <si>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</si>
  <si>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</si>
  <si>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</si>
  <si>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</si>
  <si>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</si>
  <si>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</si>
  <si>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</si>
  <si>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</si>
  <si>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</si>
  <si>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</si>
  <si>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</si>
  <si>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</si>
  <si>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</si>
  <si>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</si>
  <si>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</si>
  <si>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</si>
  <si>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</si>
  <si>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</si>
  <si>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</si>
  <si>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</si>
  <si>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</si>
  <si>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</si>
  <si>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</si>
  <si>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</si>
  <si>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</si>
  <si>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</si>
  <si>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</si>
  <si>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</si>
  <si>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</si>
  <si>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</si>
  <si>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</si>
  <si>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</si>
  <si>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</si>
  <si>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</si>
  <si>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</si>
  <si>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</si>
  <si>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</si>
  <si>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</si>
  <si>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</si>
  <si>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</si>
  <si>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</si>
  <si>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</si>
  <si>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</si>
  <si>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</si>
  <si>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</si>
  <si>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</si>
  <si>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</si>
  <si>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</si>
  <si>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</si>
  <si>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</si>
  <si>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</si>
  <si>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</si>
  <si>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</si>
  <si>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</si>
  <si>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</si>
  <si>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</si>
  <si>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</si>
  <si>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</si>
  <si>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</si>
  <si>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</si>
  <si>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</si>
  <si>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</si>
  <si>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</si>
  <si>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</si>
  <si>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</si>
  <si>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</si>
  <si>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</si>
  <si>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</si>
  <si>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</si>
  <si>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</si>
  <si>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</si>
  <si>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</si>
  <si>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</si>
  <si>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</si>
  <si>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</si>
  <si>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</si>
  <si>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</si>
  <si>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</si>
  <si>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</si>
  <si>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</si>
  <si>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</si>
  <si>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</si>
  <si>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</si>
  <si>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</si>
  <si>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</si>
  <si>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</si>
  <si>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</si>
  <si>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</si>
  <si>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</si>
  <si>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</si>
  <si>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</si>
  <si>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</si>
  <si>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</si>
  <si>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</si>
  <si>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</si>
  <si>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</si>
  <si>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</si>
  <si>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</si>
  <si>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</si>
  <si>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</si>
  <si>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</si>
  <si>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</si>
  <si>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</si>
  <si>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</si>
  <si>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</si>
  <si>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</si>
  <si>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</si>
  <si>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</si>
  <si>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</si>
  <si>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</si>
  <si>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</si>
  <si>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</si>
  <si>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</si>
  <si>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</si>
  <si>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</si>
  <si>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</si>
  <si>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</si>
  <si>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</si>
  <si>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</si>
  <si>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</si>
  <si>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</si>
  <si>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</si>
  <si>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</si>
  <si>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</si>
  <si>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</si>
  <si>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</si>
  <si>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</si>
  <si>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</si>
  <si>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</si>
  <si>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</si>
  <si>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</si>
  <si>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</si>
  <si>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</si>
  <si>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</si>
  <si>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</si>
  <si>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</si>
  <si>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</si>
  <si>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</si>
  <si>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</si>
  <si>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</si>
  <si>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</si>
  <si>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</si>
  <si>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</si>
  <si>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</si>
  <si>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</si>
  <si>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</si>
  <si>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</si>
  <si>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</si>
  <si>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</si>
  <si>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</si>
  <si>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</si>
  <si>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</si>
  <si>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</si>
  <si>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</si>
  <si>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</si>
  <si>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</si>
  <si>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</si>
  <si>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</si>
  <si>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</si>
  <si>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</si>
  <si>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</si>
  <si>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</si>
  <si>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</si>
  <si>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</si>
  <si>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</si>
  <si>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</si>
  <si>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</si>
  <si>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</si>
  <si>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</si>
  <si>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</si>
  <si>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</si>
  <si>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</si>
  <si>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</si>
  <si>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</si>
  <si>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</si>
  <si>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</si>
  <si>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</si>
  <si>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</si>
  <si>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</si>
  <si>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</si>
  <si>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</si>
  <si>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</si>
  <si>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</si>
  <si>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</si>
  <si>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</si>
  <si>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</si>
  <si>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</si>
  <si>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</si>
  <si>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</si>
  <si>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</si>
  <si>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</si>
  <si>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</si>
  <si>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</si>
  <si>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</si>
  <si>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</si>
  <si>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</si>
  <si>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</si>
  <si>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</si>
  <si>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</si>
  <si>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</si>
  <si>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</si>
  <si>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</si>
  <si>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</si>
  <si>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</si>
  <si>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</si>
  <si>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</si>
  <si>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</si>
  <si>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</si>
  <si>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</si>
  <si>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</si>
  <si>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</si>
  <si>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</si>
  <si>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</si>
  <si>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</si>
  <si>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</si>
  <si>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</si>
  <si>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</si>
  <si>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</si>
  <si>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</si>
  <si>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</si>
  <si>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</si>
  <si>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</si>
  <si>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</si>
  <si>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</si>
  <si>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</si>
  <si>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</si>
  <si>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</si>
  <si>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</si>
  <si>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</si>
  <si>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</si>
  <si>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</si>
  <si>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</si>
  <si>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</si>
  <si>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</si>
  <si>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</si>
  <si>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</si>
  <si>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</si>
  <si>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</si>
  <si>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</si>
  <si>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</si>
  <si>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</si>
  <si>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</si>
  <si>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</si>
  <si>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</si>
  <si>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</si>
  <si>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</si>
  <si>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</si>
  <si>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</si>
  <si>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</si>
  <si>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</si>
  <si>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</si>
  <si>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</si>
  <si>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</si>
  <si>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</si>
  <si>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</si>
  <si>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</si>
  <si>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</si>
  <si>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</si>
  <si>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</si>
  <si>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</si>
  <si>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</si>
  <si>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</si>
  <si>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</si>
  <si>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</si>
  <si>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</si>
  <si>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</si>
  <si>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</si>
  <si>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</si>
  <si>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</si>
  <si>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</si>
  <si>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</si>
  <si>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</si>
  <si>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</si>
  <si>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</si>
  <si>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</si>
  <si>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</si>
  <si>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</si>
  <si>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</si>
  <si>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</si>
  <si>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</si>
  <si>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</si>
  <si>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</si>
  <si>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</si>
  <si>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</si>
  <si>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</si>
  <si>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</si>
  <si>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</si>
  <si>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</si>
  <si>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</si>
  <si>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</si>
  <si>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</si>
  <si>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</si>
  <si>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</si>
  <si>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</si>
  <si>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</si>
  <si>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</si>
  <si>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</si>
  <si>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</si>
  <si>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</si>
  <si>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</si>
  <si>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</si>
  <si>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</si>
  <si>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</si>
  <si>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</si>
  <si>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</si>
  <si>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</si>
  <si>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</si>
  <si>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</si>
  <si>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</si>
  <si>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</si>
  <si>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</si>
  <si>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</si>
  <si>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</si>
  <si>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</si>
  <si>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</si>
  <si>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</si>
  <si>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</si>
  <si>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</si>
  <si>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</si>
  <si>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</si>
  <si>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</si>
  <si>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</si>
  <si>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</si>
  <si>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</si>
  <si>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</si>
  <si>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</si>
  <si>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</si>
  <si>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</si>
  <si>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</si>
  <si>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</si>
  <si>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</si>
  <si>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</si>
  <si>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</si>
  <si>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</si>
  <si>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</si>
  <si>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</si>
  <si>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</si>
  <si>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</si>
  <si>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</si>
  <si>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</si>
  <si>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</si>
  <si>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</si>
  <si>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</si>
  <si>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</si>
  <si>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</si>
  <si>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</si>
  <si>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</si>
  <si>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</si>
  <si>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</si>
  <si>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</si>
  <si>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</si>
  <si>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</si>
  <si>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</si>
  <si>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</si>
  <si>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</si>
  <si>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</si>
  <si>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</si>
  <si>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</si>
  <si>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</si>
  <si>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</si>
  <si>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</si>
  <si>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</si>
  <si>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</si>
  <si>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</si>
  <si>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</si>
  <si>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</si>
  <si>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</si>
  <si>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</si>
  <si>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</si>
  <si>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</si>
  <si>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</si>
  <si>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</si>
  <si>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</si>
  <si>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</si>
  <si>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</si>
  <si>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</si>
  <si>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</si>
  <si>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</si>
  <si>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</si>
  <si>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</si>
  <si>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</si>
  <si>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</si>
  <si>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</si>
  <si>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</si>
  <si>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</si>
  <si>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</si>
  <si>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</si>
  <si>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</si>
  <si>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</si>
  <si>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</si>
  <si>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</si>
  <si>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</si>
  <si>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</si>
  <si>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</si>
  <si>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</si>
  <si>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</si>
  <si>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</si>
  <si>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</si>
  <si>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</si>
  <si>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</si>
  <si>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</si>
  <si>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</si>
  <si>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</si>
  <si>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</si>
  <si>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</si>
  <si>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</si>
  <si>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</si>
  <si>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</si>
  <si>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</si>
  <si>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</si>
  <si>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</si>
  <si>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</si>
  <si>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</si>
  <si>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</si>
  <si>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</si>
  <si>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</si>
  <si>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</si>
  <si>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</si>
  <si>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</si>
  <si>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</si>
  <si>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</si>
  <si>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</si>
  <si>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</si>
  <si>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</si>
  <si>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</si>
  <si>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</si>
  <si>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</si>
  <si>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</si>
  <si>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</si>
  <si>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</si>
  <si>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</si>
  <si>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</si>
  <si>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</si>
  <si>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</si>
  <si>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</si>
  <si>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</si>
  <si>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</si>
  <si>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</si>
  <si>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</si>
  <si>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</si>
  <si>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</si>
  <si>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</si>
  <si>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</si>
  <si>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</si>
  <si>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</si>
  <si>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</si>
  <si>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</si>
  <si>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</si>
  <si>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</si>
  <si>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</si>
  <si>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</si>
  <si>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</si>
  <si>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</si>
  <si>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</si>
  <si>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</si>
  <si>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</si>
  <si>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</si>
  <si>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</si>
  <si>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</si>
  <si>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</si>
  <si>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</si>
  <si>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</si>
  <si>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</si>
  <si>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</si>
  <si>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</si>
  <si>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</si>
  <si>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</si>
  <si>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</si>
  <si>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</si>
  <si>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</si>
  <si>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</si>
  <si>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</si>
  <si>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</si>
  <si>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</si>
  <si>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</si>
  <si>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</si>
  <si>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</si>
  <si>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</si>
  <si>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</si>
  <si>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</si>
  <si>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</si>
  <si>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</si>
  <si>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</si>
  <si>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</si>
  <si>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</si>
  <si>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</si>
  <si>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</si>
  <si>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</si>
  <si>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</si>
  <si>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</si>
  <si>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</si>
  <si>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</si>
  <si>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</si>
  <si>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</si>
  <si>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</si>
  <si>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</si>
  <si>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</si>
  <si>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</si>
  <si>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</si>
  <si>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</si>
  <si>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</si>
  <si>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</si>
  <si>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</si>
  <si>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</si>
  <si>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</si>
  <si>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</si>
  <si>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</si>
  <si>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</si>
  <si>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</si>
  <si>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</si>
  <si>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</si>
  <si>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</si>
  <si>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</si>
  <si>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</si>
  <si>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</si>
  <si>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</si>
  <si>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</si>
  <si>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</si>
  <si>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</si>
  <si>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</si>
  <si>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</si>
  <si>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</si>
  <si>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</si>
  <si>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</si>
  <si>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</si>
  <si>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</si>
  <si>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</si>
  <si>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</si>
  <si>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</si>
  <si>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</si>
  <si>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</si>
  <si>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</si>
  <si>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</si>
  <si>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</si>
  <si>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</si>
  <si>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</si>
  <si>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</si>
  <si>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</si>
  <si>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</si>
  <si>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</si>
  <si>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</si>
  <si>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</si>
  <si>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</si>
  <si>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</si>
  <si>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</si>
  <si>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</si>
  <si>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</si>
  <si>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</si>
  <si>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</si>
  <si>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</si>
  <si>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</si>
  <si>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</si>
  <si>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</si>
  <si>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</si>
  <si>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</si>
  <si>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</si>
  <si>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</si>
  <si>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</si>
  <si>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</si>
  <si>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</si>
  <si>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</si>
  <si>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</si>
  <si>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</si>
  <si>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</si>
  <si>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</si>
  <si>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</si>
  <si>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</si>
  <si>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</si>
  <si>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</si>
  <si>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</si>
  <si>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</si>
  <si>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</si>
  <si>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</si>
  <si>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</si>
  <si>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</si>
  <si>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</si>
  <si>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</si>
  <si>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</si>
  <si>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</si>
  <si>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</si>
  <si>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</si>
  <si>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</si>
  <si>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</si>
  <si>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</si>
  <si>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</si>
  <si>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</si>
  <si>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</si>
  <si>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</si>
  <si>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</si>
  <si>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</si>
  <si>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</si>
  <si>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</si>
  <si>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</si>
  <si>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</si>
  <si>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</si>
  <si>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</si>
  <si>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</si>
  <si>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</si>
  <si>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</si>
  <si>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</si>
  <si>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</si>
  <si>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</si>
  <si>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</si>
  <si>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</si>
  <si>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</si>
  <si>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</si>
  <si>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</si>
  <si>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</si>
  <si>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</si>
  <si>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</si>
  <si>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</si>
  <si>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</si>
  <si>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</si>
  <si>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</si>
  <si>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</si>
  <si>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</si>
  <si>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</si>
  <si>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</si>
  <si>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</si>
  <si>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</si>
  <si>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</si>
  <si>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</si>
  <si>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</si>
  <si>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</si>
  <si>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</si>
  <si>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</si>
  <si>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</si>
  <si>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</si>
  <si>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</si>
  <si>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</si>
  <si>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</si>
  <si>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</si>
  <si>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</si>
  <si>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</si>
  <si>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</si>
  <si>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</si>
  <si>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</si>
  <si>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</si>
  <si>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</si>
  <si>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</si>
  <si>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</si>
  <si>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</si>
  <si>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</si>
  <si>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</si>
  <si>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</si>
  <si>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</si>
  <si>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</si>
  <si>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</si>
  <si>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</si>
  <si>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</si>
  <si>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</si>
  <si>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</si>
  <si>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</si>
  <si>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</si>
  <si>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</si>
  <si>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</si>
  <si>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</si>
  <si>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</si>
  <si>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</si>
  <si>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</si>
  <si>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</si>
  <si>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</si>
  <si>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</si>
  <si>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</si>
  <si>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</si>
  <si>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</si>
  <si>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</si>
  <si>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</si>
  <si>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</si>
  <si>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</si>
  <si>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</si>
  <si>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</si>
  <si>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</si>
  <si>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</si>
  <si>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</si>
  <si>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</si>
  <si>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</si>
  <si>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</si>
  <si>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</si>
  <si>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</si>
  <si>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</si>
  <si>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</si>
  <si>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</si>
  <si>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</si>
  <si>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</si>
  <si>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</si>
  <si>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</si>
  <si>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</si>
  <si>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</si>
  <si>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</si>
  <si>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</si>
  <si>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</si>
  <si>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</si>
  <si>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</si>
  <si>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</si>
  <si>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</si>
  <si>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</si>
  <si>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</si>
  <si>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</si>
  <si>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</si>
  <si>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</si>
  <si>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</si>
  <si>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</si>
  <si>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</si>
  <si>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</si>
  <si>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</si>
  <si>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</si>
  <si>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</si>
  <si>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</si>
  <si>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</si>
  <si>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</si>
  <si>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</si>
  <si>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</si>
  <si>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</si>
  <si>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</si>
  <si>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</si>
  <si>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</si>
  <si>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</si>
  <si>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</si>
  <si>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</si>
  <si>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</si>
  <si>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</si>
  <si>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</si>
  <si>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</si>
  <si>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</si>
  <si>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</si>
  <si>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</si>
  <si>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</si>
  <si>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</si>
  <si>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</si>
  <si>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</si>
  <si>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</si>
  <si>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</si>
  <si>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</si>
  <si>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</si>
  <si>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</si>
  <si>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</si>
  <si>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</si>
  <si>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</si>
  <si>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</si>
  <si>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</si>
  <si>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</si>
  <si>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</si>
  <si>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</si>
  <si>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</si>
  <si>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</si>
  <si>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</si>
  <si>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www.wastedataflow.org</t>
  </si>
  <si>
    <t>Recycling rate</t>
  </si>
  <si>
    <t>D</t>
  </si>
  <si>
    <t>Annual up to 31 March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</si>
</sst>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8"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0" fillId="0" borderId="0" xfId="0" applyFont="1" applyAlignment="1">
      <alignment horizontal="center"/>
    </xf>
    <xf numFmtId="0" fontId="8" fillId="21" borderId="0" xfId="0" applyFont="1" applyFill="1" applyAlignment="1">
      <alignment horizontal="center"/>
    </xf>
    <xf numFmtId="2" fontId="0" fillId="0" borderId="0" xfId="52" applyNumberFormat="1" applyFont="1" applyAlignment="1">
      <alignment horizontal="center"/>
    </xf>
    <xf numFmtId="0" fontId="8" fillId="0" borderId="0" xfId="0" applyFont="1" applyAlignment="1">
      <alignment horizontal="center"/>
    </xf>
    <xf numFmtId="2" fontId="8" fillId="21" borderId="0" xfId="4" applyNumberFormat="1" applyFont="1" applyFill="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1" fontId="9" fillId="0" borderId="4" xfId="4" applyNumberFormat="1" applyFont="1" applyBorder="1" applyAlignment="1">
      <alignment horizontal="center"/>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2" fontId="0" fillId="0" borderId="0" xfId="0" applyNumberFormat="1" applyBorder="1" applyAlignment="1">
      <alignment horizontal="center"/>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8" fillId="23" borderId="0" xfId="0" applyFont="1" applyFill="1" applyAlignment="1">
      <alignment horizontal="center" vertical="center"/>
    </xf>
    <xf numFmtId="43" fontId="0" fillId="0" borderId="6" xfId="54" applyNumberFormat="1" applyFont="1" applyBorder="1" applyAlignment="1">
      <alignment horizontal="center"/>
    </xf>
    <xf numFmtId="43" fontId="7" fillId="0" borderId="6" xfId="54" applyNumberFormat="1" applyFont="1" applyBorder="1" applyAlignment="1">
      <alignment horizontal="center"/>
    </xf>
    <xf numFmtId="164" fontId="0" fillId="0" borderId="6" xfId="54" applyNumberFormat="1" applyFont="1" applyBorder="1" applyAlignment="1">
      <alignment horizontal="center"/>
    </xf>
    <xf numFmtId="0" fontId="10" fillId="2" borderId="4" xfId="0" applyFont="1" applyFill="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43" fontId="0" fillId="0" borderId="15" xfId="54" applyNumberFormat="1" applyFont="1" applyBorder="1" applyAlignment="1">
      <alignment horizontal="center"/>
    </xf>
    <xf numFmtId="0" fontId="23" fillId="23" borderId="0" xfId="0"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2" fontId="8" fillId="0" borderId="0" xfId="4" applyNumberFormat="1" applyFont="1" applyAlignment="1">
      <alignment horizontal="right"/>
    </xf>
    <xf numFmtId="166" fontId="0" fillId="0" borderId="0" xfId="54" applyNumberFormat="1" applyFont="1" applyAlignment="1">
      <alignment horizontal="center"/>
    </xf>
    <xf numFmtId="0" fontId="25" fillId="23" borderId="0" xfId="0" quotePrefix="1" applyNumberFormat="1"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5"/>
          <c:w val="0.94318861790915465"/>
          <c:h val="0.798165234335877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4"/>
                <c:pt idx="143">
                  <c:v>u</c:v>
                </c:pt>
              </c:strCache>
            </c:strRef>
          </c:cat>
          <c:val>
            <c:numRef>
              <c:f>[0]!TopQuart</c:f>
              <c:numCache>
                <c:formatCode>General</c:formatCode>
                <c:ptCount val="194"/>
                <c:pt idx="0">
                  <c:v>65.708340724934232</c:v>
                </c:pt>
                <c:pt idx="1">
                  <c:v>65.473069918815895</c:v>
                </c:pt>
                <c:pt idx="2">
                  <c:v>65.270695740873862</c:v>
                </c:pt>
                <c:pt idx="3">
                  <c:v>62.441361698374735</c:v>
                </c:pt>
                <c:pt idx="4">
                  <c:v>59.057999330491505</c:v>
                </c:pt>
                <c:pt idx="5">
                  <c:v>58.577351769871676</c:v>
                </c:pt>
                <c:pt idx="6">
                  <c:v>58.130843546361163</c:v>
                </c:pt>
                <c:pt idx="7">
                  <c:v>58.118973569519142</c:v>
                </c:pt>
                <c:pt idx="8">
                  <c:v>58.049701934853793</c:v>
                </c:pt>
                <c:pt idx="9">
                  <c:v>57.931242550816577</c:v>
                </c:pt>
                <c:pt idx="10">
                  <c:v>57.503504969993116</c:v>
                </c:pt>
                <c:pt idx="11">
                  <c:v>57.437160147327226</c:v>
                </c:pt>
                <c:pt idx="12">
                  <c:v>57.420578330135285</c:v>
                </c:pt>
                <c:pt idx="13">
                  <c:v>57.300867149914744</c:v>
                </c:pt>
                <c:pt idx="14">
                  <c:v>57.255793074863057</c:v>
                </c:pt>
                <c:pt idx="15">
                  <c:v>57.048742128703744</c:v>
                </c:pt>
                <c:pt idx="16">
                  <c:v>56.72268126034016</c:v>
                </c:pt>
                <c:pt idx="17">
                  <c:v>56.075014517177898</c:v>
                </c:pt>
                <c:pt idx="18">
                  <c:v>56.040492474467982</c:v>
                </c:pt>
                <c:pt idx="19">
                  <c:v>55.677507389209389</c:v>
                </c:pt>
                <c:pt idx="20">
                  <c:v>55.361858744086199</c:v>
                </c:pt>
                <c:pt idx="21">
                  <c:v>55.168533152876286</c:v>
                </c:pt>
                <c:pt idx="22">
                  <c:v>54.732657780304464</c:v>
                </c:pt>
                <c:pt idx="23">
                  <c:v>54.582609569892369</c:v>
                </c:pt>
                <c:pt idx="24">
                  <c:v>53.902874884278653</c:v>
                </c:pt>
                <c:pt idx="25">
                  <c:v>53.689262021030871</c:v>
                </c:pt>
                <c:pt idx="26">
                  <c:v>53.688091266932638</c:v>
                </c:pt>
                <c:pt idx="27">
                  <c:v>53.567641525853659</c:v>
                </c:pt>
                <c:pt idx="28">
                  <c:v>53.315074748243539</c:v>
                </c:pt>
                <c:pt idx="29">
                  <c:v>53.168221025641927</c:v>
                </c:pt>
                <c:pt idx="30">
                  <c:v>53.158472831922566</c:v>
                </c:pt>
                <c:pt idx="31">
                  <c:v>52.772356110738961</c:v>
                </c:pt>
                <c:pt idx="32">
                  <c:v>52.655199715275423</c:v>
                </c:pt>
                <c:pt idx="33">
                  <c:v>52.611230677475454</c:v>
                </c:pt>
                <c:pt idx="34">
                  <c:v>52.585278120656753</c:v>
                </c:pt>
                <c:pt idx="35">
                  <c:v>52.291724434530209</c:v>
                </c:pt>
                <c:pt idx="36">
                  <c:v>52.233537392283921</c:v>
                </c:pt>
                <c:pt idx="37">
                  <c:v>52.040115154620914</c:v>
                </c:pt>
                <c:pt idx="38">
                  <c:v>51.780678513074406</c:v>
                </c:pt>
                <c:pt idx="39">
                  <c:v>51.342982078523306</c:v>
                </c:pt>
                <c:pt idx="40">
                  <c:v>51.249359010124429</c:v>
                </c:pt>
                <c:pt idx="41">
                  <c:v>51.204395078744213</c:v>
                </c:pt>
                <c:pt idx="42">
                  <c:v>51.199588387997764</c:v>
                </c:pt>
                <c:pt idx="43">
                  <c:v>51.021913361656942</c:v>
                </c:pt>
                <c:pt idx="44">
                  <c:v>51.003269868855774</c:v>
                </c:pt>
                <c:pt idx="45">
                  <c:v>50.935911490425077</c:v>
                </c:pt>
                <c:pt idx="46">
                  <c:v>50.763483511271559</c:v>
                </c:pt>
                <c:pt idx="47">
                  <c:v>50.737359941064632</c:v>
                </c:pt>
                <c:pt idx="48">
                  <c:v>50.565532911270019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4"/>
                <c:pt idx="143">
                  <c:v>u</c:v>
                </c:pt>
              </c:strCache>
            </c:strRef>
          </c:cat>
          <c:val>
            <c:numRef>
              <c:f>[0]!SecQuart</c:f>
              <c:numCache>
                <c:formatCode>General</c:formatCode>
                <c:ptCount val="19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50.539606257099869</c:v>
                </c:pt>
                <c:pt idx="50">
                  <c:v>50.299453296035878</c:v>
                </c:pt>
                <c:pt idx="51">
                  <c:v>50.298542854698688</c:v>
                </c:pt>
                <c:pt idx="52">
                  <c:v>49.798661083678645</c:v>
                </c:pt>
                <c:pt idx="53">
                  <c:v>49.469664670690875</c:v>
                </c:pt>
                <c:pt idx="54">
                  <c:v>49.429602985991522</c:v>
                </c:pt>
                <c:pt idx="55">
                  <c:v>49.150863149809325</c:v>
                </c:pt>
                <c:pt idx="56">
                  <c:v>49.147663837426833</c:v>
                </c:pt>
                <c:pt idx="57">
                  <c:v>49.119402928455578</c:v>
                </c:pt>
                <c:pt idx="58">
                  <c:v>48.665604514495357</c:v>
                </c:pt>
                <c:pt idx="59">
                  <c:v>48.530077377035923</c:v>
                </c:pt>
                <c:pt idx="60">
                  <c:v>48.484562449853321</c:v>
                </c:pt>
                <c:pt idx="61">
                  <c:v>48.320440679736038</c:v>
                </c:pt>
                <c:pt idx="62">
                  <c:v>48.181228496988616</c:v>
                </c:pt>
                <c:pt idx="63">
                  <c:v>47.733208864810791</c:v>
                </c:pt>
                <c:pt idx="64">
                  <c:v>47.668863037973225</c:v>
                </c:pt>
                <c:pt idx="65">
                  <c:v>47.196672158175119</c:v>
                </c:pt>
                <c:pt idx="66">
                  <c:v>47.005393325679925</c:v>
                </c:pt>
                <c:pt idx="67">
                  <c:v>46.917586514297398</c:v>
                </c:pt>
                <c:pt idx="68">
                  <c:v>46.89825318561946</c:v>
                </c:pt>
                <c:pt idx="69">
                  <c:v>46.84733084198006</c:v>
                </c:pt>
                <c:pt idx="70">
                  <c:v>46.732302255695714</c:v>
                </c:pt>
                <c:pt idx="71">
                  <c:v>46.708854585493476</c:v>
                </c:pt>
                <c:pt idx="72">
                  <c:v>46.626546183365889</c:v>
                </c:pt>
                <c:pt idx="73">
                  <c:v>46.619732655439414</c:v>
                </c:pt>
                <c:pt idx="74">
                  <c:v>46.563971912469377</c:v>
                </c:pt>
                <c:pt idx="75">
                  <c:v>46.361769701963219</c:v>
                </c:pt>
                <c:pt idx="76">
                  <c:v>46.34556490472292</c:v>
                </c:pt>
                <c:pt idx="77">
                  <c:v>46.25929990686388</c:v>
                </c:pt>
                <c:pt idx="78">
                  <c:v>46.23687813351529</c:v>
                </c:pt>
                <c:pt idx="79">
                  <c:v>46.197658459556692</c:v>
                </c:pt>
                <c:pt idx="80">
                  <c:v>46.097421731703818</c:v>
                </c:pt>
                <c:pt idx="81">
                  <c:v>46.04286502455723</c:v>
                </c:pt>
                <c:pt idx="82">
                  <c:v>46.041160520724162</c:v>
                </c:pt>
                <c:pt idx="83">
                  <c:v>45.874110140541248</c:v>
                </c:pt>
                <c:pt idx="84">
                  <c:v>45.573976677903175</c:v>
                </c:pt>
                <c:pt idx="85">
                  <c:v>45.48028751004049</c:v>
                </c:pt>
                <c:pt idx="86">
                  <c:v>45.444127409908404</c:v>
                </c:pt>
                <c:pt idx="87">
                  <c:v>45.330219638247947</c:v>
                </c:pt>
                <c:pt idx="88">
                  <c:v>45.204454209917543</c:v>
                </c:pt>
                <c:pt idx="89">
                  <c:v>45.170180450046118</c:v>
                </c:pt>
                <c:pt idx="90">
                  <c:v>45.018446798962401</c:v>
                </c:pt>
                <c:pt idx="91">
                  <c:v>44.75314684666499</c:v>
                </c:pt>
                <c:pt idx="92">
                  <c:v>44.671540423656452</c:v>
                </c:pt>
                <c:pt idx="93">
                  <c:v>44.578188056637032</c:v>
                </c:pt>
                <c:pt idx="94">
                  <c:v>44.428833990112047</c:v>
                </c:pt>
                <c:pt idx="95">
                  <c:v>44.411996677580774</c:v>
                </c:pt>
                <c:pt idx="96">
                  <c:v>44.374634072339241</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4"/>
                <c:pt idx="143">
                  <c:v>u</c:v>
                </c:pt>
              </c:strCache>
            </c:strRef>
          </c:cat>
          <c:val>
            <c:numRef>
              <c:f>[0]!ThirdQuart</c:f>
              <c:numCache>
                <c:formatCode>General</c:formatCode>
                <c:ptCount val="19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44.341138855228053</c:v>
                </c:pt>
                <c:pt idx="98">
                  <c:v>44.21870531551366</c:v>
                </c:pt>
                <c:pt idx="99">
                  <c:v>44.150176362655394</c:v>
                </c:pt>
                <c:pt idx="100">
                  <c:v>44.102031230782735</c:v>
                </c:pt>
                <c:pt idx="101">
                  <c:v>44.059842204769325</c:v>
                </c:pt>
                <c:pt idx="102">
                  <c:v>44.001826493890697</c:v>
                </c:pt>
                <c:pt idx="103">
                  <c:v>43.872562179386499</c:v>
                </c:pt>
                <c:pt idx="104">
                  <c:v>43.735476779538843</c:v>
                </c:pt>
                <c:pt idx="105">
                  <c:v>43.66032017717523</c:v>
                </c:pt>
                <c:pt idx="106">
                  <c:v>43.508692221239151</c:v>
                </c:pt>
                <c:pt idx="107">
                  <c:v>43.419087694055278</c:v>
                </c:pt>
                <c:pt idx="108">
                  <c:v>43.322355020552621</c:v>
                </c:pt>
                <c:pt idx="109">
                  <c:v>43.164021039382853</c:v>
                </c:pt>
                <c:pt idx="110">
                  <c:v>43.145516976530615</c:v>
                </c:pt>
                <c:pt idx="111">
                  <c:v>42.930111550383998</c:v>
                </c:pt>
                <c:pt idx="112">
                  <c:v>42.666809679296477</c:v>
                </c:pt>
                <c:pt idx="113">
                  <c:v>42.572483747464204</c:v>
                </c:pt>
                <c:pt idx="114">
                  <c:v>42.465330334202498</c:v>
                </c:pt>
                <c:pt idx="115">
                  <c:v>42.217169789355026</c:v>
                </c:pt>
                <c:pt idx="116">
                  <c:v>42.173195201154655</c:v>
                </c:pt>
                <c:pt idx="117">
                  <c:v>42.128265166475984</c:v>
                </c:pt>
                <c:pt idx="118">
                  <c:v>41.909262568524973</c:v>
                </c:pt>
                <c:pt idx="119">
                  <c:v>41.838024017769456</c:v>
                </c:pt>
                <c:pt idx="120">
                  <c:v>41.725642368814661</c:v>
                </c:pt>
                <c:pt idx="121">
                  <c:v>41.519486270468128</c:v>
                </c:pt>
                <c:pt idx="122">
                  <c:v>41.513496409111042</c:v>
                </c:pt>
                <c:pt idx="123">
                  <c:v>41.430974334393518</c:v>
                </c:pt>
                <c:pt idx="124">
                  <c:v>41.283804318927778</c:v>
                </c:pt>
                <c:pt idx="125">
                  <c:v>41.186572762387229</c:v>
                </c:pt>
                <c:pt idx="126">
                  <c:v>41.181964071251294</c:v>
                </c:pt>
                <c:pt idx="127">
                  <c:v>40.768344453617146</c:v>
                </c:pt>
                <c:pt idx="128">
                  <c:v>40.602192263326913</c:v>
                </c:pt>
                <c:pt idx="129">
                  <c:v>40.519799427585177</c:v>
                </c:pt>
                <c:pt idx="130">
                  <c:v>40.310290605196805</c:v>
                </c:pt>
                <c:pt idx="131">
                  <c:v>40.285130553941954</c:v>
                </c:pt>
                <c:pt idx="132">
                  <c:v>40.171216925992439</c:v>
                </c:pt>
                <c:pt idx="133">
                  <c:v>40.161789191197563</c:v>
                </c:pt>
                <c:pt idx="134">
                  <c:v>40.112684778012451</c:v>
                </c:pt>
                <c:pt idx="135">
                  <c:v>39.77584124315743</c:v>
                </c:pt>
                <c:pt idx="136">
                  <c:v>39.495858572920447</c:v>
                </c:pt>
                <c:pt idx="137">
                  <c:v>39.437000225337336</c:v>
                </c:pt>
                <c:pt idx="138">
                  <c:v>39.219452555215781</c:v>
                </c:pt>
                <c:pt idx="139">
                  <c:v>39.123764691148011</c:v>
                </c:pt>
                <c:pt idx="140">
                  <c:v>38.789029949449763</c:v>
                </c:pt>
                <c:pt idx="141">
                  <c:v>38.117693561316621</c:v>
                </c:pt>
                <c:pt idx="142">
                  <c:v>38.072153436461306</c:v>
                </c:pt>
                <c:pt idx="143">
                  <c:v>38.071334707896575</c:v>
                </c:pt>
                <c:pt idx="144">
                  <c:v>37.59137140377797</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4"/>
                <c:pt idx="143">
                  <c:v>u</c:v>
                </c:pt>
              </c:strCache>
            </c:strRef>
          </c:cat>
          <c:val>
            <c:numRef>
              <c:f>[0]!BotQuart</c:f>
              <c:numCache>
                <c:formatCode>General</c:formatCode>
                <c:ptCount val="19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37.395963161361472</c:v>
                </c:pt>
                <c:pt idx="146">
                  <c:v>36.826829754807946</c:v>
                </c:pt>
                <c:pt idx="147">
                  <c:v>36.722108100782982</c:v>
                </c:pt>
                <c:pt idx="148">
                  <c:v>36.411565335038418</c:v>
                </c:pt>
                <c:pt idx="149">
                  <c:v>36.184494336575398</c:v>
                </c:pt>
                <c:pt idx="150">
                  <c:v>36.140853409248734</c:v>
                </c:pt>
                <c:pt idx="151">
                  <c:v>36.012484643338183</c:v>
                </c:pt>
                <c:pt idx="152">
                  <c:v>36.00391018870441</c:v>
                </c:pt>
                <c:pt idx="153">
                  <c:v>35.929817850280543</c:v>
                </c:pt>
                <c:pt idx="154">
                  <c:v>35.050413294683487</c:v>
                </c:pt>
                <c:pt idx="155">
                  <c:v>35.035225252851106</c:v>
                </c:pt>
                <c:pt idx="156">
                  <c:v>35.018565073022607</c:v>
                </c:pt>
                <c:pt idx="157">
                  <c:v>34.761282103548872</c:v>
                </c:pt>
                <c:pt idx="158">
                  <c:v>34.520584165036027</c:v>
                </c:pt>
                <c:pt idx="159">
                  <c:v>34.434017378043606</c:v>
                </c:pt>
                <c:pt idx="160">
                  <c:v>34.421518635033216</c:v>
                </c:pt>
                <c:pt idx="161">
                  <c:v>34.28064042322697</c:v>
                </c:pt>
                <c:pt idx="162">
                  <c:v>34.24606006848682</c:v>
                </c:pt>
                <c:pt idx="163">
                  <c:v>33.488858698381982</c:v>
                </c:pt>
                <c:pt idx="164">
                  <c:v>33.480765081193866</c:v>
                </c:pt>
                <c:pt idx="165">
                  <c:v>33.475966509623625</c:v>
                </c:pt>
                <c:pt idx="166">
                  <c:v>33.425921298080262</c:v>
                </c:pt>
                <c:pt idx="167">
                  <c:v>33.10467229164918</c:v>
                </c:pt>
                <c:pt idx="168">
                  <c:v>33.023457262600644</c:v>
                </c:pt>
                <c:pt idx="169">
                  <c:v>32.852388979907154</c:v>
                </c:pt>
                <c:pt idx="170">
                  <c:v>32.848517518231972</c:v>
                </c:pt>
                <c:pt idx="171">
                  <c:v>32.670457388197697</c:v>
                </c:pt>
                <c:pt idx="172">
                  <c:v>32.564984367803298</c:v>
                </c:pt>
                <c:pt idx="173">
                  <c:v>32.130956874517274</c:v>
                </c:pt>
                <c:pt idx="174">
                  <c:v>31.796225389533085</c:v>
                </c:pt>
                <c:pt idx="175">
                  <c:v>31.144480810431492</c:v>
                </c:pt>
                <c:pt idx="176">
                  <c:v>30.286360718512402</c:v>
                </c:pt>
                <c:pt idx="177">
                  <c:v>30.102083619250848</c:v>
                </c:pt>
                <c:pt idx="178">
                  <c:v>29.726702246222857</c:v>
                </c:pt>
                <c:pt idx="179">
                  <c:v>29.248710649516756</c:v>
                </c:pt>
                <c:pt idx="180">
                  <c:v>29.108255533071741</c:v>
                </c:pt>
                <c:pt idx="181">
                  <c:v>28.954178148442239</c:v>
                </c:pt>
                <c:pt idx="182">
                  <c:v>27.135435048332695</c:v>
                </c:pt>
                <c:pt idx="183">
                  <c:v>27.023835115608797</c:v>
                </c:pt>
                <c:pt idx="184">
                  <c:v>26.616853421943375</c:v>
                </c:pt>
                <c:pt idx="185">
                  <c:v>26.461854222702506</c:v>
                </c:pt>
                <c:pt idx="186">
                  <c:v>25.645733010231826</c:v>
                </c:pt>
                <c:pt idx="187">
                  <c:v>25.513404535512102</c:v>
                </c:pt>
                <c:pt idx="188">
                  <c:v>25.095307842573071</c:v>
                </c:pt>
                <c:pt idx="189">
                  <c:v>24.978630767928621</c:v>
                </c:pt>
                <c:pt idx="190">
                  <c:v>24.869021049016677</c:v>
                </c:pt>
                <c:pt idx="191">
                  <c:v>24.495721147441181</c:v>
                </c:pt>
                <c:pt idx="192">
                  <c:v>23.522552684529618</c:v>
                </c:pt>
                <c:pt idx="193">
                  <c:v>21.407496040943602</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44"/>
                <c:pt idx="143">
                  <c:v>u</c:v>
                </c:pt>
              </c:strCache>
            </c:strRef>
          </c:cat>
          <c:val>
            <c:numRef>
              <c:f>[0]!MarkData</c:f>
              <c:numCache>
                <c:formatCode>0.00</c:formatCode>
                <c:ptCount val="194"/>
                <c:pt idx="0">
                  <c:v>65.708340724934232</c:v>
                </c:pt>
                <c:pt idx="1">
                  <c:v>65.473069918815895</c:v>
                </c:pt>
                <c:pt idx="2">
                  <c:v>65.270695740873862</c:v>
                </c:pt>
                <c:pt idx="3">
                  <c:v>62.441361698374735</c:v>
                </c:pt>
                <c:pt idx="4">
                  <c:v>59.057999330491505</c:v>
                </c:pt>
                <c:pt idx="5">
                  <c:v>58.577351769871676</c:v>
                </c:pt>
                <c:pt idx="6">
                  <c:v>58.130843546361163</c:v>
                </c:pt>
                <c:pt idx="7">
                  <c:v>58.118973569519142</c:v>
                </c:pt>
                <c:pt idx="8">
                  <c:v>58.049701934853793</c:v>
                </c:pt>
                <c:pt idx="9">
                  <c:v>57.931242550816577</c:v>
                </c:pt>
                <c:pt idx="10">
                  <c:v>57.503504969993116</c:v>
                </c:pt>
                <c:pt idx="11">
                  <c:v>57.437160147327226</c:v>
                </c:pt>
                <c:pt idx="12">
                  <c:v>57.420578330135285</c:v>
                </c:pt>
                <c:pt idx="13">
                  <c:v>57.300867149914744</c:v>
                </c:pt>
                <c:pt idx="14">
                  <c:v>57.255793074863057</c:v>
                </c:pt>
                <c:pt idx="15">
                  <c:v>57.048742128703744</c:v>
                </c:pt>
                <c:pt idx="16">
                  <c:v>56.72268126034016</c:v>
                </c:pt>
                <c:pt idx="17">
                  <c:v>56.075014517177898</c:v>
                </c:pt>
                <c:pt idx="18">
                  <c:v>56.040492474467982</c:v>
                </c:pt>
                <c:pt idx="19">
                  <c:v>55.677507389209389</c:v>
                </c:pt>
                <c:pt idx="20">
                  <c:v>55.361858744086199</c:v>
                </c:pt>
                <c:pt idx="21">
                  <c:v>55.168533152876286</c:v>
                </c:pt>
                <c:pt idx="22">
                  <c:v>54.732657780304464</c:v>
                </c:pt>
                <c:pt idx="23">
                  <c:v>54.582609569892369</c:v>
                </c:pt>
                <c:pt idx="24">
                  <c:v>53.902874884278653</c:v>
                </c:pt>
                <c:pt idx="25">
                  <c:v>53.689262021030871</c:v>
                </c:pt>
                <c:pt idx="26">
                  <c:v>53.688091266932638</c:v>
                </c:pt>
                <c:pt idx="27">
                  <c:v>53.567641525853659</c:v>
                </c:pt>
                <c:pt idx="28">
                  <c:v>53.315074748243539</c:v>
                </c:pt>
                <c:pt idx="29">
                  <c:v>53.168221025641927</c:v>
                </c:pt>
                <c:pt idx="30">
                  <c:v>53.158472831922566</c:v>
                </c:pt>
                <c:pt idx="31">
                  <c:v>52.772356110738961</c:v>
                </c:pt>
                <c:pt idx="32">
                  <c:v>52.655199715275423</c:v>
                </c:pt>
                <c:pt idx="33">
                  <c:v>52.611230677475454</c:v>
                </c:pt>
                <c:pt idx="34">
                  <c:v>52.585278120656753</c:v>
                </c:pt>
                <c:pt idx="35">
                  <c:v>52.291724434530209</c:v>
                </c:pt>
                <c:pt idx="36">
                  <c:v>52.233537392283921</c:v>
                </c:pt>
                <c:pt idx="37">
                  <c:v>52.040115154620914</c:v>
                </c:pt>
                <c:pt idx="38">
                  <c:v>51.780678513074406</c:v>
                </c:pt>
                <c:pt idx="39">
                  <c:v>51.342982078523306</c:v>
                </c:pt>
                <c:pt idx="40">
                  <c:v>51.249359010124429</c:v>
                </c:pt>
                <c:pt idx="41">
                  <c:v>51.204395078744213</c:v>
                </c:pt>
                <c:pt idx="42">
                  <c:v>51.199588387997764</c:v>
                </c:pt>
                <c:pt idx="43">
                  <c:v>51.021913361656942</c:v>
                </c:pt>
                <c:pt idx="44">
                  <c:v>51.003269868855774</c:v>
                </c:pt>
                <c:pt idx="45">
                  <c:v>50.935911490425077</c:v>
                </c:pt>
                <c:pt idx="46">
                  <c:v>50.763483511271559</c:v>
                </c:pt>
                <c:pt idx="47">
                  <c:v>50.737359941064632</c:v>
                </c:pt>
                <c:pt idx="48">
                  <c:v>50.565532911270019</c:v>
                </c:pt>
                <c:pt idx="49">
                  <c:v>50.539606257099869</c:v>
                </c:pt>
                <c:pt idx="50">
                  <c:v>50.299453296035878</c:v>
                </c:pt>
                <c:pt idx="51">
                  <c:v>50.298542854698688</c:v>
                </c:pt>
                <c:pt idx="52">
                  <c:v>49.798661083678645</c:v>
                </c:pt>
                <c:pt idx="53">
                  <c:v>49.469664670690875</c:v>
                </c:pt>
                <c:pt idx="54">
                  <c:v>49.429602985991522</c:v>
                </c:pt>
                <c:pt idx="55">
                  <c:v>49.150863149809325</c:v>
                </c:pt>
                <c:pt idx="56">
                  <c:v>49.147663837426833</c:v>
                </c:pt>
                <c:pt idx="57">
                  <c:v>49.119402928455578</c:v>
                </c:pt>
                <c:pt idx="58">
                  <c:v>48.665604514495357</c:v>
                </c:pt>
                <c:pt idx="59">
                  <c:v>48.530077377035923</c:v>
                </c:pt>
                <c:pt idx="60">
                  <c:v>48.484562449853321</c:v>
                </c:pt>
                <c:pt idx="61">
                  <c:v>48.320440679736038</c:v>
                </c:pt>
                <c:pt idx="62">
                  <c:v>48.181228496988616</c:v>
                </c:pt>
                <c:pt idx="63">
                  <c:v>47.733208864810791</c:v>
                </c:pt>
                <c:pt idx="64">
                  <c:v>47.668863037973225</c:v>
                </c:pt>
                <c:pt idx="65">
                  <c:v>47.196672158175119</c:v>
                </c:pt>
                <c:pt idx="66">
                  <c:v>47.005393325679925</c:v>
                </c:pt>
                <c:pt idx="67">
                  <c:v>46.917586514297398</c:v>
                </c:pt>
                <c:pt idx="68">
                  <c:v>46.89825318561946</c:v>
                </c:pt>
                <c:pt idx="69">
                  <c:v>46.84733084198006</c:v>
                </c:pt>
                <c:pt idx="70">
                  <c:v>46.732302255695714</c:v>
                </c:pt>
                <c:pt idx="71">
                  <c:v>46.708854585493476</c:v>
                </c:pt>
                <c:pt idx="72">
                  <c:v>46.626546183365889</c:v>
                </c:pt>
                <c:pt idx="73">
                  <c:v>46.619732655439414</c:v>
                </c:pt>
                <c:pt idx="74">
                  <c:v>46.563971912469377</c:v>
                </c:pt>
                <c:pt idx="75">
                  <c:v>46.361769701963219</c:v>
                </c:pt>
                <c:pt idx="76">
                  <c:v>46.34556490472292</c:v>
                </c:pt>
                <c:pt idx="77">
                  <c:v>46.25929990686388</c:v>
                </c:pt>
                <c:pt idx="78">
                  <c:v>46.23687813351529</c:v>
                </c:pt>
                <c:pt idx="79">
                  <c:v>46.197658459556692</c:v>
                </c:pt>
                <c:pt idx="80">
                  <c:v>46.097421731703818</c:v>
                </c:pt>
                <c:pt idx="81">
                  <c:v>46.04286502455723</c:v>
                </c:pt>
                <c:pt idx="82">
                  <c:v>46.041160520724162</c:v>
                </c:pt>
                <c:pt idx="83">
                  <c:v>45.874110140541248</c:v>
                </c:pt>
                <c:pt idx="84">
                  <c:v>45.573976677903175</c:v>
                </c:pt>
                <c:pt idx="85">
                  <c:v>45.48028751004049</c:v>
                </c:pt>
                <c:pt idx="86">
                  <c:v>45.444127409908404</c:v>
                </c:pt>
                <c:pt idx="87">
                  <c:v>45.330219638247947</c:v>
                </c:pt>
                <c:pt idx="88">
                  <c:v>45.204454209917543</c:v>
                </c:pt>
                <c:pt idx="89">
                  <c:v>45.170180450046118</c:v>
                </c:pt>
                <c:pt idx="90">
                  <c:v>45.018446798962401</c:v>
                </c:pt>
                <c:pt idx="91">
                  <c:v>44.75314684666499</c:v>
                </c:pt>
                <c:pt idx="92">
                  <c:v>44.671540423656452</c:v>
                </c:pt>
                <c:pt idx="93">
                  <c:v>44.578188056637032</c:v>
                </c:pt>
                <c:pt idx="94">
                  <c:v>44.428833990112047</c:v>
                </c:pt>
                <c:pt idx="95">
                  <c:v>44.411996677580774</c:v>
                </c:pt>
                <c:pt idx="96">
                  <c:v>44.374634072339241</c:v>
                </c:pt>
                <c:pt idx="97">
                  <c:v>44.341138855228053</c:v>
                </c:pt>
                <c:pt idx="98">
                  <c:v>44.21870531551366</c:v>
                </c:pt>
                <c:pt idx="99">
                  <c:v>44.150176362655394</c:v>
                </c:pt>
                <c:pt idx="100">
                  <c:v>44.102031230782735</c:v>
                </c:pt>
                <c:pt idx="101">
                  <c:v>44.059842204769325</c:v>
                </c:pt>
                <c:pt idx="102">
                  <c:v>44.001826493890697</c:v>
                </c:pt>
                <c:pt idx="103">
                  <c:v>43.872562179386499</c:v>
                </c:pt>
                <c:pt idx="104">
                  <c:v>43.735476779538843</c:v>
                </c:pt>
                <c:pt idx="105">
                  <c:v>43.66032017717523</c:v>
                </c:pt>
                <c:pt idx="106">
                  <c:v>43.508692221239151</c:v>
                </c:pt>
                <c:pt idx="107">
                  <c:v>43.419087694055278</c:v>
                </c:pt>
                <c:pt idx="108">
                  <c:v>43.322355020552621</c:v>
                </c:pt>
                <c:pt idx="109">
                  <c:v>43.164021039382853</c:v>
                </c:pt>
                <c:pt idx="110">
                  <c:v>43.145516976530615</c:v>
                </c:pt>
                <c:pt idx="111">
                  <c:v>42.930111550383998</c:v>
                </c:pt>
                <c:pt idx="112">
                  <c:v>42.666809679296477</c:v>
                </c:pt>
                <c:pt idx="113">
                  <c:v>42.572483747464204</c:v>
                </c:pt>
                <c:pt idx="114">
                  <c:v>42.465330334202498</c:v>
                </c:pt>
                <c:pt idx="115">
                  <c:v>42.217169789355026</c:v>
                </c:pt>
                <c:pt idx="116">
                  <c:v>42.173195201154655</c:v>
                </c:pt>
                <c:pt idx="117">
                  <c:v>42.128265166475984</c:v>
                </c:pt>
                <c:pt idx="118">
                  <c:v>41.909262568524973</c:v>
                </c:pt>
                <c:pt idx="119">
                  <c:v>41.838024017769456</c:v>
                </c:pt>
                <c:pt idx="120">
                  <c:v>41.725642368814661</c:v>
                </c:pt>
                <c:pt idx="121">
                  <c:v>41.519486270468128</c:v>
                </c:pt>
                <c:pt idx="122">
                  <c:v>41.513496409111042</c:v>
                </c:pt>
                <c:pt idx="123">
                  <c:v>41.430974334393518</c:v>
                </c:pt>
                <c:pt idx="124">
                  <c:v>41.283804318927778</c:v>
                </c:pt>
                <c:pt idx="125">
                  <c:v>41.186572762387229</c:v>
                </c:pt>
                <c:pt idx="126">
                  <c:v>41.181964071251294</c:v>
                </c:pt>
                <c:pt idx="127">
                  <c:v>40.768344453617146</c:v>
                </c:pt>
                <c:pt idx="128">
                  <c:v>40.602192263326913</c:v>
                </c:pt>
                <c:pt idx="129">
                  <c:v>40.519799427585177</c:v>
                </c:pt>
                <c:pt idx="130">
                  <c:v>40.310290605196805</c:v>
                </c:pt>
                <c:pt idx="131">
                  <c:v>40.285130553941954</c:v>
                </c:pt>
                <c:pt idx="132">
                  <c:v>40.171216925992439</c:v>
                </c:pt>
                <c:pt idx="133">
                  <c:v>40.161789191197563</c:v>
                </c:pt>
                <c:pt idx="134">
                  <c:v>40.112684778012451</c:v>
                </c:pt>
                <c:pt idx="135">
                  <c:v>39.77584124315743</c:v>
                </c:pt>
                <c:pt idx="136">
                  <c:v>39.495858572920447</c:v>
                </c:pt>
                <c:pt idx="137">
                  <c:v>39.437000225337336</c:v>
                </c:pt>
                <c:pt idx="138">
                  <c:v>39.219452555215781</c:v>
                </c:pt>
                <c:pt idx="139">
                  <c:v>39.123764691148011</c:v>
                </c:pt>
                <c:pt idx="140">
                  <c:v>38.789029949449763</c:v>
                </c:pt>
                <c:pt idx="141">
                  <c:v>38.117693561316621</c:v>
                </c:pt>
                <c:pt idx="142">
                  <c:v>38.072153436461306</c:v>
                </c:pt>
                <c:pt idx="143">
                  <c:v>38.071334707896575</c:v>
                </c:pt>
                <c:pt idx="144">
                  <c:v>37.59137140377797</c:v>
                </c:pt>
                <c:pt idx="145">
                  <c:v>37.395963161361472</c:v>
                </c:pt>
                <c:pt idx="146">
                  <c:v>36.826829754807946</c:v>
                </c:pt>
                <c:pt idx="147">
                  <c:v>36.722108100782982</c:v>
                </c:pt>
                <c:pt idx="148">
                  <c:v>36.411565335038418</c:v>
                </c:pt>
                <c:pt idx="149">
                  <c:v>36.184494336575398</c:v>
                </c:pt>
                <c:pt idx="150">
                  <c:v>36.140853409248734</c:v>
                </c:pt>
                <c:pt idx="151">
                  <c:v>36.012484643338183</c:v>
                </c:pt>
                <c:pt idx="152">
                  <c:v>36.00391018870441</c:v>
                </c:pt>
                <c:pt idx="153">
                  <c:v>35.929817850280543</c:v>
                </c:pt>
                <c:pt idx="154">
                  <c:v>35.050413294683487</c:v>
                </c:pt>
                <c:pt idx="155">
                  <c:v>35.035225252851106</c:v>
                </c:pt>
                <c:pt idx="156">
                  <c:v>35.018565073022607</c:v>
                </c:pt>
                <c:pt idx="157">
                  <c:v>34.761282103548872</c:v>
                </c:pt>
                <c:pt idx="158">
                  <c:v>34.520584165036027</c:v>
                </c:pt>
                <c:pt idx="159">
                  <c:v>34.434017378043606</c:v>
                </c:pt>
                <c:pt idx="160">
                  <c:v>34.421518635033216</c:v>
                </c:pt>
                <c:pt idx="161">
                  <c:v>34.28064042322697</c:v>
                </c:pt>
                <c:pt idx="162">
                  <c:v>34.24606006848682</c:v>
                </c:pt>
                <c:pt idx="163">
                  <c:v>33.488858698381982</c:v>
                </c:pt>
                <c:pt idx="164">
                  <c:v>33.480765081193866</c:v>
                </c:pt>
                <c:pt idx="165">
                  <c:v>33.475966509623625</c:v>
                </c:pt>
                <c:pt idx="166">
                  <c:v>33.425921298080262</c:v>
                </c:pt>
                <c:pt idx="167">
                  <c:v>33.10467229164918</c:v>
                </c:pt>
                <c:pt idx="168">
                  <c:v>33.023457262600644</c:v>
                </c:pt>
                <c:pt idx="169">
                  <c:v>32.852388979907154</c:v>
                </c:pt>
                <c:pt idx="170">
                  <c:v>32.848517518231972</c:v>
                </c:pt>
                <c:pt idx="171">
                  <c:v>32.670457388197697</c:v>
                </c:pt>
                <c:pt idx="172">
                  <c:v>32.564984367803298</c:v>
                </c:pt>
                <c:pt idx="173">
                  <c:v>32.130956874517274</c:v>
                </c:pt>
                <c:pt idx="174">
                  <c:v>31.796225389533085</c:v>
                </c:pt>
                <c:pt idx="175">
                  <c:v>31.144480810431492</c:v>
                </c:pt>
                <c:pt idx="176">
                  <c:v>30.286360718512402</c:v>
                </c:pt>
                <c:pt idx="177">
                  <c:v>30.102083619250848</c:v>
                </c:pt>
                <c:pt idx="178">
                  <c:v>29.726702246222857</c:v>
                </c:pt>
                <c:pt idx="179">
                  <c:v>29.248710649516756</c:v>
                </c:pt>
                <c:pt idx="180">
                  <c:v>29.108255533071741</c:v>
                </c:pt>
                <c:pt idx="181">
                  <c:v>28.954178148442239</c:v>
                </c:pt>
                <c:pt idx="182">
                  <c:v>27.135435048332695</c:v>
                </c:pt>
                <c:pt idx="183">
                  <c:v>27.023835115608797</c:v>
                </c:pt>
                <c:pt idx="184">
                  <c:v>26.616853421943375</c:v>
                </c:pt>
                <c:pt idx="185">
                  <c:v>26.461854222702506</c:v>
                </c:pt>
                <c:pt idx="186">
                  <c:v>25.645733010231826</c:v>
                </c:pt>
                <c:pt idx="187">
                  <c:v>25.513404535512102</c:v>
                </c:pt>
                <c:pt idx="188">
                  <c:v>25.095307842573071</c:v>
                </c:pt>
                <c:pt idx="189">
                  <c:v>24.978630767928621</c:v>
                </c:pt>
                <c:pt idx="190">
                  <c:v>24.869021049016677</c:v>
                </c:pt>
                <c:pt idx="191">
                  <c:v>24.495721147441181</c:v>
                </c:pt>
                <c:pt idx="192">
                  <c:v>23.522552684529618</c:v>
                </c:pt>
                <c:pt idx="193">
                  <c:v>21.407496040943602</c:v>
                </c:pt>
              </c:numCache>
            </c:numRef>
          </c:val>
        </c:ser>
        <c:dLbls>
          <c:showLegendKey val="0"/>
          <c:showVal val="0"/>
          <c:showCatName val="0"/>
          <c:showSerName val="0"/>
          <c:showPercent val="0"/>
          <c:showBubbleSize val="0"/>
        </c:dLbls>
        <c:gapWidth val="0"/>
        <c:overlap val="100"/>
        <c:axId val="179948112"/>
        <c:axId val="179948504"/>
      </c:barChart>
      <c:catAx>
        <c:axId val="179948112"/>
        <c:scaling>
          <c:orientation val="minMax"/>
        </c:scaling>
        <c:delete val="0"/>
        <c:axPos val="b"/>
        <c:numFmt formatCode="General" sourceLinked="1"/>
        <c:majorTickMark val="none"/>
        <c:minorTickMark val="none"/>
        <c:tickLblPos val="none"/>
        <c:crossAx val="179948504"/>
        <c:crosses val="autoZero"/>
        <c:auto val="1"/>
        <c:lblAlgn val="ctr"/>
        <c:lblOffset val="100"/>
        <c:noMultiLvlLbl val="0"/>
      </c:catAx>
      <c:valAx>
        <c:axId val="17994850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79948112"/>
        <c:crosses val="autoZero"/>
        <c:crossBetween val="between"/>
      </c:valAx>
      <c:spPr>
        <a:ln>
          <a:noFill/>
        </a:ln>
      </c:spPr>
    </c:plotArea>
    <c:plotVisOnly val="1"/>
    <c:dispBlanksAs val="gap"/>
    <c:showDLblsOverMax val="0"/>
  </c:chart>
  <c:spPr>
    <a:ln>
      <a:noFill/>
    </a:ln>
  </c:spPr>
  <c:printSettings>
    <c:headerFooter alignWithMargins="0"/>
    <c:pageMargins b="0.750000000000002" l="0.70000000000000062" r="0.70000000000000062" t="0.75000000000000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94"/>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38.071334707896575</c:v>
                </c:pt>
                <c:pt idx="1">
                  <c:v>43.778801041536568</c:v>
                </c:pt>
                <c:pt idx="2">
                  <c:v>38.825740546093549</c:v>
                </c:pt>
                <c:pt idx="3">
                  <c:v>38.788714047468957</c:v>
                </c:pt>
                <c:pt idx="4">
                  <c:v>47.612721518422141</c:v>
                </c:pt>
              </c:numCache>
            </c:numRef>
          </c:val>
        </c:ser>
        <c:dLbls>
          <c:showLegendKey val="0"/>
          <c:showVal val="0"/>
          <c:showCatName val="0"/>
          <c:showSerName val="0"/>
          <c:showPercent val="0"/>
          <c:showBubbleSize val="0"/>
        </c:dLbls>
        <c:gapWidth val="39"/>
        <c:overlap val="100"/>
        <c:axId val="385472520"/>
        <c:axId val="38547291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50.559051247727481</c:v>
                </c:pt>
                <c:pt idx="1">
                  <c:v>50.559051247727481</c:v>
                </c:pt>
                <c:pt idx="2">
                  <c:v>50.559051247727481</c:v>
                </c:pt>
                <c:pt idx="3">
                  <c:v>50.559051247727481</c:v>
                </c:pt>
                <c:pt idx="4">
                  <c:v>50.559051247727481</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44.357886463783643</c:v>
                </c:pt>
                <c:pt idx="1">
                  <c:v>44.357886463783643</c:v>
                </c:pt>
                <c:pt idx="2">
                  <c:v>44.357886463783643</c:v>
                </c:pt>
                <c:pt idx="3">
                  <c:v>44.357886463783643</c:v>
                </c:pt>
                <c:pt idx="4">
                  <c:v>44.357886463783643</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37.444815221965598</c:v>
                </c:pt>
                <c:pt idx="1">
                  <c:v>37.444815221965598</c:v>
                </c:pt>
                <c:pt idx="2">
                  <c:v>37.444815221965598</c:v>
                </c:pt>
                <c:pt idx="3">
                  <c:v>37.444815221965598</c:v>
                </c:pt>
                <c:pt idx="4">
                  <c:v>37.444815221965598</c:v>
                </c:pt>
              </c:numCache>
            </c:numRef>
          </c:val>
          <c:smooth val="0"/>
        </c:ser>
        <c:dLbls>
          <c:showLegendKey val="0"/>
          <c:showVal val="0"/>
          <c:showCatName val="0"/>
          <c:showSerName val="0"/>
          <c:showPercent val="0"/>
          <c:showBubbleSize val="0"/>
        </c:dLbls>
        <c:marker val="1"/>
        <c:smooth val="0"/>
        <c:axId val="385472520"/>
        <c:axId val="385472912"/>
      </c:lineChart>
      <c:catAx>
        <c:axId val="3854725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5472912"/>
        <c:crosses val="autoZero"/>
        <c:auto val="1"/>
        <c:lblAlgn val="ctr"/>
        <c:lblOffset val="100"/>
        <c:noMultiLvlLbl val="0"/>
      </c:catAx>
      <c:valAx>
        <c:axId val="38547291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5472520"/>
        <c:crosses val="autoZero"/>
        <c:crossBetween val="between"/>
      </c:valAx>
    </c:plotArea>
    <c:legend>
      <c:legendPos val="b"/>
      <c:legendEntry>
        <c:idx val="0"/>
        <c:delete val="1"/>
      </c:legendEntry>
      <c:layout>
        <c:manualLayout>
          <c:xMode val="edge"/>
          <c:yMode val="edge"/>
          <c:x val="0.10120783739241888"/>
          <c:y val="0.90916944591436399"/>
          <c:w val="0.85546529939571503"/>
          <c:h val="8.4690001676023058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38E-2"/>
          <c:y val="6.0725521892544924E-2"/>
          <c:w val="0.93589299789538694"/>
          <c:h val="0.666603744068416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38.071334707896575</c:v>
                </c:pt>
                <c:pt idx="1">
                  <c:v>45.42443972058485</c:v>
                </c:pt>
                <c:pt idx="2">
                  <c:v>48.101076473542342</c:v>
                </c:pt>
                <c:pt idx="3">
                  <c:v>42.215351895392793</c:v>
                </c:pt>
              </c:numCache>
            </c:numRef>
          </c:val>
        </c:ser>
        <c:dLbls>
          <c:showLegendKey val="0"/>
          <c:showVal val="0"/>
          <c:showCatName val="0"/>
          <c:showSerName val="0"/>
          <c:showPercent val="0"/>
          <c:showBubbleSize val="0"/>
        </c:dLbls>
        <c:gapWidth val="39"/>
        <c:overlap val="100"/>
        <c:axId val="385473696"/>
        <c:axId val="38547408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50.559051247727481</c:v>
                </c:pt>
                <c:pt idx="1">
                  <c:v>50.559051247727481</c:v>
                </c:pt>
                <c:pt idx="2">
                  <c:v>50.559051247727481</c:v>
                </c:pt>
                <c:pt idx="3">
                  <c:v>50.559051247727481</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44.357886463783643</c:v>
                </c:pt>
                <c:pt idx="1">
                  <c:v>44.357886463783643</c:v>
                </c:pt>
                <c:pt idx="2">
                  <c:v>44.357886463783643</c:v>
                </c:pt>
                <c:pt idx="3">
                  <c:v>44.357886463783643</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37.444815221965598</c:v>
                </c:pt>
                <c:pt idx="1">
                  <c:v>37.444815221965598</c:v>
                </c:pt>
                <c:pt idx="2">
                  <c:v>37.444815221965598</c:v>
                </c:pt>
                <c:pt idx="3">
                  <c:v>37.444815221965598</c:v>
                </c:pt>
              </c:numCache>
            </c:numRef>
          </c:val>
          <c:smooth val="0"/>
        </c:ser>
        <c:dLbls>
          <c:showLegendKey val="0"/>
          <c:showVal val="0"/>
          <c:showCatName val="0"/>
          <c:showSerName val="0"/>
          <c:showPercent val="0"/>
          <c:showBubbleSize val="0"/>
        </c:dLbls>
        <c:marker val="1"/>
        <c:smooth val="0"/>
        <c:axId val="385473696"/>
        <c:axId val="385474088"/>
      </c:lineChart>
      <c:catAx>
        <c:axId val="3854736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5474088"/>
        <c:crosses val="autoZero"/>
        <c:auto val="1"/>
        <c:lblAlgn val="ctr"/>
        <c:lblOffset val="100"/>
        <c:noMultiLvlLbl val="0"/>
      </c:catAx>
      <c:valAx>
        <c:axId val="38547408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547369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1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7" t="str">
        <f>VLOOKUP('Filtered Data'!D1,'Filtered Data'!L1:O6,3,FALSE)</f>
        <v>District</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25" t="str">
        <f>Data!B3</f>
        <v>Recycling rate</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13" t="s">
        <v>335</v>
      </c>
      <c r="C5" s="313"/>
      <c r="D5" s="313"/>
      <c r="E5" s="313"/>
      <c r="J5" s="317" t="s">
        <v>6</v>
      </c>
      <c r="K5" s="317"/>
      <c r="L5" s="317"/>
      <c r="M5" s="317"/>
      <c r="N5" s="317"/>
      <c r="O5" s="317"/>
      <c r="P5" s="317"/>
      <c r="Q5" s="317"/>
      <c r="R5" s="317"/>
      <c r="S5" s="317"/>
      <c r="W5" s="292" t="s">
        <v>365</v>
      </c>
      <c r="X5" s="293"/>
      <c r="Y5" s="293"/>
      <c r="Z5" s="293"/>
      <c r="AA5" s="293"/>
      <c r="AB5" s="293"/>
      <c r="AC5" s="293"/>
      <c r="AD5" s="293"/>
      <c r="AE5" s="293"/>
      <c r="AF5" s="293"/>
      <c r="AG5" s="293"/>
      <c r="AH5" s="293"/>
      <c r="AI5" s="293"/>
      <c r="AJ5" s="293"/>
      <c r="AK5" s="293"/>
      <c r="AL5" s="293"/>
      <c r="AM5" s="294"/>
    </row>
    <row r="6" spans="2:40" ht="17.25" customHeight="1">
      <c r="J6" s="317"/>
      <c r="K6" s="317"/>
      <c r="L6" s="317"/>
      <c r="M6" s="317"/>
      <c r="N6" s="317"/>
      <c r="O6" s="317"/>
      <c r="P6" s="317"/>
      <c r="Q6" s="317"/>
      <c r="R6" s="317"/>
      <c r="S6" s="317"/>
      <c r="W6" s="295" t="s">
        <v>858</v>
      </c>
      <c r="X6" s="296"/>
      <c r="Y6" s="296"/>
      <c r="Z6" s="296"/>
      <c r="AA6" s="296"/>
      <c r="AB6" s="296"/>
      <c r="AC6" s="296"/>
      <c r="AD6" s="296"/>
      <c r="AE6" s="296"/>
      <c r="AF6" s="296"/>
      <c r="AG6" s="296"/>
      <c r="AH6" s="296"/>
      <c r="AI6" s="296"/>
      <c r="AJ6" s="296"/>
      <c r="AK6" s="296"/>
      <c r="AL6" s="296"/>
      <c r="AM6" s="297"/>
    </row>
    <row r="7" spans="2:40" ht="12.75" customHeight="1">
      <c r="W7" s="295"/>
      <c r="X7" s="296"/>
      <c r="Y7" s="296"/>
      <c r="Z7" s="296"/>
      <c r="AA7" s="296"/>
      <c r="AB7" s="296"/>
      <c r="AC7" s="296"/>
      <c r="AD7" s="296"/>
      <c r="AE7" s="296"/>
      <c r="AF7" s="296"/>
      <c r="AG7" s="296"/>
      <c r="AH7" s="296"/>
      <c r="AI7" s="296"/>
      <c r="AJ7" s="296"/>
      <c r="AK7" s="296"/>
      <c r="AL7" s="296"/>
      <c r="AM7" s="297"/>
    </row>
    <row r="8" spans="2:40" ht="12.75" customHeight="1">
      <c r="B8" s="318" t="str">
        <f>IF('Filtered Data'!D1="L","County:","Type of Authority:")</f>
        <v>Type of Authority:</v>
      </c>
      <c r="C8" s="319"/>
      <c r="D8" s="319"/>
      <c r="E8" s="319"/>
      <c r="F8" s="319"/>
      <c r="G8" s="319"/>
      <c r="H8" s="319"/>
      <c r="I8" s="319"/>
      <c r="J8" s="79" t="str">
        <f>IF('Filtered Data'!D1="L",'Filtered Data'!I3,VLOOKUP('Filtered Data'!D1,'Filtered Data'!L1:O5,3,FALSE))</f>
        <v>District</v>
      </c>
      <c r="K8" s="79"/>
      <c r="L8" s="79"/>
      <c r="M8" s="79"/>
      <c r="N8" s="79"/>
      <c r="O8" s="79"/>
      <c r="P8" s="79"/>
      <c r="Q8" s="79"/>
      <c r="R8" s="79"/>
      <c r="W8" s="295"/>
      <c r="X8" s="296"/>
      <c r="Y8" s="296"/>
      <c r="Z8" s="296"/>
      <c r="AA8" s="296"/>
      <c r="AB8" s="296"/>
      <c r="AC8" s="296"/>
      <c r="AD8" s="296"/>
      <c r="AE8" s="296"/>
      <c r="AF8" s="296"/>
      <c r="AG8" s="296"/>
      <c r="AH8" s="296"/>
      <c r="AI8" s="296"/>
      <c r="AJ8" s="296"/>
      <c r="AK8" s="296"/>
      <c r="AL8" s="296"/>
      <c r="AM8" s="297"/>
    </row>
    <row r="9" spans="2:40" ht="12.75" customHeight="1">
      <c r="B9" s="318" t="str">
        <f>IF('Filtered Data'!D1="L","Rural Classification:","Region:")</f>
        <v>Region:</v>
      </c>
      <c r="C9" s="319"/>
      <c r="D9" s="319"/>
      <c r="E9" s="319"/>
      <c r="F9" s="319"/>
      <c r="G9" s="319"/>
      <c r="H9" s="319"/>
      <c r="I9" s="319"/>
      <c r="J9" s="79" t="str">
        <f>IF('Filtered Data'!D1="L",'Filtered Data'!H3,'Filtered Data'!G3)</f>
        <v>North West</v>
      </c>
      <c r="K9" s="79"/>
      <c r="L9" s="79"/>
      <c r="M9" s="79"/>
      <c r="N9" s="79"/>
      <c r="O9" s="79"/>
      <c r="P9" s="79"/>
      <c r="Q9" s="79"/>
      <c r="R9" s="79"/>
      <c r="W9" s="295"/>
      <c r="X9" s="296"/>
      <c r="Y9" s="296"/>
      <c r="Z9" s="296"/>
      <c r="AA9" s="296"/>
      <c r="AB9" s="296"/>
      <c r="AC9" s="296"/>
      <c r="AD9" s="296"/>
      <c r="AE9" s="296"/>
      <c r="AF9" s="296"/>
      <c r="AG9" s="296"/>
      <c r="AH9" s="296"/>
      <c r="AI9" s="296"/>
      <c r="AJ9" s="296"/>
      <c r="AK9" s="296"/>
      <c r="AL9" s="296"/>
      <c r="AM9" s="297"/>
    </row>
    <row r="10" spans="2:40" ht="12.75" customHeight="1">
      <c r="B10" s="319" t="str">
        <f>IF('Filtered Data'!D1="L","",IF('Filtered Data'!D1="SC","Rural Classification:",IF('Filtered Data'!D1="UA","Rural Classification:","County:")))</f>
        <v>County:</v>
      </c>
      <c r="C10" s="319"/>
      <c r="D10" s="319"/>
      <c r="E10" s="319"/>
      <c r="F10" s="319"/>
      <c r="G10" s="319"/>
      <c r="H10" s="319"/>
      <c r="I10" s="319"/>
      <c r="J10" s="282" t="str">
        <f>IF('Filtered Data'!D1="L","",IF('Filtered Data'!D1="MD",'Filtered Data'!I3,IF('Filtered Data'!D1="SD",'Filtered Data'!I3,'Filtered Data'!H3)))</f>
        <v>Cumbria</v>
      </c>
      <c r="K10" s="282"/>
      <c r="L10" s="282"/>
      <c r="M10" s="282"/>
      <c r="N10" s="282"/>
      <c r="O10" s="282"/>
      <c r="P10" s="282"/>
      <c r="Q10" s="282"/>
      <c r="R10" s="282"/>
      <c r="W10" s="295"/>
      <c r="X10" s="296"/>
      <c r="Y10" s="296"/>
      <c r="Z10" s="296"/>
      <c r="AA10" s="296"/>
      <c r="AB10" s="296"/>
      <c r="AC10" s="296"/>
      <c r="AD10" s="296"/>
      <c r="AE10" s="296"/>
      <c r="AF10" s="296"/>
      <c r="AG10" s="296"/>
      <c r="AH10" s="296"/>
      <c r="AI10" s="296"/>
      <c r="AJ10" s="296"/>
      <c r="AK10" s="296"/>
      <c r="AL10" s="296"/>
      <c r="AM10" s="297"/>
    </row>
    <row r="11" spans="2:40" ht="12.75" customHeight="1">
      <c r="B11" s="319" t="str">
        <f>IF('Filtered Data'!D1="L","",IF('Filtered Data'!D1="SC","",IF('Filtered Data'!D1="UA","","Rural Classification:")))</f>
        <v>Rural Classification:</v>
      </c>
      <c r="C11" s="319"/>
      <c r="D11" s="319"/>
      <c r="E11" s="319"/>
      <c r="F11" s="319"/>
      <c r="G11" s="319"/>
      <c r="H11" s="319"/>
      <c r="I11" s="319"/>
      <c r="J11" s="79" t="str">
        <f>IF('Filtered Data'!D1="MD",'Filtered Data'!H3,IF('Filtered Data'!D1="SD",'Filtered Data'!H3,""))</f>
        <v>Rural-80</v>
      </c>
      <c r="K11" s="79"/>
      <c r="W11" s="301" t="s">
        <v>369</v>
      </c>
      <c r="X11" s="302"/>
      <c r="Y11" s="302"/>
      <c r="Z11" s="302"/>
      <c r="AA11" s="302"/>
      <c r="AB11" s="302"/>
      <c r="AC11" s="302"/>
      <c r="AD11" s="302"/>
      <c r="AE11" s="302"/>
      <c r="AF11" s="302"/>
      <c r="AG11" s="302"/>
      <c r="AH11" s="302"/>
      <c r="AI11" s="302"/>
      <c r="AJ11" s="302"/>
      <c r="AK11" s="302"/>
      <c r="AL11" s="302"/>
      <c r="AM11" s="303"/>
    </row>
    <row r="12" spans="2:40" ht="12.75" customHeight="1">
      <c r="W12" s="348" t="s">
        <v>898</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21" t="s">
        <v>370</v>
      </c>
      <c r="X13" s="322"/>
      <c r="Y13" s="322"/>
      <c r="Z13" s="322"/>
      <c r="AA13" s="322"/>
      <c r="AB13" s="322"/>
      <c r="AC13" s="322"/>
      <c r="AD13" s="322"/>
      <c r="AE13" s="322"/>
      <c r="AF13" s="322"/>
      <c r="AG13" s="322"/>
      <c r="AH13" s="322"/>
      <c r="AI13" s="322"/>
      <c r="AJ13" s="322"/>
      <c r="AK13" s="322"/>
      <c r="AL13" s="322"/>
      <c r="AM13" s="323"/>
    </row>
    <row r="14" spans="2:40" ht="25.5" customHeight="1">
      <c r="B14" s="25"/>
      <c r="C14" s="25"/>
      <c r="D14" s="25"/>
      <c r="E14" s="25"/>
      <c r="F14" s="25"/>
      <c r="G14" s="25"/>
      <c r="H14" s="25"/>
      <c r="I14" s="25"/>
      <c r="J14" s="3"/>
      <c r="K14" s="3"/>
      <c r="L14" s="3"/>
      <c r="M14" s="3"/>
      <c r="N14" s="3"/>
      <c r="O14" s="3"/>
      <c r="P14" s="3"/>
      <c r="Q14" s="3"/>
      <c r="R14" s="3"/>
      <c r="W14" s="298" t="str">
        <f>HLOOKUP(W6,Data!4:6,3,FALSE)</f>
        <v>www.wastedataflow.org</v>
      </c>
      <c r="X14" s="299"/>
      <c r="Y14" s="299"/>
      <c r="Z14" s="299"/>
      <c r="AA14" s="299"/>
      <c r="AB14" s="299"/>
      <c r="AC14" s="299"/>
      <c r="AD14" s="299"/>
      <c r="AE14" s="299"/>
      <c r="AF14" s="299"/>
      <c r="AG14" s="299"/>
      <c r="AH14" s="299"/>
      <c r="AI14" s="299"/>
      <c r="AJ14" s="299"/>
      <c r="AK14" s="299"/>
      <c r="AL14" s="299"/>
      <c r="AM14" s="300"/>
    </row>
    <row r="15" spans="2:40"/>
    <row r="16" spans="2:40">
      <c r="B16" s="306" t="str">
        <f>W6&amp;" - "&amp;W12</f>
        <v>Recycling Rate - Annual up to 31 March 2014</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8"/>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5" t="s">
        <v>344</v>
      </c>
      <c r="F32" s="316"/>
      <c r="G32" s="316"/>
      <c r="H32" s="316"/>
      <c r="I32" s="316"/>
      <c r="J32" s="316"/>
      <c r="K32" s="314">
        <f>IF('Filtered Data'!$H$8="..",'Filtered Data'!O10,'Filtered Data'!O10/100)</f>
        <v>0.50559051247727482</v>
      </c>
      <c r="L32" s="314"/>
      <c r="M32" s="314"/>
      <c r="N32" s="329" t="s">
        <v>355</v>
      </c>
      <c r="O32" s="329"/>
      <c r="P32" s="329"/>
      <c r="Q32" s="329"/>
      <c r="R32" s="329"/>
      <c r="S32" s="329"/>
      <c r="T32" s="314">
        <f>IF('Filtered Data'!$H$8="..",'Filtered Data'!P10,'Filtered Data'!P10/100)</f>
        <v>0.44357886463783641</v>
      </c>
      <c r="U32" s="314"/>
      <c r="V32" s="314"/>
      <c r="W32" s="314"/>
      <c r="X32" s="312" t="s">
        <v>356</v>
      </c>
      <c r="Y32" s="312"/>
      <c r="Z32" s="312"/>
      <c r="AA32" s="312"/>
      <c r="AB32" s="312"/>
      <c r="AC32" s="314">
        <f>IF('Filtered Data'!$H$8="..",'Filtered Data'!Q10,'Filtered Data'!Q10/100)</f>
        <v>0.37444815221965599</v>
      </c>
      <c r="AD32" s="314"/>
      <c r="AE32" s="314"/>
      <c r="AF32" s="335" t="s">
        <v>345</v>
      </c>
      <c r="AG32" s="335"/>
      <c r="AH32" s="335"/>
      <c r="AI32" s="335"/>
      <c r="AJ32" s="335"/>
      <c r="AK32" s="335"/>
      <c r="AL32" s="335"/>
      <c r="AM32" s="10"/>
      <c r="AP32" s="85"/>
    </row>
    <row r="33" spans="2:16384">
      <c r="B33" s="4" t="str">
        <f>"The graph &amp; quartile information show data for all "&amp;V37&amp;" "&amp;VLOOKUP('Filtered Data'!D1,'Filtered Data'!L1:O6,3,FALSE)&amp;" councils in England."</f>
        <v>The graph &amp; quartile information show data for all 194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05">
        <f>IF(ISERROR(IF('Filtered Data'!$H$8="%.",(VLOOKUP(J5,'Filtered Data'!C:H,4,FALSE))/100,(VLOOKUP(J5,'Filtered Data'!C:H,4,FALSE)))),"",(IF('Filtered Data'!$H$8="%.",(VLOOKUP(J5,'Filtered Data'!C:H,4,FALSE))/100,(VLOOKUP(J5,'Filtered Data'!C:H,4,FALSE)))))</f>
        <v>0.38071334707896576</v>
      </c>
      <c r="M35" s="305"/>
      <c r="N35" s="305"/>
      <c r="O35" s="305"/>
      <c r="P35" s="135"/>
      <c r="Q35" s="305" t="s">
        <v>357</v>
      </c>
      <c r="R35" s="305"/>
      <c r="S35" s="305"/>
      <c r="T35" s="305"/>
      <c r="U35" s="305"/>
      <c r="V35" s="305"/>
      <c r="W35" s="305"/>
      <c r="AP35" s="85"/>
    </row>
    <row r="36" spans="2:16384" ht="12.75" customHeight="1">
      <c r="B36" s="304" t="str">
        <f>'Filtered Data'!R8&amp;" Quartile"</f>
        <v>Third Quartile</v>
      </c>
      <c r="C36" s="304"/>
      <c r="D36" s="304"/>
      <c r="E36" s="304"/>
      <c r="F36" s="304"/>
      <c r="G36" s="304"/>
      <c r="H36" s="304"/>
      <c r="I36" s="304"/>
      <c r="J36" s="304"/>
      <c r="K36" s="304"/>
      <c r="L36" s="304"/>
      <c r="M36" s="304"/>
      <c r="N36" s="304"/>
      <c r="O36" s="304"/>
      <c r="P36" s="304"/>
      <c r="Q36" s="304"/>
      <c r="R36" s="304"/>
      <c r="S36" s="304"/>
      <c r="T36" s="304"/>
      <c r="U36" s="304"/>
      <c r="V36" s="304"/>
      <c r="W36" s="304"/>
      <c r="Z36" s="21" t="s">
        <v>361</v>
      </c>
      <c r="AB36" s="334" t="s">
        <v>363</v>
      </c>
      <c r="AC36" s="334"/>
      <c r="AD36" s="334"/>
      <c r="AE36" s="334"/>
      <c r="AF36" s="334"/>
      <c r="AG36" s="334"/>
      <c r="AH36" s="334"/>
      <c r="AI36" s="334"/>
      <c r="AJ36" s="334"/>
      <c r="AK36" s="334"/>
      <c r="AL36" s="334"/>
      <c r="AM36" s="154"/>
      <c r="AP36" s="85"/>
    </row>
    <row r="37" spans="2:16384" ht="12.75" customHeight="1">
      <c r="B37" s="136" t="str">
        <f>VLOOKUP('Filtered Data'!D1,'Filtered Data'!L1:O6,2,FALSE)</f>
        <v>Districts</v>
      </c>
      <c r="C37" s="136"/>
      <c r="D37" s="136"/>
      <c r="E37" s="136"/>
      <c r="F37" s="136"/>
      <c r="G37" s="136"/>
      <c r="H37" s="136"/>
      <c r="I37" s="136"/>
      <c r="J37" s="332" t="s">
        <v>807</v>
      </c>
      <c r="K37" s="137" t="str">
        <f>IF(Q37="","",IF('Filtered Data'!I8="D",IF($L$35&gt;=L37,"J","L"),IF('Filtered Data'!I8="A",IF($L$35&lt;=L37,"J","L"))))</f>
        <v>L</v>
      </c>
      <c r="L37" s="326">
        <f>'Filtered Data'!M9</f>
        <v>0.43778801041536569</v>
      </c>
      <c r="M37" s="326"/>
      <c r="N37" s="326"/>
      <c r="O37" s="326"/>
      <c r="P37" s="138"/>
      <c r="Q37" s="328">
        <f>VLOOKUP(J5,'Filtered Data'!C:I,7,FALSE)</f>
        <v>144</v>
      </c>
      <c r="R37" s="328"/>
      <c r="S37" s="139"/>
      <c r="T37" s="140" t="s">
        <v>358</v>
      </c>
      <c r="U37" s="141"/>
      <c r="V37" s="328">
        <f>COUNT('Filtered Data'!I11:I363)</f>
        <v>194</v>
      </c>
      <c r="W37" s="328"/>
      <c r="AB37" s="334"/>
      <c r="AC37" s="334"/>
      <c r="AD37" s="334"/>
      <c r="AE37" s="334"/>
      <c r="AF37" s="334"/>
      <c r="AG37" s="334"/>
      <c r="AH37" s="334"/>
      <c r="AI37" s="334"/>
      <c r="AJ37" s="334"/>
      <c r="AK37" s="334"/>
      <c r="AL37" s="334"/>
      <c r="AM37" s="154"/>
      <c r="AP37" s="85"/>
    </row>
    <row r="38" spans="2:16384">
      <c r="B38" s="136" t="str">
        <f>IF('Filtered Data'!D1="L","Family",IF('Filtered Data'!D1="SD",VLOOKUP(J5,classifications!C:J,6,FALSE),"Rural"))</f>
        <v>Rural-80</v>
      </c>
      <c r="C38" s="136"/>
      <c r="D38" s="136"/>
      <c r="E38" s="136"/>
      <c r="F38" s="136"/>
      <c r="G38" s="136"/>
      <c r="H38" s="136"/>
      <c r="I38" s="136"/>
      <c r="J38" s="333"/>
      <c r="K38" s="137" t="str">
        <f>IF(Q38="","",IF('Filtered Data'!I8="D",IF($L$35&gt;=L38,"J","L"),IF('Filtered Data'!I8="A",IF($L$35&lt;=L38,"J","L"))))</f>
        <v>L</v>
      </c>
      <c r="L38" s="326">
        <f>IF('Filtered Data'!D1="L",'Filtered Data'!AG9,'Filtered Data'!Y9)</f>
        <v>0.47612721518422141</v>
      </c>
      <c r="M38" s="326"/>
      <c r="N38" s="326"/>
      <c r="O38" s="326"/>
      <c r="P38" s="138"/>
      <c r="Q38" s="331">
        <f>IF(ISERROR(IF('Filtered Data'!D1="L",VLOOKUP(J5,'Filtered Data'!AF11:AH26,3,FALSE),VLOOKUP(J5,'Filtered Data'!$L$11:$Z$363,15,FALSE))),"",(IF('Filtered Data'!D1="L",VLOOKUP(J5,'Filtered Data'!AF11:AH26,3,FALSE),VLOOKUP(J5,'Filtered Data'!$L$11:$Z$363,15,FALSE))))</f>
        <v>43</v>
      </c>
      <c r="R38" s="331"/>
      <c r="S38" s="327" t="s">
        <v>358</v>
      </c>
      <c r="T38" s="326"/>
      <c r="U38" s="326"/>
      <c r="V38" s="328">
        <f>IF('Filtered Data'!D1="L",16,COUNT('Filtered Data'!Z:Z))</f>
        <v>47</v>
      </c>
      <c r="W38" s="32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3"/>
      <c r="K39" s="137" t="str">
        <f>IF(Q39="","",IF('Filtered Data'!I8="D",IF($L$35&gt;=L39,"J","L"),IF('Filtered Data'!I8="A",IF($L$35&lt;=L39,"J","L"))))</f>
        <v>L</v>
      </c>
      <c r="L39" s="326">
        <f>IF('Filtered Data'!D1="L","",'Filtered Data'!AG9)</f>
        <v>0.38825740546093551</v>
      </c>
      <c r="M39" s="326"/>
      <c r="N39" s="326"/>
      <c r="O39" s="326"/>
      <c r="P39" s="138"/>
      <c r="Q39" s="328">
        <f>IF(ISERROR(IF('Filtered Data'!D1="L","",'Filtered Data'!AH11)),"",(IF('Filtered Data'!D1="L","",'Filtered Data'!AH11)))</f>
        <v>11</v>
      </c>
      <c r="R39" s="328"/>
      <c r="S39" s="139"/>
      <c r="T39" s="141" t="str">
        <f>IF(B39="","","out of")</f>
        <v>out of</v>
      </c>
      <c r="U39" s="141"/>
      <c r="V39" s="328">
        <f>IF('Filtered Data'!D1="L","",16)</f>
        <v>16</v>
      </c>
      <c r="W39" s="328"/>
      <c r="Z39" s="13" t="s">
        <v>362</v>
      </c>
      <c r="AB39" s="334" t="s">
        <v>364</v>
      </c>
      <c r="AC39" s="334"/>
      <c r="AD39" s="334"/>
      <c r="AE39" s="334"/>
      <c r="AF39" s="334"/>
      <c r="AG39" s="334"/>
      <c r="AH39" s="334"/>
      <c r="AI39" s="334"/>
      <c r="AJ39" s="334"/>
      <c r="AK39" s="334"/>
      <c r="AL39" s="334"/>
      <c r="AM39" s="334"/>
      <c r="AP39" s="85"/>
    </row>
    <row r="40" spans="2:16384" ht="12.75" customHeight="1">
      <c r="B40" s="136" t="str">
        <f>IF('Filtered Data'!D1="L","",IF('Filtered Data'!D1="SD",J10,"Regional"))</f>
        <v>Cumbria</v>
      </c>
      <c r="C40" s="136"/>
      <c r="D40" s="136"/>
      <c r="E40" s="136"/>
      <c r="F40" s="136"/>
      <c r="G40" s="136"/>
      <c r="H40" s="136"/>
      <c r="I40" s="136"/>
      <c r="J40" s="333"/>
      <c r="K40" s="137" t="str">
        <f>IF(Q40="","",IF('Filtered Data'!I8="D",IF($L$35&gt;=L40,"J","L"),IF('Filtered Data'!I8="A",IF($L$35&lt;=L40,"J","L"))))</f>
        <v>L</v>
      </c>
      <c r="L40" s="326">
        <f>IF('Filtered Data'!D1="L","",IF('Filtered Data'!D1="SD",'Filtered Data'!AJ9,'Filtered Data'!AQ9))</f>
        <v>0.38788714047468958</v>
      </c>
      <c r="M40" s="326"/>
      <c r="N40" s="326"/>
      <c r="O40" s="326"/>
      <c r="P40" s="138"/>
      <c r="Q40" s="328">
        <f>IF(ISERROR(IF('Filtered Data'!D1="L","",IF('Filtered Data'!D1="SD",VLOOKUP(J5,'Filtered Data'!L:AK,26,FALSE),(VLOOKUP(J5,'Filtered Data'!L:AR,33,FALSE))))),"",(IF('Filtered Data'!D1="L","",IF('Filtered Data'!D1="SD",VLOOKUP(J5,'Filtered Data'!L:AK,26,FALSE),(VLOOKUP(J5,'Filtered Data'!L:AR,33,FALSE))))))</f>
        <v>4</v>
      </c>
      <c r="R40" s="328"/>
      <c r="S40" s="326" t="str">
        <f>IF(B40="","","out of")</f>
        <v>out of</v>
      </c>
      <c r="T40" s="327"/>
      <c r="U40" s="327"/>
      <c r="V40" s="328">
        <f>IF('Filtered Data'!D1="L","",IF('Filtered Data'!D1="SD",COUNT('Filtered Data'!AK11:AK363),(COUNT('Filtered Data'!AQ11:AQ363))))</f>
        <v>6</v>
      </c>
      <c r="W40" s="328"/>
      <c r="AB40" s="334"/>
      <c r="AC40" s="334"/>
      <c r="AD40" s="334"/>
      <c r="AE40" s="334"/>
      <c r="AF40" s="334"/>
      <c r="AG40" s="334"/>
      <c r="AH40" s="334"/>
      <c r="AI40" s="334"/>
      <c r="AJ40" s="334"/>
      <c r="AK40" s="334"/>
      <c r="AL40" s="334"/>
      <c r="AM40" s="334"/>
      <c r="AP40" s="85"/>
    </row>
    <row r="41" spans="2:16384">
      <c r="B41" s="150"/>
      <c r="C41" s="150"/>
      <c r="D41" s="150"/>
      <c r="E41" s="150"/>
      <c r="F41" s="150"/>
      <c r="G41" s="150"/>
      <c r="H41" s="150"/>
      <c r="I41" s="150"/>
      <c r="J41" s="149"/>
      <c r="K41" s="151" t="str">
        <f>IF(B41="","",IF('Filtered Data'!D1="UA","",(IF($L$35&gt;=L41,"J","L"))))</f>
        <v/>
      </c>
      <c r="L41" s="346"/>
      <c r="M41" s="346"/>
      <c r="N41" s="346"/>
      <c r="O41" s="346"/>
      <c r="P41" s="152"/>
      <c r="Q41" s="336"/>
      <c r="R41" s="336"/>
      <c r="S41" s="330"/>
      <c r="T41" s="330"/>
      <c r="U41" s="330"/>
      <c r="V41" s="336"/>
      <c r="W41" s="33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360</v>
      </c>
      <c r="C43" s="343"/>
      <c r="D43" s="343"/>
      <c r="E43" s="343"/>
      <c r="F43" s="343"/>
      <c r="G43" s="343"/>
      <c r="H43" s="343"/>
      <c r="I43" s="343"/>
      <c r="J43" s="343"/>
      <c r="K43" s="343"/>
      <c r="L43" s="343"/>
      <c r="M43" s="343"/>
      <c r="N43" s="343"/>
      <c r="O43" s="338" t="str">
        <f>W6&amp;" - "&amp;W12</f>
        <v>Recycling Rate - Annual up to 31 March 2014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20">
        <f>IF('Filtered Data'!$H$8="..",L35,L35*100)</f>
        <v>38.071334707896575</v>
      </c>
      <c r="F48" s="320"/>
      <c r="G48" s="320"/>
      <c r="H48" s="320"/>
      <c r="I48" s="6"/>
      <c r="J48" s="6"/>
      <c r="K48" s="278">
        <f>IF('Filtered Data'!$H$8="..",K$32,K$32*100)</f>
        <v>50.559051247727481</v>
      </c>
      <c r="L48" s="278"/>
      <c r="M48" s="278">
        <f>IF('Filtered Data'!$H$8="..",T$32,T$32*100)</f>
        <v>44.357886463783643</v>
      </c>
      <c r="N48" s="278"/>
      <c r="O48" s="278">
        <f>IF('Filtered Data'!$H$8="..",AC$32,AC$32*100)</f>
        <v>37.444815221965598</v>
      </c>
      <c r="P48" s="27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20">
        <f>IF('Filtered Data'!$H$8="..",L37,L37*100)</f>
        <v>43.778801041536568</v>
      </c>
      <c r="F49" s="320"/>
      <c r="G49" s="320"/>
      <c r="H49" s="320"/>
      <c r="I49" s="6"/>
      <c r="J49" s="6"/>
      <c r="K49" s="278">
        <f>IF('Filtered Data'!$H$8="..",K$32,K$32*100)</f>
        <v>50.559051247727481</v>
      </c>
      <c r="L49" s="278"/>
      <c r="M49" s="278">
        <f>IF('Filtered Data'!$H$8="..",T$32,T$32*100)</f>
        <v>44.357886463783643</v>
      </c>
      <c r="N49" s="278"/>
      <c r="O49" s="278">
        <f>IF('Filtered Data'!$H$8="..",AC$32,AC$32*100)</f>
        <v>37.444815221965598</v>
      </c>
      <c r="P49" s="27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0">
        <f>IF('Filtered Data'!$H$8="..",L39,L39*100)</f>
        <v>38.825740546093549</v>
      </c>
      <c r="F50" s="320"/>
      <c r="G50" s="320"/>
      <c r="H50" s="320"/>
      <c r="I50" s="6"/>
      <c r="J50" s="6"/>
      <c r="K50" s="278">
        <f>IF('Filtered Data'!$H$8="..",K$32,K$32*100)</f>
        <v>50.559051247727481</v>
      </c>
      <c r="L50" s="278"/>
      <c r="M50" s="278">
        <f>IF('Filtered Data'!$H$8="..",T$32,T$32*100)</f>
        <v>44.357886463783643</v>
      </c>
      <c r="N50" s="278"/>
      <c r="O50" s="278">
        <f>IF('Filtered Data'!$H$8="..",AC$32,AC$32*100)</f>
        <v>37.444815221965598</v>
      </c>
      <c r="P50" s="27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20">
        <f>IF('Filtered Data'!$H$8="..",L40,L40*100)</f>
        <v>38.788714047468957</v>
      </c>
      <c r="F51" s="320"/>
      <c r="G51" s="320"/>
      <c r="H51" s="320"/>
      <c r="I51" s="6"/>
      <c r="J51" s="6"/>
      <c r="K51" s="278">
        <f>IF('Filtered Data'!$H$8="..",K$32,K$32*100)</f>
        <v>50.559051247727481</v>
      </c>
      <c r="L51" s="278"/>
      <c r="M51" s="278">
        <f>IF('Filtered Data'!$H$8="..",T$32,T$32*100)</f>
        <v>44.357886463783643</v>
      </c>
      <c r="N51" s="278"/>
      <c r="O51" s="278">
        <f>IF('Filtered Data'!$H$8="..",AC$32,AC$32*100)</f>
        <v>37.444815221965598</v>
      </c>
      <c r="P51" s="27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320">
        <f>IF('Filtered Data'!$H$8="..",L38,L38*100)</f>
        <v>47.612721518422141</v>
      </c>
      <c r="F52" s="320"/>
      <c r="G52" s="320"/>
      <c r="H52" s="320"/>
      <c r="I52" s="6"/>
      <c r="J52" s="6"/>
      <c r="K52" s="278">
        <f>IF('Filtered Data'!$H$8="..",K$32,K$32*100)</f>
        <v>50.559051247727481</v>
      </c>
      <c r="L52" s="278"/>
      <c r="M52" s="278">
        <f>IF('Filtered Data'!$H$8="..",T$32,T$32*100)</f>
        <v>44.357886463783643</v>
      </c>
      <c r="N52" s="278"/>
      <c r="O52" s="278">
        <f>IF('Filtered Data'!$H$8="..",AC$32,AC$32*100)</f>
        <v>37.444815221965598</v>
      </c>
      <c r="P52" s="27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8"/>
      <c r="L53" s="278"/>
      <c r="M53" s="278"/>
      <c r="N53" s="278"/>
      <c r="O53" s="278"/>
      <c r="P53" s="27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7" t="str">
        <f>B3</f>
        <v>Recycling rate</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P59" s="85"/>
    </row>
    <row r="60" spans="2:42">
      <c r="AP60" s="85"/>
    </row>
    <row r="61" spans="2:42" ht="12" customHeight="1">
      <c r="B61" s="1" t="str">
        <f>W6&amp;" - "&amp;W12</f>
        <v>Recycling Rate - Annual up to 31 March 2014</v>
      </c>
      <c r="AP61" s="85"/>
    </row>
    <row r="62" spans="2:42" ht="12" customHeight="1">
      <c r="AP62" s="85"/>
    </row>
    <row r="63" spans="2:42" ht="12" customHeight="1">
      <c r="B63" s="1" t="s">
        <v>366</v>
      </c>
      <c r="AP63" s="85"/>
    </row>
    <row r="64" spans="2:42" ht="12" customHeight="1">
      <c r="AP64" s="85"/>
    </row>
    <row r="65" spans="2:42" ht="12" customHeight="1">
      <c r="B65" s="290" t="s">
        <v>357</v>
      </c>
      <c r="C65" s="290"/>
      <c r="D65" s="290"/>
      <c r="E65" s="284" t="s">
        <v>334</v>
      </c>
      <c r="F65" s="284"/>
      <c r="G65" s="284"/>
      <c r="H65" s="284"/>
      <c r="I65" s="284"/>
      <c r="J65" s="284"/>
      <c r="K65" s="284"/>
      <c r="L65" s="284"/>
      <c r="M65" s="284"/>
      <c r="N65" s="284"/>
      <c r="O65" s="284"/>
      <c r="P65" s="284"/>
      <c r="Q65" s="284"/>
      <c r="R65" s="284"/>
      <c r="S65" s="284"/>
      <c r="T65" s="284"/>
      <c r="U65" s="290" t="s">
        <v>368</v>
      </c>
      <c r="V65" s="290"/>
      <c r="W65" s="290"/>
      <c r="X65" s="290"/>
      <c r="Y65" s="24"/>
      <c r="Z65" s="24"/>
      <c r="AA65" s="24"/>
      <c r="AB65" s="24"/>
      <c r="AC65" s="23"/>
      <c r="AD65" s="24"/>
      <c r="AE65" s="24"/>
      <c r="AF65" s="24"/>
      <c r="AG65" s="24"/>
      <c r="AH65" s="11"/>
      <c r="AI65" s="24"/>
      <c r="AJ65" s="24"/>
      <c r="AK65" s="24"/>
      <c r="AL65" s="24"/>
      <c r="AP65" s="85"/>
    </row>
    <row r="66" spans="2:42" ht="12" customHeight="1">
      <c r="B66" s="324">
        <v>1</v>
      </c>
      <c r="C66" s="281"/>
      <c r="D66" s="281"/>
      <c r="E66" s="282" t="str">
        <f>VLOOKUP(B66,'Filtered Data'!K:L,2,FALSE)</f>
        <v>South Oxfordshire</v>
      </c>
      <c r="F66" s="282"/>
      <c r="G66" s="282"/>
      <c r="H66" s="282"/>
      <c r="I66" s="282"/>
      <c r="J66" s="282"/>
      <c r="K66" s="282"/>
      <c r="L66" s="282"/>
      <c r="M66" s="282"/>
      <c r="N66" s="282"/>
      <c r="O66" s="282"/>
      <c r="P66" s="282"/>
      <c r="Q66" s="282"/>
      <c r="R66" s="282"/>
      <c r="S66" s="282"/>
      <c r="T66" s="282"/>
      <c r="U66" s="289">
        <f>IF('Filtered Data'!$H$8="%.",(VLOOKUP(B66,'Filtered Data'!K:M,3,FALSE))/100,VLOOKUP(B66,'Filtered Data'!K:M,3,FALSE))</f>
        <v>0.65708340724934233</v>
      </c>
      <c r="V66" s="289"/>
      <c r="W66" s="289"/>
      <c r="X66" s="289"/>
      <c r="Y66" s="184" t="str">
        <f>IF((VLOOKUP(E66,classifications!C:K,9,FALSE))="Sparse","S","")</f>
        <v>S</v>
      </c>
      <c r="Z66" s="184"/>
      <c r="AA66" s="184"/>
      <c r="AB66" s="184"/>
      <c r="AC66" s="184"/>
      <c r="AD66" s="287"/>
      <c r="AE66" s="287"/>
      <c r="AF66" s="287"/>
      <c r="AG66" s="287"/>
      <c r="AH66" s="287"/>
      <c r="AI66" s="287"/>
      <c r="AJ66" s="287"/>
      <c r="AK66" s="287"/>
      <c r="AL66" s="287"/>
      <c r="AP66" s="85"/>
    </row>
    <row r="67" spans="2:42" ht="12" customHeight="1">
      <c r="B67" s="324">
        <v>2</v>
      </c>
      <c r="C67" s="281"/>
      <c r="D67" s="281"/>
      <c r="E67" s="282" t="str">
        <f>VLOOKUP(B67,'Filtered Data'!K:L,2,FALSE)</f>
        <v>Rochford</v>
      </c>
      <c r="F67" s="282"/>
      <c r="G67" s="282"/>
      <c r="H67" s="282"/>
      <c r="I67" s="282"/>
      <c r="J67" s="282"/>
      <c r="K67" s="282"/>
      <c r="L67" s="282"/>
      <c r="M67" s="282"/>
      <c r="N67" s="282"/>
      <c r="O67" s="282"/>
      <c r="P67" s="282"/>
      <c r="Q67" s="282"/>
      <c r="R67" s="282"/>
      <c r="S67" s="282"/>
      <c r="T67" s="282"/>
      <c r="U67" s="289">
        <f>IF('Filtered Data'!$H$8="%.",(VLOOKUP(B67,'Filtered Data'!K:M,3,FALSE))/100,VLOOKUP(B67,'Filtered Data'!K:M,3,FALSE))</f>
        <v>0.65473069918815896</v>
      </c>
      <c r="V67" s="289"/>
      <c r="W67" s="289"/>
      <c r="X67" s="289"/>
      <c r="Y67" s="184" t="str">
        <f>IF((VLOOKUP(E67,classifications!C:K,9,FALSE))="Sparse","S","")</f>
        <v/>
      </c>
      <c r="Z67" s="184"/>
      <c r="AA67" s="184"/>
      <c r="AB67" s="184"/>
      <c r="AC67" s="184"/>
      <c r="AD67" s="287"/>
      <c r="AE67" s="287"/>
      <c r="AF67" s="287"/>
      <c r="AG67" s="287"/>
      <c r="AH67" s="287"/>
      <c r="AI67" s="287"/>
      <c r="AJ67" s="287"/>
      <c r="AK67" s="287"/>
      <c r="AL67" s="287"/>
      <c r="AP67" s="85"/>
    </row>
    <row r="68" spans="2:42" ht="12" customHeight="1">
      <c r="B68" s="324">
        <v>3</v>
      </c>
      <c r="C68" s="281"/>
      <c r="D68" s="281"/>
      <c r="E68" s="282" t="str">
        <f>VLOOKUP(B68,'Filtered Data'!K:L,2,FALSE)</f>
        <v>Vale of White Horse</v>
      </c>
      <c r="F68" s="282"/>
      <c r="G68" s="282"/>
      <c r="H68" s="282"/>
      <c r="I68" s="282"/>
      <c r="J68" s="282"/>
      <c r="K68" s="282"/>
      <c r="L68" s="282"/>
      <c r="M68" s="282"/>
      <c r="N68" s="282"/>
      <c r="O68" s="282"/>
      <c r="P68" s="282"/>
      <c r="Q68" s="282"/>
      <c r="R68" s="282"/>
      <c r="S68" s="282"/>
      <c r="T68" s="282"/>
      <c r="U68" s="289">
        <f>IF('Filtered Data'!$H$8="%.",(VLOOKUP(B68,'Filtered Data'!K:M,3,FALSE))/100,VLOOKUP(B68,'Filtered Data'!K:M,3,FALSE))</f>
        <v>0.65270695740873863</v>
      </c>
      <c r="V68" s="289"/>
      <c r="W68" s="289"/>
      <c r="X68" s="289"/>
      <c r="Y68" s="184" t="str">
        <f>IF((VLOOKUP(E68,classifications!C:K,9,FALSE))="Sparse","S","")</f>
        <v>S</v>
      </c>
      <c r="Z68" s="184"/>
      <c r="AA68" s="184"/>
      <c r="AB68" s="184"/>
      <c r="AC68" s="184"/>
      <c r="AD68" s="287"/>
      <c r="AE68" s="287"/>
      <c r="AF68" s="287"/>
      <c r="AG68" s="287"/>
      <c r="AH68" s="287"/>
      <c r="AI68" s="287"/>
      <c r="AJ68" s="287"/>
      <c r="AK68" s="287"/>
      <c r="AL68" s="287"/>
      <c r="AP68" s="85"/>
    </row>
    <row r="69" spans="2:42" ht="12" customHeight="1">
      <c r="B69" s="324">
        <v>4</v>
      </c>
      <c r="C69" s="281"/>
      <c r="D69" s="281"/>
      <c r="E69" s="282" t="str">
        <f>VLOOKUP(B69,'Filtered Data'!K:L,2,FALSE)</f>
        <v>Three Rivers</v>
      </c>
      <c r="F69" s="282"/>
      <c r="G69" s="282"/>
      <c r="H69" s="282"/>
      <c r="I69" s="282"/>
      <c r="J69" s="282"/>
      <c r="K69" s="282"/>
      <c r="L69" s="282"/>
      <c r="M69" s="282"/>
      <c r="N69" s="282"/>
      <c r="O69" s="282"/>
      <c r="P69" s="282"/>
      <c r="Q69" s="282"/>
      <c r="R69" s="282"/>
      <c r="S69" s="282"/>
      <c r="T69" s="282"/>
      <c r="U69" s="289">
        <f>IF('Filtered Data'!$H$8="%.",(VLOOKUP(B69,'Filtered Data'!K:M,3,FALSE))/100,VLOOKUP(B69,'Filtered Data'!K:M,3,FALSE))</f>
        <v>0.62441361698374731</v>
      </c>
      <c r="V69" s="289"/>
      <c r="W69" s="289"/>
      <c r="X69" s="289"/>
      <c r="Y69" s="184" t="str">
        <f>IF((VLOOKUP(E69,classifications!C:K,9,FALSE))="Sparse","S","")</f>
        <v/>
      </c>
      <c r="Z69" s="184"/>
      <c r="AA69" s="184"/>
      <c r="AB69" s="184"/>
      <c r="AC69" s="184"/>
      <c r="AD69" s="287"/>
      <c r="AE69" s="287"/>
      <c r="AF69" s="287"/>
      <c r="AG69" s="287"/>
      <c r="AH69" s="287"/>
      <c r="AI69" s="287"/>
      <c r="AJ69" s="287"/>
      <c r="AK69" s="287"/>
      <c r="AL69" s="287"/>
      <c r="AP69" s="85"/>
    </row>
    <row r="70" spans="2:42" ht="12" customHeight="1">
      <c r="B70" s="324">
        <v>5</v>
      </c>
      <c r="C70" s="281"/>
      <c r="D70" s="281"/>
      <c r="E70" s="282" t="str">
        <f>VLOOKUP(B70,'Filtered Data'!K:L,2,FALSE)</f>
        <v>Stratford-on-Avon</v>
      </c>
      <c r="F70" s="282"/>
      <c r="G70" s="282"/>
      <c r="H70" s="282"/>
      <c r="I70" s="282"/>
      <c r="J70" s="282"/>
      <c r="K70" s="282"/>
      <c r="L70" s="282"/>
      <c r="M70" s="282"/>
      <c r="N70" s="282"/>
      <c r="O70" s="282"/>
      <c r="P70" s="282"/>
      <c r="Q70" s="282"/>
      <c r="R70" s="282"/>
      <c r="S70" s="282"/>
      <c r="T70" s="282"/>
      <c r="U70" s="289">
        <f>IF('Filtered Data'!$H$8="%.",(VLOOKUP(B70,'Filtered Data'!K:M,3,FALSE))/100,VLOOKUP(B70,'Filtered Data'!K:M,3,FALSE))</f>
        <v>0.59057999330491506</v>
      </c>
      <c r="V70" s="289"/>
      <c r="W70" s="289"/>
      <c r="X70" s="289"/>
      <c r="Y70" s="184" t="str">
        <f>IF((VLOOKUP(E70,classifications!C:K,9,FALSE))="Sparse","S","")</f>
        <v>S</v>
      </c>
      <c r="Z70" s="184"/>
      <c r="AA70" s="184"/>
      <c r="AB70" s="184"/>
      <c r="AC70" s="184"/>
      <c r="AD70" s="287"/>
      <c r="AE70" s="287"/>
      <c r="AF70" s="287"/>
      <c r="AG70" s="287"/>
      <c r="AH70" s="287"/>
      <c r="AI70" s="287"/>
      <c r="AJ70" s="287"/>
      <c r="AK70" s="287"/>
      <c r="AL70" s="287"/>
      <c r="AP70" s="85"/>
    </row>
    <row r="71" spans="2:42" ht="12" customHeight="1">
      <c r="B71" s="324">
        <v>6</v>
      </c>
      <c r="C71" s="281"/>
      <c r="D71" s="281"/>
      <c r="E71" s="282" t="str">
        <f>VLOOKUP(B71,'Filtered Data'!K:L,2,FALSE)</f>
        <v>Epping Forest</v>
      </c>
      <c r="F71" s="282"/>
      <c r="G71" s="282"/>
      <c r="H71" s="282"/>
      <c r="I71" s="282"/>
      <c r="J71" s="282"/>
      <c r="K71" s="282"/>
      <c r="L71" s="282"/>
      <c r="M71" s="282"/>
      <c r="N71" s="282"/>
      <c r="O71" s="282"/>
      <c r="P71" s="282"/>
      <c r="Q71" s="282"/>
      <c r="R71" s="282"/>
      <c r="S71" s="282"/>
      <c r="T71" s="282"/>
      <c r="U71" s="289">
        <f>IF('Filtered Data'!$H$8="%.",(VLOOKUP(B71,'Filtered Data'!K:M,3,FALSE))/100,VLOOKUP(B71,'Filtered Data'!K:M,3,FALSE))</f>
        <v>0.58577351769871677</v>
      </c>
      <c r="V71" s="289"/>
      <c r="W71" s="289"/>
      <c r="X71" s="289"/>
      <c r="Y71" s="184" t="str">
        <f>IF((VLOOKUP(E71,classifications!C:K,9,FALSE))="Sparse","S","")</f>
        <v/>
      </c>
      <c r="Z71" s="184"/>
      <c r="AA71" s="184"/>
      <c r="AB71" s="184"/>
      <c r="AC71" s="184"/>
      <c r="AD71" s="287"/>
      <c r="AE71" s="287"/>
      <c r="AF71" s="287"/>
      <c r="AG71" s="287"/>
      <c r="AH71" s="287"/>
      <c r="AI71" s="287"/>
      <c r="AJ71" s="287"/>
      <c r="AK71" s="287"/>
      <c r="AL71" s="287"/>
      <c r="AP71" s="85"/>
    </row>
    <row r="72" spans="2:42" ht="12" customHeight="1">
      <c r="B72" s="324">
        <v>7</v>
      </c>
      <c r="C72" s="281"/>
      <c r="D72" s="281"/>
      <c r="E72" s="282" t="str">
        <f>VLOOKUP(B72,'Filtered Data'!K:L,2,FALSE)</f>
        <v>Lichfield</v>
      </c>
      <c r="F72" s="282"/>
      <c r="G72" s="282"/>
      <c r="H72" s="282"/>
      <c r="I72" s="282"/>
      <c r="J72" s="282"/>
      <c r="K72" s="282"/>
      <c r="L72" s="282"/>
      <c r="M72" s="282"/>
      <c r="N72" s="282"/>
      <c r="O72" s="282"/>
      <c r="P72" s="282"/>
      <c r="Q72" s="282"/>
      <c r="R72" s="282"/>
      <c r="S72" s="282"/>
      <c r="T72" s="282"/>
      <c r="U72" s="289">
        <f>IF('Filtered Data'!$H$8="%.",(VLOOKUP(B72,'Filtered Data'!K:M,3,FALSE))/100,VLOOKUP(B72,'Filtered Data'!K:M,3,FALSE))</f>
        <v>0.58130843546361166</v>
      </c>
      <c r="V72" s="289"/>
      <c r="W72" s="289"/>
      <c r="X72" s="289"/>
      <c r="Y72" s="184" t="str">
        <f>IF((VLOOKUP(E72,classifications!C:K,9,FALSE))="Sparse","S","")</f>
        <v>S</v>
      </c>
      <c r="Z72" s="184"/>
      <c r="AA72" s="184"/>
      <c r="AB72" s="184"/>
      <c r="AC72" s="184"/>
      <c r="AD72" s="287"/>
      <c r="AE72" s="287"/>
      <c r="AF72" s="287"/>
      <c r="AG72" s="287"/>
      <c r="AH72" s="287"/>
      <c r="AI72" s="287"/>
      <c r="AJ72" s="287"/>
      <c r="AK72" s="287"/>
      <c r="AL72" s="287"/>
      <c r="AP72" s="85"/>
    </row>
    <row r="73" spans="2:42" ht="12" customHeight="1">
      <c r="B73" s="324">
        <v>8</v>
      </c>
      <c r="C73" s="281"/>
      <c r="D73" s="281"/>
      <c r="E73" s="282" t="str">
        <f>VLOOKUP(B73,'Filtered Data'!K:L,2,FALSE)</f>
        <v>Surrey Heath</v>
      </c>
      <c r="F73" s="282"/>
      <c r="G73" s="282"/>
      <c r="H73" s="282"/>
      <c r="I73" s="282"/>
      <c r="J73" s="282"/>
      <c r="K73" s="282"/>
      <c r="L73" s="282"/>
      <c r="M73" s="282"/>
      <c r="N73" s="282"/>
      <c r="O73" s="282"/>
      <c r="P73" s="282"/>
      <c r="Q73" s="282"/>
      <c r="R73" s="282"/>
      <c r="S73" s="282"/>
      <c r="T73" s="282"/>
      <c r="U73" s="289">
        <f>IF('Filtered Data'!$H$8="%.",(VLOOKUP(B73,'Filtered Data'!K:M,3,FALSE))/100,VLOOKUP(B73,'Filtered Data'!K:M,3,FALSE))</f>
        <v>0.58118973569519139</v>
      </c>
      <c r="V73" s="289"/>
      <c r="W73" s="289"/>
      <c r="X73" s="289"/>
      <c r="Y73" s="184" t="str">
        <f>IF((VLOOKUP(E73,classifications!C:K,9,FALSE))="Sparse","S","")</f>
        <v/>
      </c>
      <c r="Z73" s="184"/>
      <c r="AA73" s="184"/>
      <c r="AB73" s="184"/>
      <c r="AC73" s="184"/>
      <c r="AD73" s="287"/>
      <c r="AE73" s="287"/>
      <c r="AF73" s="287"/>
      <c r="AG73" s="287"/>
      <c r="AH73" s="287"/>
      <c r="AI73" s="287"/>
      <c r="AJ73" s="287"/>
      <c r="AK73" s="287"/>
      <c r="AL73" s="287"/>
      <c r="AP73" s="85"/>
    </row>
    <row r="74" spans="2:42" ht="12" customHeight="1">
      <c r="B74" s="324">
        <v>9</v>
      </c>
      <c r="C74" s="281"/>
      <c r="D74" s="281"/>
      <c r="E74" s="282" t="str">
        <f>VLOOKUP(B74,'Filtered Data'!K:L,2,FALSE)</f>
        <v>Cotswold</v>
      </c>
      <c r="F74" s="282"/>
      <c r="G74" s="282"/>
      <c r="H74" s="282"/>
      <c r="I74" s="282"/>
      <c r="J74" s="282"/>
      <c r="K74" s="282"/>
      <c r="L74" s="282"/>
      <c r="M74" s="282"/>
      <c r="N74" s="282"/>
      <c r="O74" s="282"/>
      <c r="P74" s="282"/>
      <c r="Q74" s="282"/>
      <c r="R74" s="282"/>
      <c r="S74" s="282"/>
      <c r="T74" s="282"/>
      <c r="U74" s="289">
        <f>IF('Filtered Data'!$H$8="%.",(VLOOKUP(B74,'Filtered Data'!K:M,3,FALSE))/100,VLOOKUP(B74,'Filtered Data'!K:M,3,FALSE))</f>
        <v>0.58049701934853792</v>
      </c>
      <c r="V74" s="289"/>
      <c r="W74" s="289"/>
      <c r="X74" s="289"/>
      <c r="Y74" s="184" t="str">
        <f>IF((VLOOKUP(E74,classifications!C:K,9,FALSE))="Sparse","S","")</f>
        <v>S</v>
      </c>
      <c r="Z74" s="184"/>
      <c r="AA74" s="184"/>
      <c r="AB74" s="184"/>
      <c r="AC74" s="184"/>
      <c r="AD74" s="287"/>
      <c r="AE74" s="287"/>
      <c r="AF74" s="287"/>
      <c r="AG74" s="287"/>
      <c r="AH74" s="287"/>
      <c r="AI74" s="287"/>
      <c r="AJ74" s="287"/>
      <c r="AK74" s="287"/>
      <c r="AL74" s="287"/>
      <c r="AP74" s="85"/>
    </row>
    <row r="75" spans="2:42" ht="12" customHeight="1">
      <c r="B75" s="324">
        <v>10</v>
      </c>
      <c r="C75" s="281"/>
      <c r="D75" s="281"/>
      <c r="E75" s="282" t="str">
        <f>VLOOKUP(B75,'Filtered Data'!K:L,2,FALSE)</f>
        <v>West Devon</v>
      </c>
      <c r="F75" s="282"/>
      <c r="G75" s="282"/>
      <c r="H75" s="282"/>
      <c r="I75" s="282"/>
      <c r="J75" s="282"/>
      <c r="K75" s="282"/>
      <c r="L75" s="282"/>
      <c r="M75" s="282"/>
      <c r="N75" s="282"/>
      <c r="O75" s="282"/>
      <c r="P75" s="282"/>
      <c r="Q75" s="282"/>
      <c r="R75" s="282"/>
      <c r="S75" s="282"/>
      <c r="T75" s="282"/>
      <c r="U75" s="289">
        <f>IF('Filtered Data'!$H$8="%.",(VLOOKUP(B75,'Filtered Data'!K:M,3,FALSE))/100,VLOOKUP(B75,'Filtered Data'!K:M,3,FALSE))</f>
        <v>0.57931242550816575</v>
      </c>
      <c r="V75" s="289"/>
      <c r="W75" s="289"/>
      <c r="X75" s="289"/>
      <c r="Y75" s="184" t="str">
        <f>IF((VLOOKUP(E75,classifications!C:K,9,FALSE))="Sparse","S","")</f>
        <v>S</v>
      </c>
      <c r="Z75" s="184"/>
      <c r="AA75" s="184"/>
      <c r="AB75" s="184"/>
      <c r="AC75" s="184"/>
      <c r="AD75" s="287"/>
      <c r="AE75" s="287"/>
      <c r="AF75" s="287"/>
      <c r="AG75" s="287"/>
      <c r="AH75" s="287"/>
      <c r="AI75" s="287"/>
      <c r="AJ75" s="287"/>
      <c r="AK75" s="287"/>
      <c r="AL75" s="287"/>
      <c r="AP75" s="85"/>
    </row>
    <row r="76" spans="2:42" ht="12" customHeight="1">
      <c r="B76" s="324">
        <v>11</v>
      </c>
      <c r="C76" s="281"/>
      <c r="D76" s="281"/>
      <c r="E76" s="282" t="str">
        <f>VLOOKUP(B76,'Filtered Data'!K:L,2,FALSE)</f>
        <v>Huntingdonshire</v>
      </c>
      <c r="F76" s="282"/>
      <c r="G76" s="282"/>
      <c r="H76" s="282"/>
      <c r="I76" s="282"/>
      <c r="J76" s="282"/>
      <c r="K76" s="282"/>
      <c r="L76" s="282"/>
      <c r="M76" s="282"/>
      <c r="N76" s="282"/>
      <c r="O76" s="282"/>
      <c r="P76" s="282"/>
      <c r="Q76" s="282"/>
      <c r="R76" s="282"/>
      <c r="S76" s="282"/>
      <c r="T76" s="282"/>
      <c r="U76" s="289">
        <f>IF('Filtered Data'!$H$8="%.",(VLOOKUP(B76,'Filtered Data'!K:M,3,FALSE))/100,VLOOKUP(B76,'Filtered Data'!K:M,3,FALSE))</f>
        <v>0.57503504969993113</v>
      </c>
      <c r="V76" s="289"/>
      <c r="W76" s="289"/>
      <c r="X76" s="289"/>
      <c r="Y76" s="184" t="str">
        <f>IF((VLOOKUP(E76,classifications!C:K,9,FALSE))="Sparse","S","")</f>
        <v>S</v>
      </c>
      <c r="Z76" s="184"/>
      <c r="AA76" s="184"/>
      <c r="AB76" s="184"/>
      <c r="AC76" s="184"/>
      <c r="AD76" s="287"/>
      <c r="AE76" s="287"/>
      <c r="AF76" s="287"/>
      <c r="AG76" s="287"/>
      <c r="AH76" s="287"/>
      <c r="AI76" s="287"/>
      <c r="AJ76" s="287"/>
      <c r="AK76" s="287"/>
      <c r="AL76" s="287"/>
      <c r="AP76" s="85"/>
    </row>
    <row r="77" spans="2:42" ht="12" customHeight="1">
      <c r="B77" s="324">
        <v>12</v>
      </c>
      <c r="C77" s="281"/>
      <c r="D77" s="281"/>
      <c r="E77" s="282" t="str">
        <f>VLOOKUP(B77,'Filtered Data'!K:L,2,FALSE)</f>
        <v>Suffolk Coastal</v>
      </c>
      <c r="F77" s="282"/>
      <c r="G77" s="282"/>
      <c r="H77" s="282"/>
      <c r="I77" s="282"/>
      <c r="J77" s="282"/>
      <c r="K77" s="282"/>
      <c r="L77" s="282"/>
      <c r="M77" s="282"/>
      <c r="N77" s="282"/>
      <c r="O77" s="282"/>
      <c r="P77" s="282"/>
      <c r="Q77" s="282"/>
      <c r="R77" s="282"/>
      <c r="S77" s="282"/>
      <c r="T77" s="282"/>
      <c r="U77" s="289">
        <f>IF('Filtered Data'!$H$8="%.",(VLOOKUP(B77,'Filtered Data'!K:M,3,FALSE))/100,VLOOKUP(B77,'Filtered Data'!K:M,3,FALSE))</f>
        <v>0.57437160147327226</v>
      </c>
      <c r="V77" s="289"/>
      <c r="W77" s="289"/>
      <c r="X77" s="289"/>
      <c r="Y77" s="184" t="str">
        <f>IF((VLOOKUP(E77,classifications!C:K,9,FALSE))="Sparse","S","")</f>
        <v>S</v>
      </c>
      <c r="Z77" s="184"/>
      <c r="AA77" s="184"/>
      <c r="AB77" s="184"/>
      <c r="AC77" s="184"/>
      <c r="AD77" s="287"/>
      <c r="AE77" s="287"/>
      <c r="AF77" s="287"/>
      <c r="AG77" s="287"/>
      <c r="AH77" s="287"/>
      <c r="AI77" s="287"/>
      <c r="AJ77" s="287"/>
      <c r="AK77" s="287"/>
      <c r="AL77" s="287"/>
      <c r="AP77" s="85"/>
    </row>
    <row r="78" spans="2:42" ht="12" customHeight="1">
      <c r="B78" s="324">
        <v>13</v>
      </c>
      <c r="C78" s="281"/>
      <c r="D78" s="281"/>
      <c r="E78" s="282" t="str">
        <f>VLOOKUP(B78,'Filtered Data'!K:L,2,FALSE)</f>
        <v>West Oxfordshire</v>
      </c>
      <c r="F78" s="282"/>
      <c r="G78" s="282"/>
      <c r="H78" s="282"/>
      <c r="I78" s="282"/>
      <c r="J78" s="282"/>
      <c r="K78" s="282"/>
      <c r="L78" s="282"/>
      <c r="M78" s="282"/>
      <c r="N78" s="282"/>
      <c r="O78" s="282"/>
      <c r="P78" s="282"/>
      <c r="Q78" s="282"/>
      <c r="R78" s="282"/>
      <c r="S78" s="282"/>
      <c r="T78" s="282"/>
      <c r="U78" s="289">
        <f>IF('Filtered Data'!$H$8="%.",(VLOOKUP(B78,'Filtered Data'!K:M,3,FALSE))/100,VLOOKUP(B78,'Filtered Data'!K:M,3,FALSE))</f>
        <v>0.57420578330135286</v>
      </c>
      <c r="V78" s="289"/>
      <c r="W78" s="289"/>
      <c r="X78" s="289"/>
      <c r="Y78" s="184" t="str">
        <f>IF((VLOOKUP(E78,classifications!C:K,9,FALSE))="Sparse","S","")</f>
        <v>S</v>
      </c>
      <c r="Z78" s="184"/>
      <c r="AA78" s="184"/>
      <c r="AB78" s="184"/>
      <c r="AC78" s="184"/>
      <c r="AD78" s="287"/>
      <c r="AE78" s="287"/>
      <c r="AF78" s="287"/>
      <c r="AG78" s="287"/>
      <c r="AH78" s="287"/>
      <c r="AI78" s="287"/>
      <c r="AJ78" s="287"/>
      <c r="AK78" s="287"/>
      <c r="AL78" s="287"/>
      <c r="AP78" s="85"/>
    </row>
    <row r="79" spans="2:42" ht="12" customHeight="1">
      <c r="B79" s="324">
        <v>14</v>
      </c>
      <c r="C79" s="281"/>
      <c r="D79" s="281"/>
      <c r="E79" s="282" t="str">
        <f>VLOOKUP(B79,'Filtered Data'!K:L,2,FALSE)</f>
        <v>North Hertfordshire</v>
      </c>
      <c r="F79" s="282"/>
      <c r="G79" s="282"/>
      <c r="H79" s="282"/>
      <c r="I79" s="282"/>
      <c r="J79" s="282"/>
      <c r="K79" s="282"/>
      <c r="L79" s="282"/>
      <c r="M79" s="282"/>
      <c r="N79" s="282"/>
      <c r="O79" s="282"/>
      <c r="P79" s="282"/>
      <c r="Q79" s="282"/>
      <c r="R79" s="282"/>
      <c r="S79" s="282"/>
      <c r="T79" s="282"/>
      <c r="U79" s="289">
        <f>IF('Filtered Data'!$H$8="%.",(VLOOKUP(B79,'Filtered Data'!K:M,3,FALSE))/100,VLOOKUP(B79,'Filtered Data'!K:M,3,FALSE))</f>
        <v>0.57300867149914747</v>
      </c>
      <c r="V79" s="289"/>
      <c r="W79" s="289"/>
      <c r="X79" s="289"/>
      <c r="Y79" s="184" t="str">
        <f>IF((VLOOKUP(E79,classifications!C:K,9,FALSE))="Sparse","S","")</f>
        <v/>
      </c>
      <c r="Z79" s="184"/>
      <c r="AA79" s="184"/>
      <c r="AB79" s="184"/>
      <c r="AC79" s="184"/>
      <c r="AD79" s="287"/>
      <c r="AE79" s="287"/>
      <c r="AF79" s="287"/>
      <c r="AG79" s="287"/>
      <c r="AH79" s="287"/>
      <c r="AI79" s="287"/>
      <c r="AJ79" s="287"/>
      <c r="AK79" s="287"/>
      <c r="AL79" s="287"/>
      <c r="AP79" s="85"/>
    </row>
    <row r="80" spans="2:42" ht="12" customHeight="1">
      <c r="B80" s="324">
        <v>15</v>
      </c>
      <c r="C80" s="281"/>
      <c r="D80" s="281"/>
      <c r="E80" s="282" t="str">
        <f>VLOOKUP(B80,'Filtered Data'!K:L,2,FALSE)</f>
        <v>Harborough</v>
      </c>
      <c r="F80" s="282"/>
      <c r="G80" s="282"/>
      <c r="H80" s="282"/>
      <c r="I80" s="282"/>
      <c r="J80" s="282"/>
      <c r="K80" s="282"/>
      <c r="L80" s="282"/>
      <c r="M80" s="282"/>
      <c r="N80" s="282"/>
      <c r="O80" s="282"/>
      <c r="P80" s="282"/>
      <c r="Q80" s="282"/>
      <c r="R80" s="282"/>
      <c r="S80" s="282"/>
      <c r="T80" s="282"/>
      <c r="U80" s="289">
        <f>IF('Filtered Data'!$H$8="%.",(VLOOKUP(B80,'Filtered Data'!K:M,3,FALSE))/100,VLOOKUP(B80,'Filtered Data'!K:M,3,FALSE))</f>
        <v>0.57255793074863059</v>
      </c>
      <c r="V80" s="289"/>
      <c r="W80" s="289"/>
      <c r="X80" s="289"/>
      <c r="Y80" s="184" t="str">
        <f>IF((VLOOKUP(E80,classifications!C:K,9,FALSE))="Sparse","S","")</f>
        <v>S</v>
      </c>
      <c r="Z80" s="184"/>
      <c r="AA80" s="184"/>
      <c r="AB80" s="184"/>
      <c r="AC80" s="184"/>
      <c r="AD80" s="287"/>
      <c r="AE80" s="287"/>
      <c r="AF80" s="287"/>
      <c r="AG80" s="287"/>
      <c r="AH80" s="287"/>
      <c r="AI80" s="287"/>
      <c r="AJ80" s="287"/>
      <c r="AK80" s="287"/>
      <c r="AL80" s="287"/>
      <c r="AP80" s="85"/>
    </row>
    <row r="81" spans="1:42" ht="12" customHeight="1">
      <c r="B81" s="324">
        <v>16</v>
      </c>
      <c r="C81" s="281"/>
      <c r="D81" s="281"/>
      <c r="E81" s="282" t="str">
        <f>VLOOKUP(B81,'Filtered Data'!K:L,2,FALSE)</f>
        <v>South Cambridgeshire</v>
      </c>
      <c r="F81" s="282"/>
      <c r="G81" s="282"/>
      <c r="H81" s="282"/>
      <c r="I81" s="282"/>
      <c r="J81" s="282"/>
      <c r="K81" s="282"/>
      <c r="L81" s="282"/>
      <c r="M81" s="282"/>
      <c r="N81" s="282"/>
      <c r="O81" s="282"/>
      <c r="P81" s="282"/>
      <c r="Q81" s="282"/>
      <c r="R81" s="282"/>
      <c r="S81" s="282"/>
      <c r="T81" s="282"/>
      <c r="U81" s="289">
        <f>IF('Filtered Data'!$H$8="%.",(VLOOKUP(B81,'Filtered Data'!K:M,3,FALSE))/100,VLOOKUP(B81,'Filtered Data'!K:M,3,FALSE))</f>
        <v>0.57048742128703744</v>
      </c>
      <c r="V81" s="289"/>
      <c r="W81" s="289"/>
      <c r="X81" s="289"/>
      <c r="Y81" s="184" t="str">
        <f>IF((VLOOKUP(E81,classifications!C:K,9,FALSE))="Sparse","S","")</f>
        <v>S</v>
      </c>
      <c r="Z81" s="184"/>
      <c r="AA81" s="184"/>
      <c r="AB81" s="184"/>
      <c r="AC81" s="184"/>
      <c r="AD81" s="287"/>
      <c r="AE81" s="287"/>
      <c r="AF81" s="287"/>
      <c r="AG81" s="287"/>
      <c r="AH81" s="287"/>
      <c r="AI81" s="287"/>
      <c r="AJ81" s="287"/>
      <c r="AK81" s="287"/>
      <c r="AL81" s="287"/>
      <c r="AP81" s="85"/>
    </row>
    <row r="82" spans="1:42" ht="12" customHeight="1">
      <c r="B82" s="324">
        <v>17</v>
      </c>
      <c r="C82" s="281"/>
      <c r="D82" s="281"/>
      <c r="E82" s="282" t="str">
        <f>VLOOKUP(B82,'Filtered Data'!K:L,2,FALSE)</f>
        <v>South Northamptonshire</v>
      </c>
      <c r="F82" s="282"/>
      <c r="G82" s="282"/>
      <c r="H82" s="282"/>
      <c r="I82" s="282"/>
      <c r="J82" s="282"/>
      <c r="K82" s="282"/>
      <c r="L82" s="282"/>
      <c r="M82" s="282"/>
      <c r="N82" s="282"/>
      <c r="O82" s="282"/>
      <c r="P82" s="282"/>
      <c r="Q82" s="282"/>
      <c r="R82" s="282"/>
      <c r="S82" s="282"/>
      <c r="T82" s="282"/>
      <c r="U82" s="289">
        <f>IF('Filtered Data'!$H$8="%.",(VLOOKUP(B82,'Filtered Data'!K:M,3,FALSE))/100,VLOOKUP(B82,'Filtered Data'!K:M,3,FALSE))</f>
        <v>0.56722681260340158</v>
      </c>
      <c r="V82" s="289"/>
      <c r="W82" s="289"/>
      <c r="X82" s="289"/>
      <c r="Y82" s="184" t="str">
        <f>IF((VLOOKUP(E82,classifications!C:K,9,FALSE))="Sparse","S","")</f>
        <v>S</v>
      </c>
      <c r="Z82" s="184"/>
      <c r="AA82" s="184"/>
      <c r="AB82" s="184"/>
      <c r="AC82" s="184"/>
      <c r="AD82" s="287"/>
      <c r="AE82" s="287"/>
      <c r="AF82" s="287"/>
      <c r="AG82" s="287"/>
      <c r="AH82" s="287"/>
      <c r="AI82" s="287"/>
      <c r="AJ82" s="287"/>
      <c r="AK82" s="287"/>
      <c r="AL82" s="287"/>
      <c r="AP82" s="85"/>
    </row>
    <row r="83" spans="1:42" ht="12" customHeight="1">
      <c r="B83" s="324">
        <v>18</v>
      </c>
      <c r="C83" s="281"/>
      <c r="D83" s="281"/>
      <c r="E83" s="282" t="str">
        <f>VLOOKUP(B83,'Filtered Data'!K:L,2,FALSE)</f>
        <v>Hinckley &amp; Bosworth</v>
      </c>
      <c r="F83" s="282"/>
      <c r="G83" s="282"/>
      <c r="H83" s="282"/>
      <c r="I83" s="282"/>
      <c r="J83" s="282"/>
      <c r="K83" s="282"/>
      <c r="L83" s="282"/>
      <c r="M83" s="282"/>
      <c r="N83" s="282"/>
      <c r="O83" s="282"/>
      <c r="P83" s="282"/>
      <c r="Q83" s="282"/>
      <c r="R83" s="282"/>
      <c r="S83" s="282"/>
      <c r="T83" s="282"/>
      <c r="U83" s="289">
        <f>IF('Filtered Data'!$H$8="%.",(VLOOKUP(B83,'Filtered Data'!K:M,3,FALSE))/100,VLOOKUP(B83,'Filtered Data'!K:M,3,FALSE))</f>
        <v>0.56075014517177901</v>
      </c>
      <c r="V83" s="289"/>
      <c r="W83" s="289"/>
      <c r="X83" s="289"/>
      <c r="Y83" s="184" t="str">
        <f>IF((VLOOKUP(E83,classifications!C:K,9,FALSE))="Sparse","S","")</f>
        <v>S</v>
      </c>
      <c r="Z83" s="184"/>
      <c r="AA83" s="184"/>
      <c r="AB83" s="184"/>
      <c r="AC83" s="184"/>
      <c r="AD83" s="287"/>
      <c r="AE83" s="287"/>
      <c r="AF83" s="287"/>
      <c r="AG83" s="287"/>
      <c r="AH83" s="287"/>
      <c r="AI83" s="287"/>
      <c r="AJ83" s="287"/>
      <c r="AK83" s="287"/>
      <c r="AL83" s="287"/>
      <c r="AP83" s="85"/>
    </row>
    <row r="84" spans="1:42" ht="12" customHeight="1">
      <c r="B84" s="324">
        <v>19</v>
      </c>
      <c r="C84" s="281"/>
      <c r="D84" s="281"/>
      <c r="E84" s="282" t="str">
        <f>VLOOKUP(B84,'Filtered Data'!K:L,2,FALSE)</f>
        <v>Braintree</v>
      </c>
      <c r="F84" s="282"/>
      <c r="G84" s="282"/>
      <c r="H84" s="282"/>
      <c r="I84" s="282"/>
      <c r="J84" s="282"/>
      <c r="K84" s="282"/>
      <c r="L84" s="282"/>
      <c r="M84" s="282"/>
      <c r="N84" s="282"/>
      <c r="O84" s="282"/>
      <c r="P84" s="282"/>
      <c r="Q84" s="282"/>
      <c r="R84" s="282"/>
      <c r="S84" s="282"/>
      <c r="T84" s="282"/>
      <c r="U84" s="289">
        <f>IF('Filtered Data'!$H$8="%.",(VLOOKUP(B84,'Filtered Data'!K:M,3,FALSE))/100,VLOOKUP(B84,'Filtered Data'!K:M,3,FALSE))</f>
        <v>0.56040492474467984</v>
      </c>
      <c r="V84" s="289"/>
      <c r="W84" s="289"/>
      <c r="X84" s="289"/>
      <c r="Y84" s="184" t="str">
        <f>IF((VLOOKUP(E84,classifications!C:K,9,FALSE))="Sparse","S","")</f>
        <v>S</v>
      </c>
      <c r="Z84" s="184"/>
      <c r="AA84" s="184"/>
      <c r="AB84" s="184"/>
      <c r="AC84" s="184"/>
      <c r="AD84" s="287"/>
      <c r="AE84" s="287"/>
      <c r="AF84" s="287"/>
      <c r="AG84" s="287"/>
      <c r="AH84" s="287"/>
      <c r="AI84" s="287"/>
      <c r="AJ84" s="287"/>
      <c r="AK84" s="287"/>
      <c r="AL84" s="287"/>
      <c r="AP84" s="85"/>
    </row>
    <row r="85" spans="1:42" ht="12" customHeight="1">
      <c r="B85" s="324">
        <v>20</v>
      </c>
      <c r="C85" s="324"/>
      <c r="D85" s="324"/>
      <c r="E85" s="282" t="str">
        <f>VLOOKUP(B85,'Filtered Data'!K:L,2,FALSE)</f>
        <v>Derbyshire Dales</v>
      </c>
      <c r="F85" s="282"/>
      <c r="G85" s="282"/>
      <c r="H85" s="282"/>
      <c r="I85" s="282"/>
      <c r="J85" s="282"/>
      <c r="K85" s="282"/>
      <c r="L85" s="282"/>
      <c r="M85" s="282"/>
      <c r="N85" s="282"/>
      <c r="O85" s="282"/>
      <c r="P85" s="282"/>
      <c r="Q85" s="282"/>
      <c r="R85" s="282"/>
      <c r="S85" s="282"/>
      <c r="T85" s="282"/>
      <c r="U85" s="289">
        <f>IF('Filtered Data'!$H$8="%.",(VLOOKUP(B85,'Filtered Data'!K:M,3,FALSE))/100,VLOOKUP(B85,'Filtered Data'!K:M,3,FALSE))</f>
        <v>0.55677507389209391</v>
      </c>
      <c r="V85" s="289"/>
      <c r="W85" s="289"/>
      <c r="X85" s="289"/>
      <c r="Y85" s="184" t="str">
        <f>IF((VLOOKUP(E85,classifications!C:K,9,FALSE))="Sparse","S","")</f>
        <v>S</v>
      </c>
      <c r="Z85" s="184"/>
      <c r="AA85" s="184"/>
      <c r="AB85" s="184"/>
      <c r="AC85" s="184"/>
      <c r="AD85" s="287"/>
      <c r="AE85" s="287"/>
      <c r="AF85" s="287"/>
      <c r="AG85" s="287"/>
      <c r="AH85" s="287"/>
      <c r="AI85" s="287"/>
      <c r="AJ85" s="287"/>
      <c r="AK85" s="287"/>
      <c r="AL85" s="287"/>
      <c r="AP85" s="85"/>
    </row>
    <row r="86" spans="1:42" ht="12" customHeight="1">
      <c r="A86" s="80"/>
      <c r="B86" s="353">
        <f>IF(Q37&lt;=MAX(B66:D85),"",Q37)</f>
        <v>144</v>
      </c>
      <c r="C86" s="353"/>
      <c r="D86" s="353"/>
      <c r="E86" s="283" t="str">
        <f>IF(B86="","",VLOOKUP(B86,'Filtered Data'!K:L,2,FALSE))</f>
        <v>Allerdale</v>
      </c>
      <c r="F86" s="283"/>
      <c r="G86" s="283"/>
      <c r="H86" s="283"/>
      <c r="I86" s="283"/>
      <c r="J86" s="283"/>
      <c r="K86" s="283"/>
      <c r="L86" s="283"/>
      <c r="M86" s="283"/>
      <c r="N86" s="283"/>
      <c r="O86" s="283"/>
      <c r="P86" s="283"/>
      <c r="Q86" s="283"/>
      <c r="R86" s="283"/>
      <c r="S86" s="283"/>
      <c r="T86" s="283"/>
      <c r="U86" s="291">
        <f>IF(B86="","",L35)</f>
        <v>0.38071334707896576</v>
      </c>
      <c r="V86" s="291"/>
      <c r="W86" s="291"/>
      <c r="X86" s="291"/>
      <c r="Y86" s="184" t="str">
        <f>IF(B86="","",IF((VLOOKUP(E86,classifications!C:K,9,FALSE))="Sparse","S",""))</f>
        <v>S</v>
      </c>
      <c r="Z86" s="184"/>
      <c r="AA86" s="184"/>
      <c r="AB86" s="184"/>
      <c r="AC86" s="184"/>
      <c r="AD86" s="288"/>
      <c r="AE86" s="288"/>
      <c r="AF86" s="288"/>
      <c r="AG86" s="288"/>
      <c r="AH86" s="288"/>
      <c r="AI86" s="288"/>
      <c r="AJ86" s="288"/>
      <c r="AK86" s="288"/>
      <c r="AL86" s="288"/>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90" t="s">
        <v>357</v>
      </c>
      <c r="C91" s="290"/>
      <c r="D91" s="290"/>
      <c r="E91" s="284" t="s">
        <v>334</v>
      </c>
      <c r="F91" s="284"/>
      <c r="G91" s="284"/>
      <c r="H91" s="284"/>
      <c r="I91" s="284"/>
      <c r="J91" s="284"/>
      <c r="K91" s="284"/>
      <c r="L91" s="284"/>
      <c r="M91" s="284"/>
      <c r="N91" s="284"/>
      <c r="O91" s="290" t="s">
        <v>368</v>
      </c>
      <c r="P91" s="290"/>
      <c r="Q91" s="290"/>
      <c r="U91" s="290" t="str">
        <f>IF('Filtered Data'!D1="MD","",IF('Filtered Data'!D1="SC","","Rank"))</f>
        <v>Rank</v>
      </c>
      <c r="V91" s="290"/>
      <c r="W91" s="290"/>
      <c r="X91" s="284" t="str">
        <f>IF('Filtered Data'!D1="MD","",IF('Filtered Data'!D1="SC","","Authority"))</f>
        <v>Authority</v>
      </c>
      <c r="Y91" s="284"/>
      <c r="Z91" s="284"/>
      <c r="AA91" s="284"/>
      <c r="AB91" s="284"/>
      <c r="AC91" s="284"/>
      <c r="AD91" s="284"/>
      <c r="AE91" s="284"/>
      <c r="AF91" s="284"/>
      <c r="AG91" s="284"/>
      <c r="AH91" s="290" t="str">
        <f>IF('Filtered Data'!D1="MD","",IF('Filtered Data'!D1="SC","","Value"))</f>
        <v>Value</v>
      </c>
      <c r="AI91" s="290"/>
      <c r="AJ91" s="290"/>
      <c r="AP91" s="85"/>
    </row>
    <row r="92" spans="1:42" ht="12" customHeight="1">
      <c r="B92" s="285">
        <v>1</v>
      </c>
      <c r="C92" s="286"/>
      <c r="D92" s="286"/>
      <c r="E92" s="283" t="str">
        <f>IF(ISNA(VLOOKUP(B92,'Filtered Data'!AE:AF,2,FALSE)),"",(VLOOKUP(B92,'Filtered Data'!AE:AF,2,FALSE)))</f>
        <v>Fenland</v>
      </c>
      <c r="F92" s="283"/>
      <c r="G92" s="283"/>
      <c r="H92" s="283"/>
      <c r="I92" s="283"/>
      <c r="J92" s="283"/>
      <c r="K92" s="283"/>
      <c r="L92" s="283"/>
      <c r="M92" s="283"/>
      <c r="N92" s="283"/>
      <c r="O92" s="279">
        <f>IF(E92="","",IF('Filtered Data'!$H$8="%.",(VLOOKUP(B92,'Filtered Data'!AE:AG,3,FALSE))/100,VLOOKUP(B92,'Filtered Data'!AE:AG,3,FALSE)))</f>
        <v>0.51204395078744214</v>
      </c>
      <c r="P92" s="279"/>
      <c r="Q92" s="279"/>
      <c r="R92" s="279"/>
      <c r="S92" s="185" t="str">
        <f>IF(E92="","",IF((VLOOKUP(E92,classifications!C:K,9,FALSE))="Sparse","S",""))</f>
        <v>S</v>
      </c>
      <c r="U92" s="280">
        <f>IF('Filtered Data'!$D$1="MD","",IF('Filtered Data'!$D$1="SC","",IF('Filtered Data'!$D$1="UA",'Filtered Data'!AS11,'Filtered Data'!AL11)))</f>
        <v>1</v>
      </c>
      <c r="V92" s="281"/>
      <c r="W92" s="281"/>
      <c r="X92" s="282" t="str">
        <f>IF(U92="","",IF('Filtered Data'!$D$1="UA",VLOOKUP(U92,'Filtered Data'!AS:AU,2,FALSE),VLOOKUP(U92,'Filtered Data'!AL:AN,2,FALSE)))</f>
        <v>Carlisle</v>
      </c>
      <c r="Y92" s="282"/>
      <c r="Z92" s="282"/>
      <c r="AA92" s="282"/>
      <c r="AB92" s="282"/>
      <c r="AC92" s="282"/>
      <c r="AD92" s="282"/>
      <c r="AE92" s="282"/>
      <c r="AF92" s="282"/>
      <c r="AG92" s="282"/>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0.43508692221239148</v>
      </c>
      <c r="AI92" s="279"/>
      <c r="AJ92" s="279"/>
      <c r="AK92" s="279"/>
      <c r="AL92" s="185" t="str">
        <f>IF(X92="","",IF((VLOOKUP(X92,classifications!C:K,9,FALSE))="Sparse","S",""))</f>
        <v>S</v>
      </c>
      <c r="AP92" s="85"/>
    </row>
    <row r="93" spans="1:42" ht="12" customHeight="1">
      <c r="B93" s="285">
        <v>2</v>
      </c>
      <c r="C93" s="286"/>
      <c r="D93" s="286"/>
      <c r="E93" s="283" t="str">
        <f>IF(ISNA(VLOOKUP(B93,'Filtered Data'!AE:AF,2,FALSE)),"",(VLOOKUP(B93,'Filtered Data'!AE:AF,2,FALSE)))</f>
        <v>Sedgemoor</v>
      </c>
      <c r="F93" s="283"/>
      <c r="G93" s="283"/>
      <c r="H93" s="283"/>
      <c r="I93" s="283"/>
      <c r="J93" s="283"/>
      <c r="K93" s="283"/>
      <c r="L93" s="283"/>
      <c r="M93" s="283"/>
      <c r="N93" s="283"/>
      <c r="O93" s="279">
        <f>IF(E93="","",IF('Filtered Data'!$H$8="%.",(VLOOKUP(B93,'Filtered Data'!AE:AG,3,FALSE))/100,VLOOKUP(B93,'Filtered Data'!AE:AG,3,FALSE)))</f>
        <v>0.44671540423656453</v>
      </c>
      <c r="P93" s="279"/>
      <c r="Q93" s="279"/>
      <c r="R93" s="279"/>
      <c r="S93" s="185" t="str">
        <f>IF(E93="","",IF((VLOOKUP(E93,classifications!C:K,9,FALSE))="Sparse","S",""))</f>
        <v>S</v>
      </c>
      <c r="U93" s="280">
        <f>IF('Filtered Data'!$D$1="MD","",IF('Filtered Data'!$D$1="SC","",IF('Filtered Data'!$D$1="UA",'Filtered Data'!AS12,'Filtered Data'!AL12)))</f>
        <v>2</v>
      </c>
      <c r="V93" s="281"/>
      <c r="W93" s="281"/>
      <c r="X93" s="282" t="str">
        <f>IF(U93="","",IF('Filtered Data'!$D$1="UA",VLOOKUP(U93,'Filtered Data'!AS:AU,2,FALSE),VLOOKUP(U93,'Filtered Data'!AL:AN,2,FALSE)))</f>
        <v>South Lakeland</v>
      </c>
      <c r="Y93" s="282"/>
      <c r="Z93" s="282"/>
      <c r="AA93" s="282"/>
      <c r="AB93" s="282"/>
      <c r="AC93" s="282"/>
      <c r="AD93" s="282"/>
      <c r="AE93" s="282"/>
      <c r="AF93" s="282"/>
      <c r="AG93" s="282"/>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0.43419087694055281</v>
      </c>
      <c r="AI93" s="279"/>
      <c r="AJ93" s="279"/>
      <c r="AK93" s="279"/>
      <c r="AL93" s="185" t="str">
        <f>IF(X93="","",IF((VLOOKUP(X93,classifications!C:K,9,FALSE))="Sparse","S",""))</f>
        <v>S</v>
      </c>
      <c r="AP93" s="85"/>
    </row>
    <row r="94" spans="1:42" ht="12" customHeight="1">
      <c r="B94" s="285">
        <v>3</v>
      </c>
      <c r="C94" s="286"/>
      <c r="D94" s="286"/>
      <c r="E94" s="283" t="str">
        <f>IF(ISNA(VLOOKUP(B94,'Filtered Data'!AE:AF,2,FALSE)),"",(VLOOKUP(B94,'Filtered Data'!AE:AF,2,FALSE)))</f>
        <v>Dover</v>
      </c>
      <c r="F94" s="283"/>
      <c r="G94" s="283"/>
      <c r="H94" s="283"/>
      <c r="I94" s="283"/>
      <c r="J94" s="283"/>
      <c r="K94" s="283"/>
      <c r="L94" s="283"/>
      <c r="M94" s="283"/>
      <c r="N94" s="283"/>
      <c r="O94" s="279">
        <f>IF(E94="","",IF('Filtered Data'!$H$8="%.",(VLOOKUP(B94,'Filtered Data'!AE:AG,3,FALSE))/100,VLOOKUP(B94,'Filtered Data'!AE:AG,3,FALSE)))</f>
        <v>0.44150176362655391</v>
      </c>
      <c r="P94" s="279"/>
      <c r="Q94" s="279"/>
      <c r="R94" s="279"/>
      <c r="S94" s="185" t="str">
        <f>IF(E94="","",IF((VLOOKUP(E94,classifications!C:K,9,FALSE))="Sparse","S",""))</f>
        <v>S</v>
      </c>
      <c r="U94" s="280">
        <f>IF('Filtered Data'!$D$1="MD","",IF('Filtered Data'!$D$1="SC","",IF('Filtered Data'!$D$1="UA",'Filtered Data'!AS13,'Filtered Data'!AL13)))</f>
        <v>3</v>
      </c>
      <c r="V94" s="281"/>
      <c r="W94" s="281"/>
      <c r="X94" s="282" t="str">
        <f>IF(U94="","",IF('Filtered Data'!$D$1="UA",VLOOKUP(U94,'Filtered Data'!AS:AU,2,FALSE),VLOOKUP(U94,'Filtered Data'!AL:AN,2,FALSE)))</f>
        <v>Eden</v>
      </c>
      <c r="Y94" s="282"/>
      <c r="Z94" s="282"/>
      <c r="AA94" s="282"/>
      <c r="AB94" s="282"/>
      <c r="AC94" s="282"/>
      <c r="AD94" s="282"/>
      <c r="AE94" s="282"/>
      <c r="AF94" s="282"/>
      <c r="AG94" s="282"/>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0.40768344453617145</v>
      </c>
      <c r="AI94" s="279"/>
      <c r="AJ94" s="279"/>
      <c r="AK94" s="279"/>
      <c r="AL94" s="185" t="str">
        <f>IF(X94="","",IF((VLOOKUP(X94,classifications!C:K,9,FALSE))="Sparse","S",""))</f>
        <v>S</v>
      </c>
      <c r="AP94" s="85"/>
    </row>
    <row r="95" spans="1:42" ht="12" customHeight="1">
      <c r="B95" s="285">
        <v>4</v>
      </c>
      <c r="C95" s="286"/>
      <c r="D95" s="286"/>
      <c r="E95" s="283" t="str">
        <f>IF(ISNA(VLOOKUP(B95,'Filtered Data'!AE:AF,2,FALSE)),"",(VLOOKUP(B95,'Filtered Data'!AE:AF,2,FALSE)))</f>
        <v>North East Derbyshire</v>
      </c>
      <c r="F95" s="283"/>
      <c r="G95" s="283"/>
      <c r="H95" s="283"/>
      <c r="I95" s="283"/>
      <c r="J95" s="283"/>
      <c r="K95" s="283"/>
      <c r="L95" s="283"/>
      <c r="M95" s="283"/>
      <c r="N95" s="283"/>
      <c r="O95" s="279">
        <f>IF(E95="","",IF('Filtered Data'!$H$8="%.",(VLOOKUP(B95,'Filtered Data'!AE:AG,3,FALSE))/100,VLOOKUP(B95,'Filtered Data'!AE:AG,3,FALSE)))</f>
        <v>0.44059842204769323</v>
      </c>
      <c r="P95" s="279"/>
      <c r="Q95" s="279"/>
      <c r="R95" s="279"/>
      <c r="S95" s="185" t="str">
        <f>IF(E95="","",IF((VLOOKUP(E95,classifications!C:K,9,FALSE))="Sparse","S",""))</f>
        <v/>
      </c>
      <c r="U95" s="280">
        <f>IF('Filtered Data'!$D$1="MD","",IF('Filtered Data'!$D$1="SC","",IF('Filtered Data'!$D$1="UA",'Filtered Data'!AS14,'Filtered Data'!AL14)))</f>
        <v>4</v>
      </c>
      <c r="V95" s="281"/>
      <c r="W95" s="281"/>
      <c r="X95" s="282" t="str">
        <f>IF(U95="","",IF('Filtered Data'!$D$1="UA",VLOOKUP(U95,'Filtered Data'!AS:AU,2,FALSE),VLOOKUP(U95,'Filtered Data'!AL:AN,2,FALSE)))</f>
        <v>Allerdale</v>
      </c>
      <c r="Y95" s="282"/>
      <c r="Z95" s="282"/>
      <c r="AA95" s="282"/>
      <c r="AB95" s="282"/>
      <c r="AC95" s="282"/>
      <c r="AD95" s="282"/>
      <c r="AE95" s="282"/>
      <c r="AF95" s="282"/>
      <c r="AG95" s="282"/>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0.38071334707896576</v>
      </c>
      <c r="AI95" s="279"/>
      <c r="AJ95" s="279"/>
      <c r="AK95" s="279"/>
      <c r="AL95" s="185" t="str">
        <f>IF(X95="","",IF((VLOOKUP(X95,classifications!C:K,9,FALSE))="Sparse","S",""))</f>
        <v>S</v>
      </c>
      <c r="AP95" s="85"/>
    </row>
    <row r="96" spans="1:42" ht="12" customHeight="1">
      <c r="B96" s="285">
        <v>5</v>
      </c>
      <c r="C96" s="286"/>
      <c r="D96" s="286"/>
      <c r="E96" s="283" t="str">
        <f>IF(ISNA(VLOOKUP(B96,'Filtered Data'!AE:AF,2,FALSE)),"",(VLOOKUP(B96,'Filtered Data'!AE:AF,2,FALSE)))</f>
        <v>North Devon</v>
      </c>
      <c r="F96" s="283"/>
      <c r="G96" s="283"/>
      <c r="H96" s="283"/>
      <c r="I96" s="283"/>
      <c r="J96" s="283"/>
      <c r="K96" s="283"/>
      <c r="L96" s="283"/>
      <c r="M96" s="283"/>
      <c r="N96" s="283"/>
      <c r="O96" s="279">
        <f>IF(E96="","",IF('Filtered Data'!$H$8="%.",(VLOOKUP(B96,'Filtered Data'!AE:AG,3,FALSE))/100,VLOOKUP(B96,'Filtered Data'!AE:AG,3,FALSE)))</f>
        <v>0.44001826493890694</v>
      </c>
      <c r="P96" s="279"/>
      <c r="Q96" s="279"/>
      <c r="R96" s="279"/>
      <c r="S96" s="185" t="str">
        <f>IF(E96="","",IF((VLOOKUP(E96,classifications!C:K,9,FALSE))="Sparse","S",""))</f>
        <v>S</v>
      </c>
      <c r="U96" s="280">
        <f>IF('Filtered Data'!$D$1="MD","",IF('Filtered Data'!$D$1="SC","",IF('Filtered Data'!$D$1="UA",'Filtered Data'!AS15,'Filtered Data'!AL15)))</f>
        <v>5</v>
      </c>
      <c r="V96" s="281"/>
      <c r="W96" s="281"/>
      <c r="X96" s="282" t="str">
        <f>IF(U96="","",IF('Filtered Data'!$D$1="UA",VLOOKUP(U96,'Filtered Data'!AS:AU,2,FALSE),VLOOKUP(U96,'Filtered Data'!AL:AN,2,FALSE)))</f>
        <v>Copeland</v>
      </c>
      <c r="Y96" s="282"/>
      <c r="Z96" s="282"/>
      <c r="AA96" s="282"/>
      <c r="AB96" s="282"/>
      <c r="AC96" s="282"/>
      <c r="AD96" s="282"/>
      <c r="AE96" s="282"/>
      <c r="AF96" s="282"/>
      <c r="AG96" s="282"/>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0.33488858698381985</v>
      </c>
      <c r="AI96" s="279"/>
      <c r="AJ96" s="279"/>
      <c r="AK96" s="279"/>
      <c r="AL96" s="185" t="str">
        <f>IF(X96="","",IF((VLOOKUP(X96,classifications!C:K,9,FALSE))="Sparse","S",""))</f>
        <v/>
      </c>
      <c r="AP96" s="85"/>
    </row>
    <row r="97" spans="2:42" ht="12" customHeight="1">
      <c r="B97" s="285">
        <v>6</v>
      </c>
      <c r="C97" s="286"/>
      <c r="D97" s="286"/>
      <c r="E97" s="283" t="str">
        <f>IF(ISNA(VLOOKUP(B97,'Filtered Data'!AE:AF,2,FALSE)),"",(VLOOKUP(B97,'Filtered Data'!AE:AF,2,FALSE)))</f>
        <v>Carlisle</v>
      </c>
      <c r="F97" s="283"/>
      <c r="G97" s="283"/>
      <c r="H97" s="283"/>
      <c r="I97" s="283"/>
      <c r="J97" s="283"/>
      <c r="K97" s="283"/>
      <c r="L97" s="283"/>
      <c r="M97" s="283"/>
      <c r="N97" s="283"/>
      <c r="O97" s="279">
        <f>IF(E97="","",IF('Filtered Data'!$H$8="%.",(VLOOKUP(B97,'Filtered Data'!AE:AG,3,FALSE))/100,VLOOKUP(B97,'Filtered Data'!AE:AG,3,FALSE)))</f>
        <v>0.43508692221239148</v>
      </c>
      <c r="P97" s="279"/>
      <c r="Q97" s="279"/>
      <c r="R97" s="279"/>
      <c r="S97" s="185" t="str">
        <f>IF(E97="","",IF((VLOOKUP(E97,classifications!C:K,9,FALSE))="Sparse","S",""))</f>
        <v>S</v>
      </c>
      <c r="U97" s="280">
        <f>IF('Filtered Data'!$D$1="MD","",IF('Filtered Data'!$D$1="SC","",IF('Filtered Data'!$D$1="UA",'Filtered Data'!AS16,'Filtered Data'!AL16)))</f>
        <v>6</v>
      </c>
      <c r="V97" s="281"/>
      <c r="W97" s="281"/>
      <c r="X97" s="282" t="str">
        <f>IF(U97="","",IF('Filtered Data'!$D$1="UA",VLOOKUP(U97,'Filtered Data'!AS:AU,2,FALSE),VLOOKUP(U97,'Filtered Data'!AL:AN,2,FALSE)))</f>
        <v>Barrow-in-Furness</v>
      </c>
      <c r="Y97" s="282"/>
      <c r="Z97" s="282"/>
      <c r="AA97" s="282"/>
      <c r="AB97" s="282"/>
      <c r="AC97" s="282"/>
      <c r="AD97" s="282"/>
      <c r="AE97" s="282"/>
      <c r="AF97" s="282"/>
      <c r="AG97" s="282"/>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0.33475966509623623</v>
      </c>
      <c r="AI97" s="279"/>
      <c r="AJ97" s="279"/>
      <c r="AK97" s="279"/>
      <c r="AL97" s="185" t="str">
        <f>IF(X97="","",IF((VLOOKUP(X97,classifications!C:K,9,FALSE))="Sparse","S",""))</f>
        <v/>
      </c>
      <c r="AP97" s="85"/>
    </row>
    <row r="98" spans="2:42" ht="12" customHeight="1">
      <c r="B98" s="285">
        <v>7</v>
      </c>
      <c r="C98" s="286"/>
      <c r="D98" s="286"/>
      <c r="E98" s="283" t="str">
        <f>IF(ISNA(VLOOKUP(B98,'Filtered Data'!AE:AF,2,FALSE)),"",(VLOOKUP(B98,'Filtered Data'!AE:AF,2,FALSE)))</f>
        <v>West Lancashire</v>
      </c>
      <c r="F98" s="283"/>
      <c r="G98" s="283"/>
      <c r="H98" s="283"/>
      <c r="I98" s="283"/>
      <c r="J98" s="283"/>
      <c r="K98" s="283"/>
      <c r="L98" s="283"/>
      <c r="M98" s="283"/>
      <c r="N98" s="283"/>
      <c r="O98" s="279">
        <f>IF(E98="","",IF('Filtered Data'!$H$8="%.",(VLOOKUP(B98,'Filtered Data'!AE:AG,3,FALSE))/100,VLOOKUP(B98,'Filtered Data'!AE:AG,3,FALSE)))</f>
        <v>0.43322355020552622</v>
      </c>
      <c r="P98" s="279"/>
      <c r="Q98" s="279"/>
      <c r="R98" s="279"/>
      <c r="S98" s="185" t="str">
        <f>IF(E98="","",IF((VLOOKUP(E98,classifications!C:K,9,FALSE))="Sparse","S",""))</f>
        <v/>
      </c>
      <c r="U98" s="280" t="str">
        <f>IF('Filtered Data'!$D$1="MD","",IF('Filtered Data'!$D$1="SC","",IF('Filtered Data'!$D$1="UA",'Filtered Data'!AS17,'Filtered Data'!AL17)))</f>
        <v/>
      </c>
      <c r="V98" s="281"/>
      <c r="W98" s="281"/>
      <c r="X98" s="282" t="str">
        <f>IF(U98="","",IF('Filtered Data'!$D$1="UA",VLOOKUP(U98,'Filtered Data'!AS:AU,2,FALSE),VLOOKUP(U98,'Filtered Data'!AL:AN,2,FALSE)))</f>
        <v/>
      </c>
      <c r="Y98" s="282"/>
      <c r="Z98" s="282"/>
      <c r="AA98" s="282"/>
      <c r="AB98" s="282"/>
      <c r="AC98" s="282"/>
      <c r="AD98" s="282"/>
      <c r="AE98" s="282"/>
      <c r="AF98" s="282"/>
      <c r="AG98" s="282"/>
      <c r="AH98" s="279"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9"/>
      <c r="AJ98" s="279"/>
      <c r="AK98" s="279"/>
      <c r="AL98" s="185" t="str">
        <f>IF(X98="","",IF((VLOOKUP(X98,classifications!C:K,9,FALSE))="Sparse","S",""))</f>
        <v/>
      </c>
      <c r="AP98" s="85"/>
    </row>
    <row r="99" spans="2:42" ht="12" customHeight="1">
      <c r="B99" s="285">
        <v>8</v>
      </c>
      <c r="C99" s="286"/>
      <c r="D99" s="286"/>
      <c r="E99" s="283" t="str">
        <f>IF(ISNA(VLOOKUP(B99,'Filtered Data'!AE:AF,2,FALSE)),"",(VLOOKUP(B99,'Filtered Data'!AE:AF,2,FALSE)))</f>
        <v>Boston</v>
      </c>
      <c r="F99" s="283"/>
      <c r="G99" s="283"/>
      <c r="H99" s="283"/>
      <c r="I99" s="283"/>
      <c r="J99" s="283"/>
      <c r="K99" s="283"/>
      <c r="L99" s="283"/>
      <c r="M99" s="283"/>
      <c r="N99" s="283"/>
      <c r="O99" s="279">
        <f>IF(E99="","",IF('Filtered Data'!$H$8="%.",(VLOOKUP(B99,'Filtered Data'!AE:AG,3,FALSE))/100,VLOOKUP(B99,'Filtered Data'!AE:AG,3,FALSE)))</f>
        <v>0.40519799427585179</v>
      </c>
      <c r="P99" s="279"/>
      <c r="Q99" s="279"/>
      <c r="R99" s="279"/>
      <c r="S99" s="185" t="str">
        <f>IF(E99="","",IF((VLOOKUP(E99,classifications!C:K,9,FALSE))="Sparse","S",""))</f>
        <v>S</v>
      </c>
      <c r="U99" s="280" t="str">
        <f>IF('Filtered Data'!$D$1="MD","",IF('Filtered Data'!$D$1="SC","",IF('Filtered Data'!$D$1="UA",'Filtered Data'!AS18,'Filtered Data'!AL18)))</f>
        <v/>
      </c>
      <c r="V99" s="281"/>
      <c r="W99" s="281"/>
      <c r="X99" s="282" t="str">
        <f>IF(U99="","",IF('Filtered Data'!$D$1="UA",VLOOKUP(U99,'Filtered Data'!AS:AU,2,FALSE),VLOOKUP(U99,'Filtered Data'!AL:AN,2,FALSE)))</f>
        <v/>
      </c>
      <c r="Y99" s="282"/>
      <c r="Z99" s="282"/>
      <c r="AA99" s="282"/>
      <c r="AB99" s="282"/>
      <c r="AC99" s="282"/>
      <c r="AD99" s="282"/>
      <c r="AE99" s="282"/>
      <c r="AF99" s="282"/>
      <c r="AG99" s="282"/>
      <c r="AH99" s="279"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9"/>
      <c r="AJ99" s="279"/>
      <c r="AK99" s="279"/>
      <c r="AL99" s="185" t="str">
        <f>IF(X99="","",IF((VLOOKUP(X99,classifications!C:K,9,FALSE))="Sparse","S",""))</f>
        <v/>
      </c>
      <c r="AP99" s="85"/>
    </row>
    <row r="100" spans="2:42" ht="12" customHeight="1">
      <c r="B100" s="285">
        <v>9</v>
      </c>
      <c r="C100" s="286"/>
      <c r="D100" s="286"/>
      <c r="E100" s="283" t="str">
        <f>IF(ISNA(VLOOKUP(B100,'Filtered Data'!AE:AF,2,FALSE)),"",(VLOOKUP(B100,'Filtered Data'!AE:AF,2,FALSE)))</f>
        <v>Bolsover</v>
      </c>
      <c r="F100" s="283"/>
      <c r="G100" s="283"/>
      <c r="H100" s="283"/>
      <c r="I100" s="283"/>
      <c r="J100" s="283"/>
      <c r="K100" s="283"/>
      <c r="L100" s="283"/>
      <c r="M100" s="283"/>
      <c r="N100" s="283"/>
      <c r="O100" s="279">
        <f>IF(E100="","",IF('Filtered Data'!$H$8="%.",(VLOOKUP(B100,'Filtered Data'!AE:AG,3,FALSE))/100,VLOOKUP(B100,'Filtered Data'!AE:AG,3,FALSE)))</f>
        <v>0.40285130553941956</v>
      </c>
      <c r="P100" s="279"/>
      <c r="Q100" s="279"/>
      <c r="R100" s="279"/>
      <c r="S100" s="185" t="str">
        <f>IF(E100="","",IF((VLOOKUP(E100,classifications!C:K,9,FALSE))="Sparse","S",""))</f>
        <v/>
      </c>
      <c r="U100" s="280" t="str">
        <f>IF('Filtered Data'!$D$1="MD","",IF('Filtered Data'!$D$1="SC","",IF('Filtered Data'!$D$1="UA",'Filtered Data'!AS19,'Filtered Data'!AL19)))</f>
        <v/>
      </c>
      <c r="V100" s="281"/>
      <c r="W100" s="281"/>
      <c r="X100" s="282" t="str">
        <f>IF(U100="","",IF('Filtered Data'!$D$1="UA",VLOOKUP(U100,'Filtered Data'!AS:AU,2,FALSE),VLOOKUP(U100,'Filtered Data'!AL:AN,2,FALSE)))</f>
        <v/>
      </c>
      <c r="Y100" s="282"/>
      <c r="Z100" s="282"/>
      <c r="AA100" s="282"/>
      <c r="AB100" s="282"/>
      <c r="AC100" s="282"/>
      <c r="AD100" s="282"/>
      <c r="AE100" s="282"/>
      <c r="AF100" s="282"/>
      <c r="AG100" s="282"/>
      <c r="AH100" s="279"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9"/>
      <c r="AJ100" s="279"/>
      <c r="AK100" s="279"/>
      <c r="AL100" s="185" t="str">
        <f>IF(X100="","",IF((VLOOKUP(X100,classifications!C:K,9,FALSE))="Sparse","S",""))</f>
        <v/>
      </c>
      <c r="AP100" s="85"/>
    </row>
    <row r="101" spans="2:42" ht="12" customHeight="1">
      <c r="B101" s="285">
        <v>10</v>
      </c>
      <c r="C101" s="286"/>
      <c r="D101" s="286"/>
      <c r="E101" s="283" t="str">
        <f>IF(ISNA(VLOOKUP(B101,'Filtered Data'!AE:AF,2,FALSE)),"",(VLOOKUP(B101,'Filtered Data'!AE:AF,2,FALSE)))</f>
        <v>Scarborough</v>
      </c>
      <c r="F101" s="283"/>
      <c r="G101" s="283"/>
      <c r="H101" s="283"/>
      <c r="I101" s="283"/>
      <c r="J101" s="283"/>
      <c r="K101" s="283"/>
      <c r="L101" s="283"/>
      <c r="M101" s="283"/>
      <c r="N101" s="283"/>
      <c r="O101" s="279">
        <f>IF(E101="","",IF('Filtered Data'!$H$8="%.",(VLOOKUP(B101,'Filtered Data'!AE:AG,3,FALSE))/100,VLOOKUP(B101,'Filtered Data'!AE:AG,3,FALSE)))</f>
        <v>0.38789029949449766</v>
      </c>
      <c r="P101" s="279"/>
      <c r="Q101" s="279"/>
      <c r="R101" s="279"/>
      <c r="S101" s="185" t="str">
        <f>IF(E101="","",IF((VLOOKUP(E101,classifications!C:K,9,FALSE))="Sparse","S",""))</f>
        <v>S</v>
      </c>
      <c r="U101" s="280" t="str">
        <f>IF('Filtered Data'!$D$1="MD","",IF('Filtered Data'!$D$1="SC","",IF('Filtered Data'!$D$1="UA",'Filtered Data'!AS20,'Filtered Data'!AL20)))</f>
        <v/>
      </c>
      <c r="V101" s="281"/>
      <c r="W101" s="281"/>
      <c r="X101" s="282" t="str">
        <f>IF(U101="","",IF('Filtered Data'!$D$1="UA",VLOOKUP(U101,'Filtered Data'!AS:AU,2,FALSE),VLOOKUP(U101,'Filtered Data'!AL:AN,2,FALSE)))</f>
        <v/>
      </c>
      <c r="Y101" s="282"/>
      <c r="Z101" s="282"/>
      <c r="AA101" s="282"/>
      <c r="AB101" s="282"/>
      <c r="AC101" s="282"/>
      <c r="AD101" s="282"/>
      <c r="AE101" s="282"/>
      <c r="AF101" s="282"/>
      <c r="AG101" s="282"/>
      <c r="AH101" s="279"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9"/>
      <c r="AJ101" s="279"/>
      <c r="AK101" s="279"/>
      <c r="AL101" s="185" t="str">
        <f>IF(X101="","",IF((VLOOKUP(X101,classifications!C:K,9,FALSE))="Sparse","S",""))</f>
        <v/>
      </c>
      <c r="AP101" s="85"/>
    </row>
    <row r="102" spans="2:42" ht="12" customHeight="1">
      <c r="B102" s="285">
        <v>11</v>
      </c>
      <c r="C102" s="286"/>
      <c r="D102" s="286"/>
      <c r="E102" s="283" t="str">
        <f>IF(ISNA(VLOOKUP(B102,'Filtered Data'!AE:AF,2,FALSE)),"",(VLOOKUP(B102,'Filtered Data'!AE:AF,2,FALSE)))</f>
        <v>Allerdale</v>
      </c>
      <c r="F102" s="283"/>
      <c r="G102" s="283"/>
      <c r="H102" s="283"/>
      <c r="I102" s="283"/>
      <c r="J102" s="283"/>
      <c r="K102" s="283"/>
      <c r="L102" s="283"/>
      <c r="M102" s="283"/>
      <c r="N102" s="283"/>
      <c r="O102" s="279">
        <f>IF(E102="","",IF('Filtered Data'!$H$8="%.",(VLOOKUP(B102,'Filtered Data'!AE:AG,3,FALSE))/100,VLOOKUP(B102,'Filtered Data'!AE:AG,3,FALSE)))</f>
        <v>0.38071334707896576</v>
      </c>
      <c r="P102" s="279"/>
      <c r="Q102" s="279"/>
      <c r="R102" s="279"/>
      <c r="S102" s="185" t="str">
        <f>IF(E102="","",IF((VLOOKUP(E102,classifications!C:K,9,FALSE))="Sparse","S",""))</f>
        <v>S</v>
      </c>
      <c r="U102" s="280" t="str">
        <f>IF('Filtered Data'!$D$1="MD","",IF('Filtered Data'!$D$1="SC","",IF('Filtered Data'!$D$1="UA",'Filtered Data'!AS21,'Filtered Data'!AL21)))</f>
        <v/>
      </c>
      <c r="V102" s="281"/>
      <c r="W102" s="281"/>
      <c r="X102" s="282" t="str">
        <f>IF(U102="","",IF('Filtered Data'!$D$1="UA",VLOOKUP(U102,'Filtered Data'!AS:AU,2,FALSE),VLOOKUP(U102,'Filtered Data'!AL:AN,2,FALSE)))</f>
        <v/>
      </c>
      <c r="Y102" s="282"/>
      <c r="Z102" s="282"/>
      <c r="AA102" s="282"/>
      <c r="AB102" s="282"/>
      <c r="AC102" s="282"/>
      <c r="AD102" s="282"/>
      <c r="AE102" s="282"/>
      <c r="AF102" s="282"/>
      <c r="AG102" s="282"/>
      <c r="AH102" s="279"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9"/>
      <c r="AJ102" s="279"/>
      <c r="AK102" s="279"/>
      <c r="AL102" s="185" t="str">
        <f>IF(X102="","",IF((VLOOKUP(X102,classifications!C:K,9,FALSE))="Sparse","S",""))</f>
        <v/>
      </c>
      <c r="AP102" s="85"/>
    </row>
    <row r="103" spans="2:42" ht="12" customHeight="1">
      <c r="B103" s="285">
        <v>12</v>
      </c>
      <c r="C103" s="285"/>
      <c r="D103" s="285"/>
      <c r="E103" s="283" t="str">
        <f>IF(ISNA(VLOOKUP(B103,'Filtered Data'!AE:AF,2,FALSE)),"",(VLOOKUP(B103,'Filtered Data'!AE:AF,2,FALSE)))</f>
        <v>Swale</v>
      </c>
      <c r="F103" s="283"/>
      <c r="G103" s="283"/>
      <c r="H103" s="283"/>
      <c r="I103" s="283"/>
      <c r="J103" s="283"/>
      <c r="K103" s="283"/>
      <c r="L103" s="283"/>
      <c r="M103" s="283"/>
      <c r="N103" s="283"/>
      <c r="O103" s="279">
        <f>IF(E103="","",IF('Filtered Data'!$H$8="%.",(VLOOKUP(B103,'Filtered Data'!AE:AG,3,FALSE))/100,VLOOKUP(B103,'Filtered Data'!AE:AG,3,FALSE)))</f>
        <v>0.34246060068486822</v>
      </c>
      <c r="P103" s="279"/>
      <c r="Q103" s="279"/>
      <c r="R103" s="279"/>
      <c r="S103" s="185" t="str">
        <f>IF(E103="","",IF((VLOOKUP(E103,classifications!C:K,9,FALSE))="Sparse","S",""))</f>
        <v/>
      </c>
      <c r="U103" s="280" t="str">
        <f>IF('Filtered Data'!$D$1="MD","",IF('Filtered Data'!$D$1="SC","",IF('Filtered Data'!$D$1="UA",'Filtered Data'!AS22,'Filtered Data'!AL22)))</f>
        <v/>
      </c>
      <c r="V103" s="281"/>
      <c r="W103" s="281"/>
      <c r="X103" s="282" t="str">
        <f>IF(U103="","",IF('Filtered Data'!$D$1="UA",VLOOKUP(U103,'Filtered Data'!AS:AU,2,FALSE),VLOOKUP(U103,'Filtered Data'!AL:AN,2,FALSE)))</f>
        <v/>
      </c>
      <c r="Y103" s="282"/>
      <c r="Z103" s="282"/>
      <c r="AA103" s="282"/>
      <c r="AB103" s="282"/>
      <c r="AC103" s="282"/>
      <c r="AD103" s="282"/>
      <c r="AE103" s="282"/>
      <c r="AF103" s="282"/>
      <c r="AG103" s="282"/>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85">
        <v>13</v>
      </c>
      <c r="C104" s="286"/>
      <c r="D104" s="286"/>
      <c r="E104" s="283" t="str">
        <f>IF(ISNA(VLOOKUP(B104,'Filtered Data'!AE:AF,2,FALSE)),"",(VLOOKUP(B104,'Filtered Data'!AE:AF,2,FALSE)))</f>
        <v>Copeland</v>
      </c>
      <c r="F104" s="283"/>
      <c r="G104" s="283"/>
      <c r="H104" s="283"/>
      <c r="I104" s="283"/>
      <c r="J104" s="283"/>
      <c r="K104" s="283"/>
      <c r="L104" s="283"/>
      <c r="M104" s="283"/>
      <c r="N104" s="283"/>
      <c r="O104" s="279">
        <f>IF(E104="","",IF('Filtered Data'!$H$8="%.",(VLOOKUP(B104,'Filtered Data'!AE:AG,3,FALSE))/100,VLOOKUP(B104,'Filtered Data'!AE:AG,3,FALSE)))</f>
        <v>0.33488858698381985</v>
      </c>
      <c r="P104" s="279"/>
      <c r="Q104" s="279"/>
      <c r="R104" s="279"/>
      <c r="S104" s="185" t="str">
        <f>IF(E104="","",IF((VLOOKUP(E104,classifications!C:K,9,FALSE))="Sparse","S",""))</f>
        <v/>
      </c>
      <c r="U104" s="280" t="str">
        <f>IF('Filtered Data'!$D$1="MD","",IF('Filtered Data'!$D$1="SC","",IF('Filtered Data'!$D$1="UA",'Filtered Data'!AS23,'Filtered Data'!AL23)))</f>
        <v/>
      </c>
      <c r="V104" s="281"/>
      <c r="W104" s="281"/>
      <c r="X104" s="282" t="str">
        <f>IF(U104="","",IF('Filtered Data'!$D$1="UA",VLOOKUP(U104,'Filtered Data'!AS:AU,2,FALSE),VLOOKUP(U104,'Filtered Data'!AL:AN,2,FALSE)))</f>
        <v/>
      </c>
      <c r="Y104" s="282"/>
      <c r="Z104" s="282"/>
      <c r="AA104" s="282"/>
      <c r="AB104" s="282"/>
      <c r="AC104" s="282"/>
      <c r="AD104" s="282"/>
      <c r="AE104" s="282"/>
      <c r="AF104" s="282"/>
      <c r="AG104" s="282"/>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85">
        <v>14</v>
      </c>
      <c r="C105" s="286"/>
      <c r="D105" s="286"/>
      <c r="E105" s="283" t="str">
        <f>IF(ISNA(VLOOKUP(B105,'Filtered Data'!AE:AF,2,FALSE)),"",(VLOOKUP(B105,'Filtered Data'!AE:AF,2,FALSE)))</f>
        <v>Amber Valley</v>
      </c>
      <c r="F105" s="283"/>
      <c r="G105" s="283"/>
      <c r="H105" s="283"/>
      <c r="I105" s="283"/>
      <c r="J105" s="283"/>
      <c r="K105" s="283"/>
      <c r="L105" s="283"/>
      <c r="M105" s="283"/>
      <c r="N105" s="283"/>
      <c r="O105" s="279">
        <f>IF(E105="","",IF('Filtered Data'!$H$8="%.",(VLOOKUP(B105,'Filtered Data'!AE:AG,3,FALSE))/100,VLOOKUP(B105,'Filtered Data'!AE:AG,3,FALSE)))</f>
        <v>0.33023457262600642</v>
      </c>
      <c r="P105" s="279"/>
      <c r="Q105" s="279"/>
      <c r="R105" s="279"/>
      <c r="S105" s="185" t="str">
        <f>IF(E105="","",IF((VLOOKUP(E105,classifications!C:K,9,FALSE))="Sparse","S",""))</f>
        <v/>
      </c>
      <c r="U105" s="280" t="str">
        <f>IF('Filtered Data'!$D$1="MD","",IF('Filtered Data'!$D$1="SC","",IF('Filtered Data'!$D$1="UA",'Filtered Data'!AS24,'Filtered Data'!AL24)))</f>
        <v/>
      </c>
      <c r="V105" s="281"/>
      <c r="W105" s="281"/>
      <c r="X105" s="282" t="str">
        <f>IF(U105="","",IF('Filtered Data'!$D$1="UA",VLOOKUP(U105,'Filtered Data'!AS:AU,2,FALSE),VLOOKUP(U105,'Filtered Data'!AL:AN,2,FALSE)))</f>
        <v/>
      </c>
      <c r="Y105" s="282"/>
      <c r="Z105" s="282"/>
      <c r="AA105" s="282"/>
      <c r="AB105" s="282"/>
      <c r="AC105" s="282"/>
      <c r="AD105" s="282"/>
      <c r="AE105" s="282"/>
      <c r="AF105" s="282"/>
      <c r="AG105" s="282"/>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85">
        <v>15</v>
      </c>
      <c r="C106" s="286"/>
      <c r="D106" s="286"/>
      <c r="E106" s="283" t="str">
        <f>IF(ISNA(VLOOKUP(B106,'Filtered Data'!AE:AF,2,FALSE)),"",(VLOOKUP(B106,'Filtered Data'!AE:AF,2,FALSE)))</f>
        <v>Newark &amp; Sherwood</v>
      </c>
      <c r="F106" s="283"/>
      <c r="G106" s="283"/>
      <c r="H106" s="283"/>
      <c r="I106" s="283"/>
      <c r="J106" s="283"/>
      <c r="K106" s="283"/>
      <c r="L106" s="283"/>
      <c r="M106" s="283"/>
      <c r="N106" s="283"/>
      <c r="O106" s="279">
        <f>IF(E106="","",IF('Filtered Data'!$H$8="%.",(VLOOKUP(B106,'Filtered Data'!AE:AG,3,FALSE))/100,VLOOKUP(B106,'Filtered Data'!AE:AG,3,FALSE)))</f>
        <v>0.26461854222702508</v>
      </c>
      <c r="P106" s="279"/>
      <c r="Q106" s="279"/>
      <c r="R106" s="279"/>
      <c r="S106" s="185" t="str">
        <f>IF(E106="","",IF((VLOOKUP(E106,classifications!C:K,9,FALSE))="Sparse","S",""))</f>
        <v>S</v>
      </c>
      <c r="U106" s="280" t="str">
        <f>IF('Filtered Data'!$D$1="MD","",IF('Filtered Data'!$D$1="SC","",IF('Filtered Data'!$D$1="UA",'Filtered Data'!AS25,'Filtered Data'!AL25)))</f>
        <v/>
      </c>
      <c r="V106" s="281"/>
      <c r="W106" s="281"/>
      <c r="X106" s="282" t="str">
        <f>IF(U106="","",IF('Filtered Data'!$D$1="UA",VLOOKUP(U106,'Filtered Data'!AS:AU,2,FALSE),VLOOKUP(U106,'Filtered Data'!AL:AN,2,FALSE)))</f>
        <v/>
      </c>
      <c r="Y106" s="282"/>
      <c r="Z106" s="282"/>
      <c r="AA106" s="282"/>
      <c r="AB106" s="282"/>
      <c r="AC106" s="282"/>
      <c r="AD106" s="282"/>
      <c r="AE106" s="282"/>
      <c r="AF106" s="282"/>
      <c r="AG106" s="282"/>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85">
        <v>16</v>
      </c>
      <c r="C107" s="286"/>
      <c r="D107" s="286"/>
      <c r="E107" s="283" t="str">
        <f>IF(ISNA(VLOOKUP(B107,'Filtered Data'!AE:AF,2,FALSE)),"",(VLOOKUP(B107,'Filtered Data'!AE:AF,2,FALSE)))</f>
        <v>Bassetlaw</v>
      </c>
      <c r="F107" s="283"/>
      <c r="G107" s="283"/>
      <c r="H107" s="283"/>
      <c r="I107" s="283"/>
      <c r="J107" s="283"/>
      <c r="K107" s="283"/>
      <c r="L107" s="283"/>
      <c r="M107" s="283"/>
      <c r="N107" s="283"/>
      <c r="O107" s="279">
        <f>IF(E107="","",IF('Filtered Data'!$H$8="%.",(VLOOKUP(B107,'Filtered Data'!AE:AG,3,FALSE))/100,VLOOKUP(B107,'Filtered Data'!AE:AG,3,FALSE)))</f>
        <v>0.21407496040943602</v>
      </c>
      <c r="P107" s="279"/>
      <c r="Q107" s="279"/>
      <c r="R107" s="279"/>
      <c r="S107" s="185" t="str">
        <f>IF(E107="","",IF((VLOOKUP(E107,classifications!C:K,9,FALSE))="Sparse","S",""))</f>
        <v/>
      </c>
      <c r="U107" s="280" t="str">
        <f>IF('Filtered Data'!$D$1="MD","",IF('Filtered Data'!$D$1="SC","",IF('Filtered Data'!$D$1="UA",'Filtered Data'!AS26,'Filtered Data'!AL26)))</f>
        <v/>
      </c>
      <c r="V107" s="281"/>
      <c r="W107" s="281"/>
      <c r="X107" s="282" t="str">
        <f>IF(U107="","",IF('Filtered Data'!$D$1="UA",VLOOKUP(U107,'Filtered Data'!AS:AU,2,FALSE),VLOOKUP(U107,'Filtered Data'!AL:AN,2,FALSE)))</f>
        <v/>
      </c>
      <c r="Y107" s="282"/>
      <c r="Z107" s="282"/>
      <c r="AA107" s="282"/>
      <c r="AB107" s="282"/>
      <c r="AC107" s="282"/>
      <c r="AD107" s="282"/>
      <c r="AE107" s="282"/>
      <c r="AF107" s="282"/>
      <c r="AG107" s="282"/>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1"/>
      <c r="C108" s="281"/>
      <c r="D108" s="281"/>
      <c r="E108" s="284" t="s">
        <v>343</v>
      </c>
      <c r="F108" s="284"/>
      <c r="G108" s="284"/>
      <c r="H108" s="284"/>
      <c r="I108" s="284"/>
      <c r="J108" s="284"/>
      <c r="K108" s="284"/>
      <c r="L108" s="284"/>
      <c r="M108" s="284"/>
      <c r="N108" s="284"/>
      <c r="O108" s="351">
        <f>IF(ISERROR(AVERAGE(O92:O107)),"",AVERAGE(O92:O107))</f>
        <v>0.38825740546093546</v>
      </c>
      <c r="P108" s="351"/>
      <c r="Q108" s="351"/>
      <c r="R108" s="351"/>
      <c r="S108" s="185"/>
      <c r="U108" s="281"/>
      <c r="V108" s="281"/>
      <c r="W108" s="281"/>
      <c r="X108" s="24" t="str">
        <f>IF('Filtered Data'!D1="MD","",IF('Filtered Data'!D1="SC","","Average"))</f>
        <v>Average</v>
      </c>
      <c r="Y108" s="24"/>
      <c r="Z108" s="24"/>
      <c r="AA108" s="24"/>
      <c r="AB108" s="24"/>
      <c r="AC108" s="24"/>
      <c r="AD108" s="24"/>
      <c r="AE108" s="24"/>
      <c r="AF108" s="24"/>
      <c r="AG108" s="27"/>
      <c r="AH108" s="351">
        <f>L40</f>
        <v>0.38788714047468958</v>
      </c>
      <c r="AI108" s="351"/>
      <c r="AJ108" s="351"/>
      <c r="AK108" s="351"/>
      <c r="AP108" s="85"/>
    </row>
    <row r="109" spans="2:42" ht="12" customHeight="1">
      <c r="W109" s="22">
        <f>COUNT(U92:V107)</f>
        <v>6</v>
      </c>
    </row>
    <row r="110" spans="2:42" ht="19.5" customHeight="1">
      <c r="B110" s="347" t="str">
        <f>B3</f>
        <v>Recycling rate</v>
      </c>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row>
    <row r="111" spans="2:42" ht="12" customHeight="1"/>
    <row r="112" spans="2:42" ht="12" customHeight="1">
      <c r="B112" s="284" t="s">
        <v>376</v>
      </c>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row>
    <row r="113" spans="2:40" ht="12" customHeight="1"/>
    <row r="114" spans="2:40" ht="12" customHeight="1">
      <c r="B114" s="306" t="str">
        <f>W6&amp;" - "&amp;W12</f>
        <v>Recycling Rate - Annual up to 31 March 2014</v>
      </c>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7">
        <f>IF('Filtered Data'!H8="..",L35,L35*100)</f>
        <v>38.071334707896575</v>
      </c>
      <c r="H118" s="277"/>
      <c r="I118" s="277"/>
      <c r="J118" s="277"/>
      <c r="K118" s="277"/>
      <c r="L118" s="6"/>
      <c r="M118" s="278">
        <f>K$48</f>
        <v>50.559051247727481</v>
      </c>
      <c r="N118" s="278"/>
      <c r="O118" s="278">
        <f>M$48</f>
        <v>44.357886463783643</v>
      </c>
      <c r="P118" s="278"/>
      <c r="Q118" s="278">
        <f>O$48</f>
        <v>37.444815221965598</v>
      </c>
      <c r="R118" s="27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7">
        <f>IF('Filtered Data'!H8="%%",(AVERAGEIF('Filtered Data'!AA$10:AA$500,$F119,'Filtered Data'!M$10:M$500))*100,(AVERAGEIF('Filtered Data'!AA$10:AA$500,$F119,'Filtered Data'!M$10:M$500)))</f>
        <v>45.42443972058485</v>
      </c>
      <c r="H119" s="277"/>
      <c r="I119" s="277"/>
      <c r="J119" s="277"/>
      <c r="K119" s="277"/>
      <c r="L119" s="6"/>
      <c r="M119" s="278">
        <f>K$48</f>
        <v>50.559051247727481</v>
      </c>
      <c r="N119" s="278"/>
      <c r="O119" s="278">
        <f>M$48</f>
        <v>44.357886463783643</v>
      </c>
      <c r="P119" s="278"/>
      <c r="Q119" s="278">
        <f>O$48</f>
        <v>37.444815221965598</v>
      </c>
      <c r="R119" s="27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7">
        <f>IF('Filtered Data'!H8="%%",(AVERAGEIF('Filtered Data'!AA$10:AA$500,$F120,'Filtered Data'!M$10:M$500))*100,(AVERAGEIF('Filtered Data'!AA$10:AA$500,$F120,'Filtered Data'!M$10:M$500)))</f>
        <v>48.101076473542342</v>
      </c>
      <c r="H120" s="277"/>
      <c r="I120" s="277"/>
      <c r="J120" s="277"/>
      <c r="K120" s="277"/>
      <c r="L120" s="6"/>
      <c r="M120" s="278">
        <f>K$48</f>
        <v>50.559051247727481</v>
      </c>
      <c r="N120" s="278"/>
      <c r="O120" s="278">
        <f>M$48</f>
        <v>44.357886463783643</v>
      </c>
      <c r="P120" s="278"/>
      <c r="Q120" s="278">
        <f>O$48</f>
        <v>37.444815221965598</v>
      </c>
      <c r="R120" s="27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7">
        <f>IF('Filtered Data'!H8="%%",(AVERAGEIF('Filtered Data'!AA$10:AA$500,$F121,'Filtered Data'!M$10:M$500))*100,(AVERAGEIF('Filtered Data'!AA$10:AA$500,$F121,'Filtered Data'!M$10:M$500)))</f>
        <v>42.215351895392793</v>
      </c>
      <c r="H121" s="277"/>
      <c r="I121" s="277"/>
      <c r="J121" s="277"/>
      <c r="K121" s="277"/>
      <c r="L121" s="6"/>
      <c r="M121" s="278">
        <f>K$48</f>
        <v>50.559051247727481</v>
      </c>
      <c r="N121" s="278"/>
      <c r="O121" s="278">
        <f>M$48</f>
        <v>44.357886463783643</v>
      </c>
      <c r="P121" s="278"/>
      <c r="Q121" s="278">
        <f>O$48</f>
        <v>37.444815221965598</v>
      </c>
      <c r="R121" s="27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7"/>
      <c r="H122" s="277"/>
      <c r="I122" s="277"/>
      <c r="J122" s="277"/>
      <c r="K122" s="277"/>
      <c r="L122" s="6"/>
      <c r="M122" s="278"/>
      <c r="N122" s="278"/>
      <c r="O122" s="278"/>
      <c r="P122" s="278"/>
      <c r="Q122" s="278"/>
      <c r="R122" s="27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7"/>
      <c r="H123" s="277"/>
      <c r="I123" s="277"/>
      <c r="J123" s="277"/>
      <c r="K123" s="277"/>
      <c r="L123" s="6"/>
      <c r="M123" s="278"/>
      <c r="N123" s="278"/>
      <c r="O123" s="278"/>
      <c r="P123" s="278"/>
      <c r="Q123" s="278"/>
      <c r="R123" s="27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7"/>
      <c r="H124" s="277"/>
      <c r="I124" s="277"/>
      <c r="J124" s="277"/>
      <c r="K124" s="277"/>
      <c r="L124" s="6"/>
      <c r="M124" s="278"/>
      <c r="N124" s="278"/>
      <c r="O124" s="278"/>
      <c r="P124" s="278"/>
      <c r="Q124" s="278"/>
      <c r="R124" s="27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Recycling Rate</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Annual up to 31 March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65.708340724934232</v>
      </c>
      <c r="Q7" s="145">
        <f>IF(I8="A",MAX(N11:N363),MIN(N11:N363))</f>
        <v>21.407496040943602</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38.071334707896575</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0.43778801041536569</v>
      </c>
      <c r="N9" s="123"/>
      <c r="O9" s="126" t="s">
        <v>344</v>
      </c>
      <c r="P9" s="126" t="s">
        <v>355</v>
      </c>
      <c r="Q9" s="126" t="s">
        <v>356</v>
      </c>
      <c r="R9" s="128" t="s">
        <v>408</v>
      </c>
      <c r="S9" s="53"/>
      <c r="T9" s="233" t="s">
        <v>828</v>
      </c>
      <c r="U9" s="234">
        <f>IF($H$8="%.",(AVERAGE(U11:U363))/100,(AVERAGE(U11:U363)))</f>
        <v>0.46139493293284123</v>
      </c>
      <c r="V9" s="235"/>
      <c r="W9" s="235"/>
      <c r="X9" s="121" t="str">
        <f>"Lower Level Ranking for Authorites in "&amp;H3&amp;" &amp; are a "&amp;F3</f>
        <v>Lower Level Ranking for Authorites in Rural-80 &amp; are a SD</v>
      </c>
      <c r="Y9" s="123">
        <f>IF($H$8="%.",(AVERAGE(Y11:Y363))/100,(AVERAGE(Y11:Y363)))</f>
        <v>0.47612721518422141</v>
      </c>
      <c r="Z9" s="122"/>
      <c r="AA9" s="243" t="s">
        <v>384</v>
      </c>
      <c r="AB9" s="234">
        <f>IF($H$8="%.",(AVERAGE(AB11:AB363))/100,(AVERAGE(AB11:AB363)))</f>
        <v>0.45424439720584847</v>
      </c>
      <c r="AC9" s="244"/>
      <c r="AD9" s="244"/>
      <c r="AE9" s="54" t="s">
        <v>417</v>
      </c>
      <c r="AG9" s="123">
        <f>IF($H$8="%.",(AVERAGE(AG11:AG363))/100,(AVERAGE(AG11:AG363)))</f>
        <v>0.38825740546093551</v>
      </c>
      <c r="AI9" s="121" t="str">
        <f>"County Ranking &amp; Top Authorites in "&amp;I3&amp;" &amp; are a "&amp;F3</f>
        <v>County Ranking &amp; Top Authorites in Cumbria &amp; are a SD</v>
      </c>
      <c r="AJ9" s="123">
        <f>IF($H$8="%.",(AVERAGE(AJ11:AJ363))/100,(AVERAGE(AJ11:AJ363)))</f>
        <v>0.38788714047468958</v>
      </c>
      <c r="AK9" s="122"/>
      <c r="AL9" s="70"/>
      <c r="AM9" s="31"/>
      <c r="AN9" s="31"/>
      <c r="AP9" s="121" t="str">
        <f>"Regional Ranking in for "&amp;F3</f>
        <v>Regional Ranking in for SD</v>
      </c>
      <c r="AQ9" s="123">
        <f>IF($H$8="%.",(AVERAGE(AQ11:AQ363))/100,(AVERAGE(AQ11:AQ363)))</f>
        <v>0.40447407755579867</v>
      </c>
      <c r="AR9" s="122"/>
      <c r="AS9" s="122"/>
      <c r="AT9" s="122"/>
      <c r="AU9" s="122"/>
      <c r="AV9" s="49"/>
      <c r="AW9" s="115"/>
      <c r="AX9" s="178" t="str">
        <f>Profile!$W$6</f>
        <v>Recycling Rate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50.559051247727481</v>
      </c>
      <c r="P10" s="130">
        <f>QUARTILE(N:N,2)</f>
        <v>44.357886463783643</v>
      </c>
      <c r="Q10" s="130">
        <f>IF(I8="A",QUARTILE(N:N,3),QUARTILE(N:N,1))</f>
        <v>37.444815221965598</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Annual up to 31 March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0.32564984367803296</v>
      </c>
      <c r="G11" s="105"/>
      <c r="H11" s="60">
        <f>IF(D11=$D$1,HLOOKUP($D$6,$AX$10:$ZZ$363,ROW()-9,FALSE),"")</f>
        <v>0.32564984367803296</v>
      </c>
      <c r="I11" s="112">
        <f>IF(H11="","",IF($I$8="A",(RANK(H11,H$11:H$363,1)+COUNTIF(H$11:H11,H11)-1),(RANK(H11,H$11:H$363)+COUNTIF(H$11:H11,H11)-1)))</f>
        <v>173</v>
      </c>
      <c r="J11" s="58"/>
      <c r="K11" s="51">
        <v>1</v>
      </c>
      <c r="L11" s="59" t="str">
        <f>IF(K11="","",INDEX(C$11:C$363,MATCH(K11,I$11:I$363,0)))</f>
        <v>South Oxfordshire</v>
      </c>
      <c r="M11" s="153">
        <f>IF(L11="","",IF(VLOOKUP(L11,C:D,2,FALSE)=$F$3,VLOOKUP(L11,C:H,6,FALSE),""))</f>
        <v>0.65708340724934233</v>
      </c>
      <c r="N11" s="148">
        <f>IF(L11="","",IF($H$8="%%",M11*100,M11))</f>
        <v>65.708340724934232</v>
      </c>
      <c r="O11" s="131">
        <f>IF(I$8="A",IF(N11&gt;=$P$7,IF(N11&lt;=$O$10,N11,""),""),IF(N11&lt;=$P$7,IF(N11&gt;=$O$10,N11,""),""))</f>
        <v>65.708340724934232</v>
      </c>
      <c r="P11" s="131" t="str">
        <f>IF(I$8="A",IF(N11&gt;$O$10,IF(N11&lt;=$P$10,N11,""),""),IF(N11&lt;$O$10,IF(N11&gt;=$P$10,N11,""),""))</f>
        <v/>
      </c>
      <c r="Q11" s="131" t="str">
        <f>IF(I$8="A",IF(N11&gt;$P$10,IF(N11&lt;=$Q$10,N11,""),""),IF(N11&lt;$P$10,IF(N11&gt;=$Q$10,N11,""),""))</f>
        <v/>
      </c>
      <c r="R11" s="127" t="str">
        <f>IF(I$8="A",IF(N11&gt;$Q$10,N11,""),IF(N11&lt;$Q$10,N11,""))</f>
        <v/>
      </c>
      <c r="S11" s="60" t="str">
        <f>IF(L11=D$3,"u","")</f>
        <v/>
      </c>
      <c r="T11" s="231" t="str">
        <f>IF(L11="","",VLOOKUP(L11,classifications!C:K,9,FALSE))</f>
        <v>Sparse</v>
      </c>
      <c r="U11" s="238">
        <f>IF(T11="Sparse",M11,"")</f>
        <v>0.65708340724934233</v>
      </c>
      <c r="V11" s="239">
        <f>IF(U11="","",IF($I$8="A",(RANK(U11,U$11:U$363)+COUNTIF(U$11:U11,U11)-1),(RANK(U11,U$11:U$363,1)+COUNTIF(U$11:U11,U11)-1)))</f>
        <v>91</v>
      </c>
      <c r="W11" s="240"/>
      <c r="X11" s="61" t="str">
        <f>IF(L11="","",VLOOKUP($L11,classifications!$C:$J,6,FALSE))</f>
        <v>Rural-80</v>
      </c>
      <c r="Y11" s="49">
        <f>IF($D$1="UA",IF(X11="Rural-50",M11,IF(X11="Rural-80",M11,IF(X11="Significant Rural",M11,""))),IF($D$1="SD",IF(X11=$H$3,M11,"")))</f>
        <v>0.65708340724934233</v>
      </c>
      <c r="Z11" s="57">
        <f>IF(Y11="","",IF(I$8="A",(RANK(Y11,Y$11:Y$363,1)+COUNTIF(Y$11:Y11,Y11)-1),(RANK(Y11,Y$11:Y$363)+COUNTIF(Y$11:Y11,Y11)-1)))</f>
        <v>1</v>
      </c>
      <c r="AA11" s="245" t="str">
        <f>IF(L11="","",VLOOKUP($L11,classifications!C:I,7,FALSE))</f>
        <v>Predominantly Rural</v>
      </c>
      <c r="AB11" s="239">
        <f>IF(AA11=$J$3,M11,"")</f>
        <v>0.65708340724934233</v>
      </c>
      <c r="AC11" s="239">
        <f>IF(AB11="","",IF($I$8="A",(RANK(AB11,AB$11:AB$363)+COUNTIF(AB$11:AB11,AB11)-1),(RANK(AB11,AB$11:AB$363,1)+COUNTIF(AB$11:AB11,AB11)-1)))</f>
        <v>56</v>
      </c>
      <c r="AD11" s="239"/>
      <c r="AE11" s="71">
        <f>IF(I$8="A",(RANK(AG11,AG$11:AG$363,1)+COUNTIF(AG$11:AG11,AG11)-1),(RANK(AG11,AG$11:AG$363)+COUNTIF(AG$11:AG11,AG11)-1))</f>
        <v>11</v>
      </c>
      <c r="AF11" s="69" t="str">
        <f>'Filtered Data'!D3</f>
        <v>Allerdale</v>
      </c>
      <c r="AG11" s="142">
        <f>VLOOKUP(Profile!$J$5,$C$11:$H$363,4,FALSE)</f>
        <v>0.38071334707896576</v>
      </c>
      <c r="AH11" s="72">
        <f>AE11</f>
        <v>11</v>
      </c>
      <c r="AI11" s="61" t="str">
        <f>IF(L11="","",VLOOKUP($L11,classifications!$C:$J,8,FALSE))</f>
        <v>Oxfordshire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Carlisle</v>
      </c>
      <c r="AN11" s="31">
        <f>(VLOOKUP(AM11,L:M,2,FALSE))</f>
        <v>0.43508692221239148</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South Ribble</v>
      </c>
      <c r="AU11" s="62">
        <f>IF(AT11="","",VLOOKUP(AT11,L:M,2,FALSE))</f>
        <v>0.50539606257099867</v>
      </c>
      <c r="AX11" s="44">
        <f>HLOOKUP($AX$9&amp;$AX$10,Data!$A$1:$ZZ$2000,(MATCH($C11,Data!$A$1:$A$2000,0)),FALSE)</f>
        <v>0.32564984367803296</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0.38071334707896576</v>
      </c>
      <c r="G12" s="105"/>
      <c r="H12" s="60">
        <f t="shared" ref="H12:H74" si="2">IF(D12=$D$1,HLOOKUP($D$6,$AX$10:$ZZ$363,ROW()-9,FALSE),"")</f>
        <v>0.38071334707896576</v>
      </c>
      <c r="I12" s="112">
        <f>IF(H12="","",IF($I$8="A",(RANK(H12,H$11:H$363,1)+COUNTIF(H$11:H12,H12)-1),(RANK(H12,H$11:H$363)+COUNTIF(H$11:H12,H12)-1)))</f>
        <v>144</v>
      </c>
      <c r="J12" s="58"/>
      <c r="K12" s="51">
        <f>IF(K11="","",IF(K11+1&gt;(COUNT(H$11:H$363)),"",K11+1))</f>
        <v>2</v>
      </c>
      <c r="L12" s="59" t="str">
        <f>IF(K12="","",INDEX(C$11:C$363,MATCH(K12,I$11:I$363,0)))</f>
        <v>Rochford</v>
      </c>
      <c r="M12" s="153">
        <f>IF(L12="","",IF(VLOOKUP(L12,C:D,2,FALSE)=$F$3,VLOOKUP(L12,C:H,6,FALSE),""))</f>
        <v>0.65473069918815896</v>
      </c>
      <c r="N12" s="148">
        <f>IF(L12="","",IF($H$8="%%",M12*100,M12))</f>
        <v>65.473069918815895</v>
      </c>
      <c r="O12" s="131">
        <f t="shared" ref="O12:O74" si="3">IF(I$8="A",IF(N12&gt;=$P$7,IF(N12&lt;=$O$10,N12,""),""),IF(N12&lt;=$P$7,IF(N12&gt;=$O$10,N12,""),""))</f>
        <v>65.473069918815895</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Large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16</v>
      </c>
      <c r="AF12" s="6" t="str">
        <f>VLOOKUP(Profile!$J$5,Families!$C:$R,2,FALSE)</f>
        <v>Bassetlaw</v>
      </c>
      <c r="AG12" s="143">
        <f>VLOOKUP(AF12,$C$11:$H$363,4,FALSE)</f>
        <v>0.21407496040943602</v>
      </c>
      <c r="AH12" s="72">
        <f>AE12</f>
        <v>16</v>
      </c>
      <c r="AI12" s="61" t="str">
        <f>IF(L12="","",VLOOKUP($L12,classifications!$C:$J,8,FALSE))</f>
        <v>Essex</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South Lakeland</v>
      </c>
      <c r="AN12" s="31">
        <f t="shared" ref="AN12:AN75" si="9">(VLOOKUP(AM12,L:M,2,FALSE))</f>
        <v>0.43419087694055281</v>
      </c>
      <c r="AP12" s="61" t="str">
        <f>IF(L12="","",VLOOKUP($L12,classifications!$C:$E,3,FALSE))</f>
        <v>East of England</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Fylde</v>
      </c>
      <c r="AU12" s="62">
        <f t="shared" ref="AU12:AU75" si="12">IF(AT12="","",VLOOKUP(AT12,L:M,2,FALSE))</f>
        <v>0.49469664670690877</v>
      </c>
      <c r="AX12" s="44">
        <f>HLOOKUP($AX$9&amp;$AX$10,Data!$A$1:$ZZ$2000,(MATCH($C12,Data!$A$1:$A$2000,0)),FALSE)</f>
        <v>0.38071334707896576</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0.33023457262600642</v>
      </c>
      <c r="G13" s="105"/>
      <c r="H13" s="60">
        <f t="shared" si="2"/>
        <v>0.33023457262600642</v>
      </c>
      <c r="I13" s="112">
        <f>IF(H13="","",IF($I$8="A",(RANK(H13,H$11:H$363,1)+COUNTIF(H$11:H13,H13)-1),(RANK(H13,H$11:H$363)+COUNTIF(H$11:H13,H13)-1)))</f>
        <v>169</v>
      </c>
      <c r="J13" s="58"/>
      <c r="K13" s="51">
        <f t="shared" ref="K13:K76" si="13">IF(K12="","",IF(K12+1&gt;(COUNT(H$11:H$363)),"",K12+1))</f>
        <v>3</v>
      </c>
      <c r="L13" s="59" t="str">
        <f t="shared" ref="L13:L74" si="14">IF(K13="","",INDEX(C$11:C$363,MATCH(K13,I$11:I$363,0)))</f>
        <v>Vale of White Horse</v>
      </c>
      <c r="M13" s="153">
        <f>IF(L13="","",IF(VLOOKUP(L13,C:D,2,FALSE)=$F$3,VLOOKUP(L13,C:H,6,FALSE),""))</f>
        <v>0.65270695740873863</v>
      </c>
      <c r="N13" s="148">
        <f>IF(L13="","",IF($H$8="%%",M13*100,M13))</f>
        <v>65.270695740873862</v>
      </c>
      <c r="O13" s="131">
        <f t="shared" si="3"/>
        <v>65.270695740873862</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0.65270695740873863</v>
      </c>
      <c r="V13" s="239">
        <f>IF(U13="","",IF($I$8="A",(RANK(U13,U$11:U$363)+COUNTIF(U$11:U13,U13)-1),(RANK(U13,U$11:U$363,1)+COUNTIF(U$11:U13,U13)-1)))</f>
        <v>90</v>
      </c>
      <c r="W13" s="240"/>
      <c r="X13" s="61" t="str">
        <f>IF(L13="","",VLOOKUP($L13,classifications!$C:$J,6,FALSE))</f>
        <v>Rural-50</v>
      </c>
      <c r="Y13" s="49" t="str">
        <f t="shared" si="6"/>
        <v/>
      </c>
      <c r="Z13" s="57" t="str">
        <f>IF(Y13="","",IF(I$8="A",(RANK(Y13,Y$11:Y$363,1)+COUNTIF(Y$11:Y13,Y13)-1),(RANK(Y13,Y$11:Y$363)+COUNTIF(Y$11:Y13,Y13)-1)))</f>
        <v/>
      </c>
      <c r="AA13" s="245" t="str">
        <f>IF(L13="","",VLOOKUP($L13,classifications!C:I,7,FALSE))</f>
        <v>Predominantly Rural</v>
      </c>
      <c r="AB13" s="239">
        <f>IF(AA13=$J$3,M13,"")</f>
        <v>0.65270695740873863</v>
      </c>
      <c r="AC13" s="239">
        <f>IF(AB13="","",IF($I$8="A",(RANK(AB13,AB$11:AB$363)+COUNTIF(AB$11:AB13,AB13)-1),(RANK(AB13,AB$11:AB$363,1)+COUNTIF(AB$11:AB13,AB13)-1)))</f>
        <v>55</v>
      </c>
      <c r="AD13" s="239"/>
      <c r="AE13" s="71">
        <f>IF(I$8="A",(RANK(AG13,AG$11:AG$363,1)+COUNTIF(AG$11:AG13,AG13)-1),(RANK(AG13,AG$11:AG$363)+COUNTIF(AG$11:AG13,AG13)-1))</f>
        <v>4</v>
      </c>
      <c r="AF13" s="6" t="str">
        <f>VLOOKUP(Profile!$J$5,Families!$C:$R,3,FALSE)</f>
        <v>North East Derbyshire</v>
      </c>
      <c r="AG13" s="143">
        <f>VLOOKUP(AF13,$C$11:$H$363,4,FALSE)</f>
        <v>0.44059842204769323</v>
      </c>
      <c r="AH13" s="72">
        <f t="shared" ref="AH13:AH26" si="18">AE13</f>
        <v>4</v>
      </c>
      <c r="AI13" s="61" t="str">
        <f>IF(L13="","",VLOOKUP($L13,classifications!$C:$J,8,FALSE))</f>
        <v>Oxfordshire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Eden</v>
      </c>
      <c r="AN13" s="31">
        <f t="shared" si="9"/>
        <v>0.40768344453617145</v>
      </c>
      <c r="AP13" s="61" t="str">
        <f>IF(L13="","",VLOOKUP($L13,classifications!$C:$E,3,FALSE))</f>
        <v>South East</v>
      </c>
      <c r="AQ13" s="62" t="str">
        <f t="shared" si="10"/>
        <v/>
      </c>
      <c r="AR13" s="57" t="str">
        <f>IF(AQ13="","",IF(I$8="A",(RANK(AQ13,AQ$11:AQ$363,1)+COUNTIF(AQ$11:AQ13,AQ13)-1),(RANK(AQ13,AQ$11:AQ$363)+COUNTIF(AQ$11:AQ13,AQ13)-1)))</f>
        <v/>
      </c>
      <c r="AS13" s="52">
        <f>IF(AS12="","",IF(AS12+1&gt;(COUNT(AQ$11:AQ$363)),"",AS12+1))</f>
        <v>3</v>
      </c>
      <c r="AT13" s="57" t="str">
        <f t="shared" si="11"/>
        <v>Wyre</v>
      </c>
      <c r="AU13" s="62">
        <f t="shared" si="12"/>
        <v>0.49150863149809326</v>
      </c>
      <c r="AX13" s="44">
        <f>HLOOKUP($AX$9&amp;$AX$10,Data!$A$1:$ZZ$2000,(MATCH($C13,Data!$A$1:$A$2000,0)),FALSE)</f>
        <v>0.33023457262600642</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0.36411565335038421</v>
      </c>
      <c r="G14" s="105"/>
      <c r="H14" s="60">
        <f t="shared" si="2"/>
        <v>0.36411565335038421</v>
      </c>
      <c r="I14" s="112">
        <f>IF(H14="","",IF($I$8="A",(RANK(H14,H$11:H$363,1)+COUNTIF(H$11:H14,H14)-1),(RANK(H14,H$11:H$363)+COUNTIF(H$11:H14,H14)-1)))</f>
        <v>149</v>
      </c>
      <c r="J14" s="58"/>
      <c r="K14" s="51">
        <f t="shared" si="13"/>
        <v>4</v>
      </c>
      <c r="L14" s="59" t="str">
        <f t="shared" si="14"/>
        <v>Three Rivers</v>
      </c>
      <c r="M14" s="153">
        <f t="shared" ref="M14:M75" si="20">IF(L14="","",IF(VLOOKUP(L14,C:D,2,FALSE)=$F$3,VLOOKUP(L14,C:H,6,FALSE),""))</f>
        <v>0.62441361698374731</v>
      </c>
      <c r="N14" s="148">
        <f t="shared" ref="N14:N75" si="21">IF(L14="","",IF($H$8="%%",M14*100,M14))</f>
        <v>62.441361698374735</v>
      </c>
      <c r="O14" s="131">
        <f t="shared" si="3"/>
        <v>62.441361698374735</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Major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3</v>
      </c>
      <c r="AF14" s="6" t="str">
        <f>VLOOKUP(Profile!$J$5,Families!$C:$R,4,FALSE)</f>
        <v>Dover</v>
      </c>
      <c r="AG14" s="143">
        <f t="shared" ref="AG14:AG26" si="22">VLOOKUP(AF14,$C$11:$H$363,4,FALSE)</f>
        <v>0.44150176362655391</v>
      </c>
      <c r="AH14" s="72">
        <f t="shared" si="18"/>
        <v>3</v>
      </c>
      <c r="AI14" s="61" t="str">
        <f>IF(L14="","",VLOOKUP($L14,classifications!$C:$J,8,FALSE))</f>
        <v>Hertfordshire</v>
      </c>
      <c r="AJ14" s="62" t="str">
        <f t="shared" si="0"/>
        <v/>
      </c>
      <c r="AK14" s="57" t="str">
        <f>IF(AJ14="","",IF(I$8="A",(RANK(AJ14,AJ$11:AJ$363,1)+COUNTIF(AJ$11:AJ14,AJ14)-1),(RANK(AJ14,AJ$11:AJ$363)+COUNTIF(AJ$11:AJ14,AJ14)-1)))</f>
        <v/>
      </c>
      <c r="AL14" s="52">
        <f t="shared" si="19"/>
        <v>4</v>
      </c>
      <c r="AM14" s="31" t="str">
        <f t="shared" si="8"/>
        <v>Allerdale</v>
      </c>
      <c r="AN14" s="31">
        <f t="shared" si="9"/>
        <v>0.38071334707896576</v>
      </c>
      <c r="AP14" s="61" t="str">
        <f>IF(L14="","",VLOOKUP($L14,classifications!$C:$E,3,FALSE))</f>
        <v>East of England</v>
      </c>
      <c r="AQ14" s="62" t="str">
        <f t="shared" si="10"/>
        <v/>
      </c>
      <c r="AR14" s="57" t="str">
        <f>IF(AQ14="","",IF(I$8="A",(RANK(AQ14,AQ$11:AQ$363,1)+COUNTIF(AQ$11:AQ14,AQ14)-1),(RANK(AQ14,AQ$11:AQ$363)+COUNTIF(AQ$11:AQ14,AQ14)-1)))</f>
        <v/>
      </c>
      <c r="AS14" s="52">
        <f t="shared" ref="AS14:AS75" si="23">IF(AS13="","",IF(AS13+1&gt;(COUNT(AQ$11:AQ$363)),"",AS13+1))</f>
        <v>4</v>
      </c>
      <c r="AT14" s="57" t="str">
        <f t="shared" si="11"/>
        <v>Chorley</v>
      </c>
      <c r="AU14" s="62">
        <f t="shared" si="12"/>
        <v>0.48665604514495353</v>
      </c>
      <c r="AX14" s="44">
        <f>HLOOKUP($AX$9&amp;$AX$10,Data!$A$1:$ZZ$2000,(MATCH($C14,Data!$A$1:$A$2000,0)),FALSE)</f>
        <v>0.36411565335038421</v>
      </c>
      <c r="AY14" s="156"/>
      <c r="AZ14" s="44"/>
    </row>
    <row r="15" spans="1:735">
      <c r="A15" s="84" t="str">
        <f>$D$1&amp;5</f>
        <v>SD5</v>
      </c>
      <c r="B15" s="85" t="str">
        <f>IF(ISERROR(VLOOKUP(A15,classifications!A:C,3,FALSE)),0,VLOOKUP(A15,classifications!A:C,3,FALSE))</f>
        <v>Boston</v>
      </c>
      <c r="C15" s="31" t="s">
        <v>9</v>
      </c>
      <c r="D15" s="49" t="str">
        <f>VLOOKUP($C15,classifications!$C:$J,4,FALSE)</f>
        <v>SD</v>
      </c>
      <c r="E15" s="49">
        <f>VLOOKUP(C15,classifications!C:K,9,FALSE)</f>
        <v>0</v>
      </c>
      <c r="F15" s="59">
        <f t="shared" si="1"/>
        <v>0.32852388979907154</v>
      </c>
      <c r="G15" s="105"/>
      <c r="H15" s="60">
        <f t="shared" si="2"/>
        <v>0.32852388979907154</v>
      </c>
      <c r="I15" s="112">
        <f>IF(H15="","",IF($I$8="A",(RANK(H15,H$11:H$363,1)+COUNTIF(H$11:H15,H15)-1),(RANK(H15,H$11:H$363)+COUNTIF(H$11:H15,H15)-1)))</f>
        <v>170</v>
      </c>
      <c r="J15" s="58"/>
      <c r="K15" s="51">
        <f t="shared" si="13"/>
        <v>5</v>
      </c>
      <c r="L15" s="59" t="str">
        <f t="shared" si="14"/>
        <v>Stratford-on-Avon</v>
      </c>
      <c r="M15" s="153">
        <f t="shared" si="20"/>
        <v>0.59057999330491506</v>
      </c>
      <c r="N15" s="148">
        <f t="shared" si="21"/>
        <v>59.057999330491505</v>
      </c>
      <c r="O15" s="131">
        <f t="shared" si="3"/>
        <v>59.057999330491505</v>
      </c>
      <c r="P15" s="131" t="str">
        <f t="shared" si="15"/>
        <v/>
      </c>
      <c r="Q15" s="131" t="str">
        <f t="shared" si="16"/>
        <v/>
      </c>
      <c r="R15" s="127" t="str">
        <f t="shared" si="17"/>
        <v/>
      </c>
      <c r="S15" s="60" t="str">
        <f t="shared" si="4"/>
        <v/>
      </c>
      <c r="T15" s="231" t="str">
        <f>IF(L15="","",VLOOKUP(L15,classifications!C:K,9,FALSE))</f>
        <v>Sparse</v>
      </c>
      <c r="U15" s="238">
        <f t="shared" si="5"/>
        <v>0.59057999330491506</v>
      </c>
      <c r="V15" s="239">
        <f>IF(U15="","",IF($I$8="A",(RANK(U15,U$11:U$363)+COUNTIF(U$11:U15,U15)-1),(RANK(U15,U$11:U$363,1)+COUNTIF(U$11:U15,U15)-1)))</f>
        <v>89</v>
      </c>
      <c r="W15" s="240"/>
      <c r="X15" s="61" t="str">
        <f>IF(L15="","",VLOOKUP($L15,classifications!$C:$J,6,FALSE))</f>
        <v>Rural-80</v>
      </c>
      <c r="Y15" s="49">
        <f t="shared" si="6"/>
        <v>0.59057999330491506</v>
      </c>
      <c r="Z15" s="57">
        <f>IF(Y15="","",IF(I$8="A",(RANK(Y15,Y$11:Y$363,1)+COUNTIF(Y$11:Y15,Y15)-1),(RANK(Y15,Y$11:Y$363)+COUNTIF(Y$11:Y15,Y15)-1)))</f>
        <v>2</v>
      </c>
      <c r="AA15" s="245" t="str">
        <f>IF(L15="","",VLOOKUP($L15,classifications!C:I,7,FALSE))</f>
        <v>Significant Rural</v>
      </c>
      <c r="AB15" s="239" t="str">
        <f t="shared" si="7"/>
        <v/>
      </c>
      <c r="AC15" s="239" t="str">
        <f>IF(AB15="","",IF($I$8="A",(RANK(AB15,AB$11:AB$363)+COUNTIF(AB$11:AB15,AB15)-1),(RANK(AB15,AB$11:AB$363,1)+COUNTIF(AB$11:AB15,AB15)-1)))</f>
        <v/>
      </c>
      <c r="AD15" s="239"/>
      <c r="AE15" s="71">
        <f>IF(I$8="A",(RANK(AG15,AG$11:AG$363,1)+COUNTIF(AG$11:AG15,AG15)-1),(RANK(AG15,AG$11:AG$363)+COUNTIF(AG$11:AG15,AG15)-1))</f>
        <v>8</v>
      </c>
      <c r="AF15" s="6" t="str">
        <f>VLOOKUP(Profile!$J$5,Families!$C:$R,5,FALSE)</f>
        <v>Boston</v>
      </c>
      <c r="AG15" s="143">
        <f t="shared" si="22"/>
        <v>0.40519799427585179</v>
      </c>
      <c r="AH15" s="72">
        <f t="shared" si="18"/>
        <v>8</v>
      </c>
      <c r="AI15" s="61" t="str">
        <f>IF(L15="","",VLOOKUP($L15,classifications!$C:$J,8,FALSE))</f>
        <v>Warwickshire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Copeland</v>
      </c>
      <c r="AN15" s="31">
        <f t="shared" si="9"/>
        <v>0.33488858698381985</v>
      </c>
      <c r="AP15" s="61" t="str">
        <f>IF(L15="","",VLOOKUP($L15,classifications!$C:$E,3,FALSE))</f>
        <v>West Midlands</v>
      </c>
      <c r="AQ15" s="62" t="str">
        <f t="shared" si="10"/>
        <v/>
      </c>
      <c r="AR15" s="57" t="str">
        <f>IF(AQ15="","",IF(I$8="A",(RANK(AQ15,AQ$11:AQ$363,1)+COUNTIF(AQ$11:AQ15,AQ15)-1),(RANK(AQ15,AQ$11:AQ$363)+COUNTIF(AQ$11:AQ15,AQ15)-1)))</f>
        <v/>
      </c>
      <c r="AS15" s="52">
        <f t="shared" si="23"/>
        <v>5</v>
      </c>
      <c r="AT15" s="57" t="str">
        <f t="shared" si="11"/>
        <v>Carlisle</v>
      </c>
      <c r="AU15" s="62">
        <f t="shared" si="12"/>
        <v>0.43508692221239148</v>
      </c>
      <c r="AX15" s="44">
        <f>HLOOKUP($AX$9&amp;$AX$10,Data!$A$1:$ZZ$2000,(MATCH($C15,Data!$A$1:$A$2000,0)),FALSE)</f>
        <v>0.32852388979907154</v>
      </c>
      <c r="AY15" s="156"/>
      <c r="AZ15" s="44"/>
    </row>
    <row r="16" spans="1:735">
      <c r="A16" s="84" t="str">
        <f>$D$1&amp;6</f>
        <v>SD6</v>
      </c>
      <c r="B16" s="85" t="str">
        <f>IF(ISERROR(VLOOKUP(A16,classifications!A:C,3,FALSE)),0,VLOOKUP(A16,classifications!A:C,3,FALSE))</f>
        <v>Braintree</v>
      </c>
      <c r="C16" s="31" t="s">
        <v>10</v>
      </c>
      <c r="D16" s="49" t="str">
        <f>VLOOKUP($C16,classifications!$C:$J,4,FALSE)</f>
        <v>SD</v>
      </c>
      <c r="E16" s="49" t="str">
        <f>VLOOKUP(C16,classifications!C:K,9,FALSE)</f>
        <v>Sparse</v>
      </c>
      <c r="F16" s="59">
        <f t="shared" si="1"/>
        <v>0.41909262568524974</v>
      </c>
      <c r="G16" s="105"/>
      <c r="H16" s="60">
        <f t="shared" si="2"/>
        <v>0.41909262568524974</v>
      </c>
      <c r="I16" s="112">
        <f>IF(H16="","",IF($I$8="A",(RANK(H16,H$11:H$363,1)+COUNTIF(H$11:H16,H16)-1),(RANK(H16,H$11:H$363)+COUNTIF(H$11:H16,H16)-1)))</f>
        <v>119</v>
      </c>
      <c r="J16" s="58"/>
      <c r="K16" s="51">
        <f t="shared" si="13"/>
        <v>6</v>
      </c>
      <c r="L16" s="59" t="str">
        <f t="shared" si="14"/>
        <v>Epping Forest</v>
      </c>
      <c r="M16" s="153">
        <f t="shared" si="20"/>
        <v>0.58577351769871677</v>
      </c>
      <c r="N16" s="148">
        <f t="shared" si="21"/>
        <v>58.577351769871676</v>
      </c>
      <c r="O16" s="131">
        <f t="shared" si="3"/>
        <v>58.577351769871676</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Significant Rural</v>
      </c>
      <c r="Y16" s="49" t="str">
        <f t="shared" si="6"/>
        <v/>
      </c>
      <c r="Z16" s="57" t="str">
        <f>IF(Y16="","",IF(I$8="A",(RANK(Y16,Y$11:Y$363,1)+COUNTIF(Y$11:Y16,Y16)-1),(RANK(Y16,Y$11:Y$363)+COUNTIF(Y$11:Y16,Y16)-1)))</f>
        <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13</v>
      </c>
      <c r="AF16" s="6" t="str">
        <f>VLOOKUP(Profile!$J$5,Families!$C:$R,6,FALSE)</f>
        <v>Copeland</v>
      </c>
      <c r="AG16" s="143">
        <f t="shared" si="22"/>
        <v>0.33488858698381985</v>
      </c>
      <c r="AH16" s="72">
        <f t="shared" si="18"/>
        <v>13</v>
      </c>
      <c r="AI16" s="61" t="str">
        <f>IF(L16="","",VLOOKUP($L16,classifications!$C:$J,8,FALSE))</f>
        <v>Essex</v>
      </c>
      <c r="AJ16" s="62" t="str">
        <f t="shared" si="0"/>
        <v/>
      </c>
      <c r="AK16" s="57" t="str">
        <f>IF(AJ16="","",IF(I$8="A",(RANK(AJ16,AJ$11:AJ$363,1)+COUNTIF(AJ$11:AJ16,AJ16)-1),(RANK(AJ16,AJ$11:AJ$363)+COUNTIF(AJ$11:AJ16,AJ16)-1)))</f>
        <v/>
      </c>
      <c r="AL16" s="52">
        <f t="shared" si="19"/>
        <v>6</v>
      </c>
      <c r="AM16" s="31" t="str">
        <f t="shared" si="8"/>
        <v>Barrow-in-Furness</v>
      </c>
      <c r="AN16" s="31">
        <f t="shared" si="9"/>
        <v>0.33475966509623623</v>
      </c>
      <c r="AP16" s="61" t="str">
        <f>IF(L16="","",VLOOKUP($L16,classifications!$C:$E,3,FALSE))</f>
        <v>East of England</v>
      </c>
      <c r="AQ16" s="62" t="str">
        <f t="shared" si="10"/>
        <v/>
      </c>
      <c r="AR16" s="57" t="str">
        <f>IF(AQ16="","",IF(I$8="A",(RANK(AQ16,AQ$11:AQ$363,1)+COUNTIF(AQ$11:AQ16,AQ16)-1),(RANK(AQ16,AQ$11:AQ$363)+COUNTIF(AQ$11:AQ16,AQ16)-1)))</f>
        <v/>
      </c>
      <c r="AS16" s="52">
        <f t="shared" si="23"/>
        <v>6</v>
      </c>
      <c r="AT16" s="57" t="str">
        <f t="shared" si="11"/>
        <v>South Lakeland</v>
      </c>
      <c r="AU16" s="62">
        <f t="shared" si="12"/>
        <v>0.43419087694055281</v>
      </c>
      <c r="AX16" s="44">
        <f>HLOOKUP($AX$9&amp;$AX$10,Data!$A$1:$ZZ$2000,(MATCH($C16,Data!$A$1:$A$2000,0)),FALSE)</f>
        <v>0.41909262568524974</v>
      </c>
      <c r="AY16" s="156"/>
      <c r="AZ16" s="44"/>
    </row>
    <row r="17" spans="1:52">
      <c r="A17" s="84" t="str">
        <f>$D$1&amp;7</f>
        <v>SD7</v>
      </c>
      <c r="B17" s="85" t="str">
        <f>IF(ISERROR(VLOOKUP(A17,classifications!A:C,3,FALSE)),0,VLOOKUP(A17,classifications!A:C,3,FALSE))</f>
        <v>Breckland</v>
      </c>
      <c r="C17" s="31" t="s">
        <v>11</v>
      </c>
      <c r="D17" s="49" t="str">
        <f>VLOOKUP($C17,classifications!$C:$J,4,FALSE)</f>
        <v>SD</v>
      </c>
      <c r="E17" s="49" t="str">
        <f>VLOOKUP(C17,classifications!C:K,9,FALSE)</f>
        <v>Sparse</v>
      </c>
      <c r="F17" s="59">
        <f t="shared" si="1"/>
        <v>0.51021913361656945</v>
      </c>
      <c r="G17" s="105"/>
      <c r="H17" s="60">
        <f t="shared" si="2"/>
        <v>0.51021913361656945</v>
      </c>
      <c r="I17" s="112">
        <f>IF(H17="","",IF($I$8="A",(RANK(H17,H$11:H$363,1)+COUNTIF(H$11:H17,H17)-1),(RANK(H17,H$11:H$363)+COUNTIF(H$11:H17,H17)-1)))</f>
        <v>44</v>
      </c>
      <c r="J17" s="58"/>
      <c r="K17" s="51">
        <f t="shared" si="13"/>
        <v>7</v>
      </c>
      <c r="L17" s="59" t="str">
        <f t="shared" si="14"/>
        <v>Lichfield</v>
      </c>
      <c r="M17" s="153">
        <f t="shared" si="20"/>
        <v>0.58130843546361166</v>
      </c>
      <c r="N17" s="148">
        <f t="shared" si="21"/>
        <v>58.130843546361163</v>
      </c>
      <c r="O17" s="131">
        <f t="shared" si="3"/>
        <v>58.130843546361163</v>
      </c>
      <c r="P17" s="131" t="str">
        <f t="shared" si="15"/>
        <v/>
      </c>
      <c r="Q17" s="131" t="str">
        <f t="shared" si="16"/>
        <v/>
      </c>
      <c r="R17" s="127" t="str">
        <f t="shared" si="17"/>
        <v/>
      </c>
      <c r="S17" s="60" t="str">
        <f t="shared" si="4"/>
        <v/>
      </c>
      <c r="T17" s="231" t="str">
        <f>IF(L17="","",VLOOKUP(L17,classifications!C:K,9,FALSE))</f>
        <v>Sparse</v>
      </c>
      <c r="U17" s="238">
        <f t="shared" si="5"/>
        <v>0.58130843546361166</v>
      </c>
      <c r="V17" s="239">
        <f>IF(U17="","",IF($I$8="A",(RANK(U17,U$11:U$363)+COUNTIF(U$11:U17,U17)-1),(RANK(U17,U$11:U$363,1)+COUNTIF(U$11:U17,U17)-1)))</f>
        <v>88</v>
      </c>
      <c r="W17" s="240"/>
      <c r="X17" s="61" t="str">
        <f>IF(L17="","",VLOOKUP($L17,classifications!$C:$J,6,FALSE))</f>
        <v>Rural-50</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15</v>
      </c>
      <c r="AF17" s="6" t="str">
        <f>VLOOKUP(Profile!$J$5,Families!$C:$R,7,FALSE)</f>
        <v>Newark &amp; Sherwood</v>
      </c>
      <c r="AG17" s="143">
        <f t="shared" si="22"/>
        <v>0.26461854222702508</v>
      </c>
      <c r="AH17" s="72">
        <f t="shared" si="18"/>
        <v>15</v>
      </c>
      <c r="AI17" s="61" t="str">
        <f>IF(L17="","",VLOOKUP($L17,classifications!$C:$J,8,FALSE))</f>
        <v>Staffordshire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West Midlands</v>
      </c>
      <c r="AQ17" s="62" t="str">
        <f t="shared" si="10"/>
        <v/>
      </c>
      <c r="AR17" s="57" t="str">
        <f>IF(AQ17="","",IF(I$8="A",(RANK(AQ17,AQ$11:AQ$363,1)+COUNTIF(AQ$11:AQ17,AQ17)-1),(RANK(AQ17,AQ$11:AQ$363)+COUNTIF(AQ$11:AQ17,AQ17)-1)))</f>
        <v/>
      </c>
      <c r="AS17" s="52">
        <f t="shared" si="23"/>
        <v>7</v>
      </c>
      <c r="AT17" s="57" t="str">
        <f t="shared" si="11"/>
        <v>West Lancashire</v>
      </c>
      <c r="AU17" s="62">
        <f t="shared" si="12"/>
        <v>0.43322355020552622</v>
      </c>
      <c r="AX17" s="44">
        <f>HLOOKUP($AX$9&amp;$AX$10,Data!$A$1:$ZZ$2000,(MATCH($C17,Data!$A$1:$A$2000,0)),FALSE)</f>
        <v>0.51021913361656945</v>
      </c>
      <c r="AY17" s="156"/>
      <c r="AZ17" s="44"/>
    </row>
    <row r="18" spans="1:52">
      <c r="A18" s="84" t="str">
        <f>$D$1&amp;8</f>
        <v>SD8</v>
      </c>
      <c r="B18" s="85" t="str">
        <f>IF(ISERROR(VLOOKUP(A18,classifications!A:C,3,FALSE)),0,VLOOKUP(A18,classifications!A:C,3,FALSE))</f>
        <v>Broadland</v>
      </c>
      <c r="C18" s="31" t="s">
        <v>12</v>
      </c>
      <c r="D18" s="49" t="str">
        <f>VLOOKUP($C18,classifications!$C:$J,4,FALSE)</f>
        <v>SD</v>
      </c>
      <c r="E18" s="49" t="str">
        <f>VLOOKUP(C18,classifications!C:K,9,FALSE)</f>
        <v>Sparse</v>
      </c>
      <c r="F18" s="59" t="str">
        <f t="shared" si="1"/>
        <v/>
      </c>
      <c r="G18" s="105"/>
      <c r="H18" s="60" t="str">
        <f t="shared" si="2"/>
        <v/>
      </c>
      <c r="I18" s="112" t="str">
        <f>IF(H18="","",IF($I$8="A",(RANK(H18,H$11:H$363,1)+COUNTIF(H$11:H18,H18)-1),(RANK(H18,H$11:H$363)+COUNTIF(H$11:H18,H18)-1)))</f>
        <v/>
      </c>
      <c r="J18" s="58"/>
      <c r="K18" s="51">
        <f t="shared" si="13"/>
        <v>8</v>
      </c>
      <c r="L18" s="59" t="str">
        <f t="shared" si="14"/>
        <v>Surrey Heath</v>
      </c>
      <c r="M18" s="153">
        <f t="shared" si="20"/>
        <v>0.58118973569519139</v>
      </c>
      <c r="N18" s="148">
        <f t="shared" si="21"/>
        <v>58.118973569519142</v>
      </c>
      <c r="O18" s="131">
        <f t="shared" si="3"/>
        <v>58.118973569519142</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Other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2</v>
      </c>
      <c r="AF18" s="6" t="str">
        <f>VLOOKUP(Profile!$J$5,Families!$C:$R,8,FALSE)</f>
        <v>Sedgemoor</v>
      </c>
      <c r="AG18" s="143">
        <f t="shared" si="22"/>
        <v>0.44671540423656453</v>
      </c>
      <c r="AH18" s="72">
        <f t="shared" si="18"/>
        <v>2</v>
      </c>
      <c r="AI18" s="61" t="str">
        <f>IF(L18="","",VLOOKUP($L18,classifications!$C:$J,8,FALSE))</f>
        <v>Surrey</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East</v>
      </c>
      <c r="AQ18" s="62" t="str">
        <f t="shared" si="10"/>
        <v/>
      </c>
      <c r="AR18" s="57" t="str">
        <f>IF(AQ18="","",IF(I$8="A",(RANK(AQ18,AQ$11:AQ$363,1)+COUNTIF(AQ$11:AQ18,AQ18)-1),(RANK(AQ18,AQ$11:AQ$363)+COUNTIF(AQ$11:AQ18,AQ18)-1)))</f>
        <v/>
      </c>
      <c r="AS18" s="52">
        <f t="shared" si="23"/>
        <v>8</v>
      </c>
      <c r="AT18" s="57" t="str">
        <f t="shared" si="11"/>
        <v>Lancaster</v>
      </c>
      <c r="AU18" s="62">
        <f t="shared" si="12"/>
        <v>0.424653303342025</v>
      </c>
      <c r="AX18" s="44" t="str">
        <f>HLOOKUP($AX$9&amp;$AX$10,Data!$A$1:$ZZ$2000,(MATCH($C18,Data!$A$1:$A$2000,0)),FALSE)</f>
        <v/>
      </c>
      <c r="AY18" s="156"/>
      <c r="AZ18" s="44"/>
    </row>
    <row r="19" spans="1:52">
      <c r="A19" s="84" t="str">
        <f>$D$1&amp;9</f>
        <v>SD9</v>
      </c>
      <c r="B19" s="85" t="str">
        <f>IF(ISERROR(VLOOKUP(A19,classifications!A:C,3,FALSE)),0,VLOOKUP(A19,classifications!A:C,3,FALSE))</f>
        <v>Carlisle</v>
      </c>
      <c r="C19" s="31" t="s">
        <v>341</v>
      </c>
      <c r="D19" s="49" t="str">
        <f>VLOOKUP($C19,classifications!$C:$J,4,FALSE)</f>
        <v>L</v>
      </c>
      <c r="E19" s="49">
        <f>VLOOKUP(C19,classifications!C:K,9,FALSE)</f>
        <v>0</v>
      </c>
      <c r="F19" s="59">
        <f t="shared" si="1"/>
        <v>0.24803421052034738</v>
      </c>
      <c r="G19" s="105"/>
      <c r="H19" s="60" t="str">
        <f t="shared" si="2"/>
        <v/>
      </c>
      <c r="I19" s="112" t="str">
        <f>IF(H19="","",IF($I$8="A",(RANK(H19,H$11:H$363,1)+COUNTIF(H$11:H19,H19)-1),(RANK(H19,H$11:H$363)+COUNTIF(H$11:H19,H19)-1)))</f>
        <v/>
      </c>
      <c r="J19" s="58"/>
      <c r="K19" s="51">
        <f t="shared" si="13"/>
        <v>9</v>
      </c>
      <c r="L19" s="59" t="str">
        <f t="shared" si="14"/>
        <v>Cotswold</v>
      </c>
      <c r="M19" s="153">
        <f t="shared" si="20"/>
        <v>0.58049701934853792</v>
      </c>
      <c r="N19" s="148">
        <f t="shared" si="21"/>
        <v>58.049701934853793</v>
      </c>
      <c r="O19" s="131">
        <f t="shared" si="3"/>
        <v>58.049701934853793</v>
      </c>
      <c r="P19" s="131" t="str">
        <f t="shared" si="15"/>
        <v/>
      </c>
      <c r="Q19" s="131" t="str">
        <f t="shared" si="16"/>
        <v/>
      </c>
      <c r="R19" s="127" t="str">
        <f t="shared" si="17"/>
        <v/>
      </c>
      <c r="S19" s="60" t="str">
        <f t="shared" si="4"/>
        <v/>
      </c>
      <c r="T19" s="231" t="str">
        <f>IF(L19="","",VLOOKUP(L19,classifications!C:K,9,FALSE))</f>
        <v>Sparse</v>
      </c>
      <c r="U19" s="238">
        <f t="shared" si="5"/>
        <v>0.58049701934853792</v>
      </c>
      <c r="V19" s="239">
        <f>IF(U19="","",IF($I$8="A",(RANK(U19,U$11:U$363)+COUNTIF(U$11:U19,U19)-1),(RANK(U19,U$11:U$363,1)+COUNTIF(U$11:U19,U19)-1)))</f>
        <v>87</v>
      </c>
      <c r="W19" s="240"/>
      <c r="X19" s="61" t="str">
        <f>IF(L19="","",VLOOKUP($L19,classifications!$C:$J,6,FALSE))</f>
        <v>Rural-80</v>
      </c>
      <c r="Y19" s="49">
        <f t="shared" si="6"/>
        <v>0.58049701934853792</v>
      </c>
      <c r="Z19" s="57">
        <f>IF(Y19="","",IF(I$8="A",(RANK(Y19,Y$11:Y$363,1)+COUNTIF(Y$11:Y19,Y19)-1),(RANK(Y19,Y$11:Y$363)+COUNTIF(Y$11:Y19,Y19)-1)))</f>
        <v>3</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5</v>
      </c>
      <c r="AF19" s="6" t="str">
        <f>VLOOKUP(Profile!$J$5,Families!$C:$R,9,FALSE)</f>
        <v>North Devon</v>
      </c>
      <c r="AG19" s="143">
        <f t="shared" si="22"/>
        <v>0.44001826493890694</v>
      </c>
      <c r="AH19" s="72">
        <f t="shared" si="18"/>
        <v>5</v>
      </c>
      <c r="AI19" s="61" t="str">
        <f>IF(L19="","",VLOOKUP($L19,classifications!$C:$J,8,FALSE))</f>
        <v>Gloucestershire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West</v>
      </c>
      <c r="AQ19" s="62" t="str">
        <f t="shared" si="10"/>
        <v/>
      </c>
      <c r="AR19" s="57" t="str">
        <f>IF(AQ19="","",IF(I$8="A",(RANK(AQ19,AQ$11:AQ$363,1)+COUNTIF(AQ$11:AQ19,AQ19)-1),(RANK(AQ19,AQ$11:AQ$363)+COUNTIF(AQ$11:AQ19,AQ19)-1)))</f>
        <v/>
      </c>
      <c r="AS19" s="52">
        <f t="shared" si="23"/>
        <v>9</v>
      </c>
      <c r="AT19" s="57" t="str">
        <f t="shared" si="11"/>
        <v>Eden</v>
      </c>
      <c r="AU19" s="62">
        <f t="shared" si="12"/>
        <v>0.40768344453617145</v>
      </c>
      <c r="AX19" s="44">
        <f>HLOOKUP($AX$9&amp;$AX$10,Data!$A$1:$ZZ$2000,(MATCH($C19,Data!$A$1:$A$2000,0)),FALSE)</f>
        <v>0.24803421052034738</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1"/>
        <v>0.36350307459855996</v>
      </c>
      <c r="G20" s="105"/>
      <c r="H20" s="60" t="str">
        <f t="shared" si="2"/>
        <v/>
      </c>
      <c r="I20" s="112" t="str">
        <f>IF(H20="","",IF($I$8="A",(RANK(H20,H$11:H$363,1)+COUNTIF(H$11:H20,H20)-1),(RANK(H20,H$11:H$363)+COUNTIF(H$11:H20,H20)-1)))</f>
        <v/>
      </c>
      <c r="J20" s="58"/>
      <c r="K20" s="51">
        <f t="shared" si="13"/>
        <v>10</v>
      </c>
      <c r="L20" s="59" t="str">
        <f t="shared" si="14"/>
        <v>West Devon</v>
      </c>
      <c r="M20" s="153">
        <f t="shared" si="20"/>
        <v>0.57931242550816575</v>
      </c>
      <c r="N20" s="148">
        <f t="shared" si="21"/>
        <v>57.931242550816577</v>
      </c>
      <c r="O20" s="131">
        <f t="shared" si="3"/>
        <v>57.931242550816577</v>
      </c>
      <c r="P20" s="131" t="str">
        <f t="shared" si="15"/>
        <v/>
      </c>
      <c r="Q20" s="131" t="str">
        <f t="shared" si="16"/>
        <v/>
      </c>
      <c r="R20" s="127" t="str">
        <f t="shared" si="17"/>
        <v/>
      </c>
      <c r="S20" s="60" t="str">
        <f t="shared" si="4"/>
        <v/>
      </c>
      <c r="T20" s="231" t="str">
        <f>IF(L20="","",VLOOKUP(L20,classifications!C:K,9,FALSE))</f>
        <v>Sparse</v>
      </c>
      <c r="U20" s="238">
        <f t="shared" si="5"/>
        <v>0.57931242550816575</v>
      </c>
      <c r="V20" s="239">
        <f>IF(U20="","",IF($I$8="A",(RANK(U20,U$11:U$363)+COUNTIF(U$11:U20,U20)-1),(RANK(U20,U$11:U$363,1)+COUNTIF(U$11:U20,U20)-1)))</f>
        <v>86</v>
      </c>
      <c r="W20" s="240"/>
      <c r="X20" s="61" t="str">
        <f>IF(L20="","",VLOOKUP($L20,classifications!$C:$J,6,FALSE))</f>
        <v>Rural-80</v>
      </c>
      <c r="Y20" s="49">
        <f t="shared" si="6"/>
        <v>0.57931242550816575</v>
      </c>
      <c r="Z20" s="57">
        <f>IF(Y20="","",IF(I$8="A",(RANK(Y20,Y$11:Y$363,1)+COUNTIF(Y$11:Y20,Y20)-1),(RANK(Y20,Y$11:Y$363)+COUNTIF(Y$11:Y20,Y20)-1)))</f>
        <v>4</v>
      </c>
      <c r="AA20" s="245" t="str">
        <f>IF(L20="","",VLOOKUP($L20,classifications!C:I,7,FALSE))</f>
        <v>Predominantly Rural</v>
      </c>
      <c r="AB20" s="239">
        <f t="shared" si="7"/>
        <v>0.57931242550816575</v>
      </c>
      <c r="AC20" s="239">
        <f>IF(AB20="","",IF($I$8="A",(RANK(AB20,AB$11:AB$363)+COUNTIF(AB$11:AB20,AB20)-1),(RANK(AB20,AB$11:AB$363,1)+COUNTIF(AB$11:AB20,AB20)-1)))</f>
        <v>54</v>
      </c>
      <c r="AD20" s="239"/>
      <c r="AE20" s="71">
        <f>IF(I$8="A",(RANK(AG20,AG$11:AG$363,1)+COUNTIF(AG$11:AG20,AG20)-1),(RANK(AG20,AG$11:AG$363)+COUNTIF(AG$11:AG20,AG20)-1))</f>
        <v>6</v>
      </c>
      <c r="AF20" s="6" t="str">
        <f>VLOOKUP(Profile!$J$5,Families!$C:$R,10,FALSE)</f>
        <v>Carlisle</v>
      </c>
      <c r="AG20" s="143">
        <f t="shared" si="22"/>
        <v>0.43508692221239148</v>
      </c>
      <c r="AH20" s="72">
        <f t="shared" si="18"/>
        <v>6</v>
      </c>
      <c r="AI20" s="61" t="str">
        <f>IF(L20="","",VLOOKUP($L20,classifications!$C:$J,8,FALSE))</f>
        <v>Devon</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South West</v>
      </c>
      <c r="AQ20" s="62" t="str">
        <f t="shared" si="10"/>
        <v/>
      </c>
      <c r="AR20" s="57" t="str">
        <f>IF(AQ20="","",IF(I$8="A",(RANK(AQ20,AQ$11:AQ$363,1)+COUNTIF(AQ$11:AQ20,AQ20)-1),(RANK(AQ20,AQ$11:AQ$363)+COUNTIF(AQ$11:AQ20,AQ20)-1)))</f>
        <v/>
      </c>
      <c r="AS20" s="52">
        <f t="shared" si="23"/>
        <v>10</v>
      </c>
      <c r="AT20" s="57" t="str">
        <f t="shared" si="11"/>
        <v>Preston</v>
      </c>
      <c r="AU20" s="62">
        <f t="shared" si="12"/>
        <v>0.38072153436461303</v>
      </c>
      <c r="AX20" s="44">
        <f>HLOOKUP($AX$9&amp;$AX$10,Data!$A$1:$ZZ$2000,(MATCH($C20,Data!$A$1:$A$2000,0)),FALSE)</f>
        <v>0.36350307459855996</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1"/>
        <v>0.51568912348525175</v>
      </c>
      <c r="G21" s="105"/>
      <c r="H21" s="60" t="str">
        <f t="shared" si="2"/>
        <v/>
      </c>
      <c r="I21" s="112" t="str">
        <f>IF(H21="","",IF($I$8="A",(RANK(H21,H$11:H$363,1)+COUNTIF(H$11:H21,H21)-1),(RANK(H21,H$11:H$363)+COUNTIF(H$11:H21,H21)-1)))</f>
        <v/>
      </c>
      <c r="J21" s="58"/>
      <c r="K21" s="51">
        <f t="shared" si="13"/>
        <v>11</v>
      </c>
      <c r="L21" s="59" t="str">
        <f t="shared" si="14"/>
        <v>Huntingdonshire</v>
      </c>
      <c r="M21" s="153">
        <f t="shared" si="20"/>
        <v>0.57503504969993113</v>
      </c>
      <c r="N21" s="148">
        <f t="shared" si="21"/>
        <v>57.503504969993116</v>
      </c>
      <c r="O21" s="131">
        <f t="shared" si="3"/>
        <v>57.503504969993116</v>
      </c>
      <c r="P21" s="131" t="str">
        <f t="shared" si="15"/>
        <v/>
      </c>
      <c r="Q21" s="131" t="str">
        <f t="shared" si="16"/>
        <v/>
      </c>
      <c r="R21" s="127" t="str">
        <f t="shared" si="17"/>
        <v/>
      </c>
      <c r="S21" s="60" t="str">
        <f t="shared" si="4"/>
        <v/>
      </c>
      <c r="T21" s="231" t="str">
        <f>IF(L21="","",VLOOKUP(L21,classifications!C:K,9,FALSE))</f>
        <v>Sparse</v>
      </c>
      <c r="U21" s="238">
        <f t="shared" si="5"/>
        <v>0.57503504969993113</v>
      </c>
      <c r="V21" s="239">
        <f>IF(U21="","",IF($I$8="A",(RANK(U21,U$11:U$363)+COUNTIF(U$11:U21,U21)-1),(RANK(U21,U$11:U$363,1)+COUNTIF(U$11:U21,U21)-1)))</f>
        <v>85</v>
      </c>
      <c r="W21" s="240"/>
      <c r="X21" s="61" t="str">
        <f>IF(L21="","",VLOOKUP($L21,classifications!$C:$J,6,FALSE))</f>
        <v>Rural-80</v>
      </c>
      <c r="Y21" s="49">
        <f t="shared" si="6"/>
        <v>0.57503504969993113</v>
      </c>
      <c r="Z21" s="57">
        <f>IF(Y21="","",IF(I$8="A",(RANK(Y21,Y$11:Y$363,1)+COUNTIF(Y$11:Y21,Y21)-1),(RANK(Y21,Y$11:Y$363)+COUNTIF(Y$11:Y21,Y21)-1)))</f>
        <v>5</v>
      </c>
      <c r="AA21" s="245" t="str">
        <f>IF(L21="","",VLOOKUP($L21,classifications!C:I,7,FALSE))</f>
        <v>Predominantly Rural</v>
      </c>
      <c r="AB21" s="239">
        <f t="shared" si="7"/>
        <v>0.57503504969993113</v>
      </c>
      <c r="AC21" s="239">
        <f>IF(AB21="","",IF($I$8="A",(RANK(AB21,AB$11:AB$363)+COUNTIF(AB$11:AB21,AB21)-1),(RANK(AB21,AB$11:AB$363,1)+COUNTIF(AB$11:AB21,AB21)-1)))</f>
        <v>53</v>
      </c>
      <c r="AD21" s="239"/>
      <c r="AE21" s="71">
        <f>IF(I$8="A",(RANK(AG21,AG$11:AG$363,1)+COUNTIF(AG$11:AG21,AG21)-1),(RANK(AG21,AG$11:AG$363)+COUNTIF(AG$11:AG21,AG21)-1))</f>
        <v>1</v>
      </c>
      <c r="AF21" s="6" t="str">
        <f>VLOOKUP(Profile!$J$5,Families!$C:$R,11,FALSE)</f>
        <v>Fenland</v>
      </c>
      <c r="AG21" s="143">
        <f t="shared" si="22"/>
        <v>0.51204395078744214</v>
      </c>
      <c r="AH21" s="72">
        <f t="shared" si="18"/>
        <v>1</v>
      </c>
      <c r="AI21" s="61" t="str">
        <f>IF(L21="","",VLOOKUP($L21,classifications!$C:$J,8,FALSE))</f>
        <v>Cambridgeshire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East of England</v>
      </c>
      <c r="AQ21" s="62" t="str">
        <f t="shared" si="10"/>
        <v/>
      </c>
      <c r="AR21" s="57" t="str">
        <f>IF(AQ21="","",IF(I$8="A",(RANK(AQ21,AQ$11:AQ$363,1)+COUNTIF(AQ$11:AQ21,AQ21)-1),(RANK(AQ21,AQ$11:AQ$363)+COUNTIF(AQ$11:AQ21,AQ21)-1)))</f>
        <v/>
      </c>
      <c r="AS21" s="52">
        <f t="shared" si="23"/>
        <v>11</v>
      </c>
      <c r="AT21" s="57" t="str">
        <f t="shared" si="11"/>
        <v>Allerdale</v>
      </c>
      <c r="AU21" s="62">
        <f t="shared" si="12"/>
        <v>0.38071334707896576</v>
      </c>
      <c r="AX21" s="44">
        <f>HLOOKUP($AX$9&amp;$AX$10,Data!$A$1:$ZZ$2000,(MATCH($C21,Data!$A$1:$A$2000,0)),FALSE)</f>
        <v>0.51568912348525175</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1"/>
        <v>0.33475966509623623</v>
      </c>
      <c r="G22" s="105"/>
      <c r="H22" s="60">
        <f t="shared" si="2"/>
        <v>0.33475966509623623</v>
      </c>
      <c r="I22" s="112">
        <f>IF(H22="","",IF($I$8="A",(RANK(H22,H$11:H$363,1)+COUNTIF(H$11:H22,H22)-1),(RANK(H22,H$11:H$363)+COUNTIF(H$11:H22,H22)-1)))</f>
        <v>166</v>
      </c>
      <c r="J22" s="58"/>
      <c r="K22" s="51">
        <f t="shared" si="13"/>
        <v>12</v>
      </c>
      <c r="L22" s="59" t="str">
        <f t="shared" si="14"/>
        <v>Suffolk Coastal</v>
      </c>
      <c r="M22" s="153">
        <f t="shared" si="20"/>
        <v>0.57437160147327226</v>
      </c>
      <c r="N22" s="148">
        <f t="shared" si="21"/>
        <v>57.437160147327226</v>
      </c>
      <c r="O22" s="131">
        <f t="shared" si="3"/>
        <v>57.437160147327226</v>
      </c>
      <c r="P22" s="131" t="str">
        <f t="shared" si="15"/>
        <v/>
      </c>
      <c r="Q22" s="131" t="str">
        <f t="shared" si="16"/>
        <v/>
      </c>
      <c r="R22" s="127" t="str">
        <f t="shared" si="17"/>
        <v/>
      </c>
      <c r="S22" s="60" t="str">
        <f t="shared" si="4"/>
        <v/>
      </c>
      <c r="T22" s="231" t="str">
        <f>IF(L22="","",VLOOKUP(L22,classifications!C:K,9,FALSE))</f>
        <v>Sparse</v>
      </c>
      <c r="U22" s="238">
        <f t="shared" si="5"/>
        <v>0.57437160147327226</v>
      </c>
      <c r="V22" s="239">
        <f>IF(U22="","",IF($I$8="A",(RANK(U22,U$11:U$363)+COUNTIF(U$11:U22,U22)-1),(RANK(U22,U$11:U$363,1)+COUNTIF(U$11:U22,U22)-1)))</f>
        <v>84</v>
      </c>
      <c r="W22" s="240"/>
      <c r="X22" s="61" t="str">
        <f>IF(L22="","",VLOOKUP($L22,classifications!$C:$J,6,FALSE))</f>
        <v>Rural-80</v>
      </c>
      <c r="Y22" s="49">
        <f t="shared" si="6"/>
        <v>0.57437160147327226</v>
      </c>
      <c r="Z22" s="57">
        <f>IF(Y22="","",IF(I$8="A",(RANK(Y22,Y$11:Y$363,1)+COUNTIF(Y$11:Y22,Y22)-1),(RANK(Y22,Y$11:Y$363)+COUNTIF(Y$11:Y22,Y22)-1)))</f>
        <v>6</v>
      </c>
      <c r="AA22" s="245" t="str">
        <f>IF(L22="","",VLOOKUP($L22,classifications!C:I,7,FALSE))</f>
        <v>Predominantly Rural</v>
      </c>
      <c r="AB22" s="239">
        <f t="shared" si="7"/>
        <v>0.57437160147327226</v>
      </c>
      <c r="AC22" s="239">
        <f>IF(AB22="","",IF($I$8="A",(RANK(AB22,AB$11:AB$363)+COUNTIF(AB$11:AB22,AB22)-1),(RANK(AB22,AB$11:AB$363,1)+COUNTIF(AB$11:AB22,AB22)-1)))</f>
        <v>52</v>
      </c>
      <c r="AD22" s="239"/>
      <c r="AE22" s="71">
        <f>IF(I$8="A",(RANK(AG22,AG$11:AG$363,1)+COUNTIF(AG$11:AG22,AG22)-1),(RANK(AG22,AG$11:AG$363)+COUNTIF(AG$11:AG22,AG22)-1))</f>
        <v>9</v>
      </c>
      <c r="AF22" s="6" t="str">
        <f>VLOOKUP(Profile!$J$5,Families!$C:$R,12,FALSE)</f>
        <v>Bolsover</v>
      </c>
      <c r="AG22" s="143">
        <f t="shared" si="22"/>
        <v>0.40285130553941956</v>
      </c>
      <c r="AH22" s="72">
        <f t="shared" si="18"/>
        <v>9</v>
      </c>
      <c r="AI22" s="61" t="str">
        <f>IF(L22="","",VLOOKUP($L22,classifications!$C:$J,8,FALSE))</f>
        <v>Suffolk</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of England</v>
      </c>
      <c r="AQ22" s="62" t="str">
        <f t="shared" si="10"/>
        <v/>
      </c>
      <c r="AR22" s="57" t="str">
        <f>IF(AQ22="","",IF(I$8="A",(RANK(AQ22,AQ$11:AQ$363,1)+COUNTIF(AQ$11:AQ22,AQ22)-1),(RANK(AQ22,AQ$11:AQ$363)+COUNTIF(AQ$11:AQ22,AQ22)-1)))</f>
        <v/>
      </c>
      <c r="AS22" s="52">
        <f t="shared" si="23"/>
        <v>12</v>
      </c>
      <c r="AT22" s="57" t="str">
        <f t="shared" si="11"/>
        <v>Ribble Valley</v>
      </c>
      <c r="AU22" s="62">
        <f t="shared" si="12"/>
        <v>0.37591371403777968</v>
      </c>
      <c r="AX22" s="44">
        <f>HLOOKUP($AX$9&amp;$AX$10,Data!$A$1:$ZZ$2000,(MATCH($C22,Data!$A$1:$A$2000,0)),FALSE)</f>
        <v>0.33475966509623623</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1"/>
        <v>0.53688091266932636</v>
      </c>
      <c r="G23" s="105"/>
      <c r="H23" s="60">
        <f t="shared" si="2"/>
        <v>0.53688091266932636</v>
      </c>
      <c r="I23" s="112">
        <f>IF(H23="","",IF($I$8="A",(RANK(H23,H$11:H$363,1)+COUNTIF(H$11:H23,H23)-1),(RANK(H23,H$11:H$363)+COUNTIF(H$11:H23,H23)-1)))</f>
        <v>27</v>
      </c>
      <c r="J23" s="58"/>
      <c r="K23" s="51">
        <f t="shared" si="13"/>
        <v>13</v>
      </c>
      <c r="L23" s="59" t="str">
        <f t="shared" si="14"/>
        <v>West Oxfordshire</v>
      </c>
      <c r="M23" s="153">
        <f t="shared" si="20"/>
        <v>0.57420578330135286</v>
      </c>
      <c r="N23" s="148">
        <f t="shared" si="21"/>
        <v>57.420578330135285</v>
      </c>
      <c r="O23" s="131">
        <f t="shared" si="3"/>
        <v>57.420578330135285</v>
      </c>
      <c r="P23" s="131" t="str">
        <f t="shared" si="15"/>
        <v/>
      </c>
      <c r="Q23" s="131" t="str">
        <f t="shared" si="16"/>
        <v/>
      </c>
      <c r="R23" s="127" t="str">
        <f t="shared" si="17"/>
        <v/>
      </c>
      <c r="S23" s="60" t="str">
        <f t="shared" si="4"/>
        <v/>
      </c>
      <c r="T23" s="231" t="str">
        <f>IF(L23="","",VLOOKUP(L23,classifications!C:K,9,FALSE))</f>
        <v>Sparse</v>
      </c>
      <c r="U23" s="238">
        <f t="shared" si="5"/>
        <v>0.57420578330135286</v>
      </c>
      <c r="V23" s="239">
        <f>IF(U23="","",IF($I$8="A",(RANK(U23,U$11:U$363)+COUNTIF(U$11:U23,U23)-1),(RANK(U23,U$11:U$363,1)+COUNTIF(U$11:U23,U23)-1)))</f>
        <v>83</v>
      </c>
      <c r="W23" s="240"/>
      <c r="X23" s="61" t="str">
        <f>IF(L23="","",VLOOKUP($L23,classifications!$C:$J,6,FALSE))</f>
        <v>Rural-80</v>
      </c>
      <c r="Y23" s="49">
        <f t="shared" si="6"/>
        <v>0.57420578330135286</v>
      </c>
      <c r="Z23" s="57">
        <f>IF(Y23="","",IF(I$8="A",(RANK(Y23,Y$11:Y$363,1)+COUNTIF(Y$11:Y23,Y23)-1),(RANK(Y23,Y$11:Y$363)+COUNTIF(Y$11:Y23,Y23)-1)))</f>
        <v>7</v>
      </c>
      <c r="AA23" s="245" t="str">
        <f>IF(L23="","",VLOOKUP($L23,classifications!C:I,7,FALSE))</f>
        <v>Predominantly Rural</v>
      </c>
      <c r="AB23" s="239">
        <f t="shared" si="7"/>
        <v>0.57420578330135286</v>
      </c>
      <c r="AC23" s="239">
        <f>IF(AB23="","",IF($I$8="A",(RANK(AB23,AB$11:AB$363)+COUNTIF(AB$11:AB23,AB23)-1),(RANK(AB23,AB$11:AB$363,1)+COUNTIF(AB$11:AB23,AB23)-1)))</f>
        <v>51</v>
      </c>
      <c r="AD23" s="239"/>
      <c r="AE23" s="71">
        <f>IF(I$8="A",(RANK(AG23,AG$11:AG$363,1)+COUNTIF(AG$11:AG23,AG23)-1),(RANK(AG23,AG$11:AG$363)+COUNTIF(AG$11:AG23,AG23)-1))</f>
        <v>7</v>
      </c>
      <c r="AF23" s="6" t="str">
        <f>VLOOKUP(Profile!$J$5,Families!$C:$R,13,FALSE)</f>
        <v>West Lancashire</v>
      </c>
      <c r="AG23" s="143">
        <f t="shared" si="22"/>
        <v>0.43322355020552622</v>
      </c>
      <c r="AH23" s="72">
        <f t="shared" si="18"/>
        <v>7</v>
      </c>
      <c r="AI23" s="61" t="str">
        <f>IF(L23="","",VLOOKUP($L23,classifications!$C:$J,8,FALSE))</f>
        <v>Oxfordshire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South East</v>
      </c>
      <c r="AQ23" s="62" t="str">
        <f t="shared" si="10"/>
        <v/>
      </c>
      <c r="AR23" s="57" t="str">
        <f>IF(AQ23="","",IF(I$8="A",(RANK(AQ23,AQ$11:AQ$363,1)+COUNTIF(AQ$11:AQ23,AQ23)-1),(RANK(AQ23,AQ$11:AQ$363)+COUNTIF(AQ$11:AQ23,AQ23)-1)))</f>
        <v/>
      </c>
      <c r="AS23" s="52">
        <f t="shared" si="23"/>
        <v>13</v>
      </c>
      <c r="AT23" s="57" t="str">
        <f t="shared" si="11"/>
        <v>Pendle</v>
      </c>
      <c r="AU23" s="62">
        <f t="shared" si="12"/>
        <v>0.3672210810078298</v>
      </c>
      <c r="AX23" s="44">
        <f>HLOOKUP($AX$9&amp;$AX$10,Data!$A$1:$ZZ$2000,(MATCH($C23,Data!$A$1:$A$2000,0)),FALSE)</f>
        <v>0.53688091266932636</v>
      </c>
      <c r="AY23" s="156"/>
      <c r="AZ23" s="44"/>
    </row>
    <row r="24" spans="1:52">
      <c r="A24" s="84" t="str">
        <f>$D$1&amp;14</f>
        <v>SD14</v>
      </c>
      <c r="B24" s="85" t="str">
        <f>IF(ISERROR(VLOOKUP(A24,classifications!A:C,3,FALSE)),0,VLOOKUP(A24,classifications!A:C,3,FALSE))</f>
        <v>Daventry</v>
      </c>
      <c r="C24" s="31" t="s">
        <v>346</v>
      </c>
      <c r="D24" s="49" t="str">
        <f>VLOOKUP($C24,classifications!$C:$J,4,FALSE)</f>
        <v>SD</v>
      </c>
      <c r="E24" s="49">
        <f>VLOOKUP(C24,classifications!C:K,9,FALSE)</f>
        <v>0</v>
      </c>
      <c r="F24" s="59">
        <f t="shared" si="1"/>
        <v>0.25095307842573072</v>
      </c>
      <c r="G24" s="105"/>
      <c r="H24" s="60">
        <f t="shared" si="2"/>
        <v>0.25095307842573072</v>
      </c>
      <c r="I24" s="112">
        <f>IF(H24="","",IF($I$8="A",(RANK(H24,H$11:H$363,1)+COUNTIF(H$11:H24,H24)-1),(RANK(H24,H$11:H$363)+COUNTIF(H$11:H24,H24)-1)))</f>
        <v>189</v>
      </c>
      <c r="J24" s="58"/>
      <c r="K24" s="51">
        <f t="shared" si="13"/>
        <v>14</v>
      </c>
      <c r="L24" s="59" t="str">
        <f t="shared" si="14"/>
        <v>North Hertfordshire</v>
      </c>
      <c r="M24" s="153">
        <f t="shared" si="20"/>
        <v>0.57300867149914747</v>
      </c>
      <c r="N24" s="148">
        <f t="shared" si="21"/>
        <v>57.300867149914744</v>
      </c>
      <c r="O24" s="131">
        <f t="shared" si="3"/>
        <v>57.300867149914744</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Significant Rural</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10</v>
      </c>
      <c r="AF24" s="6" t="str">
        <f>VLOOKUP(Profile!$J$5,Families!$C:$R,14,FALSE)</f>
        <v>Scarborough</v>
      </c>
      <c r="AG24" s="143">
        <f t="shared" si="22"/>
        <v>0.38789029949449766</v>
      </c>
      <c r="AH24" s="72">
        <f t="shared" si="18"/>
        <v>10</v>
      </c>
      <c r="AI24" s="61" t="str">
        <f>IF(L24="","",VLOOKUP($L24,classifications!$C:$J,8,FALSE))</f>
        <v>Hertfordshire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of England</v>
      </c>
      <c r="AQ24" s="62" t="str">
        <f t="shared" si="10"/>
        <v/>
      </c>
      <c r="AR24" s="57" t="str">
        <f>IF(AQ24="","",IF(I$8="A",(RANK(AQ24,AQ$11:AQ$363,1)+COUNTIF(AQ$11:AQ24,AQ24)-1),(RANK(AQ24,AQ$11:AQ$363)+COUNTIF(AQ$11:AQ24,AQ24)-1)))</f>
        <v/>
      </c>
      <c r="AS24" s="52">
        <f t="shared" si="23"/>
        <v>14</v>
      </c>
      <c r="AT24" s="57" t="str">
        <f t="shared" si="11"/>
        <v>Hyndburn</v>
      </c>
      <c r="AU24" s="62">
        <f t="shared" si="12"/>
        <v>0.34520584165036028</v>
      </c>
      <c r="AX24" s="44">
        <f>HLOOKUP($AX$9&amp;$AX$10,Data!$A$1:$ZZ$2000,(MATCH($C24,Data!$A$1:$A$2000,0)),FALSE)</f>
        <v>0.25095307842573072</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f>VLOOKUP(C25,classifications!C:K,9,FALSE)</f>
        <v>0</v>
      </c>
      <c r="F25" s="59">
        <f t="shared" si="1"/>
        <v>0.21407496040943602</v>
      </c>
      <c r="G25" s="105"/>
      <c r="H25" s="60">
        <f t="shared" si="2"/>
        <v>0.21407496040943602</v>
      </c>
      <c r="I25" s="112">
        <f>IF(H25="","",IF($I$8="A",(RANK(H25,H$11:H$363,1)+COUNTIF(H$11:H25,H25)-1),(RANK(H25,H$11:H$363)+COUNTIF(H$11:H25,H25)-1)))</f>
        <v>194</v>
      </c>
      <c r="J25" s="58"/>
      <c r="K25" s="51">
        <f t="shared" si="13"/>
        <v>15</v>
      </c>
      <c r="L25" s="59" t="str">
        <f t="shared" si="14"/>
        <v>Harborough</v>
      </c>
      <c r="M25" s="153">
        <f t="shared" si="20"/>
        <v>0.57255793074863059</v>
      </c>
      <c r="N25" s="148">
        <f t="shared" si="21"/>
        <v>57.255793074863057</v>
      </c>
      <c r="O25" s="131">
        <f t="shared" si="3"/>
        <v>57.255793074863057</v>
      </c>
      <c r="P25" s="131" t="str">
        <f t="shared" si="15"/>
        <v/>
      </c>
      <c r="Q25" s="131" t="str">
        <f t="shared" si="16"/>
        <v/>
      </c>
      <c r="R25" s="127" t="str">
        <f t="shared" si="17"/>
        <v/>
      </c>
      <c r="S25" s="60" t="str">
        <f t="shared" si="4"/>
        <v/>
      </c>
      <c r="T25" s="231" t="str">
        <f>IF(L25="","",VLOOKUP(L25,classifications!C:K,9,FALSE))</f>
        <v>Sparse</v>
      </c>
      <c r="U25" s="238">
        <f t="shared" si="5"/>
        <v>0.57255793074863059</v>
      </c>
      <c r="V25" s="239">
        <f>IF(U25="","",IF($I$8="A",(RANK(U25,U$11:U$363)+COUNTIF(U$11:U25,U25)-1),(RANK(U25,U$11:U$363,1)+COUNTIF(U$11:U25,U25)-1)))</f>
        <v>82</v>
      </c>
      <c r="W25" s="240"/>
      <c r="X25" s="61" t="str">
        <f>IF(L25="","",VLOOKUP($L25,classifications!$C:$J,6,FALSE))</f>
        <v>Rural-80</v>
      </c>
      <c r="Y25" s="49">
        <f t="shared" si="6"/>
        <v>0.57255793074863059</v>
      </c>
      <c r="Z25" s="57">
        <f>IF(Y25="","",IF(I$8="A",(RANK(Y25,Y$11:Y$363,1)+COUNTIF(Y$11:Y25,Y25)-1),(RANK(Y25,Y$11:Y$363)+COUNTIF(Y$11:Y25,Y25)-1)))</f>
        <v>8</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14</v>
      </c>
      <c r="AF25" s="6" t="str">
        <f>VLOOKUP(Profile!$J$5,Families!$C:$R,15,FALSE)</f>
        <v>Amber Valley</v>
      </c>
      <c r="AG25" s="143">
        <f t="shared" si="22"/>
        <v>0.33023457262600642</v>
      </c>
      <c r="AH25" s="72">
        <f t="shared" si="18"/>
        <v>14</v>
      </c>
      <c r="AI25" s="61" t="str">
        <f>IF(L25="","",VLOOKUP($L25,classifications!$C:$J,8,FALSE))</f>
        <v>Leicestershire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Midlands</v>
      </c>
      <c r="AQ25" s="62" t="str">
        <f t="shared" si="10"/>
        <v/>
      </c>
      <c r="AR25" s="57" t="str">
        <f>IF(AQ25="","",IF(I$8="A",(RANK(AQ25,AQ$11:AQ$363,1)+COUNTIF(AQ$11:AQ25,AQ25)-1),(RANK(AQ25,AQ$11:AQ$363)+COUNTIF(AQ$11:AQ25,AQ25)-1)))</f>
        <v/>
      </c>
      <c r="AS25" s="52">
        <f t="shared" si="23"/>
        <v>15</v>
      </c>
      <c r="AT25" s="57" t="str">
        <f t="shared" si="11"/>
        <v>Copeland</v>
      </c>
      <c r="AU25" s="62">
        <f t="shared" si="12"/>
        <v>0.33488858698381985</v>
      </c>
      <c r="AX25" s="44">
        <f>HLOOKUP($AX$9&amp;$AX$10,Data!$A$1:$ZZ$2000,(MATCH($C25,Data!$A$1:$A$2000,0)),FALSE)</f>
        <v>0.21407496040943602</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t="str">
        <f>VLOOKUP(C26,classifications!C:K,9,FALSE)</f>
        <v>Sparse</v>
      </c>
      <c r="F26" s="59">
        <f t="shared" si="1"/>
        <v>0.47821231068960868</v>
      </c>
      <c r="G26" s="105"/>
      <c r="H26" s="60" t="str">
        <f t="shared" si="2"/>
        <v/>
      </c>
      <c r="I26" s="112" t="str">
        <f>IF(H26="","",IF($I$8="A",(RANK(H26,H$11:H$363,1)+COUNTIF(H$11:H26,H26)-1),(RANK(H26,H$11:H$363)+COUNTIF(H$11:H26,H26)-1)))</f>
        <v/>
      </c>
      <c r="J26" s="58"/>
      <c r="K26" s="51">
        <f t="shared" si="13"/>
        <v>16</v>
      </c>
      <c r="L26" s="59" t="str">
        <f t="shared" si="14"/>
        <v>South Cambridgeshire</v>
      </c>
      <c r="M26" s="153">
        <f t="shared" si="20"/>
        <v>0.57048742128703744</v>
      </c>
      <c r="N26" s="148">
        <f t="shared" si="21"/>
        <v>57.048742128703744</v>
      </c>
      <c r="O26" s="131">
        <f t="shared" si="3"/>
        <v>57.048742128703744</v>
      </c>
      <c r="P26" s="131" t="str">
        <f t="shared" si="15"/>
        <v/>
      </c>
      <c r="Q26" s="131" t="str">
        <f t="shared" si="16"/>
        <v/>
      </c>
      <c r="R26" s="127" t="str">
        <f t="shared" si="17"/>
        <v/>
      </c>
      <c r="S26" s="60" t="str">
        <f t="shared" si="4"/>
        <v/>
      </c>
      <c r="T26" s="231" t="str">
        <f>IF(L26="","",VLOOKUP(L26,classifications!C:K,9,FALSE))</f>
        <v>Sparse</v>
      </c>
      <c r="U26" s="238">
        <f t="shared" si="5"/>
        <v>0.57048742128703744</v>
      </c>
      <c r="V26" s="239">
        <f>IF(U26="","",IF($I$8="A",(RANK(U26,U$11:U$363)+COUNTIF(U$11:U26,U26)-1),(RANK(U26,U$11:U$363,1)+COUNTIF(U$11:U26,U26)-1)))</f>
        <v>81</v>
      </c>
      <c r="W26" s="240"/>
      <c r="X26" s="61" t="str">
        <f>IF(L26="","",VLOOKUP($L26,classifications!$C:$J,6,FALSE))</f>
        <v>Rural-80</v>
      </c>
      <c r="Y26" s="49">
        <f t="shared" si="6"/>
        <v>0.57048742128703744</v>
      </c>
      <c r="Z26" s="57">
        <f>IF(Y26="","",IF(I$8="A",(RANK(Y26,Y$11:Y$363,1)+COUNTIF(Y$11:Y26,Y26)-1),(RANK(Y26,Y$11:Y$363)+COUNTIF(Y$11:Y26,Y26)-1)))</f>
        <v>9</v>
      </c>
      <c r="AA26" s="245" t="str">
        <f>IF(L26="","",VLOOKUP($L26,classifications!C:I,7,FALSE))</f>
        <v>Predominantly Rural</v>
      </c>
      <c r="AB26" s="239">
        <f t="shared" si="7"/>
        <v>0.57048742128703744</v>
      </c>
      <c r="AC26" s="239">
        <f>IF(AB26="","",IF($I$8="A",(RANK(AB26,AB$11:AB$363)+COUNTIF(AB$11:AB26,AB26)-1),(RANK(AB26,AB$11:AB$363,1)+COUNTIF(AB$11:AB26,AB26)-1)))</f>
        <v>50</v>
      </c>
      <c r="AD26" s="239"/>
      <c r="AE26" s="71">
        <f>IF(I$8="A",(RANK(AG26,AG$11:AG$363,1)+COUNTIF(AG$11:AG26,AG26)-1),(RANK(AG26,AG$11:AG$363)+COUNTIF(AG$11:AG26,AG26)-1))</f>
        <v>12</v>
      </c>
      <c r="AF26" s="6" t="str">
        <f>VLOOKUP(Profile!$J$5,Families!$C:$R,16,FALSE)</f>
        <v>Swale</v>
      </c>
      <c r="AG26" s="143">
        <f t="shared" si="22"/>
        <v>0.34246060068486822</v>
      </c>
      <c r="AH26" s="72">
        <f t="shared" si="18"/>
        <v>12</v>
      </c>
      <c r="AI26" s="61" t="str">
        <f>IF(L26="","",VLOOKUP($L26,classifications!$C:$J,8,FALSE))</f>
        <v>Cambridgeshire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of England</v>
      </c>
      <c r="AQ26" s="62" t="str">
        <f t="shared" si="10"/>
        <v/>
      </c>
      <c r="AR26" s="57" t="str">
        <f>IF(AQ26="","",IF(I$8="A",(RANK(AQ26,AQ$11:AQ$363,1)+COUNTIF(AQ$11:AQ26,AQ26)-1),(RANK(AQ26,AQ$11:AQ$363)+COUNTIF(AQ$11:AQ26,AQ26)-1)))</f>
        <v/>
      </c>
      <c r="AS26" s="52">
        <f t="shared" si="23"/>
        <v>16</v>
      </c>
      <c r="AT26" s="57" t="str">
        <f t="shared" si="11"/>
        <v>Barrow-in-Furness</v>
      </c>
      <c r="AU26" s="62">
        <f t="shared" si="12"/>
        <v>0.33475966509623623</v>
      </c>
      <c r="AX26" s="44">
        <f>HLOOKUP($AX$9&amp;$AX$10,Data!$A$1:$ZZ$2000,(MATCH($C26,Data!$A$1:$A$2000,0)),FALSE)</f>
        <v>0.47821231068960868</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1"/>
        <v>0.38294752494669726</v>
      </c>
      <c r="G27" s="105"/>
      <c r="H27" s="60" t="str">
        <f t="shared" si="2"/>
        <v/>
      </c>
      <c r="I27" s="112" t="str">
        <f>IF(H27="","",IF($I$8="A",(RANK(H27,H$11:H$363,1)+COUNTIF(H$11:H27,H27)-1),(RANK(H27,H$11:H$363)+COUNTIF(H$11:H27,H27)-1)))</f>
        <v/>
      </c>
      <c r="J27" s="58"/>
      <c r="K27" s="51">
        <f t="shared" si="13"/>
        <v>17</v>
      </c>
      <c r="L27" s="59" t="str">
        <f>IF(K27="","",INDEX(C$11:C$363,MATCH(K27,I$11:I$363,0)))</f>
        <v>South Northamptonshire</v>
      </c>
      <c r="M27" s="153">
        <f t="shared" si="20"/>
        <v>0.56722681260340158</v>
      </c>
      <c r="N27" s="148">
        <f t="shared" si="21"/>
        <v>56.72268126034016</v>
      </c>
      <c r="O27" s="131">
        <f t="shared" si="3"/>
        <v>56.72268126034016</v>
      </c>
      <c r="P27" s="131" t="str">
        <f t="shared" si="15"/>
        <v/>
      </c>
      <c r="Q27" s="131" t="str">
        <f t="shared" si="16"/>
        <v/>
      </c>
      <c r="R27" s="127" t="str">
        <f t="shared" si="17"/>
        <v/>
      </c>
      <c r="S27" s="60" t="str">
        <f t="shared" si="4"/>
        <v/>
      </c>
      <c r="T27" s="231" t="str">
        <f>IF(L27="","",VLOOKUP(L27,classifications!C:K,9,FALSE))</f>
        <v>Sparse</v>
      </c>
      <c r="U27" s="238">
        <f t="shared" si="5"/>
        <v>0.56722681260340158</v>
      </c>
      <c r="V27" s="239">
        <f>IF(U27="","",IF($I$8="A",(RANK(U27,U$11:U$363)+COUNTIF(U$11:U27,U27)-1),(RANK(U27,U$11:U$363,1)+COUNTIF(U$11:U27,U27)-1)))</f>
        <v>80</v>
      </c>
      <c r="W27" s="240"/>
      <c r="X27" s="61" t="str">
        <f>IF(L27="","",VLOOKUP($L27,classifications!$C:$J,6,FALSE))</f>
        <v>Rural-80</v>
      </c>
      <c r="Y27" s="49">
        <f t="shared" si="6"/>
        <v>0.56722681260340158</v>
      </c>
      <c r="Z27" s="57">
        <f>IF(Y27="","",IF(I$8="A",(RANK(Y27,Y$11:Y$363,1)+COUNTIF(Y$11:Y27,Y27)-1),(RANK(Y27,Y$11:Y$363)+COUNTIF(Y$11:Y27,Y27)-1)))</f>
        <v>10</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Northamptonshire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f t="shared" si="23"/>
        <v>17</v>
      </c>
      <c r="AT27" s="57" t="str">
        <f t="shared" si="11"/>
        <v>Burnley</v>
      </c>
      <c r="AU27" s="62">
        <f t="shared" si="12"/>
        <v>0.32670457388197699</v>
      </c>
      <c r="AX27" s="44">
        <f>HLOOKUP($AX$9&amp;$AX$10,Data!$A$1:$ZZ$2000,(MATCH($C27,Data!$A$1:$A$2000,0)),FALSE)</f>
        <v>0.38294752494669726</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1"/>
        <v>0.55210001055238911</v>
      </c>
      <c r="G28" s="105"/>
      <c r="H28" s="60" t="str">
        <f t="shared" si="2"/>
        <v/>
      </c>
      <c r="I28" s="112" t="str">
        <f>IF(H28="","",IF($I$8="A",(RANK(H28,H$11:H$363,1)+COUNTIF(H$11:H28,H28)-1),(RANK(H28,H$11:H$363)+COUNTIF(H$11:H28,H28)-1)))</f>
        <v/>
      </c>
      <c r="J28" s="58"/>
      <c r="K28" s="51">
        <f t="shared" si="13"/>
        <v>18</v>
      </c>
      <c r="L28" s="59" t="str">
        <f t="shared" si="14"/>
        <v>Hinckley &amp; Bosworth</v>
      </c>
      <c r="M28" s="153">
        <f t="shared" si="20"/>
        <v>0.56075014517177901</v>
      </c>
      <c r="N28" s="148">
        <f t="shared" si="21"/>
        <v>56.075014517177898</v>
      </c>
      <c r="O28" s="131">
        <f t="shared" si="3"/>
        <v>56.075014517177898</v>
      </c>
      <c r="P28" s="131" t="str">
        <f t="shared" si="15"/>
        <v/>
      </c>
      <c r="Q28" s="131" t="str">
        <f t="shared" si="16"/>
        <v/>
      </c>
      <c r="R28" s="127" t="str">
        <f t="shared" si="17"/>
        <v/>
      </c>
      <c r="S28" s="60" t="str">
        <f t="shared" si="4"/>
        <v/>
      </c>
      <c r="T28" s="231" t="str">
        <f>IF(L28="","",VLOOKUP(L28,classifications!C:K,9,FALSE))</f>
        <v>Sparse</v>
      </c>
      <c r="U28" s="238">
        <f t="shared" si="5"/>
        <v>0.56075014517177901</v>
      </c>
      <c r="V28" s="239">
        <f>IF(U28="","",IF($I$8="A",(RANK(U28,U$11:U$363)+COUNTIF(U$11:U28,U28)-1),(RANK(U28,U$11:U$363,1)+COUNTIF(U$11:U28,U28)-1)))</f>
        <v>79</v>
      </c>
      <c r="W28" s="240"/>
      <c r="X28" s="61" t="str">
        <f>IF(L28="","",VLOOKUP($L28,classifications!$C:$J,6,FALSE))</f>
        <v>Significant Rural</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Leicestershire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Midlands</v>
      </c>
      <c r="AQ28" s="62" t="str">
        <f t="shared" si="10"/>
        <v/>
      </c>
      <c r="AR28" s="57" t="str">
        <f>IF(AQ28="","",IF(I$8="A",(RANK(AQ28,AQ$11:AQ$363,1)+COUNTIF(AQ$11:AQ28,AQ28)-1),(RANK(AQ28,AQ$11:AQ$363)+COUNTIF(AQ$11:AQ28,AQ28)-1)))</f>
        <v/>
      </c>
      <c r="AS28" s="52">
        <f t="shared" si="23"/>
        <v>18</v>
      </c>
      <c r="AT28" s="57" t="str">
        <f t="shared" si="11"/>
        <v>Rossendale</v>
      </c>
      <c r="AU28" s="62">
        <f t="shared" si="12"/>
        <v>0.32130956874517275</v>
      </c>
      <c r="AX28" s="44">
        <f>HLOOKUP($AX$9&amp;$AX$10,Data!$A$1:$ZZ$2000,(MATCH($C28,Data!$A$1:$A$2000,0)),FALSE)</f>
        <v>0.55210001055238911</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1"/>
        <v>0.2876181316387581</v>
      </c>
      <c r="G29" s="105"/>
      <c r="H29" s="60" t="str">
        <f t="shared" si="2"/>
        <v/>
      </c>
      <c r="I29" s="112" t="str">
        <f>IF(H29="","",IF($I$8="A",(RANK(H29,H$11:H$363,1)+COUNTIF(H$11:H29,H29)-1),(RANK(H29,H$11:H$363)+COUNTIF(H$11:H29,H29)-1)))</f>
        <v/>
      </c>
      <c r="J29" s="58"/>
      <c r="K29" s="51">
        <f t="shared" si="13"/>
        <v>19</v>
      </c>
      <c r="L29" s="59" t="str">
        <f t="shared" si="14"/>
        <v>Braintree</v>
      </c>
      <c r="M29" s="153">
        <f t="shared" si="20"/>
        <v>0.56040492474467984</v>
      </c>
      <c r="N29" s="148">
        <f t="shared" si="21"/>
        <v>56.040492474467982</v>
      </c>
      <c r="O29" s="131">
        <f t="shared" si="3"/>
        <v>56.040492474467982</v>
      </c>
      <c r="P29" s="131" t="str">
        <f t="shared" si="15"/>
        <v/>
      </c>
      <c r="Q29" s="131" t="str">
        <f t="shared" si="16"/>
        <v/>
      </c>
      <c r="R29" s="127" t="str">
        <f t="shared" si="17"/>
        <v/>
      </c>
      <c r="S29" s="60" t="str">
        <f t="shared" si="4"/>
        <v/>
      </c>
      <c r="T29" s="231" t="str">
        <f>IF(L29="","",VLOOKUP(L29,classifications!C:K,9,FALSE))</f>
        <v>Sparse</v>
      </c>
      <c r="U29" s="238">
        <f t="shared" si="5"/>
        <v>0.56040492474467984</v>
      </c>
      <c r="V29" s="239">
        <f>IF(U29="","",IF($I$8="A",(RANK(U29,U$11:U$363)+COUNTIF(U$11:U29,U29)-1),(RANK(U29,U$11:U$363,1)+COUNTIF(U$11:U29,U29)-1)))</f>
        <v>78</v>
      </c>
      <c r="W29" s="240"/>
      <c r="X29" s="61" t="str">
        <f>IF(L29="","",VLOOKUP($L29,classifications!$C:$J,6,FALSE))</f>
        <v>Rural-50</v>
      </c>
      <c r="Y29" s="49" t="str">
        <f t="shared" si="6"/>
        <v/>
      </c>
      <c r="Z29" s="57" t="str">
        <f>IF(Y29="","",IF(I$8="A",(RANK(Y29,Y$11:Y$363,1)+COUNTIF(Y$11:Y29,Y29)-1),(RANK(Y29,Y$11:Y$363)+COUNTIF(Y$11:Y29,Y29)-1)))</f>
        <v/>
      </c>
      <c r="AA29" s="245" t="str">
        <f>IF(L29="","",VLOOKUP($L29,classifications!C:I,7,FALSE))</f>
        <v>Significant Rural</v>
      </c>
      <c r="AB29" s="239" t="str">
        <f t="shared" si="7"/>
        <v/>
      </c>
      <c r="AC29" s="239" t="str">
        <f>IF(AB29="","",IF($I$8="A",(RANK(AB29,AB$11:AB$363)+COUNTIF(AB$11:AB29,AB29)-1),(RANK(AB29,AB$11:AB$363,1)+COUNTIF(AB$11:AB29,AB29)-1)))</f>
        <v/>
      </c>
      <c r="AD29" s="239"/>
      <c r="AE29" s="51"/>
      <c r="AF29" s="6"/>
      <c r="AG29" s="143"/>
      <c r="AH29" s="52"/>
      <c r="AI29" s="61" t="str">
        <f>IF(L29="","",VLOOKUP($L29,classifications!$C:$J,8,FALSE))</f>
        <v>Essex</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East of England</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0.2876181316387581</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1"/>
        <v>0.50565532911270017</v>
      </c>
      <c r="G30" s="105"/>
      <c r="H30" s="60">
        <f t="shared" si="2"/>
        <v>0.50565532911270017</v>
      </c>
      <c r="I30" s="112">
        <f>IF(H30="","",IF($I$8="A",(RANK(H30,H$11:H$363,1)+COUNTIF(H$11:H30,H30)-1),(RANK(H30,H$11:H$363)+COUNTIF(H$11:H30,H30)-1)))</f>
        <v>49</v>
      </c>
      <c r="J30" s="58"/>
      <c r="K30" s="51">
        <f t="shared" si="13"/>
        <v>20</v>
      </c>
      <c r="L30" s="59" t="str">
        <f t="shared" si="14"/>
        <v>Derbyshire Dales</v>
      </c>
      <c r="M30" s="153">
        <f t="shared" si="20"/>
        <v>0.55677507389209391</v>
      </c>
      <c r="N30" s="148">
        <f t="shared" si="21"/>
        <v>55.677507389209389</v>
      </c>
      <c r="O30" s="131">
        <f t="shared" si="3"/>
        <v>55.677507389209389</v>
      </c>
      <c r="P30" s="131" t="str">
        <f t="shared" si="15"/>
        <v/>
      </c>
      <c r="Q30" s="131" t="str">
        <f t="shared" si="16"/>
        <v/>
      </c>
      <c r="R30" s="127" t="str">
        <f t="shared" si="17"/>
        <v/>
      </c>
      <c r="S30" s="60" t="str">
        <f t="shared" si="4"/>
        <v/>
      </c>
      <c r="T30" s="231" t="str">
        <f>IF(L30="","",VLOOKUP(L30,classifications!C:K,9,FALSE))</f>
        <v>Sparse</v>
      </c>
      <c r="U30" s="238">
        <f t="shared" si="5"/>
        <v>0.55677507389209391</v>
      </c>
      <c r="V30" s="239">
        <f>IF(U30="","",IF($I$8="A",(RANK(U30,U$11:U$363)+COUNTIF(U$11:U30,U30)-1),(RANK(U30,U$11:U$363,1)+COUNTIF(U$11:U30,U30)-1)))</f>
        <v>77</v>
      </c>
      <c r="W30" s="240"/>
      <c r="X30" s="61" t="str">
        <f>IF(L30="","",VLOOKUP($L30,classifications!$C:$J,6,FALSE))</f>
        <v>Rural-80</v>
      </c>
      <c r="Y30" s="49">
        <f t="shared" si="6"/>
        <v>0.55677507389209391</v>
      </c>
      <c r="Z30" s="57">
        <f>IF(Y30="","",IF(I$8="A",(RANK(Y30,Y$11:Y$363,1)+COUNTIF(Y$11:Y30,Y30)-1),(RANK(Y30,Y$11:Y$363)+COUNTIF(Y$11:Y30,Y30)-1)))</f>
        <v>11</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Derbyshire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0.50565532911270017</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f t="shared" si="1"/>
        <v>0.40136788673246176</v>
      </c>
      <c r="G31" s="105"/>
      <c r="H31" s="60" t="str">
        <f t="shared" si="2"/>
        <v/>
      </c>
      <c r="I31" s="112" t="str">
        <f>IF(H31="","",IF($I$8="A",(RANK(H31,H$11:H$363,1)+COUNTIF(H$11:H31,H31)-1),(RANK(H31,H$11:H$363)+COUNTIF(H$11:H31,H31)-1)))</f>
        <v/>
      </c>
      <c r="J31" s="58"/>
      <c r="K31" s="51">
        <f t="shared" si="13"/>
        <v>21</v>
      </c>
      <c r="L31" s="59" t="str">
        <f t="shared" si="14"/>
        <v>Woking</v>
      </c>
      <c r="M31" s="153">
        <f t="shared" si="20"/>
        <v>0.55361858744086201</v>
      </c>
      <c r="N31" s="148">
        <f t="shared" si="21"/>
        <v>55.361858744086199</v>
      </c>
      <c r="O31" s="131">
        <f t="shared" si="3"/>
        <v>55.361858744086199</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Major Urban</v>
      </c>
      <c r="Y31" s="49" t="str">
        <f t="shared" si="6"/>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Surrey</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South East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0.40136788673246176</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1"/>
        <v>0.41135686684441941</v>
      </c>
      <c r="G32" s="105"/>
      <c r="H32" s="60" t="str">
        <f t="shared" si="2"/>
        <v/>
      </c>
      <c r="I32" s="112" t="str">
        <f>IF(H32="","",IF($I$8="A",(RANK(H32,H$11:H$363,1)+COUNTIF(H$11:H32,H32)-1),(RANK(H32,H$11:H$363)+COUNTIF(H$11:H32,H32)-1)))</f>
        <v/>
      </c>
      <c r="J32" s="58"/>
      <c r="K32" s="51">
        <f t="shared" si="13"/>
        <v>22</v>
      </c>
      <c r="L32" s="59" t="str">
        <f t="shared" si="14"/>
        <v>South Staffordshire</v>
      </c>
      <c r="M32" s="153">
        <f t="shared" si="20"/>
        <v>0.55168533152876287</v>
      </c>
      <c r="N32" s="148">
        <f t="shared" si="21"/>
        <v>55.168533152876286</v>
      </c>
      <c r="O32" s="131">
        <f t="shared" si="3"/>
        <v>55.168533152876286</v>
      </c>
      <c r="P32" s="131" t="str">
        <f t="shared" si="15"/>
        <v/>
      </c>
      <c r="Q32" s="131" t="str">
        <f t="shared" si="16"/>
        <v/>
      </c>
      <c r="R32" s="127" t="str">
        <f t="shared" si="17"/>
        <v/>
      </c>
      <c r="S32" s="60" t="str">
        <f t="shared" si="4"/>
        <v/>
      </c>
      <c r="T32" s="231" t="str">
        <f>IF(L32="","",VLOOKUP(L32,classifications!C:K,9,FALSE))</f>
        <v>Sparse</v>
      </c>
      <c r="U32" s="238">
        <f t="shared" si="5"/>
        <v>0.55168533152876287</v>
      </c>
      <c r="V32" s="239">
        <f>IF(U32="","",IF($I$8="A",(RANK(U32,U$11:U$363)+COUNTIF(U$11:U32,U32)-1),(RANK(U32,U$11:U$363,1)+COUNTIF(U$11:U32,U32)-1)))</f>
        <v>76</v>
      </c>
      <c r="W32" s="240"/>
      <c r="X32" s="61" t="str">
        <f>IF(L32="","",VLOOKUP($L32,classifications!$C:$J,6,FALSE))</f>
        <v>Significant Rural</v>
      </c>
      <c r="Y32" s="49" t="str">
        <f t="shared" si="6"/>
        <v/>
      </c>
      <c r="Z32" s="57" t="str">
        <f>IF(Y32="","",IF(I$8="A",(RANK(Y32,Y$11:Y$363,1)+COUNTIF(Y$11:Y32,Y32)-1),(RANK(Y32,Y$11:Y$363)+COUNTIF(Y$11:Y32,Y32)-1)))</f>
        <v/>
      </c>
      <c r="AA32" s="245" t="str">
        <f>IF(L32="","",VLOOKUP($L32,classifications!C:I,7,FALSE))</f>
        <v>Significant Rural</v>
      </c>
      <c r="AB32" s="239" t="str">
        <f t="shared" si="7"/>
        <v/>
      </c>
      <c r="AC32" s="239" t="str">
        <f>IF(AB32="","",IF($I$8="A",(RANK(AB32,AB$11:AB$363)+COUNTIF(AB$11:AB32,AB32)-1),(RANK(AB32,AB$11:AB$363,1)+COUNTIF(AB$11:AB32,AB32)-1)))</f>
        <v/>
      </c>
      <c r="AD32" s="239"/>
      <c r="AE32" s="51"/>
      <c r="AG32" s="143"/>
      <c r="AH32" s="52"/>
      <c r="AI32" s="61" t="str">
        <f>IF(L32="","",VLOOKUP($L32,classifications!$C:$J,8,FALSE))</f>
        <v>Staffordshire</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West Midlands</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0.41135686684441941</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1"/>
        <v>0.40285130553941956</v>
      </c>
      <c r="G33" s="105"/>
      <c r="H33" s="60">
        <f t="shared" si="2"/>
        <v>0.40285130553941956</v>
      </c>
      <c r="I33" s="112">
        <f>IF(H33="","",IF($I$8="A",(RANK(H33,H$11:H$363,1)+COUNTIF(H$11:H33,H33)-1),(RANK(H33,H$11:H$363)+COUNTIF(H$11:H33,H33)-1)))</f>
        <v>132</v>
      </c>
      <c r="J33" s="58"/>
      <c r="K33" s="51">
        <f t="shared" si="13"/>
        <v>23</v>
      </c>
      <c r="L33" s="59" t="str">
        <f t="shared" si="14"/>
        <v>Warwick</v>
      </c>
      <c r="M33" s="153">
        <f t="shared" si="20"/>
        <v>0.54732657780304461</v>
      </c>
      <c r="N33" s="148">
        <f t="shared" si="21"/>
        <v>54.732657780304464</v>
      </c>
      <c r="O33" s="131">
        <f t="shared" si="3"/>
        <v>54.732657780304464</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Significant Rural</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Warwickshire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West Midlands</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0.40285130553941956</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1"/>
        <v>0.37332457109634087</v>
      </c>
      <c r="G34" s="105"/>
      <c r="H34" s="60" t="str">
        <f t="shared" si="2"/>
        <v/>
      </c>
      <c r="I34" s="112" t="str">
        <f>IF(H34="","",IF($I$8="A",(RANK(H34,H$11:H$363,1)+COUNTIF(H$11:H34,H34)-1),(RANK(H34,H$11:H$363)+COUNTIF(H$11:H34,H34)-1)))</f>
        <v/>
      </c>
      <c r="J34" s="58"/>
      <c r="K34" s="51">
        <f t="shared" si="13"/>
        <v>24</v>
      </c>
      <c r="L34" s="59" t="str">
        <f t="shared" si="14"/>
        <v>Castle Point</v>
      </c>
      <c r="M34" s="153">
        <f t="shared" si="20"/>
        <v>0.54582609569892371</v>
      </c>
      <c r="N34" s="148">
        <f t="shared" si="21"/>
        <v>54.582609569892369</v>
      </c>
      <c r="O34" s="131">
        <f t="shared" si="3"/>
        <v>54.582609569892369</v>
      </c>
      <c r="P34" s="131" t="str">
        <f t="shared" si="15"/>
        <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Large Urban</v>
      </c>
      <c r="Y34" s="49" t="str">
        <f t="shared" si="6"/>
        <v/>
      </c>
      <c r="Z34" s="57" t="str">
        <f>IF(Y34="","",IF(I$8="A",(RANK(Y34,Y$11:Y$363,1)+COUNTIF(Y$11:Y34,Y34)-1),(RANK(Y34,Y$11:Y$363)+COUNTIF(Y$11:Y34,Y34)-1)))</f>
        <v/>
      </c>
      <c r="AA34" s="245" t="str">
        <f>IF(L34="","",VLOOKUP($L34,classifications!C:I,7,FALSE))</f>
        <v>Significant Rural</v>
      </c>
      <c r="AB34" s="239" t="str">
        <f t="shared" si="7"/>
        <v/>
      </c>
      <c r="AC34" s="239" t="str">
        <f>IF(AB34="","",IF($I$8="A",(RANK(AB34,AB$11:AB$363)+COUNTIF(AB$11:AB34,AB34)-1),(RANK(AB34,AB$11:AB$363,1)+COUNTIF(AB$11:AB34,AB34)-1)))</f>
        <v/>
      </c>
      <c r="AD34" s="239"/>
      <c r="AE34" s="51"/>
      <c r="AG34" s="143"/>
      <c r="AH34" s="52"/>
      <c r="AI34" s="61" t="str">
        <f>IF(L34="","",VLOOKUP($L34,classifications!$C:$J,8,FALSE))</f>
        <v>Essex</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0.37332457109634087</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1"/>
        <v>0.40519799427585179</v>
      </c>
      <c r="G35" s="105"/>
      <c r="H35" s="60">
        <f t="shared" si="2"/>
        <v>0.40519799427585179</v>
      </c>
      <c r="I35" s="112">
        <f>IF(H35="","",IF($I$8="A",(RANK(H35,H$11:H$363,1)+COUNTIF(H$11:H35,H35)-1),(RANK(H35,H$11:H$363)+COUNTIF(H$11:H35,H35)-1)))</f>
        <v>130</v>
      </c>
      <c r="J35" s="58"/>
      <c r="K35" s="51">
        <f t="shared" si="13"/>
        <v>25</v>
      </c>
      <c r="L35" s="59" t="str">
        <f t="shared" si="14"/>
        <v>Cherwell</v>
      </c>
      <c r="M35" s="153">
        <f t="shared" si="20"/>
        <v>0.53902874884278651</v>
      </c>
      <c r="N35" s="148">
        <f t="shared" si="21"/>
        <v>53.902874884278653</v>
      </c>
      <c r="O35" s="131">
        <f t="shared" si="3"/>
        <v>53.902874884278653</v>
      </c>
      <c r="P35" s="131" t="str">
        <f t="shared" si="15"/>
        <v/>
      </c>
      <c r="Q35" s="131" t="str">
        <f t="shared" si="16"/>
        <v/>
      </c>
      <c r="R35" s="127" t="str">
        <f t="shared" si="17"/>
        <v/>
      </c>
      <c r="S35" s="60" t="str">
        <f t="shared" si="4"/>
        <v/>
      </c>
      <c r="T35" s="231" t="str">
        <f>IF(L35="","",VLOOKUP(L35,classifications!C:K,9,FALSE))</f>
        <v>Sparse</v>
      </c>
      <c r="U35" s="238">
        <f t="shared" si="5"/>
        <v>0.53902874884278651</v>
      </c>
      <c r="V35" s="239">
        <f>IF(U35="","",IF($I$8="A",(RANK(U35,U$11:U$363)+COUNTIF(U$11:U35,U35)-1),(RANK(U35,U$11:U$363,1)+COUNTIF(U$11:U35,U35)-1)))</f>
        <v>75</v>
      </c>
      <c r="W35" s="240"/>
      <c r="X35" s="61" t="str">
        <f>IF(L35="","",VLOOKUP($L35,classifications!$C:$J,6,FALSE))</f>
        <v>Significant Rural</v>
      </c>
      <c r="Y35" s="49" t="str">
        <f t="shared" si="6"/>
        <v/>
      </c>
      <c r="Z35" s="57" t="str">
        <f>IF(Y35="","",IF(I$8="A",(RANK(Y35,Y$11:Y$363,1)+COUNTIF(Y$11:Y35,Y35)-1),(RANK(Y35,Y$11:Y$363)+COUNTIF(Y$11:Y35,Y35)-1)))</f>
        <v/>
      </c>
      <c r="AA35" s="245" t="str">
        <f>IF(L35="","",VLOOKUP($L35,classifications!C:I,7,FALSE))</f>
        <v>Predominantly Rural</v>
      </c>
      <c r="AB35" s="239">
        <f t="shared" si="7"/>
        <v>0.53902874884278651</v>
      </c>
      <c r="AC35" s="239">
        <f>IF(AB35="","",IF($I$8="A",(RANK(AB35,AB$11:AB$363)+COUNTIF(AB$11:AB35,AB35)-1),(RANK(AB35,AB$11:AB$363,1)+COUNTIF(AB$11:AB35,AB35)-1)))</f>
        <v>49</v>
      </c>
      <c r="AD35" s="239"/>
      <c r="AE35" s="51" t="str">
        <f t="shared" ref="AE35:AE98" si="25">IF(AE34="","",IF(AE34+1&gt;(COUNT(AG:AG)),"",AE34+1))</f>
        <v/>
      </c>
      <c r="AG35" s="143"/>
      <c r="AH35" s="52"/>
      <c r="AI35" s="61" t="str">
        <f>IF(L35="","",VLOOKUP($L35,classifications!$C:$J,8,FALSE))</f>
        <v>Oxfordshire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South East</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0.40519799427585179</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1"/>
        <v>0.46829672559723701</v>
      </c>
      <c r="G36" s="105"/>
      <c r="H36" s="60" t="str">
        <f t="shared" si="2"/>
        <v/>
      </c>
      <c r="I36" s="112" t="str">
        <f>IF(H36="","",IF($I$8="A",(RANK(H36,H$11:H$363,1)+COUNTIF(H$11:H36,H36)-1),(RANK(H36,H$11:H$363)+COUNTIF(H$11:H36,H36)-1)))</f>
        <v/>
      </c>
      <c r="J36" s="58"/>
      <c r="K36" s="51">
        <f t="shared" si="13"/>
        <v>26</v>
      </c>
      <c r="L36" s="59" t="str">
        <f t="shared" si="14"/>
        <v>Uttlesford</v>
      </c>
      <c r="M36" s="153">
        <f t="shared" si="20"/>
        <v>0.5368926202103087</v>
      </c>
      <c r="N36" s="148">
        <f t="shared" si="21"/>
        <v>53.689262021030871</v>
      </c>
      <c r="O36" s="131">
        <f t="shared" si="3"/>
        <v>53.689262021030871</v>
      </c>
      <c r="P36" s="131" t="str">
        <f t="shared" si="15"/>
        <v/>
      </c>
      <c r="Q36" s="131" t="str">
        <f t="shared" si="16"/>
        <v/>
      </c>
      <c r="R36" s="127" t="str">
        <f t="shared" si="17"/>
        <v/>
      </c>
      <c r="S36" s="60" t="str">
        <f t="shared" si="4"/>
        <v/>
      </c>
      <c r="T36" s="231" t="str">
        <f>IF(L36="","",VLOOKUP(L36,classifications!C:K,9,FALSE))</f>
        <v>Sparse</v>
      </c>
      <c r="U36" s="238">
        <f t="shared" si="5"/>
        <v>0.5368926202103087</v>
      </c>
      <c r="V36" s="239">
        <f>IF(U36="","",IF($I$8="A",(RANK(U36,U$11:U$363)+COUNTIF(U$11:U36,U36)-1),(RANK(U36,U$11:U$363,1)+COUNTIF(U$11:U36,U36)-1)))</f>
        <v>74</v>
      </c>
      <c r="W36" s="240"/>
      <c r="X36" s="61" t="str">
        <f>IF(L36="","",VLOOKUP($L36,classifications!$C:$J,6,FALSE))</f>
        <v>Rural-80</v>
      </c>
      <c r="Y36" s="49">
        <f t="shared" si="6"/>
        <v>0.5368926202103087</v>
      </c>
      <c r="Z36" s="57">
        <f>IF(Y36="","",IF(I$8="A",(RANK(Y36,Y$11:Y$363,1)+COUNTIF(Y$11:Y36,Y36)-1),(RANK(Y36,Y$11:Y$363)+COUNTIF(Y$11:Y36,Y36)-1)))</f>
        <v>12</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Essex</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East of England</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0.46829672559723701</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1"/>
        <v>0.36514896661522628</v>
      </c>
      <c r="G37" s="105"/>
      <c r="H37" s="60" t="str">
        <f t="shared" si="2"/>
        <v/>
      </c>
      <c r="I37" s="112" t="str">
        <f>IF(H37="","",IF($I$8="A",(RANK(H37,H$11:H$363,1)+COUNTIF(H$11:H37,H37)-1),(RANK(H37,H$11:H$363)+COUNTIF(H$11:H37,H37)-1)))</f>
        <v/>
      </c>
      <c r="J37" s="58"/>
      <c r="K37" s="51">
        <f t="shared" si="13"/>
        <v>27</v>
      </c>
      <c r="L37" s="59" t="str">
        <f t="shared" si="14"/>
        <v>Basildon</v>
      </c>
      <c r="M37" s="153">
        <f t="shared" si="20"/>
        <v>0.53688091266932636</v>
      </c>
      <c r="N37" s="148">
        <f t="shared" si="21"/>
        <v>53.688091266932638</v>
      </c>
      <c r="O37" s="131">
        <f t="shared" si="3"/>
        <v>53.688091266932638</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Other Urban</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Essex</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East of England</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0.36514896661522628</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1"/>
        <v>0.50776348436561813</v>
      </c>
      <c r="G38" s="105"/>
      <c r="H38" s="60" t="str">
        <f t="shared" si="2"/>
        <v/>
      </c>
      <c r="I38" s="112" t="str">
        <f>IF(H38="","",IF($I$8="A",(RANK(H38,H$11:H$363,1)+COUNTIF(H$11:H38,H38)-1),(RANK(H38,H$11:H$363)+COUNTIF(H$11:H38,H38)-1)))</f>
        <v/>
      </c>
      <c r="J38" s="58"/>
      <c r="K38" s="51">
        <f t="shared" si="13"/>
        <v>28</v>
      </c>
      <c r="L38" s="59" t="str">
        <f t="shared" si="14"/>
        <v>Teignbridge</v>
      </c>
      <c r="M38" s="153">
        <f t="shared" si="20"/>
        <v>0.5356764152585366</v>
      </c>
      <c r="N38" s="148">
        <f t="shared" si="21"/>
        <v>53.567641525853659</v>
      </c>
      <c r="O38" s="131">
        <f t="shared" si="3"/>
        <v>53.567641525853659</v>
      </c>
      <c r="P38" s="131" t="str">
        <f t="shared" si="15"/>
        <v/>
      </c>
      <c r="Q38" s="131" t="str">
        <f t="shared" si="16"/>
        <v/>
      </c>
      <c r="R38" s="127" t="str">
        <f t="shared" si="17"/>
        <v/>
      </c>
      <c r="S38" s="60" t="str">
        <f t="shared" si="4"/>
        <v/>
      </c>
      <c r="T38" s="231" t="str">
        <f>IF(L38="","",VLOOKUP(L38,classifications!C:K,9,FALSE))</f>
        <v>Sparse</v>
      </c>
      <c r="U38" s="238">
        <f t="shared" si="5"/>
        <v>0.5356764152585366</v>
      </c>
      <c r="V38" s="239">
        <f>IF(U38="","",IF($I$8="A",(RANK(U38,U$11:U$363)+COUNTIF(U$11:U38,U38)-1),(RANK(U38,U$11:U$363,1)+COUNTIF(U$11:U38,U38)-1)))</f>
        <v>73</v>
      </c>
      <c r="W38" s="240"/>
      <c r="X38" s="61" t="str">
        <f>IF(L38="","",VLOOKUP($L38,classifications!$C:$J,6,FALSE))</f>
        <v>Rural-80</v>
      </c>
      <c r="Y38" s="49">
        <f t="shared" si="6"/>
        <v>0.5356764152585366</v>
      </c>
      <c r="Z38" s="57">
        <f>IF(Y38="","",IF(I$8="A",(RANK(Y38,Y$11:Y$363,1)+COUNTIF(Y$11:Y38,Y38)-1),(RANK(Y38,Y$11:Y$363)+COUNTIF(Y$11:Y38,Y38)-1)))</f>
        <v>13</v>
      </c>
      <c r="AA38" s="245" t="str">
        <f>IF(L38="","",VLOOKUP($L38,classifications!C:I,7,FALSE))</f>
        <v>Predominantly Rural</v>
      </c>
      <c r="AB38" s="239">
        <f t="shared" si="7"/>
        <v>0.5356764152585366</v>
      </c>
      <c r="AC38" s="239">
        <f>IF(AB38="","",IF($I$8="A",(RANK(AB38,AB$11:AB$363)+COUNTIF(AB$11:AB38,AB38)-1),(RANK(AB38,AB$11:AB$363,1)+COUNTIF(AB$11:AB38,AB38)-1)))</f>
        <v>48</v>
      </c>
      <c r="AD38" s="239"/>
      <c r="AE38" s="51" t="str">
        <f t="shared" si="25"/>
        <v/>
      </c>
      <c r="AG38" s="143"/>
      <c r="AH38" s="52"/>
      <c r="AI38" s="61" t="str">
        <f>IF(L38="","",VLOOKUP($L38,classifications!$C:$J,8,FALSE))</f>
        <v>Devon</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West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0.50776348436561813</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1"/>
        <v>0.56040492474467984</v>
      </c>
      <c r="G39" s="105"/>
      <c r="H39" s="60">
        <f t="shared" si="2"/>
        <v>0.56040492474467984</v>
      </c>
      <c r="I39" s="112">
        <f>IF(H39="","",IF($I$8="A",(RANK(H39,H$11:H$363,1)+COUNTIF(H$11:H39,H39)-1),(RANK(H39,H$11:H$363)+COUNTIF(H$11:H39,H39)-1)))</f>
        <v>19</v>
      </c>
      <c r="J39" s="58"/>
      <c r="K39" s="51">
        <f t="shared" si="13"/>
        <v>29</v>
      </c>
      <c r="L39" s="59" t="str">
        <f t="shared" si="14"/>
        <v>Chiltern</v>
      </c>
      <c r="M39" s="153">
        <f t="shared" si="20"/>
        <v>0.53315074748243541</v>
      </c>
      <c r="N39" s="148">
        <f t="shared" si="21"/>
        <v>53.315074748243539</v>
      </c>
      <c r="O39" s="131">
        <f t="shared" si="3"/>
        <v>53.315074748243539</v>
      </c>
      <c r="P39" s="131" t="str">
        <f t="shared" si="15"/>
        <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Significant Rural</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Buckinghamshire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South East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0.56040492474467984</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1"/>
        <v>0.36184494336575396</v>
      </c>
      <c r="G40" s="105"/>
      <c r="H40" s="60">
        <f t="shared" si="2"/>
        <v>0.36184494336575396</v>
      </c>
      <c r="I40" s="112">
        <f>IF(H40="","",IF($I$8="A",(RANK(H40,H$11:H$363,1)+COUNTIF(H$11:H40,H40)-1),(RANK(H40,H$11:H$363)+COUNTIF(H$11:H40,H40)-1)))</f>
        <v>150</v>
      </c>
      <c r="J40" s="58"/>
      <c r="K40" s="51">
        <f t="shared" si="13"/>
        <v>30</v>
      </c>
      <c r="L40" s="59" t="str">
        <f t="shared" si="14"/>
        <v>West Lindsey</v>
      </c>
      <c r="M40" s="153">
        <f t="shared" si="20"/>
        <v>0.53168221025641926</v>
      </c>
      <c r="N40" s="148">
        <f t="shared" si="21"/>
        <v>53.168221025641927</v>
      </c>
      <c r="O40" s="131">
        <f t="shared" si="3"/>
        <v>53.168221025641927</v>
      </c>
      <c r="P40" s="131" t="str">
        <f t="shared" si="15"/>
        <v/>
      </c>
      <c r="Q40" s="131" t="str">
        <f t="shared" si="16"/>
        <v/>
      </c>
      <c r="R40" s="127" t="str">
        <f t="shared" si="17"/>
        <v/>
      </c>
      <c r="S40" s="60" t="str">
        <f t="shared" si="4"/>
        <v/>
      </c>
      <c r="T40" s="231" t="str">
        <f>IF(L40="","",VLOOKUP(L40,classifications!C:K,9,FALSE))</f>
        <v>Sparse</v>
      </c>
      <c r="U40" s="238">
        <f t="shared" si="5"/>
        <v>0.53168221025641926</v>
      </c>
      <c r="V40" s="239">
        <f>IF(U40="","",IF($I$8="A",(RANK(U40,U$11:U$363)+COUNTIF(U$11:U40,U40)-1),(RANK(U40,U$11:U$363,1)+COUNTIF(U$11:U40,U40)-1)))</f>
        <v>72</v>
      </c>
      <c r="W40" s="240"/>
      <c r="X40" s="61" t="str">
        <f>IF(L40="","",VLOOKUP($L40,classifications!$C:$J,6,FALSE))</f>
        <v>Rural-80</v>
      </c>
      <c r="Y40" s="49">
        <f t="shared" si="6"/>
        <v>0.53168221025641926</v>
      </c>
      <c r="Z40" s="57">
        <f>IF(Y40="","",IF(I$8="A",(RANK(Y40,Y$11:Y$363,1)+COUNTIF(Y$11:Y40,Y40)-1),(RANK(Y40,Y$11:Y$363)+COUNTIF(Y$11:Y40,Y40)-1)))</f>
        <v>14</v>
      </c>
      <c r="AA40" s="245" t="str">
        <f>IF(L40="","",VLOOKUP($L40,classifications!C:I,7,FALSE))</f>
        <v>Predominantly Rural</v>
      </c>
      <c r="AB40" s="239">
        <f t="shared" si="7"/>
        <v>0.53168221025641926</v>
      </c>
      <c r="AC40" s="239">
        <f>IF(AB40="","",IF($I$8="A",(RANK(AB40,AB$11:AB$363)+COUNTIF(AB$11:AB40,AB40)-1),(RANK(AB40,AB$11:AB$363,1)+COUNTIF(AB$11:AB40,AB40)-1)))</f>
        <v>47</v>
      </c>
      <c r="AD40" s="239"/>
      <c r="AE40" s="51" t="str">
        <f t="shared" si="25"/>
        <v/>
      </c>
      <c r="AG40" s="143"/>
      <c r="AH40" s="52"/>
      <c r="AI40" s="61" t="str">
        <f>IF(L40="","",VLOOKUP($L40,classifications!$C:$J,8,FALSE))</f>
        <v>Lincolnshire</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East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0.36184494336575396</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1"/>
        <v>0.40808612276296941</v>
      </c>
      <c r="G41" s="105"/>
      <c r="H41" s="60" t="str">
        <f t="shared" si="2"/>
        <v/>
      </c>
      <c r="I41" s="112" t="str">
        <f>IF(H41="","",IF($I$8="A",(RANK(H41,H$11:H$363,1)+COUNTIF(H$11:H41,H41)-1),(RANK(H41,H$11:H$363)+COUNTIF(H$11:H41,H41)-1)))</f>
        <v/>
      </c>
      <c r="J41" s="58"/>
      <c r="K41" s="51">
        <f t="shared" si="13"/>
        <v>31</v>
      </c>
      <c r="L41" s="59" t="str">
        <f t="shared" si="14"/>
        <v>South Hams</v>
      </c>
      <c r="M41" s="153">
        <f t="shared" si="20"/>
        <v>0.53158472831922565</v>
      </c>
      <c r="N41" s="148">
        <f t="shared" si="21"/>
        <v>53.158472831922566</v>
      </c>
      <c r="O41" s="131">
        <f t="shared" si="3"/>
        <v>53.158472831922566</v>
      </c>
      <c r="P41" s="131" t="str">
        <f t="shared" si="15"/>
        <v/>
      </c>
      <c r="Q41" s="131" t="str">
        <f t="shared" si="16"/>
        <v/>
      </c>
      <c r="R41" s="127" t="str">
        <f t="shared" si="17"/>
        <v/>
      </c>
      <c r="S41" s="60" t="str">
        <f t="shared" si="4"/>
        <v/>
      </c>
      <c r="T41" s="231" t="str">
        <f>IF(L41="","",VLOOKUP(L41,classifications!C:K,9,FALSE))</f>
        <v>Sparse</v>
      </c>
      <c r="U41" s="238">
        <f t="shared" si="5"/>
        <v>0.53158472831922565</v>
      </c>
      <c r="V41" s="239">
        <f>IF(U41="","",IF($I$8="A",(RANK(U41,U$11:U$363)+COUNTIF(U$11:U41,U41)-1),(RANK(U41,U$11:U$363,1)+COUNTIF(U$11:U41,U41)-1)))</f>
        <v>71</v>
      </c>
      <c r="W41" s="240"/>
      <c r="X41" s="61" t="str">
        <f>IF(L41="","",VLOOKUP($L41,classifications!$C:$J,6,FALSE))</f>
        <v>Rural-80</v>
      </c>
      <c r="Y41" s="49">
        <f t="shared" si="6"/>
        <v>0.53158472831922565</v>
      </c>
      <c r="Z41" s="57">
        <f>IF(Y41="","",IF(I$8="A",(RANK(Y41,Y$11:Y$363,1)+COUNTIF(Y$11:Y41,Y41)-1),(RANK(Y41,Y$11:Y$363)+COUNTIF(Y$11:Y41,Y41)-1)))</f>
        <v>15</v>
      </c>
      <c r="AA41" s="245" t="str">
        <f>IF(L41="","",VLOOKUP($L41,classifications!C:I,7,FALSE))</f>
        <v>Predominantly Rural</v>
      </c>
      <c r="AB41" s="239">
        <f t="shared" si="7"/>
        <v>0.53158472831922565</v>
      </c>
      <c r="AC41" s="239">
        <f>IF(AB41="","",IF($I$8="A",(RANK(AB41,AB$11:AB$363)+COUNTIF(AB$11:AB41,AB41)-1),(RANK(AB41,AB$11:AB$363,1)+COUNTIF(AB$11:AB41,AB41)-1)))</f>
        <v>46</v>
      </c>
      <c r="AD41" s="239"/>
      <c r="AE41" s="51" t="str">
        <f t="shared" si="25"/>
        <v/>
      </c>
      <c r="AG41" s="143"/>
      <c r="AH41" s="52"/>
      <c r="AI41" s="61" t="str">
        <f>IF(L41="","",VLOOKUP($L41,classifications!$C:$J,8,FALSE))</f>
        <v>Devon</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West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0.40808612276296941</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1"/>
        <v>0.50298542854698691</v>
      </c>
      <c r="G42" s="105"/>
      <c r="H42" s="60">
        <f t="shared" si="2"/>
        <v>0.50298542854698691</v>
      </c>
      <c r="I42" s="112">
        <f>IF(H42="","",IF($I$8="A",(RANK(H42,H$11:H$363,1)+COUNTIF(H$11:H42,H42)-1),(RANK(H42,H$11:H$363)+COUNTIF(H$11:H42,H42)-1)))</f>
        <v>52</v>
      </c>
      <c r="J42" s="58"/>
      <c r="K42" s="51">
        <f t="shared" si="13"/>
        <v>32</v>
      </c>
      <c r="L42" s="59" t="str">
        <f t="shared" si="14"/>
        <v>Mole Valley</v>
      </c>
      <c r="M42" s="153">
        <f t="shared" si="20"/>
        <v>0.5277235611073896</v>
      </c>
      <c r="N42" s="148">
        <f t="shared" si="21"/>
        <v>52.772356110738961</v>
      </c>
      <c r="O42" s="131">
        <f t="shared" si="3"/>
        <v>52.772356110738961</v>
      </c>
      <c r="P42" s="131" t="str">
        <f t="shared" si="15"/>
        <v/>
      </c>
      <c r="Q42" s="131" t="str">
        <f t="shared" si="16"/>
        <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Significant Rural</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Surrey</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0.50298542854698691</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0.25796288472073192</v>
      </c>
      <c r="G43" s="105"/>
      <c r="H43" s="60" t="str">
        <f t="shared" si="2"/>
        <v/>
      </c>
      <c r="I43" s="112" t="str">
        <f>IF(H43="","",IF($I$8="A",(RANK(H43,H$11:H$363,1)+COUNTIF(H$11:H43,H43)-1),(RANK(H43,H$11:H$363)+COUNTIF(H$11:H43,H43)-1)))</f>
        <v/>
      </c>
      <c r="J43" s="58"/>
      <c r="K43" s="51">
        <f t="shared" si="13"/>
        <v>33</v>
      </c>
      <c r="L43" s="59" t="str">
        <f t="shared" si="14"/>
        <v>Ryedale</v>
      </c>
      <c r="M43" s="153">
        <f t="shared" si="20"/>
        <v>0.52655199715275425</v>
      </c>
      <c r="N43" s="148">
        <f t="shared" si="21"/>
        <v>52.655199715275423</v>
      </c>
      <c r="O43" s="131">
        <f t="shared" si="3"/>
        <v>52.655199715275423</v>
      </c>
      <c r="P43" s="131" t="str">
        <f t="shared" si="15"/>
        <v/>
      </c>
      <c r="Q43" s="131" t="str">
        <f t="shared" si="16"/>
        <v/>
      </c>
      <c r="R43" s="127" t="str">
        <f t="shared" si="17"/>
        <v/>
      </c>
      <c r="S43" s="60" t="str">
        <f t="shared" si="4"/>
        <v/>
      </c>
      <c r="T43" s="231" t="str">
        <f>IF(L43="","",VLOOKUP(L43,classifications!C:K,9,FALSE))</f>
        <v>Sparse</v>
      </c>
      <c r="U43" s="238">
        <f t="shared" ref="U43:U74" si="26">IF(T43="Sparse",M43,"")</f>
        <v>0.52655199715275425</v>
      </c>
      <c r="V43" s="239">
        <f>IF(U43="","",IF($I$8="A",(RANK(U43,U$11:U$363)+COUNTIF(U$11:U43,U43)-1),(RANK(U43,U$11:U$363,1)+COUNTIF(U$11:U43,U43)-1)))</f>
        <v>70</v>
      </c>
      <c r="W43" s="240"/>
      <c r="X43" s="61" t="str">
        <f>IF(L43="","",VLOOKUP($L43,classifications!$C:$J,6,FALSE))</f>
        <v>Rural-80</v>
      </c>
      <c r="Y43" s="49">
        <f t="shared" si="6"/>
        <v>0.52655199715275425</v>
      </c>
      <c r="Z43" s="57">
        <f>IF(Y43="","",IF(I$8="A",(RANK(Y43,Y$11:Y$363,1)+COUNTIF(Y$11:Y43,Y43)-1),(RANK(Y43,Y$11:Y$363)+COUNTIF(Y$11:Y43,Y43)-1)))</f>
        <v>16</v>
      </c>
      <c r="AA43" s="245" t="str">
        <f>IF(L43="","",VLOOKUP($L43,classifications!C:I,7,FALSE))</f>
        <v>Predominantly Rural</v>
      </c>
      <c r="AB43" s="239">
        <f t="shared" si="7"/>
        <v>0.52655199715275425</v>
      </c>
      <c r="AC43" s="239">
        <f>IF(AB43="","",IF($I$8="A",(RANK(AB43,AB$11:AB$363)+COUNTIF(AB$11:AB43,AB43)-1),(RANK(AB43,AB$11:AB$363,1)+COUNTIF(AB$11:AB43,AB43)-1)))</f>
        <v>45</v>
      </c>
      <c r="AD43" s="239"/>
      <c r="AE43" s="51" t="str">
        <f t="shared" si="25"/>
        <v/>
      </c>
      <c r="AG43" s="143"/>
      <c r="AH43" s="52"/>
      <c r="AI43" s="61" t="str">
        <f>IF(L43="","",VLOOKUP($L43,classifications!$C:$J,8,FALSE))</f>
        <v>North Yorkshire</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Yorkshire &amp; Humberside</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0.25796288472073192</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0.41517178250174674</v>
      </c>
      <c r="G44" s="105"/>
      <c r="H44" s="60" t="str">
        <f t="shared" si="2"/>
        <v/>
      </c>
      <c r="I44" s="112" t="str">
        <f>IF(H44="","",IF($I$8="A",(RANK(H44,H$11:H$363,1)+COUNTIF(H$11:H44,H44)-1),(RANK(H44,H$11:H$363)+COUNTIF(H$11:H44,H44)-1)))</f>
        <v/>
      </c>
      <c r="J44" s="58"/>
      <c r="K44" s="51">
        <f t="shared" si="13"/>
        <v>34</v>
      </c>
      <c r="L44" s="59" t="str">
        <f t="shared" si="14"/>
        <v>St Edmundsbury</v>
      </c>
      <c r="M44" s="153">
        <f t="shared" si="20"/>
        <v>0.52611230677475451</v>
      </c>
      <c r="N44" s="148">
        <f t="shared" si="21"/>
        <v>52.611230677475454</v>
      </c>
      <c r="O44" s="131">
        <f t="shared" si="3"/>
        <v>52.611230677475454</v>
      </c>
      <c r="P44" s="131" t="str">
        <f t="shared" si="15"/>
        <v/>
      </c>
      <c r="Q44" s="131" t="str">
        <f t="shared" si="16"/>
        <v/>
      </c>
      <c r="R44" s="127" t="str">
        <f t="shared" si="17"/>
        <v/>
      </c>
      <c r="S44" s="60" t="str">
        <f t="shared" si="4"/>
        <v/>
      </c>
      <c r="T44" s="231" t="str">
        <f>IF(L44="","",VLOOKUP(L44,classifications!C:K,9,FALSE))</f>
        <v>Sparse</v>
      </c>
      <c r="U44" s="238">
        <f t="shared" si="26"/>
        <v>0.52611230677475451</v>
      </c>
      <c r="V44" s="239">
        <f>IF(U44="","",IF($I$8="A",(RANK(U44,U$11:U$363)+COUNTIF(U$11:U44,U44)-1),(RANK(U44,U$11:U$363,1)+COUNTIF(U$11:U44,U44)-1)))</f>
        <v>69</v>
      </c>
      <c r="W44" s="240"/>
      <c r="X44" s="61" t="str">
        <f>IF(L44="","",VLOOKUP($L44,classifications!$C:$J,6,FALSE))</f>
        <v>Rural-50</v>
      </c>
      <c r="Y44" s="49" t="str">
        <f t="shared" si="6"/>
        <v/>
      </c>
      <c r="Z44" s="57" t="str">
        <f>IF(Y44="","",IF(I$8="A",(RANK(Y44,Y$11:Y$363,1)+COUNTIF(Y$11:Y44,Y44)-1),(RANK(Y44,Y$11:Y$363)+COUNTIF(Y$11:Y44,Y44)-1)))</f>
        <v/>
      </c>
      <c r="AA44" s="245" t="str">
        <f>IF(L44="","",VLOOKUP($L44,classifications!C:I,7,FALSE))</f>
        <v>Predominantly Rural</v>
      </c>
      <c r="AB44" s="239">
        <f t="shared" si="7"/>
        <v>0.52611230677475451</v>
      </c>
      <c r="AC44" s="239">
        <f>IF(AB44="","",IF($I$8="A",(RANK(AB44,AB$11:AB$363)+COUNTIF(AB$11:AB44,AB44)-1),(RANK(AB44,AB$11:AB$363,1)+COUNTIF(AB$11:AB44,AB44)-1)))</f>
        <v>44</v>
      </c>
      <c r="AD44" s="239"/>
      <c r="AE44" s="51" t="str">
        <f t="shared" si="25"/>
        <v/>
      </c>
      <c r="AG44" s="143"/>
      <c r="AH44" s="52"/>
      <c r="AI44" s="61" t="str">
        <f>IF(L44="","",VLOOKUP($L44,classifications!$C:$J,8,FALSE))</f>
        <v>Suffolk</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East of England</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0.41517178250174674</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1"/>
        <v>0.44374634072339242</v>
      </c>
      <c r="G45" s="105"/>
      <c r="H45" s="60">
        <f t="shared" si="2"/>
        <v>0.44374634072339242</v>
      </c>
      <c r="I45" s="112">
        <f>IF(H45="","",IF($I$8="A",(RANK(H45,H$11:H$363,1)+COUNTIF(H$11:H45,H45)-1),(RANK(H45,H$11:H$363)+COUNTIF(H$11:H45,H45)-1)))</f>
        <v>97</v>
      </c>
      <c r="J45" s="58"/>
      <c r="K45" s="51">
        <f t="shared" si="13"/>
        <v>35</v>
      </c>
      <c r="L45" s="59" t="str">
        <f t="shared" si="14"/>
        <v>Stafford</v>
      </c>
      <c r="M45" s="153">
        <f t="shared" si="20"/>
        <v>0.52585278120656753</v>
      </c>
      <c r="N45" s="148">
        <f t="shared" si="21"/>
        <v>52.585278120656753</v>
      </c>
      <c r="O45" s="131">
        <f t="shared" si="3"/>
        <v>52.585278120656753</v>
      </c>
      <c r="P45" s="131" t="str">
        <f t="shared" si="15"/>
        <v/>
      </c>
      <c r="Q45" s="131" t="str">
        <f t="shared" si="16"/>
        <v/>
      </c>
      <c r="R45" s="127" t="str">
        <f t="shared" si="17"/>
        <v/>
      </c>
      <c r="S45" s="60" t="str">
        <f t="shared" si="4"/>
        <v/>
      </c>
      <c r="T45" s="231" t="str">
        <f>IF(L45="","",VLOOKUP(L45,classifications!C:K,9,FALSE))</f>
        <v>Sparse</v>
      </c>
      <c r="U45" s="238">
        <f t="shared" si="26"/>
        <v>0.52585278120656753</v>
      </c>
      <c r="V45" s="239">
        <f>IF(U45="","",IF($I$8="A",(RANK(U45,U$11:U$363)+COUNTIF(U$11:U45,U45)-1),(RANK(U45,U$11:U$363,1)+COUNTIF(U$11:U45,U45)-1)))</f>
        <v>68</v>
      </c>
      <c r="W45" s="240"/>
      <c r="X45" s="61" t="str">
        <f>IF(L45="","",VLOOKUP($L45,classifications!$C:$J,6,FALSE))</f>
        <v>Significant Rural</v>
      </c>
      <c r="Y45" s="49" t="str">
        <f t="shared" si="6"/>
        <v/>
      </c>
      <c r="Z45" s="57" t="str">
        <f>IF(Y45="","",IF(I$8="A",(RANK(Y45,Y$11:Y$363,1)+COUNTIF(Y$11:Y45,Y45)-1),(RANK(Y45,Y$11:Y$363)+COUNTIF(Y$11:Y45,Y45)-1)))</f>
        <v/>
      </c>
      <c r="AA45" s="245" t="str">
        <f>IF(L45="","",VLOOKUP($L45,classifications!C:I,7,FALSE))</f>
        <v>Significant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Staffordshire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West Midlands</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0.44374634072339242</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1"/>
        <v>0.49631050710626012</v>
      </c>
      <c r="G46" s="105"/>
      <c r="H46" s="60" t="str">
        <f t="shared" si="2"/>
        <v/>
      </c>
      <c r="I46" s="112" t="str">
        <f>IF(H46="","",IF($I$8="A",(RANK(H46,H$11:H$363,1)+COUNTIF(H$11:H46,H46)-1),(RANK(H46,H$11:H$363)+COUNTIF(H$11:H46,H46)-1)))</f>
        <v/>
      </c>
      <c r="J46" s="58"/>
      <c r="K46" s="51">
        <f t="shared" si="13"/>
        <v>36</v>
      </c>
      <c r="L46" s="59" t="str">
        <f t="shared" si="14"/>
        <v>East Staffordshire</v>
      </c>
      <c r="M46" s="153">
        <f t="shared" si="20"/>
        <v>0.52291724434530207</v>
      </c>
      <c r="N46" s="148">
        <f t="shared" si="21"/>
        <v>52.291724434530209</v>
      </c>
      <c r="O46" s="131">
        <f t="shared" si="3"/>
        <v>52.291724434530209</v>
      </c>
      <c r="P46" s="131" t="str">
        <f t="shared" si="15"/>
        <v/>
      </c>
      <c r="Q46" s="131" t="str">
        <f t="shared" si="16"/>
        <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Significant Rural</v>
      </c>
      <c r="Y46" s="49" t="str">
        <f t="shared" si="6"/>
        <v/>
      </c>
      <c r="Z46" s="57" t="str">
        <f>IF(Y46="","",IF(I$8="A",(RANK(Y46,Y$11:Y$363,1)+COUNTIF(Y$11:Y46,Y46)-1),(RANK(Y46,Y$11:Y$363)+COUNTIF(Y$11:Y46,Y46)-1)))</f>
        <v/>
      </c>
      <c r="AA46" s="245" t="str">
        <f>IF(L46="","",VLOOKUP($L46,classifications!C:I,7,FALSE))</f>
        <v>Significant Rural</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Staffordshire</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West Midlands</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0.49631050710626012</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f t="shared" si="1"/>
        <v>0.40161789191197561</v>
      </c>
      <c r="G47" s="105"/>
      <c r="H47" s="60">
        <f t="shared" si="2"/>
        <v>0.40161789191197561</v>
      </c>
      <c r="I47" s="112">
        <f>IF(H47="","",IF($I$8="A",(RANK(H47,H$11:H$363,1)+COUNTIF(H$11:H47,H47)-1),(RANK(H47,H$11:H$363)+COUNTIF(H$11:H47,H47)-1)))</f>
        <v>134</v>
      </c>
      <c r="J47" s="58"/>
      <c r="K47" s="51">
        <f t="shared" si="13"/>
        <v>37</v>
      </c>
      <c r="L47" s="59" t="str">
        <f t="shared" si="14"/>
        <v>Guildford</v>
      </c>
      <c r="M47" s="153">
        <f t="shared" si="20"/>
        <v>0.52233537392283924</v>
      </c>
      <c r="N47" s="148">
        <f t="shared" si="21"/>
        <v>52.233537392283921</v>
      </c>
      <c r="O47" s="131">
        <f t="shared" si="3"/>
        <v>52.233537392283921</v>
      </c>
      <c r="P47" s="131" t="str">
        <f t="shared" si="15"/>
        <v/>
      </c>
      <c r="Q47" s="131" t="str">
        <f t="shared" si="16"/>
        <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Significant Rural</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Surrey</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South East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0.40161789191197561</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1"/>
        <v>0.35035225252851104</v>
      </c>
      <c r="G48" s="105"/>
      <c r="H48" s="60">
        <f t="shared" si="2"/>
        <v>0.35035225252851104</v>
      </c>
      <c r="I48" s="112">
        <f>IF(H48="","",IF($I$8="A",(RANK(H48,H$11:H$363,1)+COUNTIF(H$11:H48,H48)-1),(RANK(H48,H$11:H$363)+COUNTIF(H$11:H48,H48)-1)))</f>
        <v>156</v>
      </c>
      <c r="J48" s="58"/>
      <c r="K48" s="51">
        <f t="shared" si="13"/>
        <v>38</v>
      </c>
      <c r="L48" s="59" t="str">
        <f t="shared" si="14"/>
        <v>Reigate &amp; Banstead</v>
      </c>
      <c r="M48" s="153">
        <f t="shared" si="20"/>
        <v>0.52040115154620914</v>
      </c>
      <c r="N48" s="148">
        <f t="shared" si="21"/>
        <v>52.040115154620914</v>
      </c>
      <c r="O48" s="131">
        <f t="shared" si="3"/>
        <v>52.040115154620914</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Surrey</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East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0.35035225252851104</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1"/>
        <v>0.40171216925992442</v>
      </c>
      <c r="G49" s="105"/>
      <c r="H49" s="60">
        <f t="shared" si="2"/>
        <v>0.40171216925992442</v>
      </c>
      <c r="I49" s="112">
        <f>IF(H49="","",IF($I$8="A",(RANK(H49,H$11:H$363,1)+COUNTIF(H$11:H49,H49)-1),(RANK(H49,H$11:H$363)+COUNTIF(H$11:H49,H49)-1)))</f>
        <v>133</v>
      </c>
      <c r="J49" s="58"/>
      <c r="K49" s="51">
        <f t="shared" si="13"/>
        <v>39</v>
      </c>
      <c r="L49" s="59" t="str">
        <f t="shared" si="14"/>
        <v>Tamworth</v>
      </c>
      <c r="M49" s="153">
        <f t="shared" si="20"/>
        <v>0.51780678513074407</v>
      </c>
      <c r="N49" s="148">
        <f t="shared" si="21"/>
        <v>51.780678513074406</v>
      </c>
      <c r="O49" s="131">
        <f t="shared" si="3"/>
        <v>51.780678513074406</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Other Urban</v>
      </c>
      <c r="Y49" s="49" t="str">
        <f t="shared" si="6"/>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Staffordshire</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West Midlands</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0.40171216925992442</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Cannock Chase</v>
      </c>
      <c r="M50" s="153">
        <f t="shared" si="20"/>
        <v>0.51342982078523303</v>
      </c>
      <c r="N50" s="148">
        <f t="shared" si="21"/>
        <v>51.342982078523306</v>
      </c>
      <c r="O50" s="131">
        <f t="shared" si="3"/>
        <v>51.342982078523306</v>
      </c>
      <c r="P50" s="131" t="str">
        <f t="shared" si="15"/>
        <v/>
      </c>
      <c r="Q50" s="131" t="str">
        <f t="shared" si="16"/>
        <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Significant Rural</v>
      </c>
      <c r="Y50" s="49" t="str">
        <f t="shared" si="6"/>
        <v/>
      </c>
      <c r="Z50" s="57" t="str">
        <f>IF(Y50="","",IF(I$8="A",(RANK(Y50,Y$11:Y$363,1)+COUNTIF(Y$11:Y50,Y50)-1),(RANK(Y50,Y$11:Y$363)+COUNTIF(Y$11:Y50,Y50)-1)))</f>
        <v/>
      </c>
      <c r="AA50" s="245" t="str">
        <f>IF(L50="","",VLOOKUP($L50,classifications!C:I,7,FALSE))</f>
        <v>Significant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Staffordshire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West Midlands</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1"/>
        <v>0.32670457388197699</v>
      </c>
      <c r="G51" s="105"/>
      <c r="H51" s="60">
        <f t="shared" si="2"/>
        <v>0.32670457388197699</v>
      </c>
      <c r="I51" s="112">
        <f>IF(H51="","",IF($I$8="A",(RANK(H51,H$11:H$363,1)+COUNTIF(H$11:H51,H51)-1),(RANK(H51,H$11:H$363)+COUNTIF(H$11:H51,H51)-1)))</f>
        <v>172</v>
      </c>
      <c r="J51" s="58"/>
      <c r="K51" s="51">
        <f t="shared" si="13"/>
        <v>41</v>
      </c>
      <c r="L51" s="59" t="str">
        <f t="shared" si="14"/>
        <v>Rushcliffe</v>
      </c>
      <c r="M51" s="153">
        <f t="shared" si="20"/>
        <v>0.51249359010124429</v>
      </c>
      <c r="N51" s="148">
        <f t="shared" si="21"/>
        <v>51.249359010124429</v>
      </c>
      <c r="O51" s="131">
        <f t="shared" si="3"/>
        <v>51.249359010124429</v>
      </c>
      <c r="P51" s="131" t="str">
        <f t="shared" si="15"/>
        <v/>
      </c>
      <c r="Q51" s="131" t="str">
        <f t="shared" si="16"/>
        <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Rural-50</v>
      </c>
      <c r="Y51" s="49" t="str">
        <f t="shared" si="6"/>
        <v/>
      </c>
      <c r="Z51" s="57" t="str">
        <f>IF(Y51="","",IF(I$8="A",(RANK(Y51,Y$11:Y$363,1)+COUNTIF(Y$11:Y51,Y51)-1),(RANK(Y51,Y$11:Y$363)+COUNTIF(Y$11:Y51,Y51)-1)))</f>
        <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Nottinghamshire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East Midlands</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0.32670457388197699</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1"/>
        <v>0.42956217234483279</v>
      </c>
      <c r="G52" s="105"/>
      <c r="H52" s="60" t="str">
        <f t="shared" si="2"/>
        <v/>
      </c>
      <c r="I52" s="112" t="str">
        <f>IF(H52="","",IF($I$8="A",(RANK(H52,H$11:H$363,1)+COUNTIF(H$11:H52,H52)-1),(RANK(H52,H$11:H$363)+COUNTIF(H$11:H52,H52)-1)))</f>
        <v/>
      </c>
      <c r="J52" s="58"/>
      <c r="K52" s="51">
        <f t="shared" si="13"/>
        <v>42</v>
      </c>
      <c r="L52" s="59" t="str">
        <f t="shared" si="14"/>
        <v>Fenland</v>
      </c>
      <c r="M52" s="153">
        <f t="shared" si="20"/>
        <v>0.51204395078744214</v>
      </c>
      <c r="N52" s="148">
        <f t="shared" si="21"/>
        <v>51.204395078744213</v>
      </c>
      <c r="O52" s="131">
        <f t="shared" si="3"/>
        <v>51.204395078744213</v>
      </c>
      <c r="P52" s="131" t="str">
        <f t="shared" si="15"/>
        <v/>
      </c>
      <c r="Q52" s="131" t="str">
        <f t="shared" si="16"/>
        <v/>
      </c>
      <c r="R52" s="127" t="str">
        <f t="shared" si="17"/>
        <v/>
      </c>
      <c r="S52" s="60" t="str">
        <f t="shared" si="4"/>
        <v/>
      </c>
      <c r="T52" s="231" t="str">
        <f>IF(L52="","",VLOOKUP(L52,classifications!C:K,9,FALSE))</f>
        <v>Sparse</v>
      </c>
      <c r="U52" s="238">
        <f t="shared" si="26"/>
        <v>0.51204395078744214</v>
      </c>
      <c r="V52" s="239">
        <f>IF(U52="","",IF($I$8="A",(RANK(U52,U$11:U$363)+COUNTIF(U$11:U52,U52)-1),(RANK(U52,U$11:U$363,1)+COUNTIF(U$11:U52,U52)-1)))</f>
        <v>67</v>
      </c>
      <c r="W52" s="240"/>
      <c r="X52" s="61" t="str">
        <f>IF(L52="","",VLOOKUP($L52,classifications!$C:$J,6,FALSE))</f>
        <v>Rural-80</v>
      </c>
      <c r="Y52" s="49">
        <f t="shared" si="6"/>
        <v>0.51204395078744214</v>
      </c>
      <c r="Z52" s="57">
        <f>IF(Y52="","",IF(I$8="A",(RANK(Y52,Y$11:Y$363,1)+COUNTIF(Y$11:Y52,Y52)-1),(RANK(Y52,Y$11:Y$363)+COUNTIF(Y$11:Y52,Y52)-1)))</f>
        <v>17</v>
      </c>
      <c r="AA52" s="245" t="str">
        <f>IF(L52="","",VLOOKUP($L52,classifications!C:I,7,FALSE))</f>
        <v>Predominantly Rural</v>
      </c>
      <c r="AB52" s="239">
        <f t="shared" si="7"/>
        <v>0.51204395078744214</v>
      </c>
      <c r="AC52" s="239">
        <f>IF(AB52="","",IF($I$8="A",(RANK(AB52,AB$11:AB$363)+COUNTIF(AB$11:AB52,AB52)-1),(RANK(AB52,AB$11:AB$363,1)+COUNTIF(AB$11:AB52,AB52)-1)))</f>
        <v>43</v>
      </c>
      <c r="AD52" s="239"/>
      <c r="AE52" s="51" t="str">
        <f t="shared" si="25"/>
        <v/>
      </c>
      <c r="AG52" s="143"/>
      <c r="AH52" s="52"/>
      <c r="AI52" s="61" t="str">
        <f>IF(L52="","",VLOOKUP($L52,classifications!$C:$J,8,FALSE))</f>
        <v>Cambridgeshire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of England</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0.42956217234483279</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1"/>
        <v>0.60085820121473099</v>
      </c>
      <c r="G53" s="105"/>
      <c r="H53" s="60" t="str">
        <f t="shared" si="2"/>
        <v/>
      </c>
      <c r="I53" s="112" t="str">
        <f>IF(H53="","",IF($I$8="A",(RANK(H53,H$11:H$363,1)+COUNTIF(H$11:H53,H53)-1),(RANK(H53,H$11:H$363)+COUNTIF(H$11:H53,H53)-1)))</f>
        <v/>
      </c>
      <c r="J53" s="58"/>
      <c r="K53" s="51">
        <f t="shared" si="13"/>
        <v>43</v>
      </c>
      <c r="L53" s="59" t="str">
        <f t="shared" si="14"/>
        <v>Tewkesbury</v>
      </c>
      <c r="M53" s="153">
        <f t="shared" si="20"/>
        <v>0.51199588387997763</v>
      </c>
      <c r="N53" s="148">
        <f t="shared" si="21"/>
        <v>51.199588387997764</v>
      </c>
      <c r="O53" s="131">
        <f t="shared" si="3"/>
        <v>51.199588387997764</v>
      </c>
      <c r="P53" s="131" t="str">
        <f t="shared" si="15"/>
        <v/>
      </c>
      <c r="Q53" s="131" t="str">
        <f t="shared" si="16"/>
        <v/>
      </c>
      <c r="R53" s="127" t="str">
        <f t="shared" si="17"/>
        <v/>
      </c>
      <c r="S53" s="60" t="str">
        <f t="shared" si="4"/>
        <v/>
      </c>
      <c r="T53" s="231" t="str">
        <f>IF(L53="","",VLOOKUP(L53,classifications!C:K,9,FALSE))</f>
        <v>Sparse</v>
      </c>
      <c r="U53" s="238">
        <f t="shared" si="26"/>
        <v>0.51199588387997763</v>
      </c>
      <c r="V53" s="239">
        <f>IF(U53="","",IF($I$8="A",(RANK(U53,U$11:U$363)+COUNTIF(U$11:U53,U53)-1),(RANK(U53,U$11:U$363,1)+COUNTIF(U$11:U53,U53)-1)))</f>
        <v>66</v>
      </c>
      <c r="W53" s="240"/>
      <c r="X53" s="61" t="str">
        <f>IF(L53="","",VLOOKUP($L53,classifications!$C:$J,6,FALSE))</f>
        <v>Rural-50</v>
      </c>
      <c r="Y53" s="49" t="str">
        <f t="shared" si="6"/>
        <v/>
      </c>
      <c r="Z53" s="57" t="str">
        <f>IF(Y53="","",IF(I$8="A",(RANK(Y53,Y$11:Y$363,1)+COUNTIF(Y$11:Y53,Y53)-1),(RANK(Y53,Y$11:Y$363)+COUNTIF(Y$11:Y53,Y53)-1)))</f>
        <v/>
      </c>
      <c r="AA53" s="245" t="str">
        <f>IF(L53="","",VLOOKUP($L53,classifications!C:I,7,FALSE))</f>
        <v>Significant Rural</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Gloucestershire</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West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0.60085820121473099</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f t="shared" si="1"/>
        <v>0.44102031230782734</v>
      </c>
      <c r="G54" s="105"/>
      <c r="H54" s="60">
        <f t="shared" si="2"/>
        <v>0.44102031230782734</v>
      </c>
      <c r="I54" s="112">
        <f>IF(H54="","",IF($I$8="A",(RANK(H54,H$11:H$363,1)+COUNTIF(H$11:H54,H54)-1),(RANK(H54,H$11:H$363)+COUNTIF(H$11:H54,H54)-1)))</f>
        <v>101</v>
      </c>
      <c r="J54" s="58"/>
      <c r="K54" s="51">
        <f t="shared" si="13"/>
        <v>44</v>
      </c>
      <c r="L54" s="59" t="str">
        <f t="shared" si="14"/>
        <v>Aylesbury Vale</v>
      </c>
      <c r="M54" s="153">
        <f t="shared" si="20"/>
        <v>0.51021913361656945</v>
      </c>
      <c r="N54" s="148">
        <f t="shared" si="21"/>
        <v>51.021913361656942</v>
      </c>
      <c r="O54" s="131">
        <f t="shared" si="3"/>
        <v>51.021913361656942</v>
      </c>
      <c r="P54" s="131" t="str">
        <f t="shared" si="15"/>
        <v/>
      </c>
      <c r="Q54" s="131" t="str">
        <f t="shared" si="16"/>
        <v/>
      </c>
      <c r="R54" s="127" t="str">
        <f t="shared" si="17"/>
        <v/>
      </c>
      <c r="S54" s="60" t="str">
        <f t="shared" si="4"/>
        <v/>
      </c>
      <c r="T54" s="231" t="str">
        <f>IF(L54="","",VLOOKUP(L54,classifications!C:K,9,FALSE))</f>
        <v>Sparse</v>
      </c>
      <c r="U54" s="238">
        <f t="shared" si="26"/>
        <v>0.51021913361656945</v>
      </c>
      <c r="V54" s="239">
        <f>IF(U54="","",IF($I$8="A",(RANK(U54,U$11:U$363)+COUNTIF(U$11:U54,U54)-1),(RANK(U54,U$11:U$363,1)+COUNTIF(U$11:U54,U54)-1)))</f>
        <v>65</v>
      </c>
      <c r="W54" s="240"/>
      <c r="X54" s="61" t="str">
        <f>IF(L54="","",VLOOKUP($L54,classifications!$C:$J,6,FALSE))</f>
        <v>Rural-50</v>
      </c>
      <c r="Y54" s="49" t="str">
        <f t="shared" si="6"/>
        <v/>
      </c>
      <c r="Z54" s="57" t="str">
        <f>IF(Y54="","",IF(I$8="A",(RANK(Y54,Y$11:Y$363,1)+COUNTIF(Y$11:Y54,Y54)-1),(RANK(Y54,Y$11:Y$363)+COUNTIF(Y$11:Y54,Y54)-1)))</f>
        <v/>
      </c>
      <c r="AA54" s="245" t="str">
        <f>IF(L54="","",VLOOKUP($L54,classifications!C:I,7,FALSE))</f>
        <v>Significant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Buckinghamshire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0.44102031230782734</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Tandridge</v>
      </c>
      <c r="M55" s="153">
        <f t="shared" si="20"/>
        <v>0.51003269868855772</v>
      </c>
      <c r="N55" s="148">
        <f t="shared" si="21"/>
        <v>51.003269868855774</v>
      </c>
      <c r="O55" s="131">
        <f t="shared" si="3"/>
        <v>51.003269868855774</v>
      </c>
      <c r="P55" s="131" t="str">
        <f t="shared" si="15"/>
        <v/>
      </c>
      <c r="Q55" s="131" t="str">
        <f t="shared" si="16"/>
        <v/>
      </c>
      <c r="R55" s="127" t="str">
        <f t="shared" si="17"/>
        <v/>
      </c>
      <c r="S55" s="60" t="str">
        <f t="shared" si="4"/>
        <v/>
      </c>
      <c r="T55" s="231" t="str">
        <f>IF(L55="","",VLOOKUP(L55,classifications!C:K,9,FALSE))</f>
        <v>Sparse</v>
      </c>
      <c r="U55" s="238">
        <f t="shared" si="26"/>
        <v>0.51003269868855772</v>
      </c>
      <c r="V55" s="239">
        <f>IF(U55="","",IF($I$8="A",(RANK(U55,U$11:U$363)+COUNTIF(U$11:U55,U55)-1),(RANK(U55,U$11:U$363,1)+COUNTIF(U$11:U55,U55)-1)))</f>
        <v>64</v>
      </c>
      <c r="W55" s="240"/>
      <c r="X55" s="61" t="str">
        <f>IF(L55="","",VLOOKUP($L55,classifications!$C:$J,6,FALSE))</f>
        <v>Rural-50</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Surrey</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1"/>
        <v>0.29322846196306784</v>
      </c>
      <c r="G56" s="105"/>
      <c r="H56" s="60" t="str">
        <f t="shared" si="2"/>
        <v/>
      </c>
      <c r="I56" s="112" t="str">
        <f>IF(H56="","",IF($I$8="A",(RANK(H56,H$11:H$363,1)+COUNTIF(H$11:H56,H56)-1),(RANK(H56,H$11:H$363)+COUNTIF(H$11:H56,H56)-1)))</f>
        <v/>
      </c>
      <c r="J56" s="58"/>
      <c r="K56" s="51">
        <f t="shared" si="13"/>
        <v>46</v>
      </c>
      <c r="L56" s="59" t="str">
        <f t="shared" si="14"/>
        <v>Waveney</v>
      </c>
      <c r="M56" s="153">
        <f t="shared" si="20"/>
        <v>0.50935911490425079</v>
      </c>
      <c r="N56" s="148">
        <f t="shared" si="21"/>
        <v>50.935911490425077</v>
      </c>
      <c r="O56" s="131">
        <f t="shared" si="3"/>
        <v>50.935911490425077</v>
      </c>
      <c r="P56" s="131" t="str">
        <f t="shared" si="15"/>
        <v/>
      </c>
      <c r="Q56" s="131" t="str">
        <f t="shared" si="16"/>
        <v/>
      </c>
      <c r="R56" s="127" t="str">
        <f t="shared" si="17"/>
        <v/>
      </c>
      <c r="S56" s="60" t="str">
        <f t="shared" si="4"/>
        <v/>
      </c>
      <c r="T56" s="231" t="str">
        <f>IF(L56="","",VLOOKUP(L56,classifications!C:K,9,FALSE))</f>
        <v>Sparse</v>
      </c>
      <c r="U56" s="238">
        <f t="shared" si="26"/>
        <v>0.50935911490425079</v>
      </c>
      <c r="V56" s="239">
        <f>IF(U56="","",IF($I$8="A",(RANK(U56,U$11:U$363)+COUNTIF(U$11:U56,U56)-1),(RANK(U56,U$11:U$363,1)+COUNTIF(U$11:U56,U56)-1)))</f>
        <v>63</v>
      </c>
      <c r="W56" s="240"/>
      <c r="X56" s="61" t="str">
        <f>IF(L56="","",VLOOKUP($L56,classifications!$C:$J,6,FALSE))</f>
        <v>Significant Rural</v>
      </c>
      <c r="Y56" s="49" t="str">
        <f t="shared" si="6"/>
        <v/>
      </c>
      <c r="Z56" s="57" t="str">
        <f>IF(Y56="","",IF(I$8="A",(RANK(Y56,Y$11:Y$363,1)+COUNTIF(Y$11:Y56,Y56)-1),(RANK(Y56,Y$11:Y$363)+COUNTIF(Y$11:Y56,Y56)-1)))</f>
        <v/>
      </c>
      <c r="AA56" s="245" t="str">
        <f>IF(L56="","",VLOOKUP($L56,classifications!C:I,7,FALSE))</f>
        <v>Predominantly Rural</v>
      </c>
      <c r="AB56" s="239">
        <f t="shared" si="7"/>
        <v>0.50935911490425079</v>
      </c>
      <c r="AC56" s="239">
        <f>IF(AB56="","",IF($I$8="A",(RANK(AB56,AB$11:AB$363)+COUNTIF(AB$11:AB56,AB56)-1),(RANK(AB56,AB$11:AB$363,1)+COUNTIF(AB$11:AB56,AB56)-1)))</f>
        <v>42</v>
      </c>
      <c r="AD56" s="239"/>
      <c r="AE56" s="51" t="str">
        <f t="shared" si="25"/>
        <v/>
      </c>
      <c r="AG56" s="143"/>
      <c r="AH56" s="52"/>
      <c r="AI56" s="61" t="str">
        <f>IF(L56="","",VLOOKUP($L56,classifications!$C:$J,8,FALSE))</f>
        <v>Suffolk</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0.29322846196306784</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1"/>
        <v>0.51342982078523303</v>
      </c>
      <c r="G57" s="105"/>
      <c r="H57" s="60">
        <f t="shared" si="2"/>
        <v>0.51342982078523303</v>
      </c>
      <c r="I57" s="112">
        <f>IF(H57="","",IF($I$8="A",(RANK(H57,H$11:H$363,1)+COUNTIF(H$11:H57,H57)-1),(RANK(H57,H$11:H$363)+COUNTIF(H$11:H57,H57)-1)))</f>
        <v>40</v>
      </c>
      <c r="J57" s="58"/>
      <c r="K57" s="51">
        <f t="shared" si="13"/>
        <v>47</v>
      </c>
      <c r="L57" s="59" t="str">
        <f t="shared" si="14"/>
        <v>Staffordshire Moorlands</v>
      </c>
      <c r="M57" s="153">
        <f t="shared" si="20"/>
        <v>0.50763483511271557</v>
      </c>
      <c r="N57" s="148">
        <f t="shared" si="21"/>
        <v>50.763483511271559</v>
      </c>
      <c r="O57" s="131">
        <f t="shared" si="3"/>
        <v>50.763483511271559</v>
      </c>
      <c r="P57" s="131" t="str">
        <f t="shared" si="15"/>
        <v/>
      </c>
      <c r="Q57" s="131" t="str">
        <f t="shared" si="16"/>
        <v/>
      </c>
      <c r="R57" s="127" t="str">
        <f t="shared" si="17"/>
        <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Rural-50</v>
      </c>
      <c r="Y57" s="49" t="str">
        <f t="shared" si="6"/>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Staffordshire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West Midlands</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0.51342982078523303</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1"/>
        <v>0.48530077377035924</v>
      </c>
      <c r="G58" s="105"/>
      <c r="H58" s="60">
        <f t="shared" si="2"/>
        <v>0.48530077377035924</v>
      </c>
      <c r="I58" s="112">
        <f>IF(H58="","",IF($I$8="A",(RANK(H58,H$11:H$363,1)+COUNTIF(H$11:H58,H58)-1),(RANK(H58,H$11:H$363)+COUNTIF(H$11:H58,H58)-1)))</f>
        <v>60</v>
      </c>
      <c r="J58" s="58"/>
      <c r="K58" s="51">
        <f t="shared" si="13"/>
        <v>48</v>
      </c>
      <c r="L58" s="59" t="str">
        <f t="shared" si="14"/>
        <v>Newcastle-under-Lyme</v>
      </c>
      <c r="M58" s="153">
        <f t="shared" si="20"/>
        <v>0.5073735994106463</v>
      </c>
      <c r="N58" s="148">
        <f t="shared" si="21"/>
        <v>50.737359941064632</v>
      </c>
      <c r="O58" s="131">
        <f t="shared" si="3"/>
        <v>50.737359941064632</v>
      </c>
      <c r="P58" s="131" t="str">
        <f t="shared" si="15"/>
        <v/>
      </c>
      <c r="Q58" s="131" t="str">
        <f t="shared" si="16"/>
        <v/>
      </c>
      <c r="R58" s="127" t="str">
        <f t="shared" si="17"/>
        <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Staffordshire</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West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0.48530077377035924</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t="str">
        <f>VLOOKUP(C59,classifications!C:K,9,FALSE)</f>
        <v>Sparse</v>
      </c>
      <c r="F59" s="59">
        <f t="shared" si="1"/>
        <v>0.43508692221239148</v>
      </c>
      <c r="G59" s="105"/>
      <c r="H59" s="60">
        <f t="shared" si="2"/>
        <v>0.43508692221239148</v>
      </c>
      <c r="I59" s="112">
        <f>IF(H59="","",IF($I$8="A",(RANK(H59,H$11:H$363,1)+COUNTIF(H$11:H59,H59)-1),(RANK(H59,H$11:H$363)+COUNTIF(H$11:H59,H59)-1)))</f>
        <v>107</v>
      </c>
      <c r="J59" s="58"/>
      <c r="K59" s="51">
        <f t="shared" si="13"/>
        <v>49</v>
      </c>
      <c r="L59" s="59" t="str">
        <f t="shared" si="14"/>
        <v>Blaby</v>
      </c>
      <c r="M59" s="153">
        <f t="shared" si="20"/>
        <v>0.50565532911270017</v>
      </c>
      <c r="N59" s="148">
        <f t="shared" si="21"/>
        <v>50.565532911270019</v>
      </c>
      <c r="O59" s="131">
        <f t="shared" si="3"/>
        <v>50.565532911270019</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Leicestershire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Midlands</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0.43508692221239148</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1"/>
        <v>0.54582609569892371</v>
      </c>
      <c r="G60" s="105"/>
      <c r="H60" s="60">
        <f t="shared" si="2"/>
        <v>0.54582609569892371</v>
      </c>
      <c r="I60" s="112">
        <f>IF(H60="","",IF($I$8="A",(RANK(H60,H$11:H$363,1)+COUNTIF(H$11:H60,H60)-1),(RANK(H60,H$11:H$363)+COUNTIF(H$11:H60,H60)-1)))</f>
        <v>24</v>
      </c>
      <c r="J60" s="58"/>
      <c r="K60" s="51">
        <f t="shared" si="13"/>
        <v>50</v>
      </c>
      <c r="L60" s="59" t="str">
        <f t="shared" si="14"/>
        <v>South Ribble</v>
      </c>
      <c r="M60" s="153">
        <f t="shared" si="20"/>
        <v>0.50539606257099867</v>
      </c>
      <c r="N60" s="148">
        <f t="shared" si="21"/>
        <v>50.539606257099869</v>
      </c>
      <c r="O60" s="131" t="str">
        <f t="shared" si="3"/>
        <v/>
      </c>
      <c r="P60" s="131">
        <f t="shared" si="15"/>
        <v>50.539606257099869</v>
      </c>
      <c r="Q60" s="131" t="str">
        <f t="shared" si="16"/>
        <v/>
      </c>
      <c r="R60" s="127" t="str">
        <f t="shared" si="17"/>
        <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Lancashire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North West</v>
      </c>
      <c r="AQ60" s="62">
        <f t="shared" si="10"/>
        <v>0.50539606257099867</v>
      </c>
      <c r="AR60" s="57">
        <f>IF(AQ60="","",IF(I$8="A",(RANK(AQ60,AQ$11:AQ$363,1)+COUNTIF(AQ$11:AQ60,AQ60)-1),(RANK(AQ60,AQ$11:AQ$363)+COUNTIF(AQ$11:AQ60,AQ60)-1)))</f>
        <v>1</v>
      </c>
      <c r="AS60" s="52" t="str">
        <f t="shared" si="23"/>
        <v/>
      </c>
      <c r="AT60" s="57" t="str">
        <f t="shared" si="11"/>
        <v/>
      </c>
      <c r="AU60" s="62" t="str">
        <f t="shared" si="12"/>
        <v/>
      </c>
      <c r="AX60" s="44">
        <f>HLOOKUP($AX$9&amp;$AX$10,Data!$A$1:$ZZ$2000,(MATCH($C60,Data!$A$1:$A$2000,0)),FALSE)</f>
        <v>0.54582609569892371</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1"/>
        <v>0.49771112755258412</v>
      </c>
      <c r="G61" s="105"/>
      <c r="H61" s="60" t="str">
        <f t="shared" si="2"/>
        <v/>
      </c>
      <c r="I61" s="112" t="str">
        <f>IF(H61="","",IF($I$8="A",(RANK(H61,H$11:H$363,1)+COUNTIF(H$11:H61,H61)-1),(RANK(H61,H$11:H$363)+COUNTIF(H$11:H61,H61)-1)))</f>
        <v/>
      </c>
      <c r="J61" s="58"/>
      <c r="K61" s="51">
        <f t="shared" si="13"/>
        <v>51</v>
      </c>
      <c r="L61" s="59" t="str">
        <f t="shared" si="14"/>
        <v>Oadby &amp; Wigston</v>
      </c>
      <c r="M61" s="153">
        <f t="shared" si="20"/>
        <v>0.50299453296035879</v>
      </c>
      <c r="N61" s="148">
        <f t="shared" si="21"/>
        <v>50.299453296035878</v>
      </c>
      <c r="O61" s="131" t="str">
        <f t="shared" si="3"/>
        <v/>
      </c>
      <c r="P61" s="131">
        <f t="shared" si="15"/>
        <v>50.299453296035878</v>
      </c>
      <c r="Q61" s="131" t="str">
        <f t="shared" si="16"/>
        <v/>
      </c>
      <c r="R61" s="127" t="str">
        <f t="shared" si="17"/>
        <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Leicestershire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East Midlands</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0.49771112755258412</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1"/>
        <v>0.4911940292845558</v>
      </c>
      <c r="G62" s="105"/>
      <c r="H62" s="60">
        <f t="shared" si="2"/>
        <v>0.4911940292845558</v>
      </c>
      <c r="I62" s="112">
        <f>IF(H62="","",IF($I$8="A",(RANK(H62,H$11:H$363,1)+COUNTIF(H$11:H62,H62)-1),(RANK(H62,H$11:H$363)+COUNTIF(H$11:H62,H62)-1)))</f>
        <v>58</v>
      </c>
      <c r="J62" s="58"/>
      <c r="K62" s="51">
        <f t="shared" si="13"/>
        <v>52</v>
      </c>
      <c r="L62" s="59" t="str">
        <f t="shared" si="14"/>
        <v>Brentwood</v>
      </c>
      <c r="M62" s="153">
        <f t="shared" si="20"/>
        <v>0.50298542854698691</v>
      </c>
      <c r="N62" s="148">
        <f t="shared" si="21"/>
        <v>50.298542854698688</v>
      </c>
      <c r="O62" s="131" t="str">
        <f t="shared" si="3"/>
        <v/>
      </c>
      <c r="P62" s="131">
        <f t="shared" si="15"/>
        <v>50.298542854698688</v>
      </c>
      <c r="Q62" s="131" t="str">
        <f t="shared" si="16"/>
        <v/>
      </c>
      <c r="R62" s="127" t="str">
        <f t="shared" si="17"/>
        <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Significant Rural</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Essex</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East of England</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0.4911940292845558</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1"/>
        <v>0.45874110140541247</v>
      </c>
      <c r="G63" s="105"/>
      <c r="H63" s="60">
        <f t="shared" si="2"/>
        <v>0.45874110140541247</v>
      </c>
      <c r="I63" s="112">
        <f>IF(H63="","",IF($I$8="A",(RANK(H63,H$11:H$363,1)+COUNTIF(H$11:H63,H63)-1),(RANK(H63,H$11:H$363)+COUNTIF(H$11:H63,H63)-1)))</f>
        <v>84</v>
      </c>
      <c r="J63" s="58"/>
      <c r="K63" s="51">
        <f t="shared" si="13"/>
        <v>53</v>
      </c>
      <c r="L63" s="59" t="str">
        <f t="shared" si="14"/>
        <v>East Lindsey</v>
      </c>
      <c r="M63" s="153">
        <f t="shared" si="20"/>
        <v>0.49798661083678647</v>
      </c>
      <c r="N63" s="148">
        <f t="shared" si="21"/>
        <v>49.798661083678645</v>
      </c>
      <c r="O63" s="131" t="str">
        <f t="shared" si="3"/>
        <v/>
      </c>
      <c r="P63" s="131">
        <f t="shared" si="15"/>
        <v>49.798661083678645</v>
      </c>
      <c r="Q63" s="131" t="str">
        <f t="shared" si="16"/>
        <v/>
      </c>
      <c r="R63" s="127" t="str">
        <f t="shared" si="17"/>
        <v/>
      </c>
      <c r="S63" s="60" t="str">
        <f t="shared" si="4"/>
        <v/>
      </c>
      <c r="T63" s="231" t="str">
        <f>IF(L63="","",VLOOKUP(L63,classifications!C:K,9,FALSE))</f>
        <v>Sparse</v>
      </c>
      <c r="U63" s="238">
        <f t="shared" si="26"/>
        <v>0.49798661083678647</v>
      </c>
      <c r="V63" s="239">
        <f>IF(U63="","",IF($I$8="A",(RANK(U63,U$11:U$363)+COUNTIF(U$11:U63,U63)-1),(RANK(U63,U$11:U$363,1)+COUNTIF(U$11:U63,U63)-1)))</f>
        <v>62</v>
      </c>
      <c r="W63" s="240"/>
      <c r="X63" s="61" t="str">
        <f>IF(L63="","",VLOOKUP($L63,classifications!$C:$J,6,FALSE))</f>
        <v>Rural-80</v>
      </c>
      <c r="Y63" s="49">
        <f t="shared" si="6"/>
        <v>0.49798661083678647</v>
      </c>
      <c r="Z63" s="57">
        <f>IF(Y63="","",IF(I$8="A",(RANK(Y63,Y$11:Y$363,1)+COUNTIF(Y$11:Y63,Y63)-1),(RANK(Y63,Y$11:Y$363)+COUNTIF(Y$11:Y63,Y63)-1)))</f>
        <v>18</v>
      </c>
      <c r="AA63" s="245" t="str">
        <f>IF(L63="","",VLOOKUP($L63,classifications!C:I,7,FALSE))</f>
        <v>Predominantly Rural</v>
      </c>
      <c r="AB63" s="239">
        <f t="shared" si="7"/>
        <v>0.49798661083678647</v>
      </c>
      <c r="AC63" s="239">
        <f>IF(AB63="","",IF($I$8="A",(RANK(AB63,AB$11:AB$363)+COUNTIF(AB$11:AB63,AB63)-1),(RANK(AB63,AB$11:AB$363,1)+COUNTIF(AB$11:AB63,AB63)-1)))</f>
        <v>41</v>
      </c>
      <c r="AD63" s="239"/>
      <c r="AE63" s="51" t="str">
        <f t="shared" si="25"/>
        <v/>
      </c>
      <c r="AG63" s="143"/>
      <c r="AH63" s="52"/>
      <c r="AI63" s="61" t="str">
        <f>IF(L63="","",VLOOKUP($L63,classifications!$C:$J,8,FALSE))</f>
        <v>Lincolnshire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East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0.45874110140541247</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f t="shared" si="1"/>
        <v>0.45573976677903172</v>
      </c>
      <c r="G64" s="105"/>
      <c r="H64" s="60">
        <f t="shared" si="2"/>
        <v>0.45573976677903172</v>
      </c>
      <c r="I64" s="112">
        <f>IF(H64="","",IF($I$8="A",(RANK(H64,H$11:H$363,1)+COUNTIF(H$11:H64,H64)-1),(RANK(H64,H$11:H$363)+COUNTIF(H$11:H64,H64)-1)))</f>
        <v>85</v>
      </c>
      <c r="J64" s="58"/>
      <c r="K64" s="51">
        <f t="shared" si="13"/>
        <v>54</v>
      </c>
      <c r="L64" s="59" t="str">
        <f t="shared" si="14"/>
        <v>Fylde</v>
      </c>
      <c r="M64" s="153">
        <f t="shared" si="20"/>
        <v>0.49469664670690877</v>
      </c>
      <c r="N64" s="148">
        <f t="shared" si="21"/>
        <v>49.469664670690875</v>
      </c>
      <c r="O64" s="131" t="str">
        <f t="shared" si="3"/>
        <v/>
      </c>
      <c r="P64" s="131">
        <f t="shared" si="15"/>
        <v>49.469664670690875</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Significant Rural</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Lancashire</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North West</v>
      </c>
      <c r="AQ64" s="62">
        <f t="shared" si="10"/>
        <v>0.49469664670690877</v>
      </c>
      <c r="AR64" s="57">
        <f>IF(AQ64="","",IF(I$8="A",(RANK(AQ64,AQ$11:AQ$363,1)+COUNTIF(AQ$11:AQ64,AQ64)-1),(RANK(AQ64,AQ$11:AQ$363)+COUNTIF(AQ$11:AQ64,AQ64)-1)))</f>
        <v>2</v>
      </c>
      <c r="AS64" s="52" t="str">
        <f t="shared" si="23"/>
        <v/>
      </c>
      <c r="AT64" s="57" t="str">
        <f t="shared" si="11"/>
        <v/>
      </c>
      <c r="AU64" s="62" t="str">
        <f t="shared" si="12"/>
        <v/>
      </c>
      <c r="AX64" s="44">
        <f>HLOOKUP($AX$9&amp;$AX$10,Data!$A$1:$ZZ$2000,(MATCH($C64,Data!$A$1:$A$2000,0)),FALSE)</f>
        <v>0.45573976677903172</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1"/>
        <v>0.53902874884278651</v>
      </c>
      <c r="G65" s="105"/>
      <c r="H65" s="60">
        <f t="shared" si="2"/>
        <v>0.53902874884278651</v>
      </c>
      <c r="I65" s="112">
        <f>IF(H65="","",IF($I$8="A",(RANK(H65,H$11:H$363,1)+COUNTIF(H$11:H65,H65)-1),(RANK(H65,H$11:H$363)+COUNTIF(H$11:H65,H65)-1)))</f>
        <v>25</v>
      </c>
      <c r="J65" s="58"/>
      <c r="K65" s="51">
        <f t="shared" si="13"/>
        <v>55</v>
      </c>
      <c r="L65" s="59" t="str">
        <f t="shared" si="14"/>
        <v>Daventry</v>
      </c>
      <c r="M65" s="153">
        <f t="shared" si="20"/>
        <v>0.49429602985991522</v>
      </c>
      <c r="N65" s="148">
        <f t="shared" si="21"/>
        <v>49.429602985991522</v>
      </c>
      <c r="O65" s="131" t="str">
        <f t="shared" si="3"/>
        <v/>
      </c>
      <c r="P65" s="131">
        <f t="shared" si="15"/>
        <v>49.429602985991522</v>
      </c>
      <c r="Q65" s="131" t="str">
        <f t="shared" si="16"/>
        <v/>
      </c>
      <c r="R65" s="127" t="str">
        <f t="shared" si="17"/>
        <v/>
      </c>
      <c r="S65" s="60" t="str">
        <f t="shared" si="4"/>
        <v/>
      </c>
      <c r="T65" s="231" t="str">
        <f>IF(L65="","",VLOOKUP(L65,classifications!C:K,9,FALSE))</f>
        <v>Sparse</v>
      </c>
      <c r="U65" s="238">
        <f t="shared" si="26"/>
        <v>0.49429602985991522</v>
      </c>
      <c r="V65" s="239">
        <f>IF(U65="","",IF($I$8="A",(RANK(U65,U$11:U$363)+COUNTIF(U$11:U65,U65)-1),(RANK(U65,U$11:U$363,1)+COUNTIF(U$11:U65,U65)-1)))</f>
        <v>61</v>
      </c>
      <c r="W65" s="240"/>
      <c r="X65" s="61" t="str">
        <f>IF(L65="","",VLOOKUP($L65,classifications!$C:$J,6,FALSE))</f>
        <v>Rural-80</v>
      </c>
      <c r="Y65" s="49">
        <f t="shared" si="6"/>
        <v>0.49429602985991522</v>
      </c>
      <c r="Z65" s="57">
        <f>IF(Y65="","",IF(I$8="A",(RANK(Y65,Y$11:Y$363,1)+COUNTIF(Y$11:Y65,Y65)-1),(RANK(Y65,Y$11:Y$363)+COUNTIF(Y$11:Y65,Y65)-1)))</f>
        <v>19</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Northamptonshire</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East Midlands</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0.53902874884278651</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1"/>
        <v>0.5328048509202683</v>
      </c>
      <c r="G66" s="105"/>
      <c r="H66" s="60" t="str">
        <f t="shared" si="2"/>
        <v/>
      </c>
      <c r="I66" s="112" t="str">
        <f>IF(H66="","",IF($I$8="A",(RANK(H66,H$11:H$363,1)+COUNTIF(H$11:H66,H66)-1),(RANK(H66,H$11:H$363)+COUNTIF(H$11:H66,H66)-1)))</f>
        <v/>
      </c>
      <c r="J66" s="58"/>
      <c r="K66" s="51">
        <f t="shared" si="13"/>
        <v>56</v>
      </c>
      <c r="L66" s="59" t="str">
        <f t="shared" si="14"/>
        <v>Wyre</v>
      </c>
      <c r="M66" s="153">
        <f t="shared" si="20"/>
        <v>0.49150863149809326</v>
      </c>
      <c r="N66" s="148">
        <f t="shared" si="21"/>
        <v>49.150863149809325</v>
      </c>
      <c r="O66" s="131" t="str">
        <f t="shared" si="3"/>
        <v/>
      </c>
      <c r="P66" s="131">
        <f t="shared" si="15"/>
        <v>49.150863149809325</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Significant Rural</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Lancashire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North West</v>
      </c>
      <c r="AQ66" s="62">
        <f t="shared" si="10"/>
        <v>0.49150863149809326</v>
      </c>
      <c r="AR66" s="57">
        <f>IF(AQ66="","",IF(I$8="A",(RANK(AQ66,AQ$11:AQ$363,1)+COUNTIF(AQ$11:AQ66,AQ66)-1),(RANK(AQ66,AQ$11:AQ$363)+COUNTIF(AQ$11:AQ66,AQ66)-1)))</f>
        <v>3</v>
      </c>
      <c r="AS66" s="52" t="str">
        <f t="shared" si="23"/>
        <v/>
      </c>
      <c r="AT66" s="57" t="str">
        <f t="shared" si="11"/>
        <v/>
      </c>
      <c r="AU66" s="62" t="str">
        <f t="shared" si="12"/>
        <v/>
      </c>
      <c r="AX66" s="44">
        <f>HLOOKUP($AX$9&amp;$AX$10,Data!$A$1:$ZZ$2000,(MATCH($C66,Data!$A$1:$A$2000,0)),FALSE)</f>
        <v>0.5328048509202683</v>
      </c>
      <c r="AY66" s="156"/>
      <c r="AZ66" s="44"/>
    </row>
    <row r="67" spans="1:52">
      <c r="A67" s="84" t="str">
        <f>$D$1&amp;57</f>
        <v>SD57</v>
      </c>
      <c r="B67" s="85" t="str">
        <f>IF(ISERROR(VLOOKUP(A67,classifications!A:C,3,FALSE)),0,VLOOKUP(A67,classifications!A:C,3,FALSE))</f>
        <v>Scarborough</v>
      </c>
      <c r="C67" s="31" t="s">
        <v>822</v>
      </c>
      <c r="D67" s="49" t="str">
        <f>VLOOKUP($C67,classifications!$C:$J,4,FALSE)</f>
        <v>UA</v>
      </c>
      <c r="E67" s="49" t="str">
        <f>VLOOKUP(C67,classifications!C:K,9,FALSE)</f>
        <v>Sparse</v>
      </c>
      <c r="F67" s="59">
        <f t="shared" si="1"/>
        <v>0.5749243283140808</v>
      </c>
      <c r="G67" s="105"/>
      <c r="H67" s="60" t="str">
        <f t="shared" si="2"/>
        <v/>
      </c>
      <c r="I67" s="112" t="str">
        <f>IF(H67="","",IF($I$8="A",(RANK(H67,H$11:H$363,1)+COUNTIF(H$11:H67,H67)-1),(RANK(H67,H$11:H$363)+COUNTIF(H$11:H67,H67)-1)))</f>
        <v/>
      </c>
      <c r="J67" s="58"/>
      <c r="K67" s="51">
        <f t="shared" si="13"/>
        <v>57</v>
      </c>
      <c r="L67" s="59" t="str">
        <f t="shared" si="14"/>
        <v>Elmbridge</v>
      </c>
      <c r="M67" s="153">
        <f t="shared" si="20"/>
        <v>0.4914766383742683</v>
      </c>
      <c r="N67" s="148">
        <f t="shared" si="21"/>
        <v>49.147663837426833</v>
      </c>
      <c r="O67" s="131" t="str">
        <f t="shared" si="3"/>
        <v/>
      </c>
      <c r="P67" s="131">
        <f t="shared" si="15"/>
        <v>49.147663837426833</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Major Urban</v>
      </c>
      <c r="Y67" s="49" t="str">
        <f t="shared" si="6"/>
        <v/>
      </c>
      <c r="Z67" s="57" t="str">
        <f>IF(Y67="","",IF(I$8="A",(RANK(Y67,Y$11:Y$363,1)+COUNTIF(Y$11:Y67,Y67)-1),(RANK(Y67,Y$11:Y$363)+COUNTIF(Y$11:Y67,Y67)-1)))</f>
        <v/>
      </c>
      <c r="AA67" s="245" t="str">
        <f>IF(L67="","",VLOOKUP($L67,classifications!C:I,7,FALSE))</f>
        <v>Predominantly Urban</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Surrey</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South East</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0.5749243283140808</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1"/>
        <v>0.41513496409111045</v>
      </c>
      <c r="G68" s="105"/>
      <c r="H68" s="60">
        <f t="shared" si="2"/>
        <v>0.41513496409111045</v>
      </c>
      <c r="I68" s="112">
        <f>IF(H68="","",IF($I$8="A",(RANK(H68,H$11:H$363,1)+COUNTIF(H$11:H68,H68)-1),(RANK(H68,H$11:H$363)+COUNTIF(H$11:H68,H68)-1)))</f>
        <v>123</v>
      </c>
      <c r="J68" s="58"/>
      <c r="K68" s="51">
        <f t="shared" si="13"/>
        <v>58</v>
      </c>
      <c r="L68" s="59" t="str">
        <f t="shared" si="14"/>
        <v>Charnwood</v>
      </c>
      <c r="M68" s="153">
        <f t="shared" si="20"/>
        <v>0.4911940292845558</v>
      </c>
      <c r="N68" s="148">
        <f t="shared" si="21"/>
        <v>49.119402928455578</v>
      </c>
      <c r="O68" s="131" t="str">
        <f t="shared" si="3"/>
        <v/>
      </c>
      <c r="P68" s="131">
        <f t="shared" si="15"/>
        <v>49.119402928455578</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Other Urban</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Leicestershire</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East Midlands</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0.41513496409111045</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1"/>
        <v>0.3949585857292045</v>
      </c>
      <c r="G69" s="105"/>
      <c r="H69" s="60">
        <f t="shared" si="2"/>
        <v>0.3949585857292045</v>
      </c>
      <c r="I69" s="112">
        <f>IF(H69="","",IF($I$8="A",(RANK(H69,H$11:H$363,1)+COUNTIF(H$11:H69,H69)-1),(RANK(H69,H$11:H$363)+COUNTIF(H$11:H69,H69)-1)))</f>
        <v>137</v>
      </c>
      <c r="J69" s="58"/>
      <c r="K69" s="51">
        <f t="shared" si="13"/>
        <v>59</v>
      </c>
      <c r="L69" s="59" t="str">
        <f t="shared" si="14"/>
        <v>Chorley</v>
      </c>
      <c r="M69" s="153">
        <f t="shared" si="20"/>
        <v>0.48665604514495353</v>
      </c>
      <c r="N69" s="148">
        <f t="shared" si="21"/>
        <v>48.665604514495357</v>
      </c>
      <c r="O69" s="131" t="str">
        <f t="shared" si="3"/>
        <v/>
      </c>
      <c r="P69" s="131">
        <f t="shared" si="15"/>
        <v>48.665604514495357</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Significant Rural</v>
      </c>
      <c r="Y69" s="49" t="str">
        <f t="shared" si="6"/>
        <v/>
      </c>
      <c r="Z69" s="57" t="str">
        <f>IF(Y69="","",IF(I$8="A",(RANK(Y69,Y$11:Y$363,1)+COUNTIF(Y$11:Y69,Y69)-1),(RANK(Y69,Y$11:Y$363)+COUNTIF(Y$11:Y69,Y69)-1)))</f>
        <v/>
      </c>
      <c r="AA69" s="245" t="str">
        <f>IF(L69="","",VLOOKUP($L69,classifications!C:I,7,FALSE))</f>
        <v>Significant Rural</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Lancashire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North West</v>
      </c>
      <c r="AQ69" s="62">
        <f t="shared" si="10"/>
        <v>0.48665604514495353</v>
      </c>
      <c r="AR69" s="57">
        <f>IF(AQ69="","",IF(I$8="A",(RANK(AQ69,AQ$11:AQ$363,1)+COUNTIF(AQ$11:AQ69,AQ69)-1),(RANK(AQ69,AQ$11:AQ$363)+COUNTIF(AQ$11:AQ69,AQ69)-1)))</f>
        <v>4</v>
      </c>
      <c r="AS69" s="52" t="str">
        <f t="shared" si="23"/>
        <v/>
      </c>
      <c r="AT69" s="57" t="str">
        <f t="shared" si="11"/>
        <v/>
      </c>
      <c r="AU69" s="62" t="str">
        <f t="shared" si="12"/>
        <v/>
      </c>
      <c r="AX69" s="44">
        <f>HLOOKUP($AX$9&amp;$AX$10,Data!$A$1:$ZZ$2000,(MATCH($C69,Data!$A$1:$A$2000,0)),FALSE)</f>
        <v>0.3949585857292045</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1"/>
        <v>0.53315074748243541</v>
      </c>
      <c r="G70" s="105"/>
      <c r="H70" s="60">
        <f t="shared" si="2"/>
        <v>0.53315074748243541</v>
      </c>
      <c r="I70" s="112">
        <f>IF(H70="","",IF($I$8="A",(RANK(H70,H$11:H$363,1)+COUNTIF(H$11:H70,H70)-1),(RANK(H70,H$11:H$363)+COUNTIF(H$11:H70,H70)-1)))</f>
        <v>29</v>
      </c>
      <c r="J70" s="58"/>
      <c r="K70" s="51">
        <f t="shared" si="13"/>
        <v>60</v>
      </c>
      <c r="L70" s="59" t="str">
        <f t="shared" si="14"/>
        <v>Canterbury</v>
      </c>
      <c r="M70" s="153">
        <f t="shared" si="20"/>
        <v>0.48530077377035924</v>
      </c>
      <c r="N70" s="148">
        <f t="shared" si="21"/>
        <v>48.530077377035923</v>
      </c>
      <c r="O70" s="131" t="str">
        <f t="shared" si="3"/>
        <v/>
      </c>
      <c r="P70" s="131">
        <f t="shared" si="15"/>
        <v>48.530077377035923</v>
      </c>
      <c r="Q70" s="131" t="str">
        <f t="shared" si="16"/>
        <v/>
      </c>
      <c r="R70" s="127" t="str">
        <f t="shared" si="17"/>
        <v/>
      </c>
      <c r="S70" s="60" t="str">
        <f t="shared" si="4"/>
        <v/>
      </c>
      <c r="T70" s="231">
        <f>IF(L70="","",VLOOKUP(L70,classifications!C:K,9,FALSE))</f>
        <v>0</v>
      </c>
      <c r="U70" s="238" t="str">
        <f t="shared" si="26"/>
        <v/>
      </c>
      <c r="V70" s="239" t="str">
        <f>IF(U70="","",IF($I$8="A",(RANK(U70,U$11:U$363)+COUNTIF(U$11:U70,U70)-1),(RANK(U70,U$11:U$363,1)+COUNTIF(U$11:U70,U70)-1)))</f>
        <v/>
      </c>
      <c r="W70" s="240"/>
      <c r="X70" s="61" t="str">
        <f>IF(L70="","",VLOOKUP($L70,classifications!$C:$J,6,FALSE))</f>
        <v>Other Urban</v>
      </c>
      <c r="Y70" s="49" t="str">
        <f t="shared" si="6"/>
        <v/>
      </c>
      <c r="Z70" s="57" t="str">
        <f>IF(Y70="","",IF(I$8="A",(RANK(Y70,Y$11:Y$363,1)+COUNTIF(Y$11:Y70,Y70)-1),(RANK(Y70,Y$11:Y$363)+COUNTIF(Y$11:Y70,Y70)-1)))</f>
        <v/>
      </c>
      <c r="AA70" s="245" t="str">
        <f>IF(L70="","",VLOOKUP($L70,classifications!C:I,7,FALSE))</f>
        <v>Significant Rural</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Kent</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South East</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0.53315074748243541</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1"/>
        <v>0.48665604514495353</v>
      </c>
      <c r="G71" s="105"/>
      <c r="H71" s="60">
        <f t="shared" si="2"/>
        <v>0.48665604514495353</v>
      </c>
      <c r="I71" s="112">
        <f>IF(H71="","",IF($I$8="A",(RANK(H71,H$11:H$363,1)+COUNTIF(H$11:H71,H71)-1),(RANK(H71,H$11:H$363)+COUNTIF(H$11:H71,H71)-1)))</f>
        <v>59</v>
      </c>
      <c r="J71" s="58"/>
      <c r="K71" s="51">
        <f t="shared" si="13"/>
        <v>61</v>
      </c>
      <c r="L71" s="59" t="str">
        <f t="shared" si="14"/>
        <v>East Hertfordshire</v>
      </c>
      <c r="M71" s="153">
        <f t="shared" si="20"/>
        <v>0.48484562449853325</v>
      </c>
      <c r="N71" s="148">
        <f t="shared" si="21"/>
        <v>48.484562449853321</v>
      </c>
      <c r="O71" s="131" t="str">
        <f t="shared" si="3"/>
        <v/>
      </c>
      <c r="P71" s="131">
        <f t="shared" si="15"/>
        <v>48.484562449853321</v>
      </c>
      <c r="Q71" s="131" t="str">
        <f t="shared" si="16"/>
        <v/>
      </c>
      <c r="R71" s="127" t="str">
        <f t="shared" si="17"/>
        <v/>
      </c>
      <c r="S71" s="60" t="str">
        <f t="shared" si="4"/>
        <v/>
      </c>
      <c r="T71" s="231" t="str">
        <f>IF(L71="","",VLOOKUP(L71,classifications!C:K,9,FALSE))</f>
        <v>Sparse</v>
      </c>
      <c r="U71" s="238">
        <f t="shared" si="26"/>
        <v>0.48484562449853325</v>
      </c>
      <c r="V71" s="239">
        <f>IF(U71="","",IF($I$8="A",(RANK(U71,U$11:U$363)+COUNTIF(U$11:U71,U71)-1),(RANK(U71,U$11:U$363,1)+COUNTIF(U$11:U71,U71)-1)))</f>
        <v>60</v>
      </c>
      <c r="W71" s="240"/>
      <c r="X71" s="61" t="str">
        <f>IF(L71="","",VLOOKUP($L71,classifications!$C:$J,6,FALSE))</f>
        <v>Significant Rural</v>
      </c>
      <c r="Y71" s="49" t="str">
        <f t="shared" si="6"/>
        <v/>
      </c>
      <c r="Z71" s="57" t="str">
        <f>IF(Y71="","",IF(I$8="A",(RANK(Y71,Y$11:Y$363,1)+COUNTIF(Y$11:Y71,Y71)-1),(RANK(Y71,Y$11:Y$363)+COUNTIF(Y$11:Y71,Y71)-1)))</f>
        <v/>
      </c>
      <c r="AA71" s="245" t="str">
        <f>IF(L71="","",VLOOKUP($L71,classifications!C:I,7,FALSE))</f>
        <v>Predominantly Urban</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Hertfordshire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of England</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0.48665604514495353</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t="str">
        <f t="shared" si="1"/>
        <v/>
      </c>
      <c r="G72" s="105"/>
      <c r="H72" s="60" t="str">
        <f t="shared" si="2"/>
        <v/>
      </c>
      <c r="I72" s="112" t="str">
        <f>IF(H72="","",IF($I$8="A",(RANK(H72,H$11:H$363,1)+COUNTIF(H$11:H72,H72)-1),(RANK(H72,H$11:H$363)+COUNTIF(H$11:H72,H72)-1)))</f>
        <v/>
      </c>
      <c r="J72" s="58"/>
      <c r="K72" s="51">
        <f t="shared" si="13"/>
        <v>62</v>
      </c>
      <c r="L72" s="59" t="str">
        <f t="shared" si="14"/>
        <v>Forest of Dean</v>
      </c>
      <c r="M72" s="153">
        <f t="shared" si="20"/>
        <v>0.48320440679736038</v>
      </c>
      <c r="N72" s="148">
        <f t="shared" si="21"/>
        <v>48.320440679736038</v>
      </c>
      <c r="O72" s="131" t="str">
        <f t="shared" si="3"/>
        <v/>
      </c>
      <c r="P72" s="131">
        <f t="shared" si="15"/>
        <v>48.320440679736038</v>
      </c>
      <c r="Q72" s="131" t="str">
        <f t="shared" si="16"/>
        <v/>
      </c>
      <c r="R72" s="127" t="str">
        <f t="shared" si="17"/>
        <v/>
      </c>
      <c r="S72" s="60" t="str">
        <f t="shared" si="4"/>
        <v/>
      </c>
      <c r="T72" s="231" t="str">
        <f>IF(L72="","",VLOOKUP(L72,classifications!C:K,9,FALSE))</f>
        <v>Sparse</v>
      </c>
      <c r="U72" s="238">
        <f t="shared" si="26"/>
        <v>0.48320440679736038</v>
      </c>
      <c r="V72" s="239">
        <f>IF(U72="","",IF($I$8="A",(RANK(U72,U$11:U$363)+COUNTIF(U$11:U72,U72)-1),(RANK(U72,U$11:U$363,1)+COUNTIF(U$11:U72,U72)-1)))</f>
        <v>59</v>
      </c>
      <c r="W72" s="240"/>
      <c r="X72" s="61" t="str">
        <f>IF(L72="","",VLOOKUP($L72,classifications!$C:$J,6,FALSE))</f>
        <v>Rural-80</v>
      </c>
      <c r="Y72" s="49">
        <f t="shared" si="6"/>
        <v>0.48320440679736038</v>
      </c>
      <c r="Z72" s="57">
        <f>IF(Y72="","",IF(I$8="A",(RANK(Y72,Y$11:Y$363,1)+COUNTIF(Y$11:Y72,Y72)-1),(RANK(Y72,Y$11:Y$363)+COUNTIF(Y$11:Y72,Y72)-1)))</f>
        <v>20</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Gloucestershire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South West</v>
      </c>
      <c r="AQ72" s="62" t="str">
        <f t="shared" si="10"/>
        <v/>
      </c>
      <c r="AR72" s="57" t="str">
        <f>IF(AQ72="","",IF(I$8="A",(RANK(AQ72,AQ$11:AQ$363,1)+COUNTIF(AQ$11:AQ72,AQ72)-1),(RANK(AQ72,AQ$11:AQ$363)+COUNTIF(AQ$11:AQ72,AQ72)-1)))</f>
        <v/>
      </c>
      <c r="AS72" s="52" t="str">
        <f t="shared" si="23"/>
        <v/>
      </c>
      <c r="AT72" s="57" t="str">
        <f t="shared" si="11"/>
        <v/>
      </c>
      <c r="AU72" s="62" t="str">
        <f t="shared" si="12"/>
        <v/>
      </c>
      <c r="AX72" s="44" t="str">
        <f>HLOOKUP($AX$9&amp;$AX$10,Data!$A$1:$ZZ$2000,(MATCH($C72,Data!$A$1:$A$2000,0)),FALSE)</f>
        <v/>
      </c>
      <c r="AY72" s="156"/>
      <c r="AZ72" s="44"/>
    </row>
    <row r="73" spans="1:52">
      <c r="A73" s="84" t="str">
        <f>$D$1&amp;63</f>
        <v>SD63</v>
      </c>
      <c r="B73" s="85" t="str">
        <f>IF(ISERROR(VLOOKUP(A73,classifications!A:C,3,FALSE)),0,VLOOKUP(A73,classifications!A:C,3,FALSE))</f>
        <v>South Derbyshire</v>
      </c>
      <c r="C73" s="31" t="s">
        <v>374</v>
      </c>
      <c r="D73" s="49" t="str">
        <f>VLOOKUP($C73,classifications!$C:$J,4,FALSE)</f>
        <v>L</v>
      </c>
      <c r="E73" s="49">
        <f>VLOOKUP(C73,classifications!C:K,9,FALSE)</f>
        <v>0</v>
      </c>
      <c r="F73" s="59">
        <f t="shared" si="1"/>
        <v>0.38801533845147079</v>
      </c>
      <c r="G73" s="105"/>
      <c r="H73" s="60" t="str">
        <f t="shared" si="2"/>
        <v/>
      </c>
      <c r="I73" s="112" t="str">
        <f>IF(H73="","",IF($I$8="A",(RANK(H73,H$11:H$363,1)+COUNTIF(H$11:H73,H73)-1),(RANK(H73,H$11:H$363)+COUNTIF(H$11:H73,H73)-1)))</f>
        <v/>
      </c>
      <c r="J73" s="58"/>
      <c r="K73" s="51">
        <f t="shared" si="13"/>
        <v>63</v>
      </c>
      <c r="L73" s="59" t="str">
        <f t="shared" si="14"/>
        <v>South Derbyshire</v>
      </c>
      <c r="M73" s="153">
        <f t="shared" si="20"/>
        <v>0.48181228496988615</v>
      </c>
      <c r="N73" s="148">
        <f t="shared" si="21"/>
        <v>48.181228496988616</v>
      </c>
      <c r="O73" s="131" t="str">
        <f t="shared" si="3"/>
        <v/>
      </c>
      <c r="P73" s="131">
        <f t="shared" si="15"/>
        <v>48.181228496988616</v>
      </c>
      <c r="Q73" s="131" t="str">
        <f t="shared" si="16"/>
        <v/>
      </c>
      <c r="R73" s="127" t="str">
        <f t="shared" si="17"/>
        <v/>
      </c>
      <c r="S73" s="60" t="str">
        <f t="shared" si="4"/>
        <v/>
      </c>
      <c r="T73" s="231" t="str">
        <f>IF(L73="","",VLOOKUP(L73,classifications!C:K,9,FALSE))</f>
        <v>Sparse</v>
      </c>
      <c r="U73" s="238">
        <f t="shared" si="26"/>
        <v>0.48181228496988615</v>
      </c>
      <c r="V73" s="239">
        <f>IF(U73="","",IF($I$8="A",(RANK(U73,U$11:U$363)+COUNTIF(U$11:U73,U73)-1),(RANK(U73,U$11:U$363,1)+COUNTIF(U$11:U73,U73)-1)))</f>
        <v>58</v>
      </c>
      <c r="W73" s="240"/>
      <c r="X73" s="61" t="str">
        <f>IF(L73="","",VLOOKUP($L73,classifications!$C:$J,6,FALSE))</f>
        <v>Significant Rural</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Derbyshire</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East Midlands</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0.38801533845147079</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1"/>
        <v>0.32861622748730529</v>
      </c>
      <c r="G74" s="105"/>
      <c r="H74" s="60" t="str">
        <f t="shared" si="2"/>
        <v/>
      </c>
      <c r="I74" s="112" t="str">
        <f>IF(H74="","",IF($I$8="A",(RANK(H74,H$11:H$363,1)+COUNTIF(H$11:H74,H74)-1),(RANK(H74,H$11:H$363)+COUNTIF(H$11:H74,H74)-1)))</f>
        <v/>
      </c>
      <c r="J74" s="58"/>
      <c r="K74" s="51">
        <f t="shared" si="13"/>
        <v>64</v>
      </c>
      <c r="L74" s="59" t="str">
        <f t="shared" si="14"/>
        <v>South Kesteven</v>
      </c>
      <c r="M74" s="153">
        <f t="shared" si="20"/>
        <v>0.47733208864810794</v>
      </c>
      <c r="N74" s="148">
        <f t="shared" si="21"/>
        <v>47.733208864810791</v>
      </c>
      <c r="O74" s="131" t="str">
        <f t="shared" si="3"/>
        <v/>
      </c>
      <c r="P74" s="131">
        <f t="shared" si="15"/>
        <v>47.733208864810791</v>
      </c>
      <c r="Q74" s="131" t="str">
        <f t="shared" si="16"/>
        <v/>
      </c>
      <c r="R74" s="127" t="str">
        <f t="shared" si="17"/>
        <v/>
      </c>
      <c r="S74" s="60" t="str">
        <f t="shared" si="4"/>
        <v/>
      </c>
      <c r="T74" s="231" t="str">
        <f>IF(L74="","",VLOOKUP(L74,classifications!C:K,9,FALSE))</f>
        <v>Sparse</v>
      </c>
      <c r="U74" s="238">
        <f t="shared" si="26"/>
        <v>0.47733208864810794</v>
      </c>
      <c r="V74" s="239">
        <f>IF(U74="","",IF($I$8="A",(RANK(U74,U$11:U$363)+COUNTIF(U$11:U74,U74)-1),(RANK(U74,U$11:U$363,1)+COUNTIF(U$11:U74,U74)-1)))</f>
        <v>57</v>
      </c>
      <c r="W74" s="240"/>
      <c r="X74" s="61" t="str">
        <f>IF(L74="","",VLOOKUP($L74,classifications!$C:$J,6,FALSE))</f>
        <v>Rural-50</v>
      </c>
      <c r="Y74" s="49" t="str">
        <f t="shared" si="6"/>
        <v/>
      </c>
      <c r="Z74" s="57" t="str">
        <f>IF(Y74="","",IF(I$8="A",(RANK(Y74,Y$11:Y$363,1)+COUNTIF(Y$11:Y74,Y74)-1),(RANK(Y74,Y$11:Y$363)+COUNTIF(Y$11:Y74,Y74)-1)))</f>
        <v/>
      </c>
      <c r="AA74" s="245" t="str">
        <f>IF(L74="","",VLOOKUP($L74,classifications!C:I,7,FALSE))</f>
        <v>Predominantly Rural</v>
      </c>
      <c r="AB74" s="239">
        <f t="shared" si="7"/>
        <v>0.47733208864810794</v>
      </c>
      <c r="AC74" s="239">
        <f>IF(AB74="","",IF($I$8="A",(RANK(AB74,AB$11:AB$363)+COUNTIF(AB$11:AB74,AB74)-1),(RANK(AB74,AB$11:AB$363,1)+COUNTIF(AB$11:AB74,AB74)-1)))</f>
        <v>40</v>
      </c>
      <c r="AD74" s="239"/>
      <c r="AE74" s="51" t="str">
        <f t="shared" si="25"/>
        <v/>
      </c>
      <c r="AG74" s="143"/>
      <c r="AH74" s="52"/>
      <c r="AI74" s="61" t="str">
        <f>IF(L74="","",VLOOKUP($L74,classifications!$C:$J,8,FALSE))</f>
        <v>Lincolnshire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Midlands</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0.32861622748730529</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0.41181964071251292</v>
      </c>
      <c r="G75" s="105"/>
      <c r="H75" s="60">
        <f t="shared" ref="H75:H138" si="28">IF(D75=$D$1,HLOOKUP($D$6,$AX$10:$ZZ$363,ROW()-9,FALSE),"")</f>
        <v>0.41181964071251292</v>
      </c>
      <c r="I75" s="112">
        <f>IF(H75="","",IF($I$8="A",(RANK(H75,H$11:H$363,1)+COUNTIF(H$11:H75,H75)-1),(RANK(H75,H$11:H$363)+COUNTIF(H$11:H75,H75)-1)))</f>
        <v>127</v>
      </c>
      <c r="J75" s="58"/>
      <c r="K75" s="51">
        <f t="shared" si="13"/>
        <v>65</v>
      </c>
      <c r="L75" s="59" t="str">
        <f t="shared" ref="L75:L138" si="29">IF(K75="","",INDEX(C$11:C$363,MATCH(K75,I$11:I$363,0)))</f>
        <v>St Albans</v>
      </c>
      <c r="M75" s="153">
        <f t="shared" si="20"/>
        <v>0.47668863037973225</v>
      </c>
      <c r="N75" s="148">
        <f t="shared" si="21"/>
        <v>47.668863037973225</v>
      </c>
      <c r="O75" s="131" t="str">
        <f t="shared" ref="O75:O138" si="30">IF(I$8="A",IF(N75&gt;=$P$7,IF(N75&lt;=$O$10,N75,""),""),IF(N75&lt;=$P$7,IF(N75&gt;=$O$10,N75,""),""))</f>
        <v/>
      </c>
      <c r="P75" s="131">
        <f t="shared" si="15"/>
        <v>47.668863037973225</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Significant Rural</v>
      </c>
      <c r="Y75" s="49" t="str">
        <f t="shared" si="6"/>
        <v/>
      </c>
      <c r="Z75" s="57" t="str">
        <f>IF(Y75="","",IF(I$8="A",(RANK(Y75,Y$11:Y$363,1)+COUNTIF(Y$11:Y75,Y75)-1),(RANK(Y75,Y$11:Y$363)+COUNTIF(Y$11:Y75,Y75)-1)))</f>
        <v/>
      </c>
      <c r="AA75" s="245" t="str">
        <f>IF(L75="","",VLOOKUP($L75,classifications!C:I,7,FALSE))</f>
        <v>Predominantly Urban</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Hertfordshire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of England</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0.41181964071251292</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0.33488858698381985</v>
      </c>
      <c r="G76" s="105"/>
      <c r="H76" s="60">
        <f t="shared" si="28"/>
        <v>0.33488858698381985</v>
      </c>
      <c r="I76" s="112">
        <f>IF(H76="","",IF($I$8="A",(RANK(H76,H$11:H$363,1)+COUNTIF(H$11:H76,H76)-1),(RANK(H76,H$11:H$363)+COUNTIF(H$11:H76,H76)-1)))</f>
        <v>164</v>
      </c>
      <c r="J76" s="58"/>
      <c r="K76" s="51">
        <f t="shared" si="13"/>
        <v>66</v>
      </c>
      <c r="L76" s="59" t="str">
        <f t="shared" si="29"/>
        <v>Wycombe</v>
      </c>
      <c r="M76" s="153">
        <f t="shared" ref="M76:M139" si="33">IF(L76="","",IF(VLOOKUP(L76,C:D,2,FALSE)=$F$3,VLOOKUP(L76,C:H,6,FALSE),""))</f>
        <v>0.47196672158175118</v>
      </c>
      <c r="N76" s="148">
        <f t="shared" ref="N76:N139" si="34">IF(L76="","",IF($H$8="%%",M76*100,M76))</f>
        <v>47.196672158175119</v>
      </c>
      <c r="O76" s="131" t="str">
        <f t="shared" si="30"/>
        <v/>
      </c>
      <c r="P76" s="131">
        <f t="shared" si="15"/>
        <v>47.196672158175119</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Significant Rural</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Buckinghamshire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South East</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0.33488858698381985</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0.45444127409908402</v>
      </c>
      <c r="G77" s="105"/>
      <c r="H77" s="60">
        <f t="shared" si="28"/>
        <v>0.45444127409908402</v>
      </c>
      <c r="I77" s="112">
        <f>IF(H77="","",IF($I$8="A",(RANK(H77,H$11:H$363,1)+COUNTIF(H$11:H77,H77)-1),(RANK(H77,H$11:H$363)+COUNTIF(H$11:H77,H77)-1)))</f>
        <v>87</v>
      </c>
      <c r="J77" s="58"/>
      <c r="K77" s="51">
        <f t="shared" ref="K77:K140" si="43">IF(K76="","",IF(K76+1&gt;(COUNT(H$11:H$363)),"",K76+1))</f>
        <v>67</v>
      </c>
      <c r="L77" s="59" t="str">
        <f t="shared" si="29"/>
        <v>North Kesteven</v>
      </c>
      <c r="M77" s="153">
        <f t="shared" si="33"/>
        <v>0.47005393325679923</v>
      </c>
      <c r="N77" s="148">
        <f t="shared" si="34"/>
        <v>47.005393325679925</v>
      </c>
      <c r="O77" s="131" t="str">
        <f t="shared" si="30"/>
        <v/>
      </c>
      <c r="P77" s="131">
        <f t="shared" ref="P77:P140" si="44">IF(I$8="A",IF(N77&gt;$O$10,IF(N77&lt;=$P$10,N77,""),""),IF(N77&lt;$O$10,IF(N77&gt;=$P$10,N77,""),""))</f>
        <v>47.005393325679925</v>
      </c>
      <c r="Q77" s="131" t="str">
        <f t="shared" ref="Q77:Q140" si="45">IF(I$8="A",IF(N77&gt;$P$10,IF(N77&lt;=$Q$10,N77,""),""),IF(N77&lt;$P$10,IF(N77&gt;=$Q$10,N77,""),""))</f>
        <v/>
      </c>
      <c r="R77" s="127" t="str">
        <f t="shared" ref="R77:R140" si="46">IF(I$8="A",IF(N77&gt;$Q$10,N77,""),IF(N77&lt;$Q$10,N77,""))</f>
        <v/>
      </c>
      <c r="S77" s="60" t="str">
        <f t="shared" si="35"/>
        <v/>
      </c>
      <c r="T77" s="231" t="str">
        <f>IF(L77="","",VLOOKUP(L77,classifications!C:K,9,FALSE))</f>
        <v>Sparse</v>
      </c>
      <c r="U77" s="238">
        <f t="shared" si="31"/>
        <v>0.47005393325679923</v>
      </c>
      <c r="V77" s="239">
        <f>IF(U77="","",IF($I$8="A",(RANK(U77,U$11:U$363)+COUNTIF(U$11:U77,U77)-1),(RANK(U77,U$11:U$363,1)+COUNTIF(U$11:U77,U77)-1)))</f>
        <v>56</v>
      </c>
      <c r="W77" s="240"/>
      <c r="X77" s="61" t="str">
        <f>IF(L77="","",VLOOKUP($L77,classifications!$C:$J,6,FALSE))</f>
        <v>Rural-80</v>
      </c>
      <c r="Y77" s="49">
        <f t="shared" si="36"/>
        <v>0.47005393325679923</v>
      </c>
      <c r="Z77" s="57">
        <f>IF(Y77="","",IF(I$8="A",(RANK(Y77,Y$11:Y$363,1)+COUNTIF(Y$11:Y77,Y77)-1),(RANK(Y77,Y$11:Y$363)+COUNTIF(Y$11:Y77,Y77)-1)))</f>
        <v>21</v>
      </c>
      <c r="AA77" s="245" t="str">
        <f>IF(L77="","",VLOOKUP($L77,classifications!C:I,7,FALSE))</f>
        <v>Predominantly Rural</v>
      </c>
      <c r="AB77" s="239">
        <f t="shared" si="37"/>
        <v>0.47005393325679923</v>
      </c>
      <c r="AC77" s="239">
        <f>IF(AB77="","",IF($I$8="A",(RANK(AB77,AB$11:AB$363)+COUNTIF(AB$11:AB77,AB77)-1),(RANK(AB77,AB$11:AB$363,1)+COUNTIF(AB$11:AB77,AB77)-1)))</f>
        <v>39</v>
      </c>
      <c r="AD77" s="239"/>
      <c r="AE77" s="51" t="str">
        <f t="shared" si="25"/>
        <v/>
      </c>
      <c r="AG77" s="143"/>
      <c r="AH77" s="52"/>
      <c r="AI77" s="61" t="str">
        <f>IF(L77="","",VLOOKUP($L77,classifications!$C:$J,8,FALSE))</f>
        <v>Lincolnshire</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East Midlands</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0.45444127409908402</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0.35145816909261685</v>
      </c>
      <c r="G78" s="105"/>
      <c r="H78" s="60" t="str">
        <f t="shared" si="28"/>
        <v/>
      </c>
      <c r="I78" s="112" t="str">
        <f>IF(H78="","",IF($I$8="A",(RANK(H78,H$11:H$363,1)+COUNTIF(H$11:H78,H78)-1),(RANK(H78,H$11:H$363)+COUNTIF(H$11:H78,H78)-1)))</f>
        <v/>
      </c>
      <c r="J78" s="58"/>
      <c r="K78" s="51">
        <f t="shared" si="43"/>
        <v>68</v>
      </c>
      <c r="L78" s="59" t="str">
        <f t="shared" si="29"/>
        <v>Wealden</v>
      </c>
      <c r="M78" s="153">
        <f t="shared" si="33"/>
        <v>0.46917586514297399</v>
      </c>
      <c r="N78" s="148">
        <f t="shared" si="34"/>
        <v>46.917586514297398</v>
      </c>
      <c r="O78" s="131" t="str">
        <f t="shared" si="30"/>
        <v/>
      </c>
      <c r="P78" s="131">
        <f t="shared" si="44"/>
        <v>46.917586514297398</v>
      </c>
      <c r="Q78" s="131" t="str">
        <f t="shared" si="45"/>
        <v/>
      </c>
      <c r="R78" s="127" t="str">
        <f t="shared" si="46"/>
        <v/>
      </c>
      <c r="S78" s="60" t="str">
        <f t="shared" si="35"/>
        <v/>
      </c>
      <c r="T78" s="231" t="str">
        <f>IF(L78="","",VLOOKUP(L78,classifications!C:K,9,FALSE))</f>
        <v>Sparse</v>
      </c>
      <c r="U78" s="238">
        <f t="shared" si="31"/>
        <v>0.46917586514297399</v>
      </c>
      <c r="V78" s="239">
        <f>IF(U78="","",IF($I$8="A",(RANK(U78,U$11:U$363)+COUNTIF(U$11:U78,U78)-1),(RANK(U78,U$11:U$363,1)+COUNTIF(U$11:U78,U78)-1)))</f>
        <v>55</v>
      </c>
      <c r="W78" s="240"/>
      <c r="X78" s="61" t="str">
        <f>IF(L78="","",VLOOKUP($L78,classifications!$C:$J,6,FALSE))</f>
        <v>Rural-80</v>
      </c>
      <c r="Y78" s="49">
        <f t="shared" si="36"/>
        <v>0.46917586514297399</v>
      </c>
      <c r="Z78" s="57">
        <f>IF(Y78="","",IF(I$8="A",(RANK(Y78,Y$11:Y$363,1)+COUNTIF(Y$11:Y78,Y78)-1),(RANK(Y78,Y$11:Y$363)+COUNTIF(Y$11:Y78,Y78)-1)))</f>
        <v>22</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East Sussex</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South East</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0.35145816909261685</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0.58049701934853792</v>
      </c>
      <c r="G79" s="105"/>
      <c r="H79" s="60">
        <f t="shared" si="28"/>
        <v>0.58049701934853792</v>
      </c>
      <c r="I79" s="112">
        <f>IF(H79="","",IF($I$8="A",(RANK(H79,H$11:H$363,1)+COUNTIF(H$11:H79,H79)-1),(RANK(H79,H$11:H$363)+COUNTIF(H$11:H79,H79)-1)))</f>
        <v>9</v>
      </c>
      <c r="J79" s="58"/>
      <c r="K79" s="51">
        <f t="shared" si="43"/>
        <v>69</v>
      </c>
      <c r="L79" s="59" t="str">
        <f t="shared" si="29"/>
        <v>Rugby</v>
      </c>
      <c r="M79" s="153">
        <f t="shared" si="33"/>
        <v>0.4689825318561946</v>
      </c>
      <c r="N79" s="148">
        <f t="shared" si="34"/>
        <v>46.89825318561946</v>
      </c>
      <c r="O79" s="131" t="str">
        <f t="shared" si="30"/>
        <v/>
      </c>
      <c r="P79" s="131">
        <f t="shared" si="44"/>
        <v>46.89825318561946</v>
      </c>
      <c r="Q79" s="131" t="str">
        <f t="shared" si="45"/>
        <v/>
      </c>
      <c r="R79" s="127" t="str">
        <f t="shared" si="46"/>
        <v/>
      </c>
      <c r="S79" s="60" t="str">
        <f t="shared" si="35"/>
        <v/>
      </c>
      <c r="T79" s="231" t="str">
        <f>IF(L79="","",VLOOKUP(L79,classifications!C:K,9,FALSE))</f>
        <v>Sparse</v>
      </c>
      <c r="U79" s="238">
        <f t="shared" si="31"/>
        <v>0.4689825318561946</v>
      </c>
      <c r="V79" s="239">
        <f>IF(U79="","",IF($I$8="A",(RANK(U79,U$11:U$363)+COUNTIF(U$11:U79,U79)-1),(RANK(U79,U$11:U$363,1)+COUNTIF(U$11:U79,U79)-1)))</f>
        <v>54</v>
      </c>
      <c r="W79" s="240"/>
      <c r="X79" s="61" t="str">
        <f>IF(L79="","",VLOOKUP($L79,classifications!$C:$J,6,FALSE))</f>
        <v>Significant Rural</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Warwickshire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West Midlands</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0.58049701934853792</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0.4281666237903024</v>
      </c>
      <c r="G80" s="105"/>
      <c r="H80" s="60" t="str">
        <f t="shared" si="28"/>
        <v/>
      </c>
      <c r="I80" s="112" t="str">
        <f>IF(H80="","",IF($I$8="A",(RANK(H80,H$11:H$363,1)+COUNTIF(H$11:H80,H80)-1),(RANK(H80,H$11:H$363)+COUNTIF(H$11:H80,H80)-1)))</f>
        <v/>
      </c>
      <c r="J80" s="58"/>
      <c r="K80" s="51">
        <f t="shared" si="43"/>
        <v>70</v>
      </c>
      <c r="L80" s="59" t="str">
        <f t="shared" si="29"/>
        <v>Hambleton</v>
      </c>
      <c r="M80" s="153">
        <f t="shared" si="33"/>
        <v>0.46847330841980062</v>
      </c>
      <c r="N80" s="148">
        <f t="shared" si="34"/>
        <v>46.84733084198006</v>
      </c>
      <c r="O80" s="131" t="str">
        <f t="shared" si="30"/>
        <v/>
      </c>
      <c r="P80" s="131">
        <f t="shared" si="44"/>
        <v>46.84733084198006</v>
      </c>
      <c r="Q80" s="131" t="str">
        <f t="shared" si="45"/>
        <v/>
      </c>
      <c r="R80" s="127" t="str">
        <f t="shared" si="46"/>
        <v/>
      </c>
      <c r="S80" s="60" t="str">
        <f t="shared" si="35"/>
        <v/>
      </c>
      <c r="T80" s="231" t="str">
        <f>IF(L80="","",VLOOKUP(L80,classifications!C:K,9,FALSE))</f>
        <v>Sparse</v>
      </c>
      <c r="U80" s="238">
        <f t="shared" si="31"/>
        <v>0.46847330841980062</v>
      </c>
      <c r="V80" s="239">
        <f>IF(U80="","",IF($I$8="A",(RANK(U80,U$11:U$363)+COUNTIF(U$11:U80,U80)-1),(RANK(U80,U$11:U$363,1)+COUNTIF(U$11:U80,U80)-1)))</f>
        <v>53</v>
      </c>
      <c r="W80" s="240"/>
      <c r="X80" s="61" t="str">
        <f>IF(L80="","",VLOOKUP($L80,classifications!$C:$J,6,FALSE))</f>
        <v>Rural-80</v>
      </c>
      <c r="Y80" s="49">
        <f t="shared" si="36"/>
        <v>0.46847330841980062</v>
      </c>
      <c r="Z80" s="57">
        <f>IF(Y80="","",IF(I$8="A",(RANK(Y80,Y$11:Y$363,1)+COUNTIF(Y$11:Y80,Y80)-1),(RANK(Y80,Y$11:Y$363)+COUNTIF(Y$11:Y80,Y80)-1)))</f>
        <v>23</v>
      </c>
      <c r="AA80" s="245" t="str">
        <f>IF(L80="","",VLOOKUP($L80,classifications!C:I,7,FALSE))</f>
        <v>Predominantly Rural</v>
      </c>
      <c r="AB80" s="239">
        <f t="shared" si="37"/>
        <v>0.46847330841980062</v>
      </c>
      <c r="AC80" s="239">
        <f>IF(AB80="","",IF($I$8="A",(RANK(AB80,AB$11:AB$363)+COUNTIF(AB$11:AB80,AB80)-1),(RANK(AB80,AB$11:AB$363,1)+COUNTIF(AB$11:AB80,AB80)-1)))</f>
        <v>38</v>
      </c>
      <c r="AD80" s="239"/>
      <c r="AE80" s="51" t="str">
        <f t="shared" si="25"/>
        <v/>
      </c>
      <c r="AG80" s="143"/>
      <c r="AH80" s="52"/>
      <c r="AI80" s="61" t="str">
        <f>IF(L80="","",VLOOKUP($L80,classifications!$C:$J,8,FALSE))</f>
        <v>North Yorkshire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Yorkshire &amp; Humberside</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0.4281666237903024</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0.35766729834844346</v>
      </c>
      <c r="G81" s="105"/>
      <c r="H81" s="60" t="str">
        <f t="shared" si="28"/>
        <v/>
      </c>
      <c r="I81" s="112" t="str">
        <f>IF(H81="","",IF($I$8="A",(RANK(H81,H$11:H$363,1)+COUNTIF(H$11:H81,H81)-1),(RANK(H81,H$11:H$363)+COUNTIF(H$11:H81,H81)-1)))</f>
        <v/>
      </c>
      <c r="J81" s="58"/>
      <c r="K81" s="51">
        <f t="shared" si="43"/>
        <v>71</v>
      </c>
      <c r="L81" s="59" t="str">
        <f t="shared" si="29"/>
        <v>Mid Devon</v>
      </c>
      <c r="M81" s="153">
        <f t="shared" si="33"/>
        <v>0.46732302255695712</v>
      </c>
      <c r="N81" s="148">
        <f t="shared" si="34"/>
        <v>46.732302255695714</v>
      </c>
      <c r="O81" s="131" t="str">
        <f t="shared" si="30"/>
        <v/>
      </c>
      <c r="P81" s="131">
        <f t="shared" si="44"/>
        <v>46.732302255695714</v>
      </c>
      <c r="Q81" s="131" t="str">
        <f t="shared" si="45"/>
        <v/>
      </c>
      <c r="R81" s="127" t="str">
        <f t="shared" si="46"/>
        <v/>
      </c>
      <c r="S81" s="60" t="str">
        <f t="shared" si="35"/>
        <v/>
      </c>
      <c r="T81" s="231" t="str">
        <f>IF(L81="","",VLOOKUP(L81,classifications!C:K,9,FALSE))</f>
        <v>Sparse</v>
      </c>
      <c r="U81" s="238">
        <f t="shared" si="31"/>
        <v>0.46732302255695712</v>
      </c>
      <c r="V81" s="239">
        <f>IF(U81="","",IF($I$8="A",(RANK(U81,U$11:U$363)+COUNTIF(U$11:U81,U81)-1),(RANK(U81,U$11:U$363,1)+COUNTIF(U$11:U81,U81)-1)))</f>
        <v>52</v>
      </c>
      <c r="W81" s="240"/>
      <c r="X81" s="61" t="str">
        <f>IF(L81="","",VLOOKUP($L81,classifications!$C:$J,6,FALSE))</f>
        <v>Rural-80</v>
      </c>
      <c r="Y81" s="49">
        <f t="shared" si="36"/>
        <v>0.46732302255695712</v>
      </c>
      <c r="Z81" s="57">
        <f>IF(Y81="","",IF(I$8="A",(RANK(Y81,Y$11:Y$363,1)+COUNTIF(Y$11:Y81,Y81)-1),(RANK(Y81,Y$11:Y$363)+COUNTIF(Y$11:Y81,Y81)-1)))</f>
        <v>24</v>
      </c>
      <c r="AA81" s="245" t="str">
        <f>IF(L81="","",VLOOKUP($L81,classifications!C:I,7,FALSE))</f>
        <v>Predominantly Rural</v>
      </c>
      <c r="AB81" s="239">
        <f t="shared" si="37"/>
        <v>0.46732302255695712</v>
      </c>
      <c r="AC81" s="239">
        <f>IF(AB81="","",IF($I$8="A",(RANK(AB81,AB$11:AB$363)+COUNTIF(AB$11:AB81,AB81)-1),(RANK(AB81,AB$11:AB$363,1)+COUNTIF(AB$11:AB81,AB81)-1)))</f>
        <v>37</v>
      </c>
      <c r="AD81" s="239"/>
      <c r="AE81" s="51" t="str">
        <f t="shared" si="25"/>
        <v/>
      </c>
      <c r="AG81" s="143"/>
      <c r="AH81" s="52"/>
      <c r="AI81" s="61" t="str">
        <f>IF(L81="","",VLOOKUP($L81,classifications!$C:$J,8,FALSE))</f>
        <v>Devon</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South West</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0.35766729834844346</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0.42572483747464201</v>
      </c>
      <c r="G82" s="105"/>
      <c r="H82" s="60">
        <f t="shared" si="28"/>
        <v>0.42572483747464201</v>
      </c>
      <c r="I82" s="112">
        <f>IF(H82="","",IF($I$8="A",(RANK(H82,H$11:H$363,1)+COUNTIF(H$11:H82,H82)-1),(RANK(H82,H$11:H$363)+COUNTIF(H$11:H82,H82)-1)))</f>
        <v>114</v>
      </c>
      <c r="J82" s="58"/>
      <c r="K82" s="51">
        <f t="shared" si="43"/>
        <v>72</v>
      </c>
      <c r="L82" s="59" t="str">
        <f t="shared" si="29"/>
        <v>Harlow</v>
      </c>
      <c r="M82" s="153">
        <f t="shared" si="33"/>
        <v>0.46708854585493476</v>
      </c>
      <c r="N82" s="148">
        <f t="shared" si="34"/>
        <v>46.708854585493476</v>
      </c>
      <c r="O82" s="131" t="str">
        <f t="shared" si="30"/>
        <v/>
      </c>
      <c r="P82" s="131">
        <f t="shared" si="44"/>
        <v>46.708854585493476</v>
      </c>
      <c r="Q82" s="131" t="str">
        <f t="shared" si="45"/>
        <v/>
      </c>
      <c r="R82" s="127" t="str">
        <f t="shared" si="46"/>
        <v/>
      </c>
      <c r="S82" s="60" t="str">
        <f t="shared" si="35"/>
        <v/>
      </c>
      <c r="T82" s="231">
        <f>IF(L82="","",VLOOKUP(L82,classifications!C:K,9,FALSE))</f>
        <v>0</v>
      </c>
      <c r="U82" s="238" t="str">
        <f t="shared" si="31"/>
        <v/>
      </c>
      <c r="V82" s="239" t="str">
        <f>IF(U82="","",IF($I$8="A",(RANK(U82,U$11:U$363)+COUNTIF(U$11:U82,U82)-1),(RANK(U82,U$11:U$363,1)+COUNTIF(U$11:U82,U82)-1)))</f>
        <v/>
      </c>
      <c r="W82" s="240"/>
      <c r="X82" s="61" t="str">
        <f>IF(L82="","",VLOOKUP($L82,classifications!$C:$J,6,FALSE))</f>
        <v>Other Urban</v>
      </c>
      <c r="Y82" s="49" t="str">
        <f t="shared" si="36"/>
        <v/>
      </c>
      <c r="Z82" s="57" t="str">
        <f>IF(Y82="","",IF(I$8="A",(RANK(Y82,Y$11:Y$363,1)+COUNTIF(Y$11:Y82,Y82)-1),(RANK(Y82,Y$11:Y$363)+COUNTIF(Y$11:Y82,Y82)-1)))</f>
        <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Essex</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of England</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0.42572483747464201</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0.24869021049016676</v>
      </c>
      <c r="G83" s="105"/>
      <c r="H83" s="60">
        <f t="shared" si="28"/>
        <v>0.24869021049016676</v>
      </c>
      <c r="I83" s="112">
        <f>IF(H83="","",IF($I$8="A",(RANK(H83,H$11:H$363,1)+COUNTIF(H$11:H83,H83)-1),(RANK(H83,H$11:H$363)+COUNTIF(H$11:H83,H83)-1)))</f>
        <v>191</v>
      </c>
      <c r="J83" s="58"/>
      <c r="K83" s="51">
        <f t="shared" si="43"/>
        <v>73</v>
      </c>
      <c r="L83" s="59" t="str">
        <f t="shared" si="29"/>
        <v>Welwyn Hatfield</v>
      </c>
      <c r="M83" s="153">
        <f t="shared" si="33"/>
        <v>0.46626546183365886</v>
      </c>
      <c r="N83" s="148">
        <f t="shared" si="34"/>
        <v>46.626546183365889</v>
      </c>
      <c r="O83" s="131" t="str">
        <f t="shared" si="30"/>
        <v/>
      </c>
      <c r="P83" s="131">
        <f t="shared" si="44"/>
        <v>46.626546183365889</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Other Urban</v>
      </c>
      <c r="Y83" s="49" t="str">
        <f t="shared" si="36"/>
        <v/>
      </c>
      <c r="Z83" s="57" t="str">
        <f>IF(Y83="","",IF(I$8="A",(RANK(Y83,Y$11:Y$363,1)+COUNTIF(Y$11:Y83,Y83)-1),(RANK(Y83,Y$11:Y$363)+COUNTIF(Y$11:Y83,Y83)-1)))</f>
        <v/>
      </c>
      <c r="AA83" s="245" t="str">
        <f>IF(L83="","",VLOOKUP($L83,classifications!C:I,7,FALSE))</f>
        <v>Predominantly Urban</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Hertfordshire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of England</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0.24869021049016676</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0.42155971397864617</v>
      </c>
      <c r="G84" s="105"/>
      <c r="H84" s="60" t="str">
        <f t="shared" si="28"/>
        <v/>
      </c>
      <c r="I84" s="112" t="str">
        <f>IF(H84="","",IF($I$8="A",(RANK(H84,H$11:H$363,1)+COUNTIF(H$11:H84,H84)-1),(RANK(H84,H$11:H$363)+COUNTIF(H$11:H84,H84)-1)))</f>
        <v/>
      </c>
      <c r="J84" s="58"/>
      <c r="K84" s="51">
        <f t="shared" si="43"/>
        <v>74</v>
      </c>
      <c r="L84" s="59" t="str">
        <f t="shared" si="29"/>
        <v>Melton</v>
      </c>
      <c r="M84" s="153">
        <f t="shared" si="33"/>
        <v>0.46619732655439416</v>
      </c>
      <c r="N84" s="148">
        <f t="shared" si="34"/>
        <v>46.619732655439414</v>
      </c>
      <c r="O84" s="131" t="str">
        <f t="shared" si="30"/>
        <v/>
      </c>
      <c r="P84" s="131">
        <f t="shared" si="44"/>
        <v>46.619732655439414</v>
      </c>
      <c r="Q84" s="131" t="str">
        <f t="shared" si="45"/>
        <v/>
      </c>
      <c r="R84" s="127" t="str">
        <f t="shared" si="46"/>
        <v/>
      </c>
      <c r="S84" s="60" t="str">
        <f t="shared" si="35"/>
        <v/>
      </c>
      <c r="T84" s="231" t="str">
        <f>IF(L84="","",VLOOKUP(L84,classifications!C:K,9,FALSE))</f>
        <v>Sparse</v>
      </c>
      <c r="U84" s="238">
        <f t="shared" si="31"/>
        <v>0.46619732655439416</v>
      </c>
      <c r="V84" s="239">
        <f>IF(U84="","",IF($I$8="A",(RANK(U84,U$11:U$363)+COUNTIF(U$11:U84,U84)-1),(RANK(U84,U$11:U$363,1)+COUNTIF(U$11:U84,U84)-1)))</f>
        <v>51</v>
      </c>
      <c r="W84" s="240"/>
      <c r="X84" s="61" t="str">
        <f>IF(L84="","",VLOOKUP($L84,classifications!$C:$J,6,FALSE))</f>
        <v>Rural-80</v>
      </c>
      <c r="Y84" s="49">
        <f t="shared" si="36"/>
        <v>0.46619732655439416</v>
      </c>
      <c r="Z84" s="57">
        <f>IF(Y84="","",IF(I$8="A",(RANK(Y84,Y$11:Y$363,1)+COUNTIF(Y$11:Y84,Y84)-1),(RANK(Y84,Y$11:Y$363)+COUNTIF(Y$11:Y84,Y84)-1)))</f>
        <v>25</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Leicestershire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East Midlands</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0.42155971397864617</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Maidstone</v>
      </c>
      <c r="M85" s="153">
        <f t="shared" si="33"/>
        <v>0.46563971912469376</v>
      </c>
      <c r="N85" s="148">
        <f t="shared" si="34"/>
        <v>46.563971912469377</v>
      </c>
      <c r="O85" s="131" t="str">
        <f t="shared" si="30"/>
        <v/>
      </c>
      <c r="P85" s="131">
        <f t="shared" si="44"/>
        <v>46.563971912469377</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Significant Rural</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Kent</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0.46236878133515291</v>
      </c>
      <c r="G86" s="105"/>
      <c r="H86" s="60">
        <f t="shared" si="28"/>
        <v>0.46236878133515291</v>
      </c>
      <c r="I86" s="112">
        <f>IF(H86="","",IF($I$8="A",(RANK(H86,H$11:H$363,1)+COUNTIF(H$11:H86,H86)-1),(RANK(H86,H$11:H$363)+COUNTIF(H$11:H86,H86)-1)))</f>
        <v>79</v>
      </c>
      <c r="J86" s="58"/>
      <c r="K86" s="51">
        <f t="shared" si="43"/>
        <v>76</v>
      </c>
      <c r="L86" s="59" t="str">
        <f t="shared" si="29"/>
        <v>North West Leicestershire</v>
      </c>
      <c r="M86" s="153">
        <f t="shared" si="33"/>
        <v>0.46361769701963218</v>
      </c>
      <c r="N86" s="148">
        <f t="shared" si="34"/>
        <v>46.361769701963219</v>
      </c>
      <c r="O86" s="131" t="str">
        <f t="shared" si="30"/>
        <v/>
      </c>
      <c r="P86" s="131">
        <f t="shared" si="44"/>
        <v>46.361769701963219</v>
      </c>
      <c r="Q86" s="131" t="str">
        <f t="shared" si="45"/>
        <v/>
      </c>
      <c r="R86" s="127" t="str">
        <f t="shared" si="46"/>
        <v/>
      </c>
      <c r="S86" s="60" t="str">
        <f t="shared" si="35"/>
        <v/>
      </c>
      <c r="T86" s="231" t="str">
        <f>IF(L86="","",VLOOKUP(L86,classifications!C:K,9,FALSE))</f>
        <v>Sparse</v>
      </c>
      <c r="U86" s="238">
        <f t="shared" si="31"/>
        <v>0.46361769701963218</v>
      </c>
      <c r="V86" s="239">
        <f>IF(U86="","",IF($I$8="A",(RANK(U86,U$11:U$363)+COUNTIF(U$11:U86,U86)-1),(RANK(U86,U$11:U$363,1)+COUNTIF(U$11:U86,U86)-1)))</f>
        <v>50</v>
      </c>
      <c r="W86" s="240"/>
      <c r="X86" s="61" t="str">
        <f>IF(L86="","",VLOOKUP($L86,classifications!$C:$J,6,FALSE))</f>
        <v>Rural-50</v>
      </c>
      <c r="Y86" s="49" t="str">
        <f t="shared" si="36"/>
        <v/>
      </c>
      <c r="Z86" s="57" t="str">
        <f>IF(Y86="","",IF(I$8="A",(RANK(Y86,Y$11:Y$363,1)+COUNTIF(Y$11:Y86,Y86)-1),(RANK(Y86,Y$11:Y$363)+COUNTIF(Y$11:Y86,Y86)-1)))</f>
        <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Leicestershire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East Midlands</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0.46236878133515291</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0.3324047947995733</v>
      </c>
      <c r="G87" s="105"/>
      <c r="H87" s="60" t="str">
        <f t="shared" si="28"/>
        <v/>
      </c>
      <c r="I87" s="112" t="str">
        <f>IF(H87="","",IF($I$8="A",(RANK(H87,H$11:H$363,1)+COUNTIF(H$11:H87,H87)-1),(RANK(H87,H$11:H$363)+COUNTIF(H$11:H87,H87)-1)))</f>
        <v/>
      </c>
      <c r="J87" s="58"/>
      <c r="K87" s="51">
        <f t="shared" si="43"/>
        <v>77</v>
      </c>
      <c r="L87" s="59" t="str">
        <f t="shared" si="29"/>
        <v>Tunbridge Wells</v>
      </c>
      <c r="M87" s="153">
        <f t="shared" si="33"/>
        <v>0.46345564904722919</v>
      </c>
      <c r="N87" s="148">
        <f t="shared" si="34"/>
        <v>46.34556490472292</v>
      </c>
      <c r="O87" s="131" t="str">
        <f t="shared" si="30"/>
        <v/>
      </c>
      <c r="P87" s="131">
        <f t="shared" si="44"/>
        <v>46.34556490472292</v>
      </c>
      <c r="Q87" s="131" t="str">
        <f t="shared" si="45"/>
        <v/>
      </c>
      <c r="R87" s="127" t="str">
        <f t="shared" si="46"/>
        <v/>
      </c>
      <c r="S87" s="60" t="str">
        <f t="shared" si="35"/>
        <v/>
      </c>
      <c r="T87" s="231" t="str">
        <f>IF(L87="","",VLOOKUP(L87,classifications!C:K,9,FALSE))</f>
        <v>Sparse</v>
      </c>
      <c r="U87" s="238">
        <f t="shared" si="31"/>
        <v>0.46345564904722919</v>
      </c>
      <c r="V87" s="239">
        <f>IF(U87="","",IF($I$8="A",(RANK(U87,U$11:U$363)+COUNTIF(U$11:U87,U87)-1),(RANK(U87,U$11:U$363,1)+COUNTIF(U$11:U87,U87)-1)))</f>
        <v>49</v>
      </c>
      <c r="W87" s="240"/>
      <c r="X87" s="61" t="str">
        <f>IF(L87="","",VLOOKUP($L87,classifications!$C:$J,6,FALSE))</f>
        <v>Significant Rural</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Kent</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South East</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0.3324047947995733</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0.26616853421943376</v>
      </c>
      <c r="G88" s="105"/>
      <c r="H88" s="60">
        <f t="shared" si="28"/>
        <v>0.26616853421943376</v>
      </c>
      <c r="I88" s="112">
        <f>IF(H88="","",IF($I$8="A",(RANK(H88,H$11:H$363,1)+COUNTIF(H$11:H88,H88)-1),(RANK(H88,H$11:H$363)+COUNTIF(H$11:H88,H88)-1)))</f>
        <v>185</v>
      </c>
      <c r="J88" s="58"/>
      <c r="K88" s="51">
        <f t="shared" si="43"/>
        <v>78</v>
      </c>
      <c r="L88" s="59" t="str">
        <f t="shared" si="29"/>
        <v>Epsom &amp; Ewell</v>
      </c>
      <c r="M88" s="153">
        <f t="shared" si="33"/>
        <v>0.46259299906863882</v>
      </c>
      <c r="N88" s="148">
        <f t="shared" si="34"/>
        <v>46.25929990686388</v>
      </c>
      <c r="O88" s="131" t="str">
        <f t="shared" si="30"/>
        <v/>
      </c>
      <c r="P88" s="131">
        <f t="shared" si="44"/>
        <v>46.25929990686388</v>
      </c>
      <c r="Q88" s="131" t="str">
        <f t="shared" si="45"/>
        <v/>
      </c>
      <c r="R88" s="127" t="str">
        <f t="shared" si="46"/>
        <v/>
      </c>
      <c r="S88" s="60" t="str">
        <f t="shared" si="35"/>
        <v/>
      </c>
      <c r="T88" s="231">
        <f>IF(L88="","",VLOOKUP(L88,classifications!C:K,9,FALSE))</f>
        <v>0</v>
      </c>
      <c r="U88" s="238" t="str">
        <f t="shared" si="31"/>
        <v/>
      </c>
      <c r="V88" s="239" t="str">
        <f>IF(U88="","",IF($I$8="A",(RANK(U88,U$11:U$363)+COUNTIF(U$11:U88,U88)-1),(RANK(U88,U$11:U$363,1)+COUNTIF(U$11:U88,U88)-1)))</f>
        <v/>
      </c>
      <c r="W88" s="240"/>
      <c r="X88" s="61" t="str">
        <f>IF(L88="","",VLOOKUP($L88,classifications!$C:$J,6,FALSE))</f>
        <v>Major Urban</v>
      </c>
      <c r="Y88" s="49" t="str">
        <f t="shared" si="36"/>
        <v/>
      </c>
      <c r="Z88" s="57" t="str">
        <f>IF(Y88="","",IF(I$8="A",(RANK(Y88,Y$11:Y$363,1)+COUNTIF(Y$11:Y88,Y88)-1),(RANK(Y88,Y$11:Y$363)+COUNTIF(Y$11:Y88,Y88)-1)))</f>
        <v/>
      </c>
      <c r="AA88" s="245" t="str">
        <f>IF(L88="","",VLOOKUP($L88,classifications!C:I,7,FALSE))</f>
        <v>Predominantly Urban</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Surrey</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East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0.26616853421943376</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0.49429602985991522</v>
      </c>
      <c r="G89" s="105"/>
      <c r="H89" s="60">
        <f t="shared" si="28"/>
        <v>0.49429602985991522</v>
      </c>
      <c r="I89" s="112">
        <f>IF(H89="","",IF($I$8="A",(RANK(H89,H$11:H$363,1)+COUNTIF(H$11:H89,H89)-1),(RANK(H89,H$11:H$363)+COUNTIF(H$11:H89,H89)-1)))</f>
        <v>55</v>
      </c>
      <c r="J89" s="58"/>
      <c r="K89" s="51">
        <f t="shared" si="43"/>
        <v>79</v>
      </c>
      <c r="L89" s="59" t="str">
        <f t="shared" si="29"/>
        <v>Dacorum</v>
      </c>
      <c r="M89" s="153">
        <f t="shared" si="33"/>
        <v>0.46236878133515291</v>
      </c>
      <c r="N89" s="148">
        <f t="shared" si="34"/>
        <v>46.23687813351529</v>
      </c>
      <c r="O89" s="131" t="str">
        <f t="shared" si="30"/>
        <v/>
      </c>
      <c r="P89" s="131">
        <f t="shared" si="44"/>
        <v>46.23687813351529</v>
      </c>
      <c r="Q89" s="131" t="str">
        <f t="shared" si="45"/>
        <v/>
      </c>
      <c r="R89" s="127" t="str">
        <f t="shared" si="46"/>
        <v/>
      </c>
      <c r="S89" s="60" t="str">
        <f t="shared" si="35"/>
        <v/>
      </c>
      <c r="T89" s="231">
        <f>IF(L89="","",VLOOKUP(L89,classifications!C:K,9,FALSE))</f>
        <v>0</v>
      </c>
      <c r="U89" s="238" t="str">
        <f t="shared" si="31"/>
        <v/>
      </c>
      <c r="V89" s="239" t="str">
        <f>IF(U89="","",IF($I$8="A",(RANK(U89,U$11:U$363)+COUNTIF(U$11:U89,U89)-1),(RANK(U89,U$11:U$363,1)+COUNTIF(U$11:U89,U89)-1)))</f>
        <v/>
      </c>
      <c r="W89" s="240"/>
      <c r="X89" s="61" t="str">
        <f>IF(L89="","",VLOOKUP($L89,classifications!$C:$J,6,FALSE))</f>
        <v>Significant Rural</v>
      </c>
      <c r="Y89" s="49" t="str">
        <f t="shared" si="36"/>
        <v/>
      </c>
      <c r="Z89" s="57" t="str">
        <f>IF(Y89="","",IF(I$8="A",(RANK(Y89,Y$11:Y$363,1)+COUNTIF(Y$11:Y89,Y89)-1),(RANK(Y89,Y$11:Y$363)+COUNTIF(Y$11:Y89,Y89)-1)))</f>
        <v/>
      </c>
      <c r="AA89" s="245" t="str">
        <f>IF(L89="","",VLOOKUP($L89,classifications!C:I,7,FALSE))</f>
        <v>Predominantly Urban</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Hertfordshire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East of England</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0.49429602985991522</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0.42691106939628976</v>
      </c>
      <c r="G90" s="105"/>
      <c r="H90" s="60" t="str">
        <f t="shared" si="28"/>
        <v/>
      </c>
      <c r="I90" s="112" t="str">
        <f>IF(H90="","",IF($I$8="A",(RANK(H90,H$11:H$363,1)+COUNTIF(H$11:H90,H90)-1),(RANK(H90,H$11:H$363)+COUNTIF(H$11:H90,H90)-1)))</f>
        <v/>
      </c>
      <c r="J90" s="58"/>
      <c r="K90" s="51">
        <f t="shared" si="43"/>
        <v>80</v>
      </c>
      <c r="L90" s="59" t="str">
        <f t="shared" si="29"/>
        <v>Maldon</v>
      </c>
      <c r="M90" s="153">
        <f t="shared" si="33"/>
        <v>0.4619765845955669</v>
      </c>
      <c r="N90" s="148">
        <f t="shared" si="34"/>
        <v>46.197658459556692</v>
      </c>
      <c r="O90" s="131" t="str">
        <f t="shared" si="30"/>
        <v/>
      </c>
      <c r="P90" s="131">
        <f t="shared" si="44"/>
        <v>46.197658459556692</v>
      </c>
      <c r="Q90" s="131" t="str">
        <f t="shared" si="45"/>
        <v/>
      </c>
      <c r="R90" s="127" t="str">
        <f t="shared" si="46"/>
        <v/>
      </c>
      <c r="S90" s="60" t="str">
        <f t="shared" si="35"/>
        <v/>
      </c>
      <c r="T90" s="231" t="str">
        <f>IF(L90="","",VLOOKUP(L90,classifications!C:K,9,FALSE))</f>
        <v>Sparse</v>
      </c>
      <c r="U90" s="238">
        <f t="shared" si="31"/>
        <v>0.4619765845955669</v>
      </c>
      <c r="V90" s="239">
        <f>IF(U90="","",IF($I$8="A",(RANK(U90,U$11:U$363)+COUNTIF(U$11:U90,U90)-1),(RANK(U90,U$11:U$363,1)+COUNTIF(U$11:U90,U90)-1)))</f>
        <v>48</v>
      </c>
      <c r="W90" s="240"/>
      <c r="X90" s="61" t="str">
        <f>IF(L90="","",VLOOKUP($L90,classifications!$C:$J,6,FALSE))</f>
        <v>Rural-80</v>
      </c>
      <c r="Y90" s="49">
        <f t="shared" si="36"/>
        <v>0.4619765845955669</v>
      </c>
      <c r="Z90" s="57">
        <f>IF(Y90="","",IF(I$8="A",(RANK(Y90,Y$11:Y$363,1)+COUNTIF(Y$11:Y90,Y90)-1),(RANK(Y90,Y$11:Y$363)+COUNTIF(Y$11:Y90,Y90)-1)))</f>
        <v>26</v>
      </c>
      <c r="AA90" s="245" t="str">
        <f>IF(L90="","",VLOOKUP($L90,classifications!C:I,7,FALSE))</f>
        <v>Significant Rural</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Essex</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of England</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0.42691106939628976</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Forest Heath</v>
      </c>
      <c r="M91" s="153">
        <f t="shared" si="33"/>
        <v>0.46097421731703819</v>
      </c>
      <c r="N91" s="148">
        <f t="shared" si="34"/>
        <v>46.097421731703818</v>
      </c>
      <c r="O91" s="131" t="str">
        <f t="shared" si="30"/>
        <v/>
      </c>
      <c r="P91" s="131">
        <f t="shared" si="44"/>
        <v>46.097421731703818</v>
      </c>
      <c r="Q91" s="131" t="str">
        <f t="shared" si="45"/>
        <v/>
      </c>
      <c r="R91" s="127" t="str">
        <f t="shared" si="46"/>
        <v/>
      </c>
      <c r="S91" s="60" t="str">
        <f t="shared" si="35"/>
        <v/>
      </c>
      <c r="T91" s="231" t="str">
        <f>IF(L91="","",VLOOKUP(L91,classifications!C:K,9,FALSE))</f>
        <v>Sparse</v>
      </c>
      <c r="U91" s="238">
        <f t="shared" si="31"/>
        <v>0.46097421731703819</v>
      </c>
      <c r="V91" s="239">
        <f>IF(U91="","",IF($I$8="A",(RANK(U91,U$11:U$363)+COUNTIF(U$11:U91,U91)-1),(RANK(U91,U$11:U$363,1)+COUNTIF(U$11:U91,U91)-1)))</f>
        <v>47</v>
      </c>
      <c r="W91" s="240"/>
      <c r="X91" s="61" t="str">
        <f>IF(L91="","",VLOOKUP($L91,classifications!$C:$J,6,FALSE))</f>
        <v>Rural-80</v>
      </c>
      <c r="Y91" s="49">
        <f t="shared" si="36"/>
        <v>0.46097421731703819</v>
      </c>
      <c r="Z91" s="57">
        <f>IF(Y91="","",IF(I$8="A",(RANK(Y91,Y$11:Y$363,1)+COUNTIF(Y$11:Y91,Y91)-1),(RANK(Y91,Y$11:Y$363)+COUNTIF(Y$11:Y91,Y91)-1)))</f>
        <v>27</v>
      </c>
      <c r="AA91" s="245" t="str">
        <f>IF(L91="","",VLOOKUP($L91,classifications!C:I,7,FALSE))</f>
        <v>Predominantly Rural</v>
      </c>
      <c r="AB91" s="239">
        <f t="shared" si="37"/>
        <v>0.46097421731703819</v>
      </c>
      <c r="AC91" s="239">
        <f>IF(AB91="","",IF($I$8="A",(RANK(AB91,AB$11:AB$363)+COUNTIF(AB$11:AB91,AB91)-1),(RANK(AB91,AB$11:AB$363,1)+COUNTIF(AB$11:AB91,AB91)-1)))</f>
        <v>36</v>
      </c>
      <c r="AD91" s="239"/>
      <c r="AE91" s="51" t="str">
        <f t="shared" si="25"/>
        <v/>
      </c>
      <c r="AG91" s="143"/>
      <c r="AH91" s="52"/>
      <c r="AI91" s="61" t="str">
        <f>IF(L91="","",VLOOKUP($L91,classifications!$C:$J,8,FALSE))</f>
        <v>Suffolk</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of England</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0.55677507389209391</v>
      </c>
      <c r="G92" s="105"/>
      <c r="H92" s="60">
        <f t="shared" si="28"/>
        <v>0.55677507389209391</v>
      </c>
      <c r="I92" s="112">
        <f>IF(H92="","",IF($I$8="A",(RANK(H92,H$11:H$363,1)+COUNTIF(H$11:H92,H92)-1),(RANK(H92,H$11:H$363)+COUNTIF(H$11:H92,H92)-1)))</f>
        <v>20</v>
      </c>
      <c r="J92" s="58"/>
      <c r="K92" s="51">
        <f t="shared" si="43"/>
        <v>82</v>
      </c>
      <c r="L92" s="59" t="str">
        <f t="shared" si="29"/>
        <v>Taunton Deane</v>
      </c>
      <c r="M92" s="153">
        <f t="shared" si="33"/>
        <v>0.46042865024557234</v>
      </c>
      <c r="N92" s="148">
        <f t="shared" si="34"/>
        <v>46.04286502455723</v>
      </c>
      <c r="O92" s="131" t="str">
        <f t="shared" si="30"/>
        <v/>
      </c>
      <c r="P92" s="131">
        <f t="shared" si="44"/>
        <v>46.04286502455723</v>
      </c>
      <c r="Q92" s="131" t="str">
        <f t="shared" si="45"/>
        <v/>
      </c>
      <c r="R92" s="127" t="str">
        <f t="shared" si="46"/>
        <v/>
      </c>
      <c r="S92" s="60" t="str">
        <f t="shared" si="35"/>
        <v/>
      </c>
      <c r="T92" s="231" t="str">
        <f>IF(L92="","",VLOOKUP(L92,classifications!C:K,9,FALSE))</f>
        <v>Sparse</v>
      </c>
      <c r="U92" s="238">
        <f t="shared" si="31"/>
        <v>0.46042865024557234</v>
      </c>
      <c r="V92" s="239">
        <f>IF(U92="","",IF($I$8="A",(RANK(U92,U$11:U$363)+COUNTIF(U$11:U92,U92)-1),(RANK(U92,U$11:U$363,1)+COUNTIF(U$11:U92,U92)-1)))</f>
        <v>46</v>
      </c>
      <c r="W92" s="240"/>
      <c r="X92" s="61" t="str">
        <f>IF(L92="","",VLOOKUP($L92,classifications!$C:$J,6,FALSE))</f>
        <v>Significant Rural</v>
      </c>
      <c r="Y92" s="49" t="str">
        <f t="shared" si="36"/>
        <v/>
      </c>
      <c r="Z92" s="57" t="str">
        <f>IF(Y92="","",IF(I$8="A",(RANK(Y92,Y$11:Y$363,1)+COUNTIF(Y$11:Y92,Y92)-1),(RANK(Y92,Y$11:Y$363)+COUNTIF(Y$11:Y92,Y92)-1)))</f>
        <v/>
      </c>
      <c r="AA92" s="245" t="str">
        <f>IF(L92="","",VLOOKUP($L92,classifications!C:I,7,FALSE))</f>
        <v>Predominantly Rural</v>
      </c>
      <c r="AB92" s="239">
        <f t="shared" si="37"/>
        <v>0.46042865024557234</v>
      </c>
      <c r="AC92" s="239">
        <f>IF(AB92="","",IF($I$8="A",(RANK(AB92,AB$11:AB$363)+COUNTIF(AB$11:AB92,AB92)-1),(RANK(AB92,AB$11:AB$363,1)+COUNTIF(AB$11:AB92,AB92)-1)))</f>
        <v>35</v>
      </c>
      <c r="AD92" s="239"/>
      <c r="AE92" s="51" t="str">
        <f t="shared" si="25"/>
        <v/>
      </c>
      <c r="AG92" s="143"/>
      <c r="AH92" s="52"/>
      <c r="AI92" s="61" t="str">
        <f>IF(L92="","",VLOOKUP($L92,classifications!$C:$J,8,FALSE))</f>
        <v>Somerset</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South West</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0.55677507389209391</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Kettering</v>
      </c>
      <c r="M93" s="153">
        <f t="shared" si="33"/>
        <v>0.46041160520724161</v>
      </c>
      <c r="N93" s="148">
        <f t="shared" si="34"/>
        <v>46.041160520724162</v>
      </c>
      <c r="O93" s="131" t="str">
        <f t="shared" si="30"/>
        <v/>
      </c>
      <c r="P93" s="131">
        <f t="shared" si="44"/>
        <v>46.041160520724162</v>
      </c>
      <c r="Q93" s="131" t="str">
        <f t="shared" si="45"/>
        <v/>
      </c>
      <c r="R93" s="127" t="str">
        <f t="shared" si="46"/>
        <v/>
      </c>
      <c r="S93" s="60" t="str">
        <f t="shared" si="35"/>
        <v/>
      </c>
      <c r="T93" s="231">
        <f>IF(L93="","",VLOOKUP(L93,classifications!C:K,9,FALSE))</f>
        <v>0</v>
      </c>
      <c r="U93" s="238" t="str">
        <f t="shared" si="31"/>
        <v/>
      </c>
      <c r="V93" s="239" t="str">
        <f>IF(U93="","",IF($I$8="A",(RANK(U93,U$11:U$363)+COUNTIF(U$11:U93,U93)-1),(RANK(U93,U$11:U$363,1)+COUNTIF(U$11:U93,U93)-1)))</f>
        <v/>
      </c>
      <c r="W93" s="240"/>
      <c r="X93" s="61" t="str">
        <f>IF(L93="","",VLOOKUP($L93,classifications!$C:$J,6,FALSE))</f>
        <v>Significant Rural</v>
      </c>
      <c r="Y93" s="49" t="str">
        <f t="shared" si="36"/>
        <v/>
      </c>
      <c r="Z93" s="57" t="str">
        <f>IF(Y93="","",IF(I$8="A",(RANK(Y93,Y$11:Y$363,1)+COUNTIF(Y$11:Y93,Y93)-1),(RANK(Y93,Y$11:Y$363)+COUNTIF(Y$11:Y93,Y93)-1)))</f>
        <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Northamptonshire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East Midlands</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0.40160585060548315</v>
      </c>
      <c r="G94" s="105"/>
      <c r="H94" s="60" t="str">
        <f t="shared" si="28"/>
        <v/>
      </c>
      <c r="I94" s="112" t="str">
        <f>IF(H94="","",IF($I$8="A",(RANK(H94,H$11:H$363,1)+COUNTIF(H$11:H94,H94)-1),(RANK(H94,H$11:H$363)+COUNTIF(H$11:H94,H94)-1)))</f>
        <v/>
      </c>
      <c r="J94" s="58"/>
      <c r="K94" s="51">
        <f t="shared" si="43"/>
        <v>84</v>
      </c>
      <c r="L94" s="59" t="str">
        <f t="shared" si="29"/>
        <v>Chelmsford</v>
      </c>
      <c r="M94" s="153">
        <f t="shared" si="33"/>
        <v>0.45874110140541247</v>
      </c>
      <c r="N94" s="148">
        <f t="shared" si="34"/>
        <v>45.874110140541248</v>
      </c>
      <c r="O94" s="131" t="str">
        <f t="shared" si="30"/>
        <v/>
      </c>
      <c r="P94" s="131">
        <f t="shared" si="44"/>
        <v>45.874110140541248</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Other Urban</v>
      </c>
      <c r="Y94" s="49" t="str">
        <f t="shared" si="36"/>
        <v/>
      </c>
      <c r="Z94" s="57" t="str">
        <f>IF(Y94="","",IF(I$8="A",(RANK(Y94,Y$11:Y$363,1)+COUNTIF(Y$11:Y94,Y94)-1),(RANK(Y94,Y$11:Y$363)+COUNTIF(Y$11:Y94,Y94)-1)))</f>
        <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Essex</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East of England</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0.40160585060548315</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Cheltenham</v>
      </c>
      <c r="M95" s="153">
        <f t="shared" si="33"/>
        <v>0.45573976677903172</v>
      </c>
      <c r="N95" s="148">
        <f t="shared" si="34"/>
        <v>45.573976677903175</v>
      </c>
      <c r="O95" s="131" t="str">
        <f t="shared" si="30"/>
        <v/>
      </c>
      <c r="P95" s="131">
        <f t="shared" si="44"/>
        <v>45.573976677903175</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Other Urban</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Gloucestershire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South West</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0.44150176362655391</v>
      </c>
      <c r="G96" s="105"/>
      <c r="H96" s="60">
        <f t="shared" si="28"/>
        <v>0.44150176362655391</v>
      </c>
      <c r="I96" s="112">
        <f>IF(H96="","",IF($I$8="A",(RANK(H96,H$11:H$363,1)+COUNTIF(H$11:H96,H96)-1),(RANK(H96,H$11:H$363)+COUNTIF(H$11:H96,H96)-1)))</f>
        <v>100</v>
      </c>
      <c r="J96" s="58"/>
      <c r="K96" s="51">
        <f t="shared" si="43"/>
        <v>86</v>
      </c>
      <c r="L96" s="59" t="str">
        <f t="shared" si="29"/>
        <v>East Cambridgeshire</v>
      </c>
      <c r="M96" s="153">
        <f t="shared" si="33"/>
        <v>0.4548028751004049</v>
      </c>
      <c r="N96" s="148">
        <f t="shared" si="34"/>
        <v>45.48028751004049</v>
      </c>
      <c r="O96" s="131" t="str">
        <f t="shared" si="30"/>
        <v/>
      </c>
      <c r="P96" s="131">
        <f t="shared" si="44"/>
        <v>45.48028751004049</v>
      </c>
      <c r="Q96" s="131" t="str">
        <f t="shared" si="45"/>
        <v/>
      </c>
      <c r="R96" s="127" t="str">
        <f t="shared" si="46"/>
        <v/>
      </c>
      <c r="S96" s="60" t="str">
        <f t="shared" si="35"/>
        <v/>
      </c>
      <c r="T96" s="231" t="str">
        <f>IF(L96="","",VLOOKUP(L96,classifications!C:K,9,FALSE))</f>
        <v>Sparse</v>
      </c>
      <c r="U96" s="238">
        <f t="shared" si="31"/>
        <v>0.4548028751004049</v>
      </c>
      <c r="V96" s="239">
        <f>IF(U96="","",IF($I$8="A",(RANK(U96,U$11:U$363)+COUNTIF(U$11:U96,U96)-1),(RANK(U96,U$11:U$363,1)+COUNTIF(U$11:U96,U96)-1)))</f>
        <v>45</v>
      </c>
      <c r="W96" s="240"/>
      <c r="X96" s="61" t="str">
        <f>IF(L96="","",VLOOKUP($L96,classifications!$C:$J,6,FALSE))</f>
        <v>Rural-80</v>
      </c>
      <c r="Y96" s="49">
        <f t="shared" si="36"/>
        <v>0.4548028751004049</v>
      </c>
      <c r="Z96" s="57">
        <f>IF(Y96="","",IF(I$8="A",(RANK(Y96,Y$11:Y$363,1)+COUNTIF(Y$11:Y96,Y96)-1),(RANK(Y96,Y$11:Y$363)+COUNTIF(Y$11:Y96,Y96)-1)))</f>
        <v>28</v>
      </c>
      <c r="AA96" s="245" t="str">
        <f>IF(L96="","",VLOOKUP($L96,classifications!C:I,7,FALSE))</f>
        <v>Predominantly Rural</v>
      </c>
      <c r="AB96" s="239">
        <f t="shared" si="37"/>
        <v>0.4548028751004049</v>
      </c>
      <c r="AC96" s="239">
        <f>IF(AB96="","",IF($I$8="A",(RANK(AB96,AB$11:AB$363)+COUNTIF(AB$11:AB96,AB96)-1),(RANK(AB96,AB$11:AB$363,1)+COUNTIF(AB$11:AB96,AB96)-1)))</f>
        <v>34</v>
      </c>
      <c r="AD96" s="239"/>
      <c r="AE96" s="51" t="str">
        <f t="shared" si="25"/>
        <v/>
      </c>
      <c r="AG96" s="143"/>
      <c r="AH96" s="52"/>
      <c r="AI96" s="61" t="str">
        <f>IF(L96="","",VLOOKUP($L96,classifications!$C:$J,8,FALSE))</f>
        <v>Cambridgeshire</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East of England</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0.44150176362655391</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0.35665449232058144</v>
      </c>
      <c r="G97" s="105"/>
      <c r="H97" s="60" t="str">
        <f t="shared" si="28"/>
        <v/>
      </c>
      <c r="I97" s="112" t="str">
        <f>IF(H97="","",IF($I$8="A",(RANK(H97,H$11:H$363,1)+COUNTIF(H$11:H97,H97)-1),(RANK(H97,H$11:H$363)+COUNTIF(H$11:H97,H97)-1)))</f>
        <v/>
      </c>
      <c r="J97" s="58"/>
      <c r="K97" s="51">
        <f t="shared" si="43"/>
        <v>87</v>
      </c>
      <c r="L97" s="59" t="str">
        <f t="shared" si="29"/>
        <v>Corby</v>
      </c>
      <c r="M97" s="153">
        <f t="shared" si="33"/>
        <v>0.45444127409908402</v>
      </c>
      <c r="N97" s="148">
        <f t="shared" si="34"/>
        <v>45.444127409908404</v>
      </c>
      <c r="O97" s="131" t="str">
        <f t="shared" si="30"/>
        <v/>
      </c>
      <c r="P97" s="131">
        <f t="shared" si="44"/>
        <v>45.444127409908404</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Other Urban</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Northamptonshire</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Midlands</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0.35665449232058144</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0.40151032923989871</v>
      </c>
      <c r="G98" s="105"/>
      <c r="H98" s="60" t="str">
        <f t="shared" si="28"/>
        <v/>
      </c>
      <c r="I98" s="112" t="str">
        <f>IF(H98="","",IF($I$8="A",(RANK(H98,H$11:H$363,1)+COUNTIF(H$11:H98,H98)-1),(RANK(H98,H$11:H$363)+COUNTIF(H$11:H98,H98)-1)))</f>
        <v/>
      </c>
      <c r="J98" s="58"/>
      <c r="K98" s="51">
        <f t="shared" si="43"/>
        <v>88</v>
      </c>
      <c r="L98" s="59" t="str">
        <f t="shared" si="29"/>
        <v>East Northamptonshire</v>
      </c>
      <c r="M98" s="153">
        <f t="shared" si="33"/>
        <v>0.45330219638247948</v>
      </c>
      <c r="N98" s="148">
        <f t="shared" si="34"/>
        <v>45.330219638247947</v>
      </c>
      <c r="O98" s="131" t="str">
        <f t="shared" si="30"/>
        <v/>
      </c>
      <c r="P98" s="131">
        <f t="shared" si="44"/>
        <v>45.330219638247947</v>
      </c>
      <c r="Q98" s="131" t="str">
        <f t="shared" si="45"/>
        <v/>
      </c>
      <c r="R98" s="127" t="str">
        <f t="shared" si="46"/>
        <v/>
      </c>
      <c r="S98" s="60" t="str">
        <f t="shared" si="35"/>
        <v/>
      </c>
      <c r="T98" s="231" t="str">
        <f>IF(L98="","",VLOOKUP(L98,classifications!C:K,9,FALSE))</f>
        <v>Sparse</v>
      </c>
      <c r="U98" s="238">
        <f t="shared" si="31"/>
        <v>0.45330219638247948</v>
      </c>
      <c r="V98" s="239">
        <f>IF(U98="","",IF($I$8="A",(RANK(U98,U$11:U$363)+COUNTIF(U$11:U98,U98)-1),(RANK(U98,U$11:U$363,1)+COUNTIF(U$11:U98,U98)-1)))</f>
        <v>44</v>
      </c>
      <c r="W98" s="240"/>
      <c r="X98" s="61" t="str">
        <f>IF(L98="","",VLOOKUP($L98,classifications!$C:$J,6,FALSE))</f>
        <v>Rural-50</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Northamptonshire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East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0.40151032923989871</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0.4548028751004049</v>
      </c>
      <c r="G99" s="105"/>
      <c r="H99" s="60">
        <f t="shared" si="28"/>
        <v>0.4548028751004049</v>
      </c>
      <c r="I99" s="112">
        <f>IF(H99="","",IF($I$8="A",(RANK(H99,H$11:H$363,1)+COUNTIF(H$11:H99,H99)-1),(RANK(H99,H$11:H$363)+COUNTIF(H$11:H99,H99)-1)))</f>
        <v>86</v>
      </c>
      <c r="J99" s="58"/>
      <c r="K99" s="51">
        <f t="shared" si="43"/>
        <v>89</v>
      </c>
      <c r="L99" s="59" t="str">
        <f t="shared" si="29"/>
        <v>Waverley</v>
      </c>
      <c r="M99" s="153">
        <f t="shared" si="33"/>
        <v>0.45204454209917544</v>
      </c>
      <c r="N99" s="148">
        <f t="shared" si="34"/>
        <v>45.204454209917543</v>
      </c>
      <c r="O99" s="131" t="str">
        <f t="shared" si="30"/>
        <v/>
      </c>
      <c r="P99" s="131">
        <f t="shared" si="44"/>
        <v>45.204454209917543</v>
      </c>
      <c r="Q99" s="131" t="str">
        <f t="shared" si="45"/>
        <v/>
      </c>
      <c r="R99" s="127" t="str">
        <f t="shared" si="46"/>
        <v/>
      </c>
      <c r="S99" s="60" t="str">
        <f t="shared" si="35"/>
        <v/>
      </c>
      <c r="T99" s="231">
        <f>IF(L99="","",VLOOKUP(L99,classifications!C:K,9,FALSE))</f>
        <v>0</v>
      </c>
      <c r="U99" s="238" t="str">
        <f t="shared" si="31"/>
        <v/>
      </c>
      <c r="V99" s="239" t="str">
        <f>IF(U99="","",IF($I$8="A",(RANK(U99,U$11:U$363)+COUNTIF(U$11:U99,U99)-1),(RANK(U99,U$11:U$363,1)+COUNTIF(U$11:U99,U99)-1)))</f>
        <v/>
      </c>
      <c r="W99" s="240"/>
      <c r="X99" s="61" t="str">
        <f>IF(L99="","",VLOOKUP($L99,classifications!$C:$J,6,FALSE))</f>
        <v>Rural-50</v>
      </c>
      <c r="Y99" s="49" t="str">
        <f t="shared" si="36"/>
        <v/>
      </c>
      <c r="Z99" s="57" t="str">
        <f>IF(Y99="","",IF(I$8="A",(RANK(Y99,Y$11:Y$363,1)+COUNTIF(Y$11:Y99,Y99)-1),(RANK(Y99,Y$11:Y$363)+COUNTIF(Y$11:Y99,Y99)-1)))</f>
        <v/>
      </c>
      <c r="AA99" s="245" t="str">
        <f>IF(L99="","",VLOOKUP($L99,classifications!C:I,7,FALSE))</f>
        <v>Predominantly Urban</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Surrey</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East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0.4548028751004049</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0.44753146846664993</v>
      </c>
      <c r="G100" s="105"/>
      <c r="H100" s="60">
        <f t="shared" si="28"/>
        <v>0.44753146846664993</v>
      </c>
      <c r="I100" s="112">
        <f>IF(H100="","",IF($I$8="A",(RANK(H100,H$11:H$363,1)+COUNTIF(H$11:H100,H100)-1),(RANK(H100,H$11:H$363)+COUNTIF(H$11:H100,H100)-1)))</f>
        <v>92</v>
      </c>
      <c r="J100" s="58"/>
      <c r="K100" s="51">
        <f t="shared" si="43"/>
        <v>90</v>
      </c>
      <c r="L100" s="59" t="str">
        <f t="shared" si="29"/>
        <v>Horsham</v>
      </c>
      <c r="M100" s="153">
        <f t="shared" si="33"/>
        <v>0.45170180450046116</v>
      </c>
      <c r="N100" s="148">
        <f t="shared" si="34"/>
        <v>45.170180450046118</v>
      </c>
      <c r="O100" s="131" t="str">
        <f t="shared" si="30"/>
        <v/>
      </c>
      <c r="P100" s="131">
        <f t="shared" si="44"/>
        <v>45.170180450046118</v>
      </c>
      <c r="Q100" s="131" t="str">
        <f t="shared" si="45"/>
        <v/>
      </c>
      <c r="R100" s="127" t="str">
        <f t="shared" si="46"/>
        <v/>
      </c>
      <c r="S100" s="60" t="str">
        <f t="shared" si="35"/>
        <v/>
      </c>
      <c r="T100" s="231" t="str">
        <f>IF(L100="","",VLOOKUP(L100,classifications!C:K,9,FALSE))</f>
        <v>Sparse</v>
      </c>
      <c r="U100" s="238">
        <f t="shared" si="31"/>
        <v>0.45170180450046116</v>
      </c>
      <c r="V100" s="239">
        <f>IF(U100="","",IF($I$8="A",(RANK(U100,U$11:U$363)+COUNTIF(U$11:U100,U100)-1),(RANK(U100,U$11:U$363,1)+COUNTIF(U$11:U100,U100)-1)))</f>
        <v>43</v>
      </c>
      <c r="W100" s="240"/>
      <c r="X100" s="61" t="str">
        <f>IF(L100="","",VLOOKUP($L100,classifications!$C:$J,6,FALSE))</f>
        <v>Rural-50</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West Sussex</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0.44753146846664993</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t="str">
        <f t="shared" si="27"/>
        <v/>
      </c>
      <c r="G101" s="105"/>
      <c r="H101" s="60" t="str">
        <f t="shared" si="28"/>
        <v/>
      </c>
      <c r="I101" s="112" t="str">
        <f>IF(H101="","",IF($I$8="A",(RANK(H101,H$11:H$363,1)+COUNTIF(H$11:H101,H101)-1),(RANK(H101,H$11:H$363)+COUNTIF(H$11:H101,H101)-1)))</f>
        <v/>
      </c>
      <c r="J101" s="58"/>
      <c r="K101" s="51">
        <f t="shared" si="43"/>
        <v>91</v>
      </c>
      <c r="L101" s="59" t="str">
        <f t="shared" si="29"/>
        <v>Nuneaton &amp; Bedworth</v>
      </c>
      <c r="M101" s="153">
        <f t="shared" si="33"/>
        <v>0.45018446798962403</v>
      </c>
      <c r="N101" s="148">
        <f t="shared" si="34"/>
        <v>45.018446798962401</v>
      </c>
      <c r="O101" s="131" t="str">
        <f t="shared" si="30"/>
        <v/>
      </c>
      <c r="P101" s="131">
        <f t="shared" si="44"/>
        <v>45.018446798962401</v>
      </c>
      <c r="Q101" s="131" t="str">
        <f t="shared" si="45"/>
        <v/>
      </c>
      <c r="R101" s="127" t="str">
        <f t="shared" si="46"/>
        <v/>
      </c>
      <c r="S101" s="60" t="str">
        <f t="shared" si="35"/>
        <v/>
      </c>
      <c r="T101" s="231">
        <f>IF(L101="","",VLOOKUP(L101,classifications!C:K,9,FALSE))</f>
        <v>0</v>
      </c>
      <c r="U101" s="238" t="str">
        <f t="shared" si="31"/>
        <v/>
      </c>
      <c r="V101" s="239" t="str">
        <f>IF(U101="","",IF($I$8="A",(RANK(U101,U$11:U$363)+COUNTIF(U$11:U101,U101)-1),(RANK(U101,U$11:U$363,1)+COUNTIF(U$11:U101,U101)-1)))</f>
        <v/>
      </c>
      <c r="W101" s="240"/>
      <c r="X101" s="61" t="str">
        <f>IF(L101="","",VLOOKUP($L101,classifications!$C:$J,6,FALSE))</f>
        <v>Other Urban</v>
      </c>
      <c r="Y101" s="49" t="str">
        <f t="shared" si="36"/>
        <v/>
      </c>
      <c r="Z101" s="57" t="str">
        <f>IF(Y101="","",IF(I$8="A",(RANK(Y101,Y$11:Y$363,1)+COUNTIF(Y$11:Y101,Y101)-1),(RANK(Y101,Y$11:Y$363)+COUNTIF(Y$11:Y101,Y101)-1)))</f>
        <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Warwickshire</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West Midlands</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t="str">
        <f>HLOOKUP($AX$9&amp;$AX$10,Data!$A$1:$ZZ$2000,(MATCH($C101,Data!$A$1:$A$2000,0)),FALSE)</f>
        <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0.33104672291649179</v>
      </c>
      <c r="G102" s="105"/>
      <c r="H102" s="60">
        <f t="shared" si="28"/>
        <v>0.33104672291649179</v>
      </c>
      <c r="I102" s="112">
        <f>IF(H102="","",IF($I$8="A",(RANK(H102,H$11:H$363,1)+COUNTIF(H$11:H102,H102)-1),(RANK(H102,H$11:H$363)+COUNTIF(H$11:H102,H102)-1)))</f>
        <v>168</v>
      </c>
      <c r="J102" s="58"/>
      <c r="K102" s="51">
        <f t="shared" si="43"/>
        <v>92</v>
      </c>
      <c r="L102" s="59" t="str">
        <f t="shared" si="29"/>
        <v>East Devon</v>
      </c>
      <c r="M102" s="153">
        <f t="shared" si="33"/>
        <v>0.44753146846664993</v>
      </c>
      <c r="N102" s="148">
        <f t="shared" si="34"/>
        <v>44.75314684666499</v>
      </c>
      <c r="O102" s="131" t="str">
        <f t="shared" si="30"/>
        <v/>
      </c>
      <c r="P102" s="131">
        <f t="shared" si="44"/>
        <v>44.75314684666499</v>
      </c>
      <c r="Q102" s="131" t="str">
        <f t="shared" si="45"/>
        <v/>
      </c>
      <c r="R102" s="127" t="str">
        <f t="shared" si="46"/>
        <v/>
      </c>
      <c r="S102" s="60" t="str">
        <f t="shared" si="35"/>
        <v/>
      </c>
      <c r="T102" s="231" t="str">
        <f>IF(L102="","",VLOOKUP(L102,classifications!C:K,9,FALSE))</f>
        <v>Sparse</v>
      </c>
      <c r="U102" s="238">
        <f t="shared" si="31"/>
        <v>0.44753146846664993</v>
      </c>
      <c r="V102" s="239">
        <f>IF(U102="","",IF($I$8="A",(RANK(U102,U$11:U$363)+COUNTIF(U$11:U102,U102)-1),(RANK(U102,U$11:U$363,1)+COUNTIF(U$11:U102,U102)-1)))</f>
        <v>42</v>
      </c>
      <c r="W102" s="240"/>
      <c r="X102" s="61" t="str">
        <f>IF(L102="","",VLOOKUP($L102,classifications!$C:$J,6,FALSE))</f>
        <v>Rural-50</v>
      </c>
      <c r="Y102" s="49" t="str">
        <f t="shared" si="36"/>
        <v/>
      </c>
      <c r="Z102" s="57" t="str">
        <f>IF(Y102="","",IF(I$8="A",(RANK(Y102,Y$11:Y$363,1)+COUNTIF(Y$11:Y102,Y102)-1),(RANK(Y102,Y$11:Y$363)+COUNTIF(Y$11:Y102,Y102)-1)))</f>
        <v/>
      </c>
      <c r="AA102" s="245" t="str">
        <f>IF(L102="","",VLOOKUP($L102,classifications!C:I,7,FALSE))</f>
        <v>Predominantly Rural</v>
      </c>
      <c r="AB102" s="239">
        <f t="shared" si="37"/>
        <v>0.44753146846664993</v>
      </c>
      <c r="AC102" s="239">
        <f>IF(AB102="","",IF($I$8="A",(RANK(AB102,AB$11:AB$363)+COUNTIF(AB$11:AB102,AB102)-1),(RANK(AB102,AB$11:AB$363,1)+COUNTIF(AB$11:AB102,AB102)-1)))</f>
        <v>33</v>
      </c>
      <c r="AD102" s="239"/>
      <c r="AE102" s="51" t="str">
        <f t="shared" si="50"/>
        <v/>
      </c>
      <c r="AG102" s="143"/>
      <c r="AH102" s="52"/>
      <c r="AI102" s="61" t="str">
        <f>IF(L102="","",VLOOKUP($L102,classifications!$C:$J,8,FALSE))</f>
        <v>Devon</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West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0.33104672291649179</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0.48484562449853325</v>
      </c>
      <c r="G103" s="105"/>
      <c r="H103" s="60">
        <f t="shared" si="28"/>
        <v>0.48484562449853325</v>
      </c>
      <c r="I103" s="112">
        <f>IF(H103="","",IF($I$8="A",(RANK(H103,H$11:H$363,1)+COUNTIF(H$11:H103,H103)-1),(RANK(H103,H$11:H$363)+COUNTIF(H$11:H103,H103)-1)))</f>
        <v>61</v>
      </c>
      <c r="J103" s="58"/>
      <c r="K103" s="51">
        <f t="shared" si="43"/>
        <v>93</v>
      </c>
      <c r="L103" s="59" t="str">
        <f t="shared" si="29"/>
        <v>Sedgemoor</v>
      </c>
      <c r="M103" s="153">
        <f t="shared" si="33"/>
        <v>0.44671540423656453</v>
      </c>
      <c r="N103" s="148">
        <f t="shared" si="34"/>
        <v>44.671540423656452</v>
      </c>
      <c r="O103" s="131" t="str">
        <f t="shared" si="30"/>
        <v/>
      </c>
      <c r="P103" s="131">
        <f t="shared" si="44"/>
        <v>44.671540423656452</v>
      </c>
      <c r="Q103" s="131" t="str">
        <f t="shared" si="45"/>
        <v/>
      </c>
      <c r="R103" s="127" t="str">
        <f t="shared" si="46"/>
        <v/>
      </c>
      <c r="S103" s="60" t="str">
        <f t="shared" si="35"/>
        <v/>
      </c>
      <c r="T103" s="231" t="str">
        <f>IF(L103="","",VLOOKUP(L103,classifications!C:K,9,FALSE))</f>
        <v>Sparse</v>
      </c>
      <c r="U103" s="238">
        <f t="shared" si="31"/>
        <v>0.44671540423656453</v>
      </c>
      <c r="V103" s="239">
        <f>IF(U103="","",IF($I$8="A",(RANK(U103,U$11:U$363)+COUNTIF(U$11:U103,U103)-1),(RANK(U103,U$11:U$363,1)+COUNTIF(U$11:U103,U103)-1)))</f>
        <v>41</v>
      </c>
      <c r="W103" s="240"/>
      <c r="X103" s="61" t="str">
        <f>IF(L103="","",VLOOKUP($L103,classifications!$C:$J,6,FALSE))</f>
        <v>Rural-50</v>
      </c>
      <c r="Y103" s="49" t="str">
        <f t="shared" si="36"/>
        <v/>
      </c>
      <c r="Z103" s="57" t="str">
        <f>IF(Y103="","",IF(I$8="A",(RANK(Y103,Y$11:Y$363,1)+COUNTIF(Y$11:Y103,Y103)-1),(RANK(Y103,Y$11:Y$363)+COUNTIF(Y$11:Y103,Y103)-1)))</f>
        <v/>
      </c>
      <c r="AA103" s="245" t="str">
        <f>IF(L103="","",VLOOKUP($L103,classifications!C:I,7,FALSE))</f>
        <v>Predominantly Rural</v>
      </c>
      <c r="AB103" s="239">
        <f t="shared" si="37"/>
        <v>0.44671540423656453</v>
      </c>
      <c r="AC103" s="239">
        <f>IF(AB103="","",IF($I$8="A",(RANK(AB103,AB$11:AB$363)+COUNTIF(AB$11:AB103,AB103)-1),(RANK(AB103,AB$11:AB$363,1)+COUNTIF(AB$11:AB103,AB103)-1)))</f>
        <v>32</v>
      </c>
      <c r="AD103" s="239"/>
      <c r="AE103" s="51" t="str">
        <f t="shared" si="50"/>
        <v/>
      </c>
      <c r="AG103" s="143"/>
      <c r="AH103" s="52"/>
      <c r="AI103" s="61" t="str">
        <f>IF(L103="","",VLOOKUP($L103,classifications!$C:$J,8,FALSE))</f>
        <v>Somerset</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West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0.48484562449853325</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0.49798661083678647</v>
      </c>
      <c r="G104" s="105"/>
      <c r="H104" s="60">
        <f t="shared" si="28"/>
        <v>0.49798661083678647</v>
      </c>
      <c r="I104" s="112">
        <f>IF(H104="","",IF($I$8="A",(RANK(H104,H$11:H$363,1)+COUNTIF(H$11:H104,H104)-1),(RANK(H104,H$11:H$363)+COUNTIF(H$11:H104,H104)-1)))</f>
        <v>53</v>
      </c>
      <c r="J104" s="58"/>
      <c r="K104" s="51">
        <f t="shared" si="43"/>
        <v>94</v>
      </c>
      <c r="L104" s="59" t="str">
        <f t="shared" si="29"/>
        <v>Shepway</v>
      </c>
      <c r="M104" s="153">
        <f t="shared" si="33"/>
        <v>0.4457818805663703</v>
      </c>
      <c r="N104" s="148">
        <f t="shared" si="34"/>
        <v>44.578188056637032</v>
      </c>
      <c r="O104" s="131" t="str">
        <f t="shared" si="30"/>
        <v/>
      </c>
      <c r="P104" s="131">
        <f t="shared" si="44"/>
        <v>44.578188056637032</v>
      </c>
      <c r="Q104" s="131" t="str">
        <f t="shared" si="45"/>
        <v/>
      </c>
      <c r="R104" s="127" t="str">
        <f t="shared" si="46"/>
        <v/>
      </c>
      <c r="S104" s="60" t="str">
        <f t="shared" si="35"/>
        <v/>
      </c>
      <c r="T104" s="231" t="str">
        <f>IF(L104="","",VLOOKUP(L104,classifications!C:K,9,FALSE))</f>
        <v>Sparse</v>
      </c>
      <c r="U104" s="238">
        <f t="shared" si="31"/>
        <v>0.4457818805663703</v>
      </c>
      <c r="V104" s="239">
        <f>IF(U104="","",IF($I$8="A",(RANK(U104,U$11:U$363)+COUNTIF(U$11:U104,U104)-1),(RANK(U104,U$11:U$363,1)+COUNTIF(U$11:U104,U104)-1)))</f>
        <v>40</v>
      </c>
      <c r="W104" s="240"/>
      <c r="X104" s="61" t="str">
        <f>IF(L104="","",VLOOKUP($L104,classifications!$C:$J,6,FALSE))</f>
        <v>Significant Rural</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Kent</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East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0.49798661083678647</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0.45330219638247948</v>
      </c>
      <c r="G105" s="105"/>
      <c r="H105" s="60">
        <f t="shared" si="28"/>
        <v>0.45330219638247948</v>
      </c>
      <c r="I105" s="112">
        <f>IF(H105="","",IF($I$8="A",(RANK(H105,H$11:H$363,1)+COUNTIF(H$11:H105,H105)-1),(RANK(H105,H$11:H$363)+COUNTIF(H$11:H105,H105)-1)))</f>
        <v>88</v>
      </c>
      <c r="J105" s="58"/>
      <c r="K105" s="51">
        <f t="shared" si="43"/>
        <v>95</v>
      </c>
      <c r="L105" s="59" t="str">
        <f t="shared" si="29"/>
        <v>Oxford</v>
      </c>
      <c r="M105" s="153">
        <f t="shared" si="33"/>
        <v>0.44428833990112049</v>
      </c>
      <c r="N105" s="148">
        <f t="shared" si="34"/>
        <v>44.428833990112047</v>
      </c>
      <c r="O105" s="131" t="str">
        <f t="shared" si="30"/>
        <v/>
      </c>
      <c r="P105" s="131">
        <f t="shared" si="44"/>
        <v>44.428833990112047</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Other Urban</v>
      </c>
      <c r="Y105" s="49" t="str">
        <f t="shared" si="36"/>
        <v/>
      </c>
      <c r="Z105" s="57" t="str">
        <f>IF(Y105="","",IF(I$8="A",(RANK(Y105,Y$11:Y$363,1)+COUNTIF(Y$11:Y105,Y105)-1),(RANK(Y105,Y$11:Y$363)+COUNTIF(Y$11:Y105,Y105)-1)))</f>
        <v/>
      </c>
      <c r="AA105" s="245" t="str">
        <f>IF(L105="","",VLOOKUP($L105,classifications!C:I,7,FALSE))</f>
        <v>Predominantly Rural</v>
      </c>
      <c r="AB105" s="239">
        <f t="shared" si="37"/>
        <v>0.44428833990112049</v>
      </c>
      <c r="AC105" s="239">
        <f>IF(AB105="","",IF($I$8="A",(RANK(AB105,AB$11:AB$363)+COUNTIF(AB$11:AB105,AB105)-1),(RANK(AB105,AB$11:AB$363,1)+COUNTIF(AB$11:AB105,AB105)-1)))</f>
        <v>31</v>
      </c>
      <c r="AD105" s="239"/>
      <c r="AE105" s="51" t="str">
        <f t="shared" si="50"/>
        <v/>
      </c>
      <c r="AG105" s="143"/>
      <c r="AH105" s="52"/>
      <c r="AI105" s="61" t="str">
        <f>IF(L105="","",VLOOKUP($L105,classifications!$C:$J,8,FALSE))</f>
        <v>Oxfordshire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East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0.45330219638247948</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0.57220647398742464</v>
      </c>
      <c r="G106" s="105"/>
      <c r="H106" s="60" t="str">
        <f t="shared" si="28"/>
        <v/>
      </c>
      <c r="I106" s="112" t="str">
        <f>IF(H106="","",IF($I$8="A",(RANK(H106,H$11:H$363,1)+COUNTIF(H$11:H106,H106)-1),(RANK(H106,H$11:H$363)+COUNTIF(H$11:H106,H106)-1)))</f>
        <v/>
      </c>
      <c r="J106" s="58"/>
      <c r="K106" s="51">
        <f t="shared" si="43"/>
        <v>96</v>
      </c>
      <c r="L106" s="59" t="str">
        <f t="shared" si="29"/>
        <v>Rother</v>
      </c>
      <c r="M106" s="153">
        <f t="shared" si="33"/>
        <v>0.44411996677580773</v>
      </c>
      <c r="N106" s="148">
        <f t="shared" si="34"/>
        <v>44.411996677580774</v>
      </c>
      <c r="O106" s="131" t="str">
        <f t="shared" si="30"/>
        <v/>
      </c>
      <c r="P106" s="131">
        <f t="shared" si="44"/>
        <v>44.411996677580774</v>
      </c>
      <c r="Q106" s="131" t="str">
        <f t="shared" si="45"/>
        <v/>
      </c>
      <c r="R106" s="127" t="str">
        <f t="shared" si="46"/>
        <v/>
      </c>
      <c r="S106" s="60" t="str">
        <f t="shared" si="35"/>
        <v/>
      </c>
      <c r="T106" s="231" t="str">
        <f>IF(L106="","",VLOOKUP(L106,classifications!C:K,9,FALSE))</f>
        <v>Sparse</v>
      </c>
      <c r="U106" s="238">
        <f t="shared" si="31"/>
        <v>0.44411996677580773</v>
      </c>
      <c r="V106" s="239">
        <f>IF(U106="","",IF($I$8="A",(RANK(U106,U$11:U$363)+COUNTIF(U$11:U106,U106)-1),(RANK(U106,U$11:U$363,1)+COUNTIF(U$11:U106,U106)-1)))</f>
        <v>39</v>
      </c>
      <c r="W106" s="240"/>
      <c r="X106" s="61" t="str">
        <f>IF(L106="","",VLOOKUP($L106,classifications!$C:$J,6,FALSE))</f>
        <v>Rural-50</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East Sussex</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South East</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0.57220647398742464</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0.52291724434530207</v>
      </c>
      <c r="G107" s="105"/>
      <c r="H107" s="60">
        <f t="shared" si="28"/>
        <v>0.52291724434530207</v>
      </c>
      <c r="I107" s="112">
        <f>IF(H107="","",IF($I$8="A",(RANK(H107,H$11:H$363,1)+COUNTIF(H$11:H107,H107)-1),(RANK(H107,H$11:H$363)+COUNTIF(H$11:H107,H107)-1)))</f>
        <v>36</v>
      </c>
      <c r="J107" s="58"/>
      <c r="K107" s="51">
        <f t="shared" si="43"/>
        <v>97</v>
      </c>
      <c r="L107" s="59" t="str">
        <f t="shared" si="29"/>
        <v>Broadland</v>
      </c>
      <c r="M107" s="153">
        <f t="shared" si="33"/>
        <v>0.44374634072339242</v>
      </c>
      <c r="N107" s="148">
        <f t="shared" si="34"/>
        <v>44.374634072339241</v>
      </c>
      <c r="O107" s="131" t="str">
        <f t="shared" si="30"/>
        <v/>
      </c>
      <c r="P107" s="131">
        <f t="shared" si="44"/>
        <v>44.374634072339241</v>
      </c>
      <c r="Q107" s="131" t="str">
        <f t="shared" si="45"/>
        <v/>
      </c>
      <c r="R107" s="127" t="str">
        <f t="shared" si="46"/>
        <v/>
      </c>
      <c r="S107" s="60" t="str">
        <f t="shared" si="35"/>
        <v/>
      </c>
      <c r="T107" s="231" t="str">
        <f>IF(L107="","",VLOOKUP(L107,classifications!C:K,9,FALSE))</f>
        <v>Sparse</v>
      </c>
      <c r="U107" s="238">
        <f t="shared" si="31"/>
        <v>0.44374634072339242</v>
      </c>
      <c r="V107" s="239">
        <f>IF(U107="","",IF($I$8="A",(RANK(U107,U$11:U$363)+COUNTIF(U$11:U107,U107)-1),(RANK(U107,U$11:U$363,1)+COUNTIF(U$11:U107,U107)-1)))</f>
        <v>38</v>
      </c>
      <c r="W107" s="240"/>
      <c r="X107" s="61" t="str">
        <f>IF(L107="","",VLOOKUP($L107,classifications!$C:$J,6,FALSE))</f>
        <v>Significant Rural</v>
      </c>
      <c r="Y107" s="49" t="str">
        <f t="shared" si="36"/>
        <v/>
      </c>
      <c r="Z107" s="57" t="str">
        <f>IF(Y107="","",IF(I$8="A",(RANK(Y107,Y$11:Y$363,1)+COUNTIF(Y$11:Y107,Y107)-1),(RANK(Y107,Y$11:Y$363)+COUNTIF(Y$11:Y107,Y107)-1)))</f>
        <v/>
      </c>
      <c r="AA107" s="245" t="str">
        <f>IF(L107="","",VLOOKUP($L107,classifications!C:I,7,FALSE))</f>
        <v>Predominantly Rural</v>
      </c>
      <c r="AB107" s="239">
        <f t="shared" si="37"/>
        <v>0.44374634072339242</v>
      </c>
      <c r="AC107" s="239">
        <f>IF(AB107="","",IF($I$8="A",(RANK(AB107,AB$11:AB$363)+COUNTIF(AB$11:AB107,AB107)-1),(RANK(AB107,AB$11:AB$363,1)+COUNTIF(AB$11:AB107,AB107)-1)))</f>
        <v>30</v>
      </c>
      <c r="AD107" s="239"/>
      <c r="AE107" s="51" t="str">
        <f t="shared" si="50"/>
        <v/>
      </c>
      <c r="AG107" s="143"/>
      <c r="AH107" s="52"/>
      <c r="AI107" s="61" t="str">
        <f>IF(L107="","",VLOOKUP($L107,classifications!$C:$J,8,FALSE))</f>
        <v>Norfolk</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East of England</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0.52291724434530207</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High Peak</v>
      </c>
      <c r="M108" s="153">
        <f t="shared" si="33"/>
        <v>0.44341138855228052</v>
      </c>
      <c r="N108" s="148">
        <f t="shared" si="34"/>
        <v>44.341138855228053</v>
      </c>
      <c r="O108" s="131" t="str">
        <f t="shared" si="30"/>
        <v/>
      </c>
      <c r="P108" s="131" t="str">
        <f t="shared" si="44"/>
        <v/>
      </c>
      <c r="Q108" s="131">
        <f t="shared" si="45"/>
        <v>44.341138855228053</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Rural-50</v>
      </c>
      <c r="Y108" s="49" t="str">
        <f t="shared" si="36"/>
        <v/>
      </c>
      <c r="Z108" s="57" t="str">
        <f>IF(Y108="","",IF(I$8="A",(RANK(Y108,Y$11:Y$363,1)+COUNTIF(Y$11:Y108,Y108)-1),(RANK(Y108,Y$11:Y$363)+COUNTIF(Y$11:Y108,Y108)-1)))</f>
        <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Derbyshire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East Midlands</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0.33480765081193864</v>
      </c>
      <c r="G109" s="105"/>
      <c r="H109" s="60">
        <f t="shared" si="28"/>
        <v>0.33480765081193864</v>
      </c>
      <c r="I109" s="112">
        <f>IF(H109="","",IF($I$8="A",(RANK(H109,H$11:H$363,1)+COUNTIF(H$11:H109,H109)-1),(RANK(H109,H$11:H$363)+COUNTIF(H$11:H109,H109)-1)))</f>
        <v>165</v>
      </c>
      <c r="J109" s="58"/>
      <c r="K109" s="51">
        <f t="shared" si="43"/>
        <v>99</v>
      </c>
      <c r="L109" s="59" t="str">
        <f t="shared" si="29"/>
        <v>Torridge</v>
      </c>
      <c r="M109" s="153">
        <f t="shared" si="33"/>
        <v>0.44218705315513657</v>
      </c>
      <c r="N109" s="148">
        <f t="shared" si="34"/>
        <v>44.21870531551366</v>
      </c>
      <c r="O109" s="131" t="str">
        <f t="shared" si="30"/>
        <v/>
      </c>
      <c r="P109" s="131" t="str">
        <f t="shared" si="44"/>
        <v/>
      </c>
      <c r="Q109" s="131">
        <f t="shared" si="45"/>
        <v>44.21870531551366</v>
      </c>
      <c r="R109" s="127" t="str">
        <f t="shared" si="46"/>
        <v/>
      </c>
      <c r="S109" s="60" t="str">
        <f t="shared" si="35"/>
        <v/>
      </c>
      <c r="T109" s="231" t="str">
        <f>IF(L109="","",VLOOKUP(L109,classifications!C:K,9,FALSE))</f>
        <v>Sparse</v>
      </c>
      <c r="U109" s="238">
        <f t="shared" si="31"/>
        <v>0.44218705315513657</v>
      </c>
      <c r="V109" s="239">
        <f>IF(U109="","",IF($I$8="A",(RANK(U109,U$11:U$363)+COUNTIF(U$11:U109,U109)-1),(RANK(U109,U$11:U$363,1)+COUNTIF(U$11:U109,U109)-1)))</f>
        <v>37</v>
      </c>
      <c r="W109" s="240"/>
      <c r="X109" s="61" t="str">
        <f>IF(L109="","",VLOOKUP($L109,classifications!$C:$J,6,FALSE))</f>
        <v>Rural-80</v>
      </c>
      <c r="Y109" s="49">
        <f t="shared" si="36"/>
        <v>0.44218705315513657</v>
      </c>
      <c r="Z109" s="57">
        <f>IF(Y109="","",IF(I$8="A",(RANK(Y109,Y$11:Y$363,1)+COUNTIF(Y$11:Y109,Y109)-1),(RANK(Y109,Y$11:Y$363)+COUNTIF(Y$11:Y109,Y109)-1)))</f>
        <v>29</v>
      </c>
      <c r="AA109" s="245" t="str">
        <f>IF(L109="","",VLOOKUP($L109,classifications!C:I,7,FALSE))</f>
        <v>Predominantly Rural</v>
      </c>
      <c r="AB109" s="239">
        <f t="shared" si="37"/>
        <v>0.44218705315513657</v>
      </c>
      <c r="AC109" s="239">
        <f>IF(AB109="","",IF($I$8="A",(RANK(AB109,AB$11:AB$363)+COUNTIF(AB$11:AB109,AB109)-1),(RANK(AB109,AB$11:AB$363,1)+COUNTIF(AB$11:AB109,AB109)-1)))</f>
        <v>29</v>
      </c>
      <c r="AD109" s="239"/>
      <c r="AE109" s="51" t="str">
        <f t="shared" si="50"/>
        <v/>
      </c>
      <c r="AG109" s="143"/>
      <c r="AH109" s="52"/>
      <c r="AI109" s="61" t="str">
        <f>IF(L109="","",VLOOKUP($L109,classifications!$C:$J,8,FALSE))</f>
        <v>Devon</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South West</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0.33480765081193864</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0.39123764691148011</v>
      </c>
      <c r="G110" s="105"/>
      <c r="H110" s="60">
        <f t="shared" si="28"/>
        <v>0.39123764691148011</v>
      </c>
      <c r="I110" s="112">
        <f>IF(H110="","",IF($I$8="A",(RANK(H110,H$11:H$363,1)+COUNTIF(H$11:H110,H110)-1),(RANK(H110,H$11:H$363)+COUNTIF(H$11:H110,H110)-1)))</f>
        <v>140</v>
      </c>
      <c r="J110" s="58"/>
      <c r="K110" s="51">
        <f t="shared" si="43"/>
        <v>100</v>
      </c>
      <c r="L110" s="59" t="str">
        <f t="shared" si="29"/>
        <v>Dover</v>
      </c>
      <c r="M110" s="153">
        <f t="shared" si="33"/>
        <v>0.44150176362655391</v>
      </c>
      <c r="N110" s="148">
        <f t="shared" si="34"/>
        <v>44.150176362655394</v>
      </c>
      <c r="O110" s="131" t="str">
        <f t="shared" si="30"/>
        <v/>
      </c>
      <c r="P110" s="131" t="str">
        <f t="shared" si="44"/>
        <v/>
      </c>
      <c r="Q110" s="131">
        <f t="shared" si="45"/>
        <v>44.150176362655394</v>
      </c>
      <c r="R110" s="127" t="str">
        <f t="shared" si="46"/>
        <v/>
      </c>
      <c r="S110" s="60" t="str">
        <f t="shared" si="35"/>
        <v/>
      </c>
      <c r="T110" s="231" t="str">
        <f>IF(L110="","",VLOOKUP(L110,classifications!C:K,9,FALSE))</f>
        <v>Sparse</v>
      </c>
      <c r="U110" s="238">
        <f t="shared" si="31"/>
        <v>0.44150176362655391</v>
      </c>
      <c r="V110" s="239">
        <f>IF(U110="","",IF($I$8="A",(RANK(U110,U$11:U$363)+COUNTIF(U$11:U110,U110)-1),(RANK(U110,U$11:U$363,1)+COUNTIF(U$11:U110,U110)-1)))</f>
        <v>36</v>
      </c>
      <c r="W110" s="240"/>
      <c r="X110" s="61" t="str">
        <f>IF(L110="","",VLOOKUP($L110,classifications!$C:$J,6,FALSE))</f>
        <v>Rural-50</v>
      </c>
      <c r="Y110" s="49" t="str">
        <f t="shared" si="36"/>
        <v/>
      </c>
      <c r="Z110" s="57" t="str">
        <f>IF(Y110="","",IF(I$8="A",(RANK(Y110,Y$11:Y$363,1)+COUNTIF(Y$11:Y110,Y110)-1),(RANK(Y110,Y$11:Y$363)+COUNTIF(Y$11:Y110,Y110)-1)))</f>
        <v/>
      </c>
      <c r="AA110" s="245" t="str">
        <f>IF(L110="","",VLOOKUP($L110,classifications!C:I,7,FALSE))</f>
        <v>Significant Rural</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Kent</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East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0.39123764691148011</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0.40768344453617145</v>
      </c>
      <c r="G111" s="105"/>
      <c r="H111" s="60">
        <f t="shared" si="28"/>
        <v>0.40768344453617145</v>
      </c>
      <c r="I111" s="112">
        <f>IF(H111="","",IF($I$8="A",(RANK(H111,H$11:H$363,1)+COUNTIF(H$11:H111,H111)-1),(RANK(H111,H$11:H$363)+COUNTIF(H$11:H111,H111)-1)))</f>
        <v>128</v>
      </c>
      <c r="J111" s="58"/>
      <c r="K111" s="51">
        <f t="shared" si="43"/>
        <v>101</v>
      </c>
      <c r="L111" s="59" t="str">
        <f t="shared" si="29"/>
        <v>Cambridge</v>
      </c>
      <c r="M111" s="153">
        <f t="shared" si="33"/>
        <v>0.44102031230782734</v>
      </c>
      <c r="N111" s="148">
        <f t="shared" si="34"/>
        <v>44.102031230782735</v>
      </c>
      <c r="O111" s="131" t="str">
        <f t="shared" si="30"/>
        <v/>
      </c>
      <c r="P111" s="131" t="str">
        <f t="shared" si="44"/>
        <v/>
      </c>
      <c r="Q111" s="131">
        <f t="shared" si="45"/>
        <v>44.102031230782735</v>
      </c>
      <c r="R111" s="127" t="str">
        <f t="shared" si="46"/>
        <v/>
      </c>
      <c r="S111" s="60" t="str">
        <f t="shared" si="35"/>
        <v/>
      </c>
      <c r="T111" s="231">
        <f>IF(L111="","",VLOOKUP(L111,classifications!C:K,9,FALSE))</f>
        <v>0</v>
      </c>
      <c r="U111" s="238" t="str">
        <f t="shared" si="31"/>
        <v/>
      </c>
      <c r="V111" s="239" t="str">
        <f>IF(U111="","",IF($I$8="A",(RANK(U111,U$11:U$363)+COUNTIF(U$11:U111,U111)-1),(RANK(U111,U$11:U$363,1)+COUNTIF(U$11:U111,U111)-1)))</f>
        <v/>
      </c>
      <c r="W111" s="240"/>
      <c r="X111" s="61" t="str">
        <f>IF(L111="","",VLOOKUP($L111,classifications!$C:$J,6,FALSE))</f>
        <v>Other Urban</v>
      </c>
      <c r="Y111" s="49" t="str">
        <f t="shared" si="36"/>
        <v/>
      </c>
      <c r="Z111" s="57" t="str">
        <f>IF(Y111="","",IF(I$8="A",(RANK(Y111,Y$11:Y$363,1)+COUNTIF(Y$11:Y111,Y111)-1),(RANK(Y111,Y$11:Y$363)+COUNTIF(Y$11:Y111,Y111)-1)))</f>
        <v/>
      </c>
      <c r="AA111" s="245" t="str">
        <f>IF(L111="","",VLOOKUP($L111,classifications!C:I,7,FALSE))</f>
        <v>Predominantly Rural</v>
      </c>
      <c r="AB111" s="239">
        <f t="shared" si="37"/>
        <v>0.44102031230782734</v>
      </c>
      <c r="AC111" s="239">
        <f>IF(AB111="","",IF($I$8="A",(RANK(AB111,AB$11:AB$363)+COUNTIF(AB$11:AB111,AB111)-1),(RANK(AB111,AB$11:AB$363,1)+COUNTIF(AB$11:AB111,AB111)-1)))</f>
        <v>28</v>
      </c>
      <c r="AD111" s="239"/>
      <c r="AE111" s="51" t="str">
        <f t="shared" si="50"/>
        <v/>
      </c>
      <c r="AG111" s="143"/>
      <c r="AH111" s="52"/>
      <c r="AI111" s="61" t="str">
        <f>IF(L111="","",VLOOKUP($L111,classifications!$C:$J,8,FALSE))</f>
        <v>Cambridgeshire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of England</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0.40768344453617145</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0.4914766383742683</v>
      </c>
      <c r="G112" s="105"/>
      <c r="H112" s="60">
        <f t="shared" si="28"/>
        <v>0.4914766383742683</v>
      </c>
      <c r="I112" s="112">
        <f>IF(H112="","",IF($I$8="A",(RANK(H112,H$11:H$363,1)+COUNTIF(H$11:H112,H112)-1),(RANK(H112,H$11:H$363)+COUNTIF(H$11:H112,H112)-1)))</f>
        <v>57</v>
      </c>
      <c r="J112" s="58"/>
      <c r="K112" s="51">
        <f t="shared" si="43"/>
        <v>102</v>
      </c>
      <c r="L112" s="59" t="str">
        <f t="shared" si="29"/>
        <v>North East Derbyshire</v>
      </c>
      <c r="M112" s="153">
        <f t="shared" si="33"/>
        <v>0.44059842204769323</v>
      </c>
      <c r="N112" s="148">
        <f t="shared" si="34"/>
        <v>44.059842204769325</v>
      </c>
      <c r="O112" s="131" t="str">
        <f t="shared" si="30"/>
        <v/>
      </c>
      <c r="P112" s="131" t="str">
        <f t="shared" si="44"/>
        <v/>
      </c>
      <c r="Q112" s="131">
        <f t="shared" si="45"/>
        <v>44.059842204769325</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Rural-50</v>
      </c>
      <c r="Y112" s="49" t="str">
        <f t="shared" si="36"/>
        <v/>
      </c>
      <c r="Z112" s="57" t="str">
        <f>IF(Y112="","",IF(I$8="A",(RANK(Y112,Y$11:Y$363,1)+COUNTIF(Y$11:Y112,Y112)-1),(RANK(Y112,Y$11:Y$363)+COUNTIF(Y$11:Y112,Y112)-1)))</f>
        <v/>
      </c>
      <c r="AA112" s="245" t="str">
        <f>IF(L112="","",VLOOKUP($L112,classifications!C:I,7,FALSE))</f>
        <v>Significant Rural</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Derbyshire</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East Midlands</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0.4914766383742683</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0.3911821879619341</v>
      </c>
      <c r="G113" s="105"/>
      <c r="H113" s="60" t="str">
        <f t="shared" si="28"/>
        <v/>
      </c>
      <c r="I113" s="112" t="str">
        <f>IF(H113="","",IF($I$8="A",(RANK(H113,H$11:H$363,1)+COUNTIF(H$11:H113,H113)-1),(RANK(H113,H$11:H$363)+COUNTIF(H$11:H113,H113)-1)))</f>
        <v/>
      </c>
      <c r="J113" s="58"/>
      <c r="K113" s="51">
        <f t="shared" si="43"/>
        <v>103</v>
      </c>
      <c r="L113" s="59" t="str">
        <f t="shared" si="29"/>
        <v>North Devon</v>
      </c>
      <c r="M113" s="153">
        <f t="shared" si="33"/>
        <v>0.44001826493890694</v>
      </c>
      <c r="N113" s="148">
        <f t="shared" si="34"/>
        <v>44.001826493890697</v>
      </c>
      <c r="O113" s="131" t="str">
        <f t="shared" si="30"/>
        <v/>
      </c>
      <c r="P113" s="131" t="str">
        <f t="shared" si="44"/>
        <v/>
      </c>
      <c r="Q113" s="131">
        <f t="shared" si="45"/>
        <v>44.001826493890697</v>
      </c>
      <c r="R113" s="127" t="str">
        <f t="shared" si="46"/>
        <v/>
      </c>
      <c r="S113" s="60" t="str">
        <f t="shared" si="35"/>
        <v/>
      </c>
      <c r="T113" s="231" t="str">
        <f>IF(L113="","",VLOOKUP(L113,classifications!C:K,9,FALSE))</f>
        <v>Sparse</v>
      </c>
      <c r="U113" s="238">
        <f t="shared" si="31"/>
        <v>0.44001826493890694</v>
      </c>
      <c r="V113" s="239">
        <f>IF(U113="","",IF($I$8="A",(RANK(U113,U$11:U$363)+COUNTIF(U$11:U113,U113)-1),(RANK(U113,U$11:U$363,1)+COUNTIF(U$11:U113,U113)-1)))</f>
        <v>35</v>
      </c>
      <c r="W113" s="240"/>
      <c r="X113" s="61" t="str">
        <f>IF(L113="","",VLOOKUP($L113,classifications!$C:$J,6,FALSE))</f>
        <v>Rural-50</v>
      </c>
      <c r="Y113" s="49" t="str">
        <f t="shared" si="36"/>
        <v/>
      </c>
      <c r="Z113" s="57" t="str">
        <f>IF(Y113="","",IF(I$8="A",(RANK(Y113,Y$11:Y$363,1)+COUNTIF(Y$11:Y113,Y113)-1),(RANK(Y113,Y$11:Y$363)+COUNTIF(Y$11:Y113,Y113)-1)))</f>
        <v/>
      </c>
      <c r="AA113" s="245" t="str">
        <f>IF(L113="","",VLOOKUP($L113,classifications!C:I,7,FALSE))</f>
        <v>Predominantly Rural</v>
      </c>
      <c r="AB113" s="239">
        <f t="shared" si="37"/>
        <v>0.44001826493890694</v>
      </c>
      <c r="AC113" s="239">
        <f>IF(AB113="","",IF($I$8="A",(RANK(AB113,AB$11:AB$363)+COUNTIF(AB$11:AB113,AB113)-1),(RANK(AB113,AB$11:AB$363,1)+COUNTIF(AB$11:AB113,AB113)-1)))</f>
        <v>27</v>
      </c>
      <c r="AD113" s="239"/>
      <c r="AE113" s="51" t="str">
        <f t="shared" si="50"/>
        <v/>
      </c>
      <c r="AG113" s="143"/>
      <c r="AH113" s="52"/>
      <c r="AI113" s="61" t="str">
        <f>IF(L113="","",VLOOKUP($L113,classifications!$C:$J,8,FALSE))</f>
        <v>Devon</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West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0.3911821879619341</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0.58577351769871677</v>
      </c>
      <c r="G114" s="105"/>
      <c r="H114" s="60">
        <f t="shared" si="28"/>
        <v>0.58577351769871677</v>
      </c>
      <c r="I114" s="112">
        <f>IF(H114="","",IF($I$8="A",(RANK(H114,H$11:H$363,1)+COUNTIF(H$11:H114,H114)-1),(RANK(H114,H$11:H$363)+COUNTIF(H$11:H114,H114)-1)))</f>
        <v>6</v>
      </c>
      <c r="J114" s="58"/>
      <c r="K114" s="51">
        <f t="shared" si="43"/>
        <v>104</v>
      </c>
      <c r="L114" s="59" t="str">
        <f t="shared" si="29"/>
        <v>King's Lynn &amp; West Norfolk</v>
      </c>
      <c r="M114" s="153">
        <f t="shared" si="33"/>
        <v>0.43872562179386498</v>
      </c>
      <c r="N114" s="148">
        <f t="shared" si="34"/>
        <v>43.872562179386499</v>
      </c>
      <c r="O114" s="131" t="str">
        <f t="shared" si="30"/>
        <v/>
      </c>
      <c r="P114" s="131" t="str">
        <f t="shared" si="44"/>
        <v/>
      </c>
      <c r="Q114" s="131">
        <f t="shared" si="45"/>
        <v>43.872562179386499</v>
      </c>
      <c r="R114" s="127" t="str">
        <f t="shared" si="46"/>
        <v/>
      </c>
      <c r="S114" s="60" t="str">
        <f t="shared" si="35"/>
        <v/>
      </c>
      <c r="T114" s="231" t="str">
        <f>IF(L114="","",VLOOKUP(L114,classifications!C:K,9,FALSE))</f>
        <v>Sparse</v>
      </c>
      <c r="U114" s="238">
        <f t="shared" si="31"/>
        <v>0.43872562179386498</v>
      </c>
      <c r="V114" s="239">
        <f>IF(U114="","",IF($I$8="A",(RANK(U114,U$11:U$363)+COUNTIF(U$11:U114,U114)-1),(RANK(U114,U$11:U$363,1)+COUNTIF(U$11:U114,U114)-1)))</f>
        <v>34</v>
      </c>
      <c r="W114" s="240"/>
      <c r="X114" s="61" t="str">
        <f>IF(L114="","",VLOOKUP($L114,classifications!$C:$J,6,FALSE))</f>
        <v>Rural-50</v>
      </c>
      <c r="Y114" s="49" t="str">
        <f t="shared" si="36"/>
        <v/>
      </c>
      <c r="Z114" s="57" t="str">
        <f>IF(Y114="","",IF(I$8="A",(RANK(Y114,Y$11:Y$363,1)+COUNTIF(Y$11:Y114,Y114)-1),(RANK(Y114,Y$11:Y$363)+COUNTIF(Y$11:Y114,Y114)-1)))</f>
        <v/>
      </c>
      <c r="AA114" s="245" t="str">
        <f>IF(L114="","",VLOOKUP($L114,classifications!C:I,7,FALSE))</f>
        <v>Predominantly Rural</v>
      </c>
      <c r="AB114" s="239">
        <f t="shared" si="37"/>
        <v>0.43872562179386498</v>
      </c>
      <c r="AC114" s="239">
        <f>IF(AB114="","",IF($I$8="A",(RANK(AB114,AB$11:AB$363)+COUNTIF(AB$11:AB114,AB114)-1),(RANK(AB114,AB$11:AB$363,1)+COUNTIF(AB$11:AB114,AB114)-1)))</f>
        <v>26</v>
      </c>
      <c r="AD114" s="239"/>
      <c r="AE114" s="51" t="str">
        <f t="shared" si="50"/>
        <v/>
      </c>
      <c r="AG114" s="143"/>
      <c r="AH114" s="52"/>
      <c r="AI114" s="61" t="str">
        <f>IF(L114="","",VLOOKUP($L114,classifications!$C:$J,8,FALSE))</f>
        <v>Norfolk</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East of England</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0.58577351769871677</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0.46259299906863882</v>
      </c>
      <c r="G115" s="105"/>
      <c r="H115" s="60">
        <f t="shared" si="28"/>
        <v>0.46259299906863882</v>
      </c>
      <c r="I115" s="112">
        <f>IF(H115="","",IF($I$8="A",(RANK(H115,H$11:H$363,1)+COUNTIF(H$11:H115,H115)-1),(RANK(H115,H$11:H$363)+COUNTIF(H$11:H115,H115)-1)))</f>
        <v>78</v>
      </c>
      <c r="J115" s="58"/>
      <c r="K115" s="51">
        <f t="shared" si="43"/>
        <v>105</v>
      </c>
      <c r="L115" s="59" t="str">
        <f t="shared" si="29"/>
        <v>West Somerset</v>
      </c>
      <c r="M115" s="153">
        <f t="shared" si="33"/>
        <v>0.43735476779538845</v>
      </c>
      <c r="N115" s="148">
        <f t="shared" si="34"/>
        <v>43.735476779538843</v>
      </c>
      <c r="O115" s="131" t="str">
        <f t="shared" si="30"/>
        <v/>
      </c>
      <c r="P115" s="131" t="str">
        <f t="shared" si="44"/>
        <v/>
      </c>
      <c r="Q115" s="131">
        <f t="shared" si="45"/>
        <v>43.735476779538843</v>
      </c>
      <c r="R115" s="127" t="str">
        <f t="shared" si="46"/>
        <v/>
      </c>
      <c r="S115" s="60" t="str">
        <f t="shared" si="35"/>
        <v/>
      </c>
      <c r="T115" s="231" t="str">
        <f>IF(L115="","",VLOOKUP(L115,classifications!C:K,9,FALSE))</f>
        <v>Sparse</v>
      </c>
      <c r="U115" s="238">
        <f t="shared" si="31"/>
        <v>0.43735476779538845</v>
      </c>
      <c r="V115" s="239">
        <f>IF(U115="","",IF($I$8="A",(RANK(U115,U$11:U$363)+COUNTIF(U$11:U115,U115)-1),(RANK(U115,U$11:U$363,1)+COUNTIF(U$11:U115,U115)-1)))</f>
        <v>33</v>
      </c>
      <c r="W115" s="240"/>
      <c r="X115" s="61" t="str">
        <f>IF(L115="","",VLOOKUP($L115,classifications!$C:$J,6,FALSE))</f>
        <v>Rural-80</v>
      </c>
      <c r="Y115" s="49">
        <f t="shared" si="36"/>
        <v>0.43735476779538845</v>
      </c>
      <c r="Z115" s="57">
        <f>IF(Y115="","",IF(I$8="A",(RANK(Y115,Y$11:Y$363,1)+COUNTIF(Y$11:Y115,Y115)-1),(RANK(Y115,Y$11:Y$363)+COUNTIF(Y$11:Y115,Y115)-1)))</f>
        <v>30</v>
      </c>
      <c r="AA115" s="245" t="str">
        <f>IF(L115="","",VLOOKUP($L115,classifications!C:I,7,FALSE))</f>
        <v>Predominantly Rural</v>
      </c>
      <c r="AB115" s="239">
        <f t="shared" si="37"/>
        <v>0.43735476779538845</v>
      </c>
      <c r="AC115" s="239">
        <f>IF(AB115="","",IF($I$8="A",(RANK(AB115,AB$11:AB$363)+COUNTIF(AB$11:AB115,AB115)-1),(RANK(AB115,AB$11:AB$363,1)+COUNTIF(AB$11:AB115,AB115)-1)))</f>
        <v>25</v>
      </c>
      <c r="AD115" s="239"/>
      <c r="AE115" s="51" t="str">
        <f t="shared" si="50"/>
        <v/>
      </c>
      <c r="AG115" s="143"/>
      <c r="AH115" s="52"/>
      <c r="AI115" s="61" t="str">
        <f>IF(L115="","",VLOOKUP($L115,classifications!$C:$J,8,FALSE))</f>
        <v>Somerset</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South West</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0.46259299906863882</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0.39437000225337338</v>
      </c>
      <c r="G116" s="105"/>
      <c r="H116" s="60">
        <f t="shared" si="28"/>
        <v>0.39437000225337338</v>
      </c>
      <c r="I116" s="112">
        <f>IF(H116="","",IF($I$8="A",(RANK(H116,H$11:H$363,1)+COUNTIF(H$11:H116,H116)-1),(RANK(H116,H$11:H$363)+COUNTIF(H$11:H116,H116)-1)))</f>
        <v>138</v>
      </c>
      <c r="J116" s="58"/>
      <c r="K116" s="51">
        <f t="shared" si="43"/>
        <v>106</v>
      </c>
      <c r="L116" s="59" t="str">
        <f t="shared" si="29"/>
        <v>South Somerset</v>
      </c>
      <c r="M116" s="153">
        <f t="shared" si="33"/>
        <v>0.43660320177175233</v>
      </c>
      <c r="N116" s="148">
        <f t="shared" si="34"/>
        <v>43.66032017717523</v>
      </c>
      <c r="O116" s="131" t="str">
        <f t="shared" si="30"/>
        <v/>
      </c>
      <c r="P116" s="131" t="str">
        <f t="shared" si="44"/>
        <v/>
      </c>
      <c r="Q116" s="131">
        <f t="shared" si="45"/>
        <v>43.66032017717523</v>
      </c>
      <c r="R116" s="127" t="str">
        <f t="shared" si="46"/>
        <v/>
      </c>
      <c r="S116" s="60" t="str">
        <f t="shared" si="35"/>
        <v/>
      </c>
      <c r="T116" s="231" t="str">
        <f>IF(L116="","",VLOOKUP(L116,classifications!C:K,9,FALSE))</f>
        <v>Sparse</v>
      </c>
      <c r="U116" s="238">
        <f t="shared" si="31"/>
        <v>0.43660320177175233</v>
      </c>
      <c r="V116" s="239">
        <f>IF(U116="","",IF($I$8="A",(RANK(U116,U$11:U$363)+COUNTIF(U$11:U116,U116)-1),(RANK(U116,U$11:U$363,1)+COUNTIF(U$11:U116,U116)-1)))</f>
        <v>32</v>
      </c>
      <c r="W116" s="240"/>
      <c r="X116" s="61" t="str">
        <f>IF(L116="","",VLOOKUP($L116,classifications!$C:$J,6,FALSE))</f>
        <v>Rural-50</v>
      </c>
      <c r="Y116" s="49" t="str">
        <f t="shared" si="36"/>
        <v/>
      </c>
      <c r="Z116" s="57" t="str">
        <f>IF(Y116="","",IF(I$8="A",(RANK(Y116,Y$11:Y$363,1)+COUNTIF(Y$11:Y116,Y116)-1),(RANK(Y116,Y$11:Y$363)+COUNTIF(Y$11:Y116,Y116)-1)))</f>
        <v/>
      </c>
      <c r="AA116" s="245" t="str">
        <f>IF(L116="","",VLOOKUP($L116,classifications!C:I,7,FALSE))</f>
        <v>Predominantly Rural</v>
      </c>
      <c r="AB116" s="239">
        <f t="shared" si="37"/>
        <v>0.43660320177175233</v>
      </c>
      <c r="AC116" s="239">
        <f>IF(AB116="","",IF($I$8="A",(RANK(AB116,AB$11:AB$363)+COUNTIF(AB$11:AB116,AB116)-1),(RANK(AB116,AB$11:AB$363,1)+COUNTIF(AB$11:AB116,AB116)-1)))</f>
        <v>24</v>
      </c>
      <c r="AD116" s="239"/>
      <c r="AE116" s="51" t="str">
        <f t="shared" si="50"/>
        <v/>
      </c>
      <c r="AG116" s="143"/>
      <c r="AH116" s="52"/>
      <c r="AI116" s="61" t="str">
        <f>IF(L116="","",VLOOKUP($L116,classifications!$C:$J,8,FALSE))</f>
        <v>Somerset</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West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0.39437000225337338</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Carlisle</v>
      </c>
      <c r="M117" s="153">
        <f t="shared" si="33"/>
        <v>0.43508692221239148</v>
      </c>
      <c r="N117" s="148">
        <f t="shared" si="34"/>
        <v>43.508692221239151</v>
      </c>
      <c r="O117" s="131" t="str">
        <f t="shared" si="30"/>
        <v/>
      </c>
      <c r="P117" s="131" t="str">
        <f t="shared" si="44"/>
        <v/>
      </c>
      <c r="Q117" s="131">
        <f t="shared" si="45"/>
        <v>43.508692221239151</v>
      </c>
      <c r="R117" s="127" t="str">
        <f t="shared" si="46"/>
        <v/>
      </c>
      <c r="S117" s="60" t="str">
        <f t="shared" si="35"/>
        <v/>
      </c>
      <c r="T117" s="231" t="str">
        <f>IF(L117="","",VLOOKUP(L117,classifications!C:K,9,FALSE))</f>
        <v>Sparse</v>
      </c>
      <c r="U117" s="238">
        <f t="shared" si="31"/>
        <v>0.43508692221239148</v>
      </c>
      <c r="V117" s="239">
        <f>IF(U117="","",IF($I$8="A",(RANK(U117,U$11:U$363)+COUNTIF(U$11:U117,U117)-1),(RANK(U117,U$11:U$363,1)+COUNTIF(U$11:U117,U117)-1)))</f>
        <v>31</v>
      </c>
      <c r="W117" s="240"/>
      <c r="X117" s="61" t="str">
        <f>IF(L117="","",VLOOKUP($L117,classifications!$C:$J,6,FALSE))</f>
        <v>Significant Rural</v>
      </c>
      <c r="Y117" s="49" t="str">
        <f t="shared" si="36"/>
        <v/>
      </c>
      <c r="Z117" s="57" t="str">
        <f>IF(Y117="","",IF(I$8="A",(RANK(Y117,Y$11:Y$363,1)+COUNTIF(Y$11:Y117,Y117)-1),(RANK(Y117,Y$11:Y$363)+COUNTIF(Y$11:Y117,Y117)-1)))</f>
        <v/>
      </c>
      <c r="AA117" s="245" t="str">
        <f>IF(L117="","",VLOOKUP($L117,classifications!C:I,7,FALSE))</f>
        <v>Predominantly Rural</v>
      </c>
      <c r="AB117" s="239">
        <f t="shared" si="37"/>
        <v>0.43508692221239148</v>
      </c>
      <c r="AC117" s="239">
        <f>IF(AB117="","",IF($I$8="A",(RANK(AB117,AB$11:AB$363)+COUNTIF(AB$11:AB117,AB117)-1),(RANK(AB117,AB$11:AB$363,1)+COUNTIF(AB$11:AB117,AB117)-1)))</f>
        <v>23</v>
      </c>
      <c r="AD117" s="239"/>
      <c r="AE117" s="51" t="str">
        <f t="shared" si="50"/>
        <v/>
      </c>
      <c r="AG117" s="143"/>
      <c r="AH117" s="52"/>
      <c r="AI117" s="61" t="str">
        <f>IF(L117="","",VLOOKUP($L117,classifications!$C:$J,8,FALSE))</f>
        <v>Cumbria</v>
      </c>
      <c r="AJ117" s="62">
        <f t="shared" si="32"/>
        <v>0.43508692221239148</v>
      </c>
      <c r="AK117" s="57">
        <f>IF(AJ117="","",IF(I$8="A",(RANK(AJ117,AJ$11:AJ$363,1)+COUNTIF(AJ$11:AJ117,AJ117)-1),(RANK(AJ117,AJ$11:AJ$363)+COUNTIF(AJ$11:AJ117,AJ117)-1)))</f>
        <v>1</v>
      </c>
      <c r="AL117" s="52" t="str">
        <f t="shared" si="47"/>
        <v/>
      </c>
      <c r="AM117" s="31" t="str">
        <f t="shared" si="49"/>
        <v/>
      </c>
      <c r="AN117" s="31" t="str">
        <f t="shared" si="38"/>
        <v/>
      </c>
      <c r="AP117" s="61" t="str">
        <f>IF(L117="","",VLOOKUP($L117,classifications!$C:$E,3,FALSE))</f>
        <v>North West</v>
      </c>
      <c r="AQ117" s="62">
        <f t="shared" si="39"/>
        <v>0.43508692221239148</v>
      </c>
      <c r="AR117" s="57">
        <f>IF(AQ117="","",IF(I$8="A",(RANK(AQ117,AQ$11:AQ$363,1)+COUNTIF(AQ$11:AQ117,AQ117)-1),(RANK(AQ117,AQ$11:AQ$363)+COUNTIF(AQ$11:AQ117,AQ117)-1)))</f>
        <v>5</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0.34761282103548874</v>
      </c>
      <c r="G118" s="105"/>
      <c r="H118" s="60">
        <f t="shared" si="28"/>
        <v>0.34761282103548874</v>
      </c>
      <c r="I118" s="112">
        <f>IF(H118="","",IF($I$8="A",(RANK(H118,H$11:H$363,1)+COUNTIF(H$11:H118,H118)-1),(RANK(H118,H$11:H$363)+COUNTIF(H$11:H118,H118)-1)))</f>
        <v>158</v>
      </c>
      <c r="J118" s="58"/>
      <c r="K118" s="51">
        <f t="shared" si="43"/>
        <v>108</v>
      </c>
      <c r="L118" s="59" t="str">
        <f t="shared" si="29"/>
        <v>South Lakeland</v>
      </c>
      <c r="M118" s="153">
        <f t="shared" si="33"/>
        <v>0.43419087694055281</v>
      </c>
      <c r="N118" s="148">
        <f t="shared" si="34"/>
        <v>43.419087694055278</v>
      </c>
      <c r="O118" s="131" t="str">
        <f t="shared" si="30"/>
        <v/>
      </c>
      <c r="P118" s="131" t="str">
        <f t="shared" si="44"/>
        <v/>
      </c>
      <c r="Q118" s="131">
        <f t="shared" si="45"/>
        <v>43.419087694055278</v>
      </c>
      <c r="R118" s="127" t="str">
        <f t="shared" si="46"/>
        <v/>
      </c>
      <c r="S118" s="60" t="str">
        <f t="shared" si="35"/>
        <v/>
      </c>
      <c r="T118" s="231" t="str">
        <f>IF(L118="","",VLOOKUP(L118,classifications!C:K,9,FALSE))</f>
        <v>Sparse</v>
      </c>
      <c r="U118" s="238">
        <f t="shared" si="31"/>
        <v>0.43419087694055281</v>
      </c>
      <c r="V118" s="239">
        <f>IF(U118="","",IF($I$8="A",(RANK(U118,U$11:U$363)+COUNTIF(U$11:U118,U118)-1),(RANK(U118,U$11:U$363,1)+COUNTIF(U$11:U118,U118)-1)))</f>
        <v>30</v>
      </c>
      <c r="W118" s="240"/>
      <c r="X118" s="61" t="str">
        <f>IF(L118="","",VLOOKUP($L118,classifications!$C:$J,6,FALSE))</f>
        <v>Rural-80</v>
      </c>
      <c r="Y118" s="49">
        <f t="shared" si="36"/>
        <v>0.43419087694055281</v>
      </c>
      <c r="Z118" s="57">
        <f>IF(Y118="","",IF(I$8="A",(RANK(Y118,Y$11:Y$363,1)+COUNTIF(Y$11:Y118,Y118)-1),(RANK(Y118,Y$11:Y$363)+COUNTIF(Y$11:Y118,Y118)-1)))</f>
        <v>31</v>
      </c>
      <c r="AA118" s="245" t="str">
        <f>IF(L118="","",VLOOKUP($L118,classifications!C:I,7,FALSE))</f>
        <v>Predominantly Rural</v>
      </c>
      <c r="AB118" s="239">
        <f t="shared" si="37"/>
        <v>0.43419087694055281</v>
      </c>
      <c r="AC118" s="239">
        <f>IF(AB118="","",IF($I$8="A",(RANK(AB118,AB$11:AB$363)+COUNTIF(AB$11:AB118,AB118)-1),(RANK(AB118,AB$11:AB$363,1)+COUNTIF(AB$11:AB118,AB118)-1)))</f>
        <v>22</v>
      </c>
      <c r="AD118" s="239"/>
      <c r="AE118" s="51" t="str">
        <f t="shared" si="50"/>
        <v/>
      </c>
      <c r="AG118" s="143"/>
      <c r="AH118" s="52"/>
      <c r="AI118" s="61" t="str">
        <f>IF(L118="","",VLOOKUP($L118,classifications!$C:$J,8,FALSE))</f>
        <v>Cumbria</v>
      </c>
      <c r="AJ118" s="62">
        <f t="shared" si="32"/>
        <v>0.43419087694055281</v>
      </c>
      <c r="AK118" s="57">
        <f>IF(AJ118="","",IF(I$8="A",(RANK(AJ118,AJ$11:AJ$363,1)+COUNTIF(AJ$11:AJ118,AJ118)-1),(RANK(AJ118,AJ$11:AJ$363)+COUNTIF(AJ$11:AJ118,AJ118)-1)))</f>
        <v>2</v>
      </c>
      <c r="AL118" s="52" t="str">
        <f t="shared" si="47"/>
        <v/>
      </c>
      <c r="AM118" s="31" t="str">
        <f t="shared" si="49"/>
        <v/>
      </c>
      <c r="AN118" s="31" t="str">
        <f t="shared" si="38"/>
        <v/>
      </c>
      <c r="AP118" s="61" t="str">
        <f>IF(L118="","",VLOOKUP($L118,classifications!$C:$E,3,FALSE))</f>
        <v>North West</v>
      </c>
      <c r="AQ118" s="62">
        <f t="shared" si="39"/>
        <v>0.43419087694055281</v>
      </c>
      <c r="AR118" s="57">
        <f>IF(AQ118="","",IF(I$8="A",(RANK(AQ118,AQ$11:AQ$363,1)+COUNTIF(AQ$11:AQ118,AQ118)-1),(RANK(AQ118,AQ$11:AQ$363)+COUNTIF(AQ$11:AQ118,AQ118)-1)))</f>
        <v>6</v>
      </c>
      <c r="AS118" s="52" t="str">
        <f t="shared" si="40"/>
        <v/>
      </c>
      <c r="AT118" s="57" t="str">
        <f t="shared" si="41"/>
        <v/>
      </c>
      <c r="AU118" s="62" t="str">
        <f t="shared" si="48"/>
        <v/>
      </c>
      <c r="AX118" s="44">
        <f>HLOOKUP($AX$9&amp;$AX$10,Data!$A$1:$ZZ$2000,(MATCH($C118,Data!$A$1:$A$2000,0)),FALSE)</f>
        <v>0.34761282103548874</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0.35018565073022606</v>
      </c>
      <c r="G119" s="105"/>
      <c r="H119" s="60">
        <f t="shared" si="28"/>
        <v>0.35018565073022606</v>
      </c>
      <c r="I119" s="112">
        <f>IF(H119="","",IF($I$8="A",(RANK(H119,H$11:H$363,1)+COUNTIF(H$11:H119,H119)-1),(RANK(H119,H$11:H$363)+COUNTIF(H$11:H119,H119)-1)))</f>
        <v>157</v>
      </c>
      <c r="J119" s="58"/>
      <c r="K119" s="51">
        <f t="shared" si="43"/>
        <v>109</v>
      </c>
      <c r="L119" s="59" t="str">
        <f t="shared" si="29"/>
        <v>West Lancashire</v>
      </c>
      <c r="M119" s="153">
        <f t="shared" si="33"/>
        <v>0.43322355020552622</v>
      </c>
      <c r="N119" s="148">
        <f t="shared" si="34"/>
        <v>43.322355020552621</v>
      </c>
      <c r="O119" s="131" t="str">
        <f t="shared" si="30"/>
        <v/>
      </c>
      <c r="P119" s="131" t="str">
        <f t="shared" si="44"/>
        <v/>
      </c>
      <c r="Q119" s="131">
        <f t="shared" si="45"/>
        <v>43.322355020552621</v>
      </c>
      <c r="R119" s="127" t="str">
        <f t="shared" si="46"/>
        <v/>
      </c>
      <c r="S119" s="60" t="str">
        <f t="shared" si="35"/>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Lancashire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North West</v>
      </c>
      <c r="AQ119" s="62">
        <f t="shared" si="39"/>
        <v>0.43322355020552622</v>
      </c>
      <c r="AR119" s="57">
        <f>IF(AQ119="","",IF(I$8="A",(RANK(AQ119,AQ$11:AQ$363,1)+COUNTIF(AQ$11:AQ119,AQ119)-1),(RANK(AQ119,AQ$11:AQ$363)+COUNTIF(AQ$11:AQ119,AQ119)-1)))</f>
        <v>7</v>
      </c>
      <c r="AS119" s="52" t="str">
        <f t="shared" si="40"/>
        <v/>
      </c>
      <c r="AT119" s="57" t="str">
        <f t="shared" si="41"/>
        <v/>
      </c>
      <c r="AU119" s="62" t="str">
        <f t="shared" si="48"/>
        <v/>
      </c>
      <c r="AX119" s="44">
        <f>HLOOKUP($AX$9&amp;$AX$10,Data!$A$1:$ZZ$2000,(MATCH($C119,Data!$A$1:$A$2000,0)),FALSE)</f>
        <v>0.35018565073022606</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0.51204395078744214</v>
      </c>
      <c r="G120" s="105"/>
      <c r="H120" s="60">
        <f t="shared" si="28"/>
        <v>0.51204395078744214</v>
      </c>
      <c r="I120" s="112">
        <f>IF(H120="","",IF($I$8="A",(RANK(H120,H$11:H$363,1)+COUNTIF(H$11:H120,H120)-1),(RANK(H120,H$11:H$363)+COUNTIF(H$11:H120,H120)-1)))</f>
        <v>42</v>
      </c>
      <c r="J120" s="58"/>
      <c r="K120" s="51">
        <f t="shared" si="43"/>
        <v>110</v>
      </c>
      <c r="L120" s="59" t="str">
        <f t="shared" si="29"/>
        <v>Hertsmere</v>
      </c>
      <c r="M120" s="153">
        <f t="shared" si="33"/>
        <v>0.43164021039382855</v>
      </c>
      <c r="N120" s="148">
        <f t="shared" si="34"/>
        <v>43.164021039382853</v>
      </c>
      <c r="O120" s="131" t="str">
        <f t="shared" si="30"/>
        <v/>
      </c>
      <c r="P120" s="131" t="str">
        <f t="shared" si="44"/>
        <v/>
      </c>
      <c r="Q120" s="131">
        <f t="shared" si="45"/>
        <v>43.164021039382853</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Significant Rural</v>
      </c>
      <c r="Y120" s="49" t="str">
        <f t="shared" si="36"/>
        <v/>
      </c>
      <c r="Z120" s="57" t="str">
        <f>IF(Y120="","",IF(I$8="A",(RANK(Y120,Y$11:Y$363,1)+COUNTIF(Y$11:Y120,Y120)-1),(RANK(Y120,Y$11:Y$363)+COUNTIF(Y$11:Y120,Y120)-1)))</f>
        <v/>
      </c>
      <c r="AA120" s="245" t="str">
        <f>IF(L120="","",VLOOKUP($L120,classifications!C:I,7,FALSE))</f>
        <v>Predominantly Urban</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Hertfordshire</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East of England</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0.51204395078744214</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0.46097421731703819</v>
      </c>
      <c r="G121" s="105"/>
      <c r="H121" s="60">
        <f t="shared" si="28"/>
        <v>0.46097421731703819</v>
      </c>
      <c r="I121" s="112">
        <f>IF(H121="","",IF($I$8="A",(RANK(H121,H$11:H$363,1)+COUNTIF(H$11:H121,H121)-1),(RANK(H121,H$11:H$363)+COUNTIF(H$11:H121,H121)-1)))</f>
        <v>81</v>
      </c>
      <c r="J121" s="58"/>
      <c r="K121" s="51">
        <f t="shared" si="43"/>
        <v>111</v>
      </c>
      <c r="L121" s="59" t="str">
        <f t="shared" si="29"/>
        <v>Tonbridge &amp; Malling</v>
      </c>
      <c r="M121" s="153">
        <f t="shared" si="33"/>
        <v>0.43145516976530612</v>
      </c>
      <c r="N121" s="148">
        <f t="shared" si="34"/>
        <v>43.145516976530615</v>
      </c>
      <c r="O121" s="131" t="str">
        <f t="shared" si="30"/>
        <v/>
      </c>
      <c r="P121" s="131" t="str">
        <f t="shared" si="44"/>
        <v/>
      </c>
      <c r="Q121" s="131">
        <f t="shared" si="45"/>
        <v>43.145516976530615</v>
      </c>
      <c r="R121" s="127" t="str">
        <f t="shared" si="46"/>
        <v/>
      </c>
      <c r="S121" s="60" t="str">
        <f t="shared" si="35"/>
        <v/>
      </c>
      <c r="T121" s="231">
        <f>IF(L121="","",VLOOKUP(L121,classifications!C:K,9,FALSE))</f>
        <v>0</v>
      </c>
      <c r="U121" s="238" t="str">
        <f t="shared" si="31"/>
        <v/>
      </c>
      <c r="V121" s="239" t="str">
        <f>IF(U121="","",IF($I$8="A",(RANK(U121,U$11:U$363)+COUNTIF(U$11:U121,U121)-1),(RANK(U121,U$11:U$363,1)+COUNTIF(U$11:U121,U121)-1)))</f>
        <v/>
      </c>
      <c r="W121" s="240"/>
      <c r="X121" s="61" t="str">
        <f>IF(L121="","",VLOOKUP($L121,classifications!$C:$J,6,FALSE))</f>
        <v>Rural-50</v>
      </c>
      <c r="Y121" s="49" t="str">
        <f t="shared" si="36"/>
        <v/>
      </c>
      <c r="Z121" s="57" t="str">
        <f>IF(Y121="","",IF(I$8="A",(RANK(Y121,Y$11:Y$363,1)+COUNTIF(Y$11:Y121,Y121)-1),(RANK(Y121,Y$11:Y$363)+COUNTIF(Y$11:Y121,Y121)-1)))</f>
        <v/>
      </c>
      <c r="AA121" s="245" t="str">
        <f>IF(L121="","",VLOOKUP($L121,classifications!C:I,7,FALSE))</f>
        <v>Significant Rural</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Kent</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East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0.46097421731703819</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0.48320440679736038</v>
      </c>
      <c r="G122" s="105"/>
      <c r="H122" s="60">
        <f t="shared" si="28"/>
        <v>0.48320440679736038</v>
      </c>
      <c r="I122" s="112">
        <f>IF(H122="","",IF($I$8="A",(RANK(H122,H$11:H$363,1)+COUNTIF(H$11:H122,H122)-1),(RANK(H122,H$11:H$363)+COUNTIF(H$11:H122,H122)-1)))</f>
        <v>62</v>
      </c>
      <c r="J122" s="58"/>
      <c r="K122" s="51">
        <f t="shared" si="43"/>
        <v>112</v>
      </c>
      <c r="L122" s="59" t="str">
        <f t="shared" si="29"/>
        <v>Selby</v>
      </c>
      <c r="M122" s="153">
        <f t="shared" si="33"/>
        <v>0.42930111550383998</v>
      </c>
      <c r="N122" s="148">
        <f t="shared" si="34"/>
        <v>42.930111550383998</v>
      </c>
      <c r="O122" s="131" t="str">
        <f t="shared" si="30"/>
        <v/>
      </c>
      <c r="P122" s="131" t="str">
        <f t="shared" si="44"/>
        <v/>
      </c>
      <c r="Q122" s="131">
        <f t="shared" si="45"/>
        <v>42.930111550383998</v>
      </c>
      <c r="R122" s="127" t="str">
        <f t="shared" si="46"/>
        <v/>
      </c>
      <c r="S122" s="60" t="str">
        <f t="shared" si="35"/>
        <v/>
      </c>
      <c r="T122" s="231" t="str">
        <f>IF(L122="","",VLOOKUP(L122,classifications!C:K,9,FALSE))</f>
        <v>Sparse</v>
      </c>
      <c r="U122" s="238">
        <f t="shared" si="31"/>
        <v>0.42930111550383998</v>
      </c>
      <c r="V122" s="239">
        <f>IF(U122="","",IF($I$8="A",(RANK(U122,U$11:U$363)+COUNTIF(U$11:U122,U122)-1),(RANK(U122,U$11:U$363,1)+COUNTIF(U$11:U122,U122)-1)))</f>
        <v>29</v>
      </c>
      <c r="W122" s="240"/>
      <c r="X122" s="61" t="str">
        <f>IF(L122="","",VLOOKUP($L122,classifications!$C:$J,6,FALSE))</f>
        <v>Rural-80</v>
      </c>
      <c r="Y122" s="49">
        <f t="shared" si="36"/>
        <v>0.42930111550383998</v>
      </c>
      <c r="Z122" s="57">
        <f>IF(Y122="","",IF(I$8="A",(RANK(Y122,Y$11:Y$363,1)+COUNTIF(Y$11:Y122,Y122)-1),(RANK(Y122,Y$11:Y$363)+COUNTIF(Y$11:Y122,Y122)-1)))</f>
        <v>32</v>
      </c>
      <c r="AA122" s="245" t="str">
        <f>IF(L122="","",VLOOKUP($L122,classifications!C:I,7,FALSE))</f>
        <v>Predominantly Rural</v>
      </c>
      <c r="AB122" s="239">
        <f t="shared" si="37"/>
        <v>0.42930111550383998</v>
      </c>
      <c r="AC122" s="239">
        <f>IF(AB122="","",IF($I$8="A",(RANK(AB122,AB$11:AB$363)+COUNTIF(AB$11:AB122,AB122)-1),(RANK(AB122,AB$11:AB$363,1)+COUNTIF(AB$11:AB122,AB122)-1)))</f>
        <v>21</v>
      </c>
      <c r="AD122" s="239"/>
      <c r="AE122" s="51" t="str">
        <f t="shared" si="50"/>
        <v/>
      </c>
      <c r="AG122" s="143"/>
      <c r="AH122" s="52"/>
      <c r="AI122" s="61" t="str">
        <f>IF(L122="","",VLOOKUP($L122,classifications!$C:$J,8,FALSE))</f>
        <v>North Yorkshire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Yorkshire &amp; Humberside</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0.48320440679736038</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0.49469664670690877</v>
      </c>
      <c r="G123" s="105"/>
      <c r="H123" s="60">
        <f t="shared" si="28"/>
        <v>0.49469664670690877</v>
      </c>
      <c r="I123" s="112">
        <f>IF(H123="","",IF($I$8="A",(RANK(H123,H$11:H$363,1)+COUNTIF(H$11:H123,H123)-1),(RANK(H123,H$11:H$363)+COUNTIF(H$11:H123,H123)-1)))</f>
        <v>54</v>
      </c>
      <c r="J123" s="58"/>
      <c r="K123" s="51">
        <f t="shared" si="43"/>
        <v>113</v>
      </c>
      <c r="L123" s="59" t="str">
        <f t="shared" si="29"/>
        <v>Mid Sussex</v>
      </c>
      <c r="M123" s="153">
        <f t="shared" si="33"/>
        <v>0.42666809679296475</v>
      </c>
      <c r="N123" s="148">
        <f t="shared" si="34"/>
        <v>42.666809679296477</v>
      </c>
      <c r="O123" s="131" t="str">
        <f t="shared" si="30"/>
        <v/>
      </c>
      <c r="P123" s="131" t="str">
        <f t="shared" si="44"/>
        <v/>
      </c>
      <c r="Q123" s="131">
        <f t="shared" si="45"/>
        <v>42.666809679296477</v>
      </c>
      <c r="R123" s="127" t="str">
        <f t="shared" si="46"/>
        <v/>
      </c>
      <c r="S123" s="60" t="str">
        <f t="shared" si="35"/>
        <v/>
      </c>
      <c r="T123" s="231" t="str">
        <f>IF(L123="","",VLOOKUP(L123,classifications!C:K,9,FALSE))</f>
        <v>Sparse</v>
      </c>
      <c r="U123" s="238">
        <f t="shared" si="31"/>
        <v>0.42666809679296475</v>
      </c>
      <c r="V123" s="239">
        <f>IF(U123="","",IF($I$8="A",(RANK(U123,U$11:U$363)+COUNTIF(U$11:U123,U123)-1),(RANK(U123,U$11:U$363,1)+COUNTIF(U$11:U123,U123)-1)))</f>
        <v>28</v>
      </c>
      <c r="W123" s="240"/>
      <c r="X123" s="61" t="str">
        <f>IF(L123="","",VLOOKUP($L123,classifications!$C:$J,6,FALSE))</f>
        <v>Rural-80</v>
      </c>
      <c r="Y123" s="49">
        <f t="shared" si="36"/>
        <v>0.42666809679296475</v>
      </c>
      <c r="Z123" s="57">
        <f>IF(Y123="","",IF(I$8="A",(RANK(Y123,Y$11:Y$363,1)+COUNTIF(Y$11:Y123,Y123)-1),(RANK(Y123,Y$11:Y$363)+COUNTIF(Y$11:Y123,Y123)-1)))</f>
        <v>33</v>
      </c>
      <c r="AA123" s="245" t="str">
        <f>IF(L123="","",VLOOKUP($L123,classifications!C:I,7,FALSE))</f>
        <v>Significant Rural</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West Sussex</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South East</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0.49469664670690877</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0.36526114498748857</v>
      </c>
      <c r="G124" s="105"/>
      <c r="H124" s="60" t="str">
        <f t="shared" si="28"/>
        <v/>
      </c>
      <c r="I124" s="112" t="str">
        <f>IF(H124="","",IF($I$8="A",(RANK(H124,H$11:H$363,1)+COUNTIF(H$11:H124,H124)-1),(RANK(H124,H$11:H$363)+COUNTIF(H$11:H124,H124)-1)))</f>
        <v/>
      </c>
      <c r="J124" s="58"/>
      <c r="K124" s="51">
        <f t="shared" si="43"/>
        <v>114</v>
      </c>
      <c r="L124" s="59" t="str">
        <f t="shared" si="29"/>
        <v>Craven</v>
      </c>
      <c r="M124" s="153">
        <f t="shared" si="33"/>
        <v>0.42572483747464201</v>
      </c>
      <c r="N124" s="148">
        <f t="shared" si="34"/>
        <v>42.572483747464204</v>
      </c>
      <c r="O124" s="131" t="str">
        <f t="shared" si="30"/>
        <v/>
      </c>
      <c r="P124" s="131" t="str">
        <f t="shared" si="44"/>
        <v/>
      </c>
      <c r="Q124" s="131">
        <f t="shared" si="45"/>
        <v>42.572483747464204</v>
      </c>
      <c r="R124" s="127" t="str">
        <f t="shared" si="46"/>
        <v/>
      </c>
      <c r="S124" s="60" t="str">
        <f t="shared" si="35"/>
        <v/>
      </c>
      <c r="T124" s="231" t="str">
        <f>IF(L124="","",VLOOKUP(L124,classifications!C:K,9,FALSE))</f>
        <v>Sparse</v>
      </c>
      <c r="U124" s="238">
        <f t="shared" si="31"/>
        <v>0.42572483747464201</v>
      </c>
      <c r="V124" s="239">
        <f>IF(U124="","",IF($I$8="A",(RANK(U124,U$11:U$363)+COUNTIF(U$11:U124,U124)-1),(RANK(U124,U$11:U$363,1)+COUNTIF(U$11:U124,U124)-1)))</f>
        <v>27</v>
      </c>
      <c r="W124" s="240"/>
      <c r="X124" s="61" t="str">
        <f>IF(L124="","",VLOOKUP($L124,classifications!$C:$J,6,FALSE))</f>
        <v>Rural-80</v>
      </c>
      <c r="Y124" s="49">
        <f t="shared" si="36"/>
        <v>0.42572483747464201</v>
      </c>
      <c r="Z124" s="57">
        <f>IF(Y124="","",IF(I$8="A",(RANK(Y124,Y$11:Y$363,1)+COUNTIF(Y$11:Y124,Y124)-1),(RANK(Y124,Y$11:Y$363)+COUNTIF(Y$11:Y124,Y124)-1)))</f>
        <v>34</v>
      </c>
      <c r="AA124" s="245" t="str">
        <f>IF(L124="","",VLOOKUP($L124,classifications!C:I,7,FALSE))</f>
        <v>Predominantly Rural</v>
      </c>
      <c r="AB124" s="239">
        <f t="shared" si="37"/>
        <v>0.42572483747464201</v>
      </c>
      <c r="AC124" s="239">
        <f>IF(AB124="","",IF($I$8="A",(RANK(AB124,AB$11:AB$363)+COUNTIF(AB$11:AB124,AB124)-1),(RANK(AB124,AB$11:AB$363,1)+COUNTIF(AB$11:AB124,AB124)-1)))</f>
        <v>20</v>
      </c>
      <c r="AD124" s="239"/>
      <c r="AE124" s="51" t="str">
        <f t="shared" si="50"/>
        <v/>
      </c>
      <c r="AG124" s="143"/>
      <c r="AH124" s="52"/>
      <c r="AI124" s="61" t="str">
        <f>IF(L124="","",VLOOKUP($L124,classifications!$C:$J,8,FALSE))</f>
        <v>North Yorkshire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Yorkshire &amp; Humberside</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0.36526114498748857</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0.36826829754807949</v>
      </c>
      <c r="G125" s="105"/>
      <c r="H125" s="60">
        <f t="shared" si="28"/>
        <v>0.36826829754807949</v>
      </c>
      <c r="I125" s="112">
        <f>IF(H125="","",IF($I$8="A",(RANK(H125,H$11:H$363,1)+COUNTIF(H$11:H125,H125)-1),(RANK(H125,H$11:H$363)+COUNTIF(H$11:H125,H125)-1)))</f>
        <v>147</v>
      </c>
      <c r="J125" s="58"/>
      <c r="K125" s="51">
        <f t="shared" si="43"/>
        <v>115</v>
      </c>
      <c r="L125" s="59" t="str">
        <f t="shared" si="29"/>
        <v>Lancaster</v>
      </c>
      <c r="M125" s="153">
        <f t="shared" si="33"/>
        <v>0.424653303342025</v>
      </c>
      <c r="N125" s="148">
        <f t="shared" si="34"/>
        <v>42.465330334202498</v>
      </c>
      <c r="O125" s="131" t="str">
        <f t="shared" si="30"/>
        <v/>
      </c>
      <c r="P125" s="131" t="str">
        <f t="shared" si="44"/>
        <v/>
      </c>
      <c r="Q125" s="131">
        <f t="shared" si="45"/>
        <v>42.465330334202498</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Significant Rural</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Lancashire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North West</v>
      </c>
      <c r="AQ125" s="62">
        <f t="shared" si="39"/>
        <v>0.424653303342025</v>
      </c>
      <c r="AR125" s="57">
        <f>IF(AQ125="","",IF(I$8="A",(RANK(AQ125,AQ$11:AQ$363,1)+COUNTIF(AQ$11:AQ125,AQ125)-1),(RANK(AQ125,AQ$11:AQ$363)+COUNTIF(AQ$11:AQ125,AQ125)-1)))</f>
        <v>8</v>
      </c>
      <c r="AS125" s="52" t="str">
        <f t="shared" si="40"/>
        <v/>
      </c>
      <c r="AT125" s="57" t="str">
        <f t="shared" si="41"/>
        <v/>
      </c>
      <c r="AU125" s="62" t="str">
        <f t="shared" si="48"/>
        <v/>
      </c>
      <c r="AX125" s="44">
        <f>HLOOKUP($AX$9&amp;$AX$10,Data!$A$1:$ZZ$2000,(MATCH($C125,Data!$A$1:$A$2000,0)),FALSE)</f>
        <v>0.36826829754807949</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0.36003910188704408</v>
      </c>
      <c r="G126" s="105"/>
      <c r="H126" s="60">
        <f t="shared" si="28"/>
        <v>0.36003910188704408</v>
      </c>
      <c r="I126" s="112">
        <f>IF(H126="","",IF($I$8="A",(RANK(H126,H$11:H$363,1)+COUNTIF(H$11:H126,H126)-1),(RANK(H126,H$11:H$363)+COUNTIF(H$11:H126,H126)-1)))</f>
        <v>153</v>
      </c>
      <c r="J126" s="58"/>
      <c r="K126" s="51">
        <f t="shared" si="43"/>
        <v>116</v>
      </c>
      <c r="L126" s="59" t="str">
        <f t="shared" si="29"/>
        <v>Wychavon</v>
      </c>
      <c r="M126" s="153">
        <f t="shared" si="33"/>
        <v>0.42217169789355025</v>
      </c>
      <c r="N126" s="148">
        <f t="shared" si="34"/>
        <v>42.217169789355026</v>
      </c>
      <c r="O126" s="131" t="str">
        <f t="shared" si="30"/>
        <v/>
      </c>
      <c r="P126" s="131" t="str">
        <f t="shared" si="44"/>
        <v/>
      </c>
      <c r="Q126" s="131">
        <f t="shared" si="45"/>
        <v>42.217169789355026</v>
      </c>
      <c r="R126" s="127" t="str">
        <f t="shared" si="46"/>
        <v/>
      </c>
      <c r="S126" s="60" t="str">
        <f t="shared" si="35"/>
        <v/>
      </c>
      <c r="T126" s="231" t="str">
        <f>IF(L126="","",VLOOKUP(L126,classifications!C:K,9,FALSE))</f>
        <v>Sparse</v>
      </c>
      <c r="U126" s="238">
        <f t="shared" si="31"/>
        <v>0.42217169789355025</v>
      </c>
      <c r="V126" s="239">
        <f>IF(U126="","",IF($I$8="A",(RANK(U126,U$11:U$363)+COUNTIF(U$11:U126,U126)-1),(RANK(U126,U$11:U$363,1)+COUNTIF(U$11:U126,U126)-1)))</f>
        <v>26</v>
      </c>
      <c r="W126" s="240"/>
      <c r="X126" s="61" t="str">
        <f>IF(L126="","",VLOOKUP($L126,classifications!$C:$J,6,FALSE))</f>
        <v>Rural-80</v>
      </c>
      <c r="Y126" s="49">
        <f t="shared" si="36"/>
        <v>0.42217169789355025</v>
      </c>
      <c r="Z126" s="57">
        <f>IF(Y126="","",IF(I$8="A",(RANK(Y126,Y$11:Y$363,1)+COUNTIF(Y$11:Y126,Y126)-1),(RANK(Y126,Y$11:Y$363)+COUNTIF(Y$11:Y126,Y126)-1)))</f>
        <v>35</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Worcestershire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West Midlands</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0.36003910188704408</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Lincoln</v>
      </c>
      <c r="M127" s="153">
        <f t="shared" si="33"/>
        <v>0.42173195201154656</v>
      </c>
      <c r="N127" s="148">
        <f t="shared" si="34"/>
        <v>42.173195201154655</v>
      </c>
      <c r="O127" s="131" t="str">
        <f t="shared" si="30"/>
        <v/>
      </c>
      <c r="P127" s="131" t="str">
        <f t="shared" si="44"/>
        <v/>
      </c>
      <c r="Q127" s="131">
        <f t="shared" si="45"/>
        <v>42.173195201154655</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Other Urban</v>
      </c>
      <c r="Y127" s="49" t="str">
        <f t="shared" si="36"/>
        <v/>
      </c>
      <c r="Z127" s="57" t="str">
        <f>IF(Y127="","",IF(I$8="A",(RANK(Y127,Y$11:Y$363,1)+COUNTIF(Y$11:Y127,Y127)-1),(RANK(Y127,Y$11:Y$363)+COUNTIF(Y$11:Y127,Y127)-1)))</f>
        <v/>
      </c>
      <c r="AA127" s="245" t="str">
        <f>IF(L127="","",VLOOKUP($L127,classifications!C:I,7,FALSE))</f>
        <v>Predominantly Rural</v>
      </c>
      <c r="AB127" s="239">
        <f t="shared" si="37"/>
        <v>0.42173195201154656</v>
      </c>
      <c r="AC127" s="239">
        <f>IF(AB127="","",IF($I$8="A",(RANK(AB127,AB$11:AB$363)+COUNTIF(AB$11:AB127,AB127)-1),(RANK(AB127,AB$11:AB$363,1)+COUNTIF(AB$11:AB127,AB127)-1)))</f>
        <v>19</v>
      </c>
      <c r="AD127" s="239"/>
      <c r="AE127" s="51" t="str">
        <f t="shared" si="50"/>
        <v/>
      </c>
      <c r="AG127" s="143"/>
      <c r="AH127" s="52"/>
      <c r="AI127" s="61" t="str">
        <f>IF(L127="","",VLOOKUP($L127,classifications!$C:$J,8,FALSE))</f>
        <v>Lincolnshire</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Midlands</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0.23522552684529618</v>
      </c>
      <c r="G128" s="105"/>
      <c r="H128" s="60">
        <f t="shared" si="28"/>
        <v>0.23522552684529618</v>
      </c>
      <c r="I128" s="112">
        <f>IF(H128="","",IF($I$8="A",(RANK(H128,H$11:H$363,1)+COUNTIF(H$11:H128,H128)-1),(RANK(H128,H$11:H$363)+COUNTIF(H$11:H128,H128)-1)))</f>
        <v>193</v>
      </c>
      <c r="J128" s="58"/>
      <c r="K128" s="51">
        <f t="shared" si="43"/>
        <v>118</v>
      </c>
      <c r="L128" s="59" t="str">
        <f t="shared" si="29"/>
        <v>Northampton</v>
      </c>
      <c r="M128" s="153">
        <f t="shared" si="33"/>
        <v>0.42128265166475981</v>
      </c>
      <c r="N128" s="148">
        <f t="shared" si="34"/>
        <v>42.128265166475984</v>
      </c>
      <c r="O128" s="131" t="str">
        <f t="shared" si="30"/>
        <v/>
      </c>
      <c r="P128" s="131" t="str">
        <f t="shared" si="44"/>
        <v/>
      </c>
      <c r="Q128" s="131">
        <f t="shared" si="45"/>
        <v>42.128265166475984</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Other Urban</v>
      </c>
      <c r="Y128" s="49" t="str">
        <f t="shared" si="36"/>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Northamptonshire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Midlands</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0.23522552684529618</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0.24495721147441182</v>
      </c>
      <c r="G129" s="105"/>
      <c r="H129" s="60">
        <f t="shared" si="28"/>
        <v>0.24495721147441182</v>
      </c>
      <c r="I129" s="112">
        <f>IF(H129="","",IF($I$8="A",(RANK(H129,H$11:H$363,1)+COUNTIF(H$11:H129,H129)-1),(RANK(H129,H$11:H$363)+COUNTIF(H$11:H129,H129)-1)))</f>
        <v>192</v>
      </c>
      <c r="J129" s="58"/>
      <c r="K129" s="51">
        <f t="shared" si="43"/>
        <v>119</v>
      </c>
      <c r="L129" s="59" t="str">
        <f t="shared" si="29"/>
        <v>Ashford</v>
      </c>
      <c r="M129" s="153">
        <f t="shared" si="33"/>
        <v>0.41909262568524974</v>
      </c>
      <c r="N129" s="148">
        <f t="shared" si="34"/>
        <v>41.909262568524973</v>
      </c>
      <c r="O129" s="131" t="str">
        <f t="shared" si="30"/>
        <v/>
      </c>
      <c r="P129" s="131" t="str">
        <f t="shared" si="44"/>
        <v/>
      </c>
      <c r="Q129" s="131">
        <f t="shared" si="45"/>
        <v>41.909262568524973</v>
      </c>
      <c r="R129" s="127" t="str">
        <f t="shared" si="46"/>
        <v/>
      </c>
      <c r="S129" s="60" t="str">
        <f t="shared" si="35"/>
        <v/>
      </c>
      <c r="T129" s="231" t="str">
        <f>IF(L129="","",VLOOKUP(L129,classifications!C:K,9,FALSE))</f>
        <v>Sparse</v>
      </c>
      <c r="U129" s="238">
        <f t="shared" si="31"/>
        <v>0.41909262568524974</v>
      </c>
      <c r="V129" s="239">
        <f>IF(U129="","",IF($I$8="A",(RANK(U129,U$11:U$363)+COUNTIF(U$11:U129,U129)-1),(RANK(U129,U$11:U$363,1)+COUNTIF(U$11:U129,U129)-1)))</f>
        <v>25</v>
      </c>
      <c r="W129" s="240"/>
      <c r="X129" s="61" t="str">
        <f>IF(L129="","",VLOOKUP($L129,classifications!$C:$J,6,FALSE))</f>
        <v>Significant Rural</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Kent</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South East</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0.24495721147441182</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0.25645733010231825</v>
      </c>
      <c r="G130" s="105"/>
      <c r="H130" s="60">
        <f t="shared" si="28"/>
        <v>0.25645733010231825</v>
      </c>
      <c r="I130" s="112">
        <f>IF(H130="","",IF($I$8="A",(RANK(H130,H$11:H$363,1)+COUNTIF(H$11:H130,H130)-1),(RANK(H130,H$11:H$363)+COUNTIF(H$11:H130,H130)-1)))</f>
        <v>187</v>
      </c>
      <c r="J130" s="58"/>
      <c r="K130" s="51">
        <f t="shared" si="43"/>
        <v>120</v>
      </c>
      <c r="L130" s="59" t="str">
        <f t="shared" si="29"/>
        <v>Runnymede</v>
      </c>
      <c r="M130" s="153">
        <f t="shared" si="33"/>
        <v>0.4183802401776946</v>
      </c>
      <c r="N130" s="148">
        <f t="shared" si="34"/>
        <v>41.838024017769456</v>
      </c>
      <c r="O130" s="131" t="str">
        <f t="shared" si="30"/>
        <v/>
      </c>
      <c r="P130" s="131" t="str">
        <f t="shared" si="44"/>
        <v/>
      </c>
      <c r="Q130" s="131">
        <f t="shared" si="45"/>
        <v>41.838024017769456</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Major Urban</v>
      </c>
      <c r="Y130" s="49" t="str">
        <f t="shared" si="36"/>
        <v/>
      </c>
      <c r="Z130" s="57" t="str">
        <f>IF(Y130="","",IF(I$8="A",(RANK(Y130,Y$11:Y$363,1)+COUNTIF(Y$11:Y130,Y130)-1),(RANK(Y130,Y$11:Y$363)+COUNTIF(Y$11:Y130,Y130)-1)))</f>
        <v/>
      </c>
      <c r="AA130" s="245" t="str">
        <f>IF(L130="","",VLOOKUP($L130,classifications!C:I,7,FALSE))</f>
        <v>Predominantly Urban</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Surrey</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South East</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0.25645733010231825</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0.38830951108793288</v>
      </c>
      <c r="G131" s="105"/>
      <c r="H131" s="60" t="str">
        <f t="shared" si="28"/>
        <v/>
      </c>
      <c r="I131" s="112" t="str">
        <f>IF(H131="","",IF($I$8="A",(RANK(H131,H$11:H$363,1)+COUNTIF(H$11:H131,H131)-1),(RANK(H131,H$11:H$363)+COUNTIF(H$11:H131,H131)-1)))</f>
        <v/>
      </c>
      <c r="J131" s="58"/>
      <c r="K131" s="51">
        <f t="shared" si="43"/>
        <v>121</v>
      </c>
      <c r="L131" s="59" t="str">
        <f t="shared" si="29"/>
        <v>Mid Suffolk</v>
      </c>
      <c r="M131" s="153">
        <f t="shared" si="33"/>
        <v>0.41725642368814664</v>
      </c>
      <c r="N131" s="148">
        <f t="shared" si="34"/>
        <v>41.725642368814661</v>
      </c>
      <c r="O131" s="131" t="str">
        <f t="shared" si="30"/>
        <v/>
      </c>
      <c r="P131" s="131" t="str">
        <f t="shared" si="44"/>
        <v/>
      </c>
      <c r="Q131" s="131">
        <f t="shared" si="45"/>
        <v>41.725642368814661</v>
      </c>
      <c r="R131" s="127" t="str">
        <f t="shared" si="46"/>
        <v/>
      </c>
      <c r="S131" s="60" t="str">
        <f t="shared" si="35"/>
        <v/>
      </c>
      <c r="T131" s="231" t="str">
        <f>IF(L131="","",VLOOKUP(L131,classifications!C:K,9,FALSE))</f>
        <v>Sparse</v>
      </c>
      <c r="U131" s="238">
        <f t="shared" si="31"/>
        <v>0.41725642368814664</v>
      </c>
      <c r="V131" s="239">
        <f>IF(U131="","",IF($I$8="A",(RANK(U131,U$11:U$363)+COUNTIF(U$11:U131,U131)-1),(RANK(U131,U$11:U$363,1)+COUNTIF(U$11:U131,U131)-1)))</f>
        <v>24</v>
      </c>
      <c r="W131" s="240"/>
      <c r="X131" s="61" t="str">
        <f>IF(L131="","",VLOOKUP($L131,classifications!$C:$J,6,FALSE))</f>
        <v>Rural-80</v>
      </c>
      <c r="Y131" s="49">
        <f t="shared" si="36"/>
        <v>0.41725642368814664</v>
      </c>
      <c r="Z131" s="57">
        <f>IF(Y131="","",IF(I$8="A",(RANK(Y131,Y$11:Y$363,1)+COUNTIF(Y$11:Y131,Y131)-1),(RANK(Y131,Y$11:Y$363)+COUNTIF(Y$11:Y131,Y131)-1)))</f>
        <v>36</v>
      </c>
      <c r="AA131" s="245" t="str">
        <f>IF(L131="","",VLOOKUP($L131,classifications!C:I,7,FALSE))</f>
        <v>Predominantly Rural</v>
      </c>
      <c r="AB131" s="239">
        <f t="shared" si="37"/>
        <v>0.41725642368814664</v>
      </c>
      <c r="AC131" s="239">
        <f>IF(AB131="","",IF($I$8="A",(RANK(AB131,AB$11:AB$363)+COUNTIF(AB$11:AB131,AB131)-1),(RANK(AB131,AB$11:AB$363,1)+COUNTIF(AB$11:AB131,AB131)-1)))</f>
        <v>18</v>
      </c>
      <c r="AD131" s="239"/>
      <c r="AE131" s="51" t="str">
        <f t="shared" si="50"/>
        <v/>
      </c>
      <c r="AG131" s="143"/>
      <c r="AH131" s="52"/>
      <c r="AI131" s="61" t="str">
        <f>IF(L131="","",VLOOKUP($L131,classifications!$C:$J,8,FALSE))</f>
        <v>Suffolk</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East of England</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0.38830951108793288</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0.52233537392283924</v>
      </c>
      <c r="G132" s="105"/>
      <c r="H132" s="60">
        <f t="shared" si="28"/>
        <v>0.52233537392283924</v>
      </c>
      <c r="I132" s="112">
        <f>IF(H132="","",IF($I$8="A",(RANK(H132,H$11:H$363,1)+COUNTIF(H$11:H132,H132)-1),(RANK(H132,H$11:H$363)+COUNTIF(H$11:H132,H132)-1)))</f>
        <v>37</v>
      </c>
      <c r="J132" s="58"/>
      <c r="K132" s="51">
        <f t="shared" si="43"/>
        <v>122</v>
      </c>
      <c r="L132" s="59" t="str">
        <f t="shared" si="29"/>
        <v>Mendip</v>
      </c>
      <c r="M132" s="153">
        <f t="shared" si="33"/>
        <v>0.41519486270468131</v>
      </c>
      <c r="N132" s="148">
        <f t="shared" si="34"/>
        <v>41.519486270468128</v>
      </c>
      <c r="O132" s="131" t="str">
        <f t="shared" si="30"/>
        <v/>
      </c>
      <c r="P132" s="131" t="str">
        <f t="shared" si="44"/>
        <v/>
      </c>
      <c r="Q132" s="131">
        <f t="shared" si="45"/>
        <v>41.519486270468128</v>
      </c>
      <c r="R132" s="127" t="str">
        <f t="shared" si="46"/>
        <v/>
      </c>
      <c r="S132" s="60" t="str">
        <f t="shared" si="35"/>
        <v/>
      </c>
      <c r="T132" s="231" t="str">
        <f>IF(L132="","",VLOOKUP(L132,classifications!C:K,9,FALSE))</f>
        <v>Sparse</v>
      </c>
      <c r="U132" s="238">
        <f t="shared" si="31"/>
        <v>0.41519486270468131</v>
      </c>
      <c r="V132" s="239">
        <f>IF(U132="","",IF($I$8="A",(RANK(U132,U$11:U$363)+COUNTIF(U$11:U132,U132)-1),(RANK(U132,U$11:U$363,1)+COUNTIF(U$11:U132,U132)-1)))</f>
        <v>23</v>
      </c>
      <c r="W132" s="240"/>
      <c r="X132" s="61" t="str">
        <f>IF(L132="","",VLOOKUP($L132,classifications!$C:$J,6,FALSE))</f>
        <v>Rural-80</v>
      </c>
      <c r="Y132" s="49">
        <f t="shared" si="36"/>
        <v>0.41519486270468131</v>
      </c>
      <c r="Z132" s="57">
        <f>IF(Y132="","",IF(I$8="A",(RANK(Y132,Y$11:Y$363,1)+COUNTIF(Y$11:Y132,Y132)-1),(RANK(Y132,Y$11:Y$363)+COUNTIF(Y$11:Y132,Y132)-1)))</f>
        <v>37</v>
      </c>
      <c r="AA132" s="245" t="str">
        <f>IF(L132="","",VLOOKUP($L132,classifications!C:I,7,FALSE))</f>
        <v>Predominantly Rural</v>
      </c>
      <c r="AB132" s="239">
        <f t="shared" si="37"/>
        <v>0.41519486270468131</v>
      </c>
      <c r="AC132" s="239">
        <f>IF(AB132="","",IF($I$8="A",(RANK(AB132,AB$11:AB$363)+COUNTIF(AB$11:AB132,AB132)-1),(RANK(AB132,AB$11:AB$363,1)+COUNTIF(AB$11:AB132,AB132)-1)))</f>
        <v>17</v>
      </c>
      <c r="AD132" s="239"/>
      <c r="AE132" s="51" t="str">
        <f t="shared" si="50"/>
        <v/>
      </c>
      <c r="AG132" s="143"/>
      <c r="AH132" s="52"/>
      <c r="AI132" s="61" t="str">
        <f>IF(L132="","",VLOOKUP($L132,classifications!$C:$J,8,FALSE))</f>
        <v>Somerset</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West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0.52233537392283924</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0.25441844028095995</v>
      </c>
      <c r="G133" s="105"/>
      <c r="H133" s="60" t="str">
        <f t="shared" si="28"/>
        <v/>
      </c>
      <c r="I133" s="112" t="str">
        <f>IF(H133="","",IF($I$8="A",(RANK(H133,H$11:H$363,1)+COUNTIF(H$11:H133,H133)-1),(RANK(H133,H$11:H$363)+COUNTIF(H$11:H133,H133)-1)))</f>
        <v/>
      </c>
      <c r="J133" s="58"/>
      <c r="K133" s="51">
        <f t="shared" si="43"/>
        <v>123</v>
      </c>
      <c r="L133" s="59" t="str">
        <f t="shared" si="29"/>
        <v>Chesterfield</v>
      </c>
      <c r="M133" s="153">
        <f t="shared" si="33"/>
        <v>0.41513496409111045</v>
      </c>
      <c r="N133" s="148">
        <f t="shared" si="34"/>
        <v>41.513496409111042</v>
      </c>
      <c r="O133" s="131" t="str">
        <f t="shared" si="30"/>
        <v/>
      </c>
      <c r="P133" s="131" t="str">
        <f t="shared" si="44"/>
        <v/>
      </c>
      <c r="Q133" s="131">
        <f t="shared" si="45"/>
        <v>41.513496409111042</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Other Urban</v>
      </c>
      <c r="Y133" s="49" t="str">
        <f t="shared" si="36"/>
        <v/>
      </c>
      <c r="Z133" s="57" t="str">
        <f>IF(Y133="","",IF(I$8="A",(RANK(Y133,Y$11:Y$363,1)+COUNTIF(Y$11:Y133,Y133)-1),(RANK(Y133,Y$11:Y$363)+COUNTIF(Y$11:Y133,Y133)-1)))</f>
        <v/>
      </c>
      <c r="AA133" s="245" t="str">
        <f>IF(L133="","",VLOOKUP($L133,classifications!C:I,7,FALSE))</f>
        <v>Significant Rural</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Derbyshire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East Midlands</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0.25441844028095995</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0.39754710765628537</v>
      </c>
      <c r="G134" s="105"/>
      <c r="H134" s="60" t="str">
        <f t="shared" si="28"/>
        <v/>
      </c>
      <c r="I134" s="112" t="str">
        <f>IF(H134="","",IF($I$8="A",(RANK(H134,H$11:H$363,1)+COUNTIF(H$11:H134,H134)-1),(RANK(H134,H$11:H$363)+COUNTIF(H$11:H134,H134)-1)))</f>
        <v/>
      </c>
      <c r="J134" s="58"/>
      <c r="K134" s="51">
        <f t="shared" si="43"/>
        <v>124</v>
      </c>
      <c r="L134" s="59" t="str">
        <f t="shared" si="29"/>
        <v>Richmondshire</v>
      </c>
      <c r="M134" s="153">
        <f t="shared" si="33"/>
        <v>0.41430974334393517</v>
      </c>
      <c r="N134" s="148">
        <f t="shared" si="34"/>
        <v>41.430974334393518</v>
      </c>
      <c r="O134" s="131" t="str">
        <f t="shared" si="30"/>
        <v/>
      </c>
      <c r="P134" s="131" t="str">
        <f t="shared" si="44"/>
        <v/>
      </c>
      <c r="Q134" s="131">
        <f t="shared" si="45"/>
        <v>41.430974334393518</v>
      </c>
      <c r="R134" s="127" t="str">
        <f t="shared" si="46"/>
        <v/>
      </c>
      <c r="S134" s="60" t="str">
        <f t="shared" si="35"/>
        <v/>
      </c>
      <c r="T134" s="231" t="str">
        <f>IF(L134="","",VLOOKUP(L134,classifications!C:K,9,FALSE))</f>
        <v>Sparse</v>
      </c>
      <c r="U134" s="238">
        <f t="shared" si="31"/>
        <v>0.41430974334393517</v>
      </c>
      <c r="V134" s="239">
        <f>IF(U134="","",IF($I$8="A",(RANK(U134,U$11:U$363)+COUNTIF(U$11:U134,U134)-1),(RANK(U134,U$11:U$363,1)+COUNTIF(U$11:U134,U134)-1)))</f>
        <v>22</v>
      </c>
      <c r="W134" s="240"/>
      <c r="X134" s="61" t="str">
        <f>IF(L134="","",VLOOKUP($L134,classifications!$C:$J,6,FALSE))</f>
        <v>Rural-80</v>
      </c>
      <c r="Y134" s="49">
        <f t="shared" si="36"/>
        <v>0.41430974334393517</v>
      </c>
      <c r="Z134" s="57">
        <f>IF(Y134="","",IF(I$8="A",(RANK(Y134,Y$11:Y$363,1)+COUNTIF(Y$11:Y134,Y134)-1),(RANK(Y134,Y$11:Y$363)+COUNTIF(Y$11:Y134,Y134)-1)))</f>
        <v>38</v>
      </c>
      <c r="AA134" s="245" t="str">
        <f>IF(L134="","",VLOOKUP($L134,classifications!C:I,7,FALSE))</f>
        <v>Predominantly Rural</v>
      </c>
      <c r="AB134" s="239">
        <f t="shared" si="37"/>
        <v>0.41430974334393517</v>
      </c>
      <c r="AC134" s="239">
        <f>IF(AB134="","",IF($I$8="A",(RANK(AB134,AB$11:AB$363)+COUNTIF(AB$11:AB134,AB134)-1),(RANK(AB134,AB$11:AB$363,1)+COUNTIF(AB$11:AB134,AB134)-1)))</f>
        <v>16</v>
      </c>
      <c r="AD134" s="239"/>
      <c r="AE134" s="51" t="str">
        <f t="shared" si="50"/>
        <v/>
      </c>
      <c r="AG134" s="143"/>
      <c r="AH134" s="52"/>
      <c r="AI134" s="61" t="str">
        <f>IF(L134="","",VLOOKUP($L134,classifications!$C:$J,8,FALSE))</f>
        <v>North Yorkshire</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Yorkshire &amp; Humberside</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0.39754710765628537</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0.46847330841980062</v>
      </c>
      <c r="G135" s="105"/>
      <c r="H135" s="60">
        <f t="shared" si="28"/>
        <v>0.46847330841980062</v>
      </c>
      <c r="I135" s="112">
        <f>IF(H135="","",IF($I$8="A",(RANK(H135,H$11:H$363,1)+COUNTIF(H$11:H135,H135)-1),(RANK(H135,H$11:H$363)+COUNTIF(H$11:H135,H135)-1)))</f>
        <v>70</v>
      </c>
      <c r="J135" s="58"/>
      <c r="K135" s="51">
        <f t="shared" si="43"/>
        <v>125</v>
      </c>
      <c r="L135" s="59" t="str">
        <f t="shared" si="29"/>
        <v>Ipswich</v>
      </c>
      <c r="M135" s="153">
        <f t="shared" si="33"/>
        <v>0.4128380431892778</v>
      </c>
      <c r="N135" s="148">
        <f t="shared" si="34"/>
        <v>41.283804318927778</v>
      </c>
      <c r="O135" s="131" t="str">
        <f t="shared" si="30"/>
        <v/>
      </c>
      <c r="P135" s="131" t="str">
        <f t="shared" si="44"/>
        <v/>
      </c>
      <c r="Q135" s="131">
        <f t="shared" si="45"/>
        <v>41.283804318927778</v>
      </c>
      <c r="R135" s="127" t="str">
        <f t="shared" si="46"/>
        <v/>
      </c>
      <c r="S135" s="60" t="str">
        <f t="shared" si="35"/>
        <v/>
      </c>
      <c r="T135" s="231">
        <f>IF(L135="","",VLOOKUP(L135,classifications!C:K,9,FALSE))</f>
        <v>0</v>
      </c>
      <c r="U135" s="238" t="str">
        <f t="shared" si="31"/>
        <v/>
      </c>
      <c r="V135" s="239" t="str">
        <f>IF(U135="","",IF($I$8="A",(RANK(U135,U$11:U$363)+COUNTIF(U$11:U135,U135)-1),(RANK(U135,U$11:U$363,1)+COUNTIF(U$11:U135,U135)-1)))</f>
        <v/>
      </c>
      <c r="W135" s="240"/>
      <c r="X135" s="61" t="str">
        <f>IF(L135="","",VLOOKUP($L135,classifications!$C:$J,6,FALSE))</f>
        <v>Other Urban</v>
      </c>
      <c r="Y135" s="49" t="str">
        <f t="shared" si="36"/>
        <v/>
      </c>
      <c r="Z135" s="57" t="str">
        <f>IF(Y135="","",IF(I$8="A",(RANK(Y135,Y$11:Y$363,1)+COUNTIF(Y$11:Y135,Y135)-1),(RANK(Y135,Y$11:Y$363)+COUNTIF(Y$11:Y135,Y135)-1)))</f>
        <v/>
      </c>
      <c r="AA135" s="245" t="str">
        <f>IF(L135="","",VLOOKUP($L135,classifications!C:I,7,FALSE))</f>
        <v>Predominantly Rural</v>
      </c>
      <c r="AB135" s="239">
        <f t="shared" si="37"/>
        <v>0.4128380431892778</v>
      </c>
      <c r="AC135" s="239">
        <f>IF(AB135="","",IF($I$8="A",(RANK(AB135,AB$11:AB$363)+COUNTIF(AB$11:AB135,AB135)-1),(RANK(AB135,AB$11:AB$363,1)+COUNTIF(AB$11:AB135,AB135)-1)))</f>
        <v>15</v>
      </c>
      <c r="AD135" s="239"/>
      <c r="AE135" s="51" t="str">
        <f t="shared" si="50"/>
        <v/>
      </c>
      <c r="AG135" s="143"/>
      <c r="AH135" s="52"/>
      <c r="AI135" s="61" t="str">
        <f>IF(L135="","",VLOOKUP($L135,classifications!$C:$J,8,FALSE))</f>
        <v>Suffolk</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of England</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0.46847330841980062</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0.20534950851215283</v>
      </c>
      <c r="G136" s="105"/>
      <c r="H136" s="60" t="str">
        <f t="shared" si="28"/>
        <v/>
      </c>
      <c r="I136" s="112" t="str">
        <f>IF(H136="","",IF($I$8="A",(RANK(H136,H$11:H$363,1)+COUNTIF(H$11:H136,H136)-1),(RANK(H136,H$11:H$363)+COUNTIF(H$11:H136,H136)-1)))</f>
        <v/>
      </c>
      <c r="J136" s="58"/>
      <c r="K136" s="51">
        <f t="shared" si="43"/>
        <v>126</v>
      </c>
      <c r="L136" s="59" t="str">
        <f t="shared" si="29"/>
        <v>Spelthorne</v>
      </c>
      <c r="M136" s="153">
        <f t="shared" si="33"/>
        <v>0.4118657276238723</v>
      </c>
      <c r="N136" s="148">
        <f t="shared" si="34"/>
        <v>41.186572762387229</v>
      </c>
      <c r="O136" s="131" t="str">
        <f t="shared" si="30"/>
        <v/>
      </c>
      <c r="P136" s="131" t="str">
        <f t="shared" si="44"/>
        <v/>
      </c>
      <c r="Q136" s="131">
        <f t="shared" si="45"/>
        <v>41.186572762387229</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Major Urban</v>
      </c>
      <c r="Y136" s="49" t="str">
        <f t="shared" si="36"/>
        <v/>
      </c>
      <c r="Z136" s="57" t="str">
        <f>IF(Y136="","",IF(I$8="A",(RANK(Y136,Y$11:Y$363,1)+COUNTIF(Y$11:Y136,Y136)-1),(RANK(Y136,Y$11:Y$363)+COUNTIF(Y$11:Y136,Y136)-1)))</f>
        <v/>
      </c>
      <c r="AA136" s="245" t="str">
        <f>IF(L136="","",VLOOKUP($L136,classifications!C:I,7,FALSE))</f>
        <v>Predominantly Urban</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Surrey</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East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0.20534950851215283</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Colchester</v>
      </c>
      <c r="M137" s="153">
        <f t="shared" si="33"/>
        <v>0.41181964071251292</v>
      </c>
      <c r="N137" s="148">
        <f t="shared" si="34"/>
        <v>41.181964071251294</v>
      </c>
      <c r="O137" s="131" t="str">
        <f t="shared" si="30"/>
        <v/>
      </c>
      <c r="P137" s="131" t="str">
        <f t="shared" si="44"/>
        <v/>
      </c>
      <c r="Q137" s="131">
        <f t="shared" si="45"/>
        <v>41.181964071251294</v>
      </c>
      <c r="R137" s="127" t="str">
        <f t="shared" si="46"/>
        <v/>
      </c>
      <c r="S137" s="60" t="str">
        <f t="shared" si="35"/>
        <v/>
      </c>
      <c r="T137" s="231">
        <f>IF(L137="","",VLOOKUP(L137,classifications!C:K,9,FALSE))</f>
        <v>0</v>
      </c>
      <c r="U137" s="238" t="str">
        <f t="shared" si="31"/>
        <v/>
      </c>
      <c r="V137" s="239" t="str">
        <f>IF(U137="","",IF($I$8="A",(RANK(U137,U$11:U$363)+COUNTIF(U$11:U137,U137)-1),(RANK(U137,U$11:U$363,1)+COUNTIF(U$11:U137,U137)-1)))</f>
        <v/>
      </c>
      <c r="W137" s="240"/>
      <c r="X137" s="61" t="str">
        <f>IF(L137="","",VLOOKUP($L137,classifications!$C:$J,6,FALSE))</f>
        <v>Significant Rural</v>
      </c>
      <c r="Y137" s="49" t="str">
        <f t="shared" si="36"/>
        <v/>
      </c>
      <c r="Z137" s="57" t="str">
        <f>IF(Y137="","",IF(I$8="A",(RANK(Y137,Y$11:Y$363,1)+COUNTIF(Y$11:Y137,Y137)-1),(RANK(Y137,Y$11:Y$363)+COUNTIF(Y$11:Y137,Y137)-1)))</f>
        <v/>
      </c>
      <c r="AA137" s="245" t="str">
        <f>IF(L137="","",VLOOKUP($L137,classifications!C:I,7,FALSE))</f>
        <v>Significant Rural</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Essex</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of England</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0.57255793074863059</v>
      </c>
      <c r="G138" s="105"/>
      <c r="H138" s="60">
        <f t="shared" si="28"/>
        <v>0.57255793074863059</v>
      </c>
      <c r="I138" s="112">
        <f>IF(H138="","",IF($I$8="A",(RANK(H138,H$11:H$363,1)+COUNTIF(H$11:H138,H138)-1),(RANK(H138,H$11:H$363)+COUNTIF(H$11:H138,H138)-1)))</f>
        <v>15</v>
      </c>
      <c r="J138" s="58"/>
      <c r="K138" s="51">
        <f t="shared" si="43"/>
        <v>128</v>
      </c>
      <c r="L138" s="59" t="str">
        <f t="shared" si="29"/>
        <v>Eden</v>
      </c>
      <c r="M138" s="153">
        <f t="shared" si="33"/>
        <v>0.40768344453617145</v>
      </c>
      <c r="N138" s="148">
        <f t="shared" si="34"/>
        <v>40.768344453617146</v>
      </c>
      <c r="O138" s="131" t="str">
        <f t="shared" si="30"/>
        <v/>
      </c>
      <c r="P138" s="131" t="str">
        <f t="shared" si="44"/>
        <v/>
      </c>
      <c r="Q138" s="131">
        <f t="shared" si="45"/>
        <v>40.768344453617146</v>
      </c>
      <c r="R138" s="127" t="str">
        <f t="shared" si="46"/>
        <v/>
      </c>
      <c r="S138" s="60" t="str">
        <f t="shared" si="35"/>
        <v/>
      </c>
      <c r="T138" s="231" t="str">
        <f>IF(L138="","",VLOOKUP(L138,classifications!C:K,9,FALSE))</f>
        <v>Sparse</v>
      </c>
      <c r="U138" s="238">
        <f t="shared" si="31"/>
        <v>0.40768344453617145</v>
      </c>
      <c r="V138" s="239">
        <f>IF(U138="","",IF($I$8="A",(RANK(U138,U$11:U$363)+COUNTIF(U$11:U138,U138)-1),(RANK(U138,U$11:U$363,1)+COUNTIF(U$11:U138,U138)-1)))</f>
        <v>21</v>
      </c>
      <c r="W138" s="240"/>
      <c r="X138" s="61" t="str">
        <f>IF(L138="","",VLOOKUP($L138,classifications!$C:$J,6,FALSE))</f>
        <v>Rural-80</v>
      </c>
      <c r="Y138" s="49">
        <f t="shared" si="36"/>
        <v>0.40768344453617145</v>
      </c>
      <c r="Z138" s="57">
        <f>IF(Y138="","",IF(I$8="A",(RANK(Y138,Y$11:Y$363,1)+COUNTIF(Y$11:Y138,Y138)-1),(RANK(Y138,Y$11:Y$363)+COUNTIF(Y$11:Y138,Y138)-1)))</f>
        <v>39</v>
      </c>
      <c r="AA138" s="245" t="str">
        <f>IF(L138="","",VLOOKUP($L138,classifications!C:I,7,FALSE))</f>
        <v>Predominantly Rural</v>
      </c>
      <c r="AB138" s="239">
        <f t="shared" si="37"/>
        <v>0.40768344453617145</v>
      </c>
      <c r="AC138" s="239">
        <f>IF(AB138="","",IF($I$8="A",(RANK(AB138,AB$11:AB$363)+COUNTIF(AB$11:AB138,AB138)-1),(RANK(AB138,AB$11:AB$363,1)+COUNTIF(AB$11:AB138,AB138)-1)))</f>
        <v>14</v>
      </c>
      <c r="AD138" s="239"/>
      <c r="AE138" s="51" t="str">
        <f t="shared" si="50"/>
        <v/>
      </c>
      <c r="AG138" s="143"/>
      <c r="AH138" s="52"/>
      <c r="AI138" s="61" t="str">
        <f>IF(L138="","",VLOOKUP($L138,classifications!$C:$J,8,FALSE))</f>
        <v>Cumbria</v>
      </c>
      <c r="AJ138" s="62">
        <f t="shared" si="32"/>
        <v>0.40768344453617145</v>
      </c>
      <c r="AK138" s="57">
        <f>IF(AJ138="","",IF(I$8="A",(RANK(AJ138,AJ$11:AJ$363,1)+COUNTIF(AJ$11:AJ138,AJ138)-1),(RANK(AJ138,AJ$11:AJ$363)+COUNTIF(AJ$11:AJ138,AJ138)-1)))</f>
        <v>3</v>
      </c>
      <c r="AL138" s="52" t="str">
        <f t="shared" si="47"/>
        <v/>
      </c>
      <c r="AM138" s="31" t="str">
        <f t="shared" si="49"/>
        <v/>
      </c>
      <c r="AN138" s="31" t="str">
        <f t="shared" si="38"/>
        <v/>
      </c>
      <c r="AP138" s="61" t="str">
        <f>IF(L138="","",VLOOKUP($L138,classifications!$C:$E,3,FALSE))</f>
        <v>North West</v>
      </c>
      <c r="AQ138" s="62">
        <f t="shared" si="39"/>
        <v>0.40768344453617145</v>
      </c>
      <c r="AR138" s="57">
        <f>IF(AQ138="","",IF(I$8="A",(RANK(AQ138,AQ$11:AQ$363,1)+COUNTIF(AQ$11:AQ138,AQ138)-1),(RANK(AQ138,AQ$11:AQ$363)+COUNTIF(AQ$11:AQ138,AQ138)-1)))</f>
        <v>9</v>
      </c>
      <c r="AS138" s="52" t="str">
        <f t="shared" si="40"/>
        <v/>
      </c>
      <c r="AT138" s="57" t="str">
        <f t="shared" si="41"/>
        <v/>
      </c>
      <c r="AU138" s="62" t="str">
        <f t="shared" si="48"/>
        <v/>
      </c>
      <c r="AX138" s="44">
        <f>HLOOKUP($AX$9&amp;$AX$10,Data!$A$1:$ZZ$2000,(MATCH($C138,Data!$A$1:$A$2000,0)),FALSE)</f>
        <v>0.57255793074863059</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0.35814093921532192</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Watford</v>
      </c>
      <c r="M139" s="153">
        <f t="shared" si="33"/>
        <v>0.40602192263326914</v>
      </c>
      <c r="N139" s="148">
        <f t="shared" si="34"/>
        <v>40.602192263326913</v>
      </c>
      <c r="O139" s="131" t="str">
        <f t="shared" ref="O139:O202" si="54">IF(I$8="A",IF(N139&gt;=$P$7,IF(N139&lt;=$O$10,N139,""),""),IF(N139&lt;=$P$7,IF(N139&gt;=$O$10,N139,""),""))</f>
        <v/>
      </c>
      <c r="P139" s="131" t="str">
        <f t="shared" si="44"/>
        <v/>
      </c>
      <c r="Q139" s="131">
        <f t="shared" si="45"/>
        <v>40.602192263326913</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Major Urban</v>
      </c>
      <c r="Y139" s="49" t="str">
        <f t="shared" si="36"/>
        <v/>
      </c>
      <c r="Z139" s="57" t="str">
        <f>IF(Y139="","",IF(I$8="A",(RANK(Y139,Y$11:Y$363,1)+COUNTIF(Y$11:Y139,Y139)-1),(RANK(Y139,Y$11:Y$363)+COUNTIF(Y$11:Y139,Y139)-1)))</f>
        <v/>
      </c>
      <c r="AA139" s="245" t="str">
        <f>IF(L139="","",VLOOKUP($L139,classifications!C:I,7,FALSE))</f>
        <v>Predominantly Urban</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Hertfordshire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East of England</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0.35814093921532192</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0.46708854585493476</v>
      </c>
      <c r="G140" s="105"/>
      <c r="H140" s="60">
        <f t="shared" si="52"/>
        <v>0.46708854585493476</v>
      </c>
      <c r="I140" s="112">
        <f>IF(H140="","",IF($I$8="A",(RANK(H140,H$11:H$363,1)+COUNTIF(H$11:H140,H140)-1),(RANK(H140,H$11:H$363)+COUNTIF(H$11:H140,H140)-1)))</f>
        <v>72</v>
      </c>
      <c r="J140" s="58"/>
      <c r="K140" s="51">
        <f t="shared" si="43"/>
        <v>130</v>
      </c>
      <c r="L140" s="59" t="str">
        <f t="shared" si="53"/>
        <v>Boston</v>
      </c>
      <c r="M140" s="153">
        <f t="shared" ref="M140:M203" si="57">IF(L140="","",IF(VLOOKUP(L140,C:D,2,FALSE)=$F$3,VLOOKUP(L140,C:H,6,FALSE),""))</f>
        <v>0.40519799427585179</v>
      </c>
      <c r="N140" s="148">
        <f t="shared" ref="N140:N203" si="58">IF(L140="","",IF($H$8="%%",M140*100,M140))</f>
        <v>40.519799427585177</v>
      </c>
      <c r="O140" s="131" t="str">
        <f t="shared" si="54"/>
        <v/>
      </c>
      <c r="P140" s="131" t="str">
        <f t="shared" si="44"/>
        <v/>
      </c>
      <c r="Q140" s="131">
        <f t="shared" si="45"/>
        <v>40.519799427585177</v>
      </c>
      <c r="R140" s="127" t="str">
        <f t="shared" si="46"/>
        <v/>
      </c>
      <c r="S140" s="60" t="str">
        <f t="shared" ref="S140:S203" si="59">IF(L140=D$3,"u","")</f>
        <v/>
      </c>
      <c r="T140" s="231" t="str">
        <f>IF(L140="","",VLOOKUP(L140,classifications!C:K,9,FALSE))</f>
        <v>Sparse</v>
      </c>
      <c r="U140" s="238">
        <f t="shared" si="55"/>
        <v>0.40519799427585179</v>
      </c>
      <c r="V140" s="239">
        <f>IF(U140="","",IF($I$8="A",(RANK(U140,U$11:U$363)+COUNTIF(U$11:U140,U140)-1),(RANK(U140,U$11:U$363,1)+COUNTIF(U$11:U140,U140)-1)))</f>
        <v>20</v>
      </c>
      <c r="W140" s="240"/>
      <c r="X140" s="61" t="str">
        <f>IF(L140="","",VLOOKUP($L140,classifications!$C:$J,6,FALSE))</f>
        <v>Significant Rural</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Predominantly Rural</v>
      </c>
      <c r="AB140" s="239">
        <f t="shared" ref="AB140:AB203" si="61">IF(AA140=$J$3,M140,"")</f>
        <v>0.40519799427585179</v>
      </c>
      <c r="AC140" s="239">
        <f>IF(AB140="","",IF($I$8="A",(RANK(AB140,AB$11:AB$363)+COUNTIF(AB$11:AB140,AB140)-1),(RANK(AB140,AB$11:AB$363,1)+COUNTIF(AB$11:AB140,AB140)-1)))</f>
        <v>13</v>
      </c>
      <c r="AD140" s="239"/>
      <c r="AE140" s="51" t="str">
        <f t="shared" si="50"/>
        <v/>
      </c>
      <c r="AG140" s="143"/>
      <c r="AH140" s="52"/>
      <c r="AI140" s="61" t="str">
        <f>IF(L140="","",VLOOKUP($L140,classifications!$C:$J,8,FALSE))</f>
        <v>Lincolnshire</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East Midlands</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0.46708854585493476</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0.40310290605196802</v>
      </c>
      <c r="G141" s="105"/>
      <c r="H141" s="60">
        <f t="shared" si="52"/>
        <v>0.40310290605196802</v>
      </c>
      <c r="I141" s="112">
        <f>IF(H141="","",IF($I$8="A",(RANK(H141,H$11:H$363,1)+COUNTIF(H$11:H141,H141)-1),(RANK(H141,H$11:H$363)+COUNTIF(H$11:H141,H141)-1)))</f>
        <v>131</v>
      </c>
      <c r="J141" s="58"/>
      <c r="K141" s="51">
        <f t="shared" ref="K141:K204" si="66">IF(K140="","",IF(K140+1&gt;(COUNT(H$11:H$363)),"",K140+1))</f>
        <v>131</v>
      </c>
      <c r="L141" s="59" t="str">
        <f t="shared" si="53"/>
        <v>Harrogate</v>
      </c>
      <c r="M141" s="153">
        <f t="shared" si="57"/>
        <v>0.40310290605196802</v>
      </c>
      <c r="N141" s="148">
        <f t="shared" si="58"/>
        <v>40.310290605196805</v>
      </c>
      <c r="O141" s="131" t="str">
        <f t="shared" si="54"/>
        <v/>
      </c>
      <c r="P141" s="131" t="str">
        <f t="shared" ref="P141:P204" si="67">IF(I$8="A",IF(N141&gt;$O$10,IF(N141&lt;=$P$10,N141,""),""),IF(N141&lt;$O$10,IF(N141&gt;=$P$10,N141,""),""))</f>
        <v/>
      </c>
      <c r="Q141" s="131">
        <f t="shared" ref="Q141:Q204" si="68">IF(I$8="A",IF(N141&gt;$P$10,IF(N141&lt;=$Q$10,N141,""),""),IF(N141&lt;$P$10,IF(N141&gt;=$Q$10,N141,""),""))</f>
        <v>40.310290605196805</v>
      </c>
      <c r="R141" s="127" t="str">
        <f t="shared" ref="R141:R204" si="69">IF(I$8="A",IF(N141&gt;$Q$10,N141,""),IF(N141&lt;$Q$10,N141,""))</f>
        <v/>
      </c>
      <c r="S141" s="60" t="str">
        <f t="shared" si="59"/>
        <v/>
      </c>
      <c r="T141" s="231" t="str">
        <f>IF(L141="","",VLOOKUP(L141,classifications!C:K,9,FALSE))</f>
        <v>Sparse</v>
      </c>
      <c r="U141" s="238">
        <f t="shared" si="55"/>
        <v>0.40310290605196802</v>
      </c>
      <c r="V141" s="239">
        <f>IF(U141="","",IF($I$8="A",(RANK(U141,U$11:U$363)+COUNTIF(U$11:U141,U141)-1),(RANK(U141,U$11:U$363,1)+COUNTIF(U$11:U141,U141)-1)))</f>
        <v>19</v>
      </c>
      <c r="W141" s="240"/>
      <c r="X141" s="61" t="str">
        <f>IF(L141="","",VLOOKUP($L141,classifications!$C:$J,6,FALSE))</f>
        <v>Significant Rural</v>
      </c>
      <c r="Y141" s="49" t="str">
        <f t="shared" si="60"/>
        <v/>
      </c>
      <c r="Z141" s="57" t="str">
        <f>IF(Y141="","",IF(I$8="A",(RANK(Y141,Y$11:Y$363,1)+COUNTIF(Y$11:Y141,Y141)-1),(RANK(Y141,Y$11:Y$363)+COUNTIF(Y$11:Y141,Y141)-1)))</f>
        <v/>
      </c>
      <c r="AA141" s="245" t="str">
        <f>IF(L141="","",VLOOKUP($L141,classifications!C:I,7,FALSE))</f>
        <v>Predominantly Rural</v>
      </c>
      <c r="AB141" s="239">
        <f t="shared" si="61"/>
        <v>0.40310290605196802</v>
      </c>
      <c r="AC141" s="239">
        <f>IF(AB141="","",IF($I$8="A",(RANK(AB141,AB$11:AB$363)+COUNTIF(AB$11:AB141,AB141)-1),(RANK(AB141,AB$11:AB$363,1)+COUNTIF(AB$11:AB141,AB141)-1)))</f>
        <v>12</v>
      </c>
      <c r="AD141" s="239"/>
      <c r="AE141" s="51" t="str">
        <f t="shared" si="50"/>
        <v/>
      </c>
      <c r="AG141" s="143"/>
      <c r="AH141" s="52"/>
      <c r="AI141" s="61" t="str">
        <f>IF(L141="","",VLOOKUP($L141,classifications!$C:$J,8,FALSE))</f>
        <v>North Yorkshire</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Yorkshire &amp; Humberside</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0.40310290605196802</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0.49153042554447263</v>
      </c>
      <c r="G142" s="105"/>
      <c r="H142" s="60" t="str">
        <f t="shared" si="52"/>
        <v/>
      </c>
      <c r="I142" s="112" t="str">
        <f>IF(H142="","",IF($I$8="A",(RANK(H142,H$11:H$363,1)+COUNTIF(H$11:H142,H142)-1),(RANK(H142,H$11:H$363)+COUNTIF(H$11:H142,H142)-1)))</f>
        <v/>
      </c>
      <c r="J142" s="58"/>
      <c r="K142" s="51">
        <f t="shared" si="66"/>
        <v>132</v>
      </c>
      <c r="L142" s="59" t="str">
        <f t="shared" si="53"/>
        <v>Bolsover</v>
      </c>
      <c r="M142" s="153">
        <f t="shared" si="57"/>
        <v>0.40285130553941956</v>
      </c>
      <c r="N142" s="148">
        <f t="shared" si="58"/>
        <v>40.285130553941954</v>
      </c>
      <c r="O142" s="131" t="str">
        <f t="shared" si="54"/>
        <v/>
      </c>
      <c r="P142" s="131" t="str">
        <f t="shared" si="67"/>
        <v/>
      </c>
      <c r="Q142" s="131">
        <f t="shared" si="68"/>
        <v>40.285130553941954</v>
      </c>
      <c r="R142" s="127" t="str">
        <f t="shared" si="69"/>
        <v/>
      </c>
      <c r="S142" s="60" t="str">
        <f t="shared" si="59"/>
        <v/>
      </c>
      <c r="T142" s="231">
        <f>IF(L142="","",VLOOKUP(L142,classifications!C:K,9,FALSE))</f>
        <v>0</v>
      </c>
      <c r="U142" s="238" t="str">
        <f t="shared" si="55"/>
        <v/>
      </c>
      <c r="V142" s="239" t="str">
        <f>IF(U142="","",IF($I$8="A",(RANK(U142,U$11:U$363)+COUNTIF(U$11:U142,U142)-1),(RANK(U142,U$11:U$363,1)+COUNTIF(U$11:U142,U142)-1)))</f>
        <v/>
      </c>
      <c r="W142" s="240"/>
      <c r="X142" s="61" t="str">
        <f>IF(L142="","",VLOOKUP($L142,classifications!$C:$J,6,FALSE))</f>
        <v>Significant Rural</v>
      </c>
      <c r="Y142" s="49" t="str">
        <f t="shared" si="60"/>
        <v/>
      </c>
      <c r="Z142" s="57" t="str">
        <f>IF(Y142="","",IF(I$8="A",(RANK(Y142,Y$11:Y$363,1)+COUNTIF(Y$11:Y142,Y142)-1),(RANK(Y142,Y$11:Y$363)+COUNTIF(Y$11:Y142,Y142)-1)))</f>
        <v/>
      </c>
      <c r="AA142" s="245" t="str">
        <f>IF(L142="","",VLOOKUP($L142,classifications!C:I,7,FALSE))</f>
        <v>Significant Rural</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Derbyshire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Midlands</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0.49153042554447263</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0.36012484643338183</v>
      </c>
      <c r="G143" s="105"/>
      <c r="H143" s="60">
        <f t="shared" si="52"/>
        <v>0.36012484643338183</v>
      </c>
      <c r="I143" s="112">
        <f>IF(H143="","",IF($I$8="A",(RANK(H143,H$11:H$363,1)+COUNTIF(H$11:H143,H143)-1),(RANK(H143,H$11:H$363)+COUNTIF(H$11:H143,H143)-1)))</f>
        <v>152</v>
      </c>
      <c r="J143" s="58"/>
      <c r="K143" s="51">
        <f t="shared" si="66"/>
        <v>133</v>
      </c>
      <c r="L143" s="59" t="str">
        <f t="shared" si="53"/>
        <v>Broxtowe</v>
      </c>
      <c r="M143" s="153">
        <f t="shared" si="57"/>
        <v>0.40171216925992442</v>
      </c>
      <c r="N143" s="148">
        <f t="shared" si="58"/>
        <v>40.171216925992439</v>
      </c>
      <c r="O143" s="131" t="str">
        <f t="shared" si="54"/>
        <v/>
      </c>
      <c r="P143" s="131" t="str">
        <f t="shared" si="67"/>
        <v/>
      </c>
      <c r="Q143" s="131">
        <f t="shared" si="68"/>
        <v>40.171216925992439</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Large Urban</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Nottinghamshire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East Midlands</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0.36012484643338183</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0.39841795778467448</v>
      </c>
      <c r="G144" s="105"/>
      <c r="H144" s="60" t="str">
        <f t="shared" si="52"/>
        <v/>
      </c>
      <c r="I144" s="112" t="str">
        <f>IF(H144="","",IF($I$8="A",(RANK(H144,H$11:H$363,1)+COUNTIF(H$11:H144,H144)-1),(RANK(H144,H$11:H$363)+COUNTIF(H$11:H144,H144)-1)))</f>
        <v/>
      </c>
      <c r="J144" s="58"/>
      <c r="K144" s="51">
        <f t="shared" si="66"/>
        <v>134</v>
      </c>
      <c r="L144" s="59" t="str">
        <f t="shared" si="53"/>
        <v>Bromsgrove</v>
      </c>
      <c r="M144" s="153">
        <f t="shared" si="57"/>
        <v>0.40161789191197561</v>
      </c>
      <c r="N144" s="148">
        <f t="shared" si="58"/>
        <v>40.161789191197563</v>
      </c>
      <c r="O144" s="131" t="str">
        <f t="shared" si="54"/>
        <v/>
      </c>
      <c r="P144" s="131" t="str">
        <f t="shared" si="67"/>
        <v/>
      </c>
      <c r="Q144" s="131">
        <f t="shared" si="68"/>
        <v>40.161789191197563</v>
      </c>
      <c r="R144" s="127" t="str">
        <f t="shared" si="69"/>
        <v/>
      </c>
      <c r="S144" s="60" t="str">
        <f t="shared" si="59"/>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Significant Rural</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Worcestershire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West Midlands</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0.39841795778467448</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0.27135435048332696</v>
      </c>
      <c r="G145" s="105"/>
      <c r="H145" s="60">
        <f t="shared" si="52"/>
        <v>0.27135435048332696</v>
      </c>
      <c r="I145" s="112">
        <f>IF(H145="","",IF($I$8="A",(RANK(H145,H$11:H$363,1)+COUNTIF(H$11:H145,H145)-1),(RANK(H145,H$11:H$363)+COUNTIF(H$11:H145,H145)-1)))</f>
        <v>183</v>
      </c>
      <c r="J145" s="58"/>
      <c r="K145" s="51">
        <f t="shared" si="66"/>
        <v>135</v>
      </c>
      <c r="L145" s="59" t="str">
        <f t="shared" si="53"/>
        <v>North Norfolk</v>
      </c>
      <c r="M145" s="153">
        <f t="shared" si="57"/>
        <v>0.40112684778012447</v>
      </c>
      <c r="N145" s="148">
        <f t="shared" si="58"/>
        <v>40.112684778012451</v>
      </c>
      <c r="O145" s="131" t="str">
        <f t="shared" si="54"/>
        <v/>
      </c>
      <c r="P145" s="131" t="str">
        <f t="shared" si="67"/>
        <v/>
      </c>
      <c r="Q145" s="131">
        <f t="shared" si="68"/>
        <v>40.112684778012451</v>
      </c>
      <c r="R145" s="127" t="str">
        <f t="shared" si="69"/>
        <v/>
      </c>
      <c r="S145" s="60" t="str">
        <f t="shared" si="59"/>
        <v/>
      </c>
      <c r="T145" s="231" t="str">
        <f>IF(L145="","",VLOOKUP(L145,classifications!C:K,9,FALSE))</f>
        <v>Sparse</v>
      </c>
      <c r="U145" s="238">
        <f t="shared" si="55"/>
        <v>0.40112684778012447</v>
      </c>
      <c r="V145" s="239">
        <f>IF(U145="","",IF($I$8="A",(RANK(U145,U$11:U$363)+COUNTIF(U$11:U145,U145)-1),(RANK(U145,U$11:U$363,1)+COUNTIF(U$11:U145,U145)-1)))</f>
        <v>18</v>
      </c>
      <c r="W145" s="240"/>
      <c r="X145" s="61" t="str">
        <f>IF(L145="","",VLOOKUP($L145,classifications!$C:$J,6,FALSE))</f>
        <v>Rural-80</v>
      </c>
      <c r="Y145" s="49">
        <f t="shared" si="60"/>
        <v>0.40112684778012447</v>
      </c>
      <c r="Z145" s="57">
        <f>IF(Y145="","",IF(I$8="A",(RANK(Y145,Y$11:Y$363,1)+COUNTIF(Y$11:Y145,Y145)-1),(RANK(Y145,Y$11:Y$363)+COUNTIF(Y$11:Y145,Y145)-1)))</f>
        <v>40</v>
      </c>
      <c r="AA145" s="245" t="str">
        <f>IF(L145="","",VLOOKUP($L145,classifications!C:I,7,FALSE))</f>
        <v>Predominantly Rural</v>
      </c>
      <c r="AB145" s="239">
        <f t="shared" si="61"/>
        <v>0.40112684778012447</v>
      </c>
      <c r="AC145" s="239">
        <f>IF(AB145="","",IF($I$8="A",(RANK(AB145,AB$11:AB$363)+COUNTIF(AB$11:AB145,AB145)-1),(RANK(AB145,AB$11:AB$363,1)+COUNTIF(AB$11:AB145,AB145)-1)))</f>
        <v>11</v>
      </c>
      <c r="AD145" s="239"/>
      <c r="AE145" s="51" t="str">
        <f t="shared" si="50"/>
        <v/>
      </c>
      <c r="AG145" s="143"/>
      <c r="AH145" s="52"/>
      <c r="AI145" s="61" t="str">
        <f>IF(L145="","",VLOOKUP($L145,classifications!$C:$J,8,FALSE))</f>
        <v>Norfolk</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East of England</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0.27135435048332696</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0.29248710649516757</v>
      </c>
      <c r="G146" s="105"/>
      <c r="H146" s="60">
        <f t="shared" si="52"/>
        <v>0.29248710649516757</v>
      </c>
      <c r="I146" s="112">
        <f>IF(H146="","",IF($I$8="A",(RANK(H146,H$11:H$363,1)+COUNTIF(H$11:H146,H146)-1),(RANK(H146,H$11:H$363)+COUNTIF(H$11:H146,H146)-1)))</f>
        <v>180</v>
      </c>
      <c r="J146" s="58"/>
      <c r="K146" s="51">
        <f t="shared" si="66"/>
        <v>136</v>
      </c>
      <c r="L146" s="59" t="str">
        <f t="shared" si="53"/>
        <v>North Warwickshire</v>
      </c>
      <c r="M146" s="153">
        <f t="shared" si="57"/>
        <v>0.39775841243157428</v>
      </c>
      <c r="N146" s="148">
        <f t="shared" si="58"/>
        <v>39.77584124315743</v>
      </c>
      <c r="O146" s="131" t="str">
        <f t="shared" si="54"/>
        <v/>
      </c>
      <c r="P146" s="131" t="str">
        <f t="shared" si="67"/>
        <v/>
      </c>
      <c r="Q146" s="131">
        <f t="shared" si="68"/>
        <v>39.77584124315743</v>
      </c>
      <c r="R146" s="127" t="str">
        <f t="shared" si="69"/>
        <v/>
      </c>
      <c r="S146" s="60" t="str">
        <f t="shared" si="59"/>
        <v/>
      </c>
      <c r="T146" s="231" t="str">
        <f>IF(L146="","",VLOOKUP(L146,classifications!C:K,9,FALSE))</f>
        <v>Sparse</v>
      </c>
      <c r="U146" s="238">
        <f t="shared" si="55"/>
        <v>0.39775841243157428</v>
      </c>
      <c r="V146" s="239">
        <f>IF(U146="","",IF($I$8="A",(RANK(U146,U$11:U$363)+COUNTIF(U$11:U146,U146)-1),(RANK(U146,U$11:U$363,1)+COUNTIF(U$11:U146,U146)-1)))</f>
        <v>17</v>
      </c>
      <c r="W146" s="240"/>
      <c r="X146" s="61" t="str">
        <f>IF(L146="","",VLOOKUP($L146,classifications!$C:$J,6,FALSE))</f>
        <v>Rural-50</v>
      </c>
      <c r="Y146" s="49" t="str">
        <f t="shared" si="60"/>
        <v/>
      </c>
      <c r="Z146" s="57" t="str">
        <f>IF(Y146="","",IF(I$8="A",(RANK(Y146,Y$11:Y$363,1)+COUNTIF(Y$11:Y146,Y146)-1),(RANK(Y146,Y$11:Y$363)+COUNTIF(Y$11:Y146,Y146)-1)))</f>
        <v/>
      </c>
      <c r="AA146" s="245" t="str">
        <f>IF(L146="","",VLOOKUP($L146,classifications!C:I,7,FALSE))</f>
        <v>Significant Rural</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Warwickshire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West Midlands</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0.29248710649516757</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0.31513800183226925</v>
      </c>
      <c r="G147" s="105"/>
      <c r="H147" s="60" t="str">
        <f t="shared" si="52"/>
        <v/>
      </c>
      <c r="I147" s="112" t="str">
        <f>IF(H147="","",IF($I$8="A",(RANK(H147,H$11:H$363,1)+COUNTIF(H$11:H147,H147)-1),(RANK(H147,H$11:H$363)+COUNTIF(H$11:H147,H147)-1)))</f>
        <v/>
      </c>
      <c r="J147" s="58"/>
      <c r="K147" s="51">
        <f t="shared" si="66"/>
        <v>137</v>
      </c>
      <c r="L147" s="59" t="str">
        <f t="shared" si="53"/>
        <v>Chichester</v>
      </c>
      <c r="M147" s="153">
        <f t="shared" si="57"/>
        <v>0.3949585857292045</v>
      </c>
      <c r="N147" s="148">
        <f t="shared" si="58"/>
        <v>39.495858572920447</v>
      </c>
      <c r="O147" s="131" t="str">
        <f t="shared" si="54"/>
        <v/>
      </c>
      <c r="P147" s="131" t="str">
        <f t="shared" si="67"/>
        <v/>
      </c>
      <c r="Q147" s="131">
        <f t="shared" si="68"/>
        <v>39.495858572920447</v>
      </c>
      <c r="R147" s="127" t="str">
        <f t="shared" si="69"/>
        <v/>
      </c>
      <c r="S147" s="60" t="str">
        <f t="shared" si="59"/>
        <v/>
      </c>
      <c r="T147" s="231" t="str">
        <f>IF(L147="","",VLOOKUP(L147,classifications!C:K,9,FALSE))</f>
        <v>Sparse</v>
      </c>
      <c r="U147" s="238">
        <f t="shared" si="55"/>
        <v>0.3949585857292045</v>
      </c>
      <c r="V147" s="239">
        <f>IF(U147="","",IF($I$8="A",(RANK(U147,U$11:U$363)+COUNTIF(U$11:U147,U147)-1),(RANK(U147,U$11:U$363,1)+COUNTIF(U$11:U147,U147)-1)))</f>
        <v>16</v>
      </c>
      <c r="W147" s="240"/>
      <c r="X147" s="61" t="str">
        <f>IF(L147="","",VLOOKUP($L147,classifications!$C:$J,6,FALSE))</f>
        <v>Rural-80</v>
      </c>
      <c r="Y147" s="49">
        <f t="shared" si="60"/>
        <v>0.3949585857292045</v>
      </c>
      <c r="Z147" s="57">
        <f>IF(Y147="","",IF(I$8="A",(RANK(Y147,Y$11:Y$363,1)+COUNTIF(Y$11:Y147,Y147)-1),(RANK(Y147,Y$11:Y$363)+COUNTIF(Y$11:Y147,Y147)-1)))</f>
        <v>41</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West Sussex</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South East</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0.31513800183226925</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0.38605789907962629</v>
      </c>
      <c r="G148" s="105"/>
      <c r="H148" s="60" t="str">
        <f t="shared" si="52"/>
        <v/>
      </c>
      <c r="I148" s="112" t="str">
        <f>IF(H148="","",IF($I$8="A",(RANK(H148,H$11:H$363,1)+COUNTIF(H$11:H148,H148)-1),(RANK(H148,H$11:H$363)+COUNTIF(H$11:H148,H148)-1)))</f>
        <v/>
      </c>
      <c r="J148" s="58"/>
      <c r="K148" s="51">
        <f t="shared" si="66"/>
        <v>138</v>
      </c>
      <c r="L148" s="59" t="str">
        <f t="shared" si="53"/>
        <v>Erewash</v>
      </c>
      <c r="M148" s="153">
        <f t="shared" si="57"/>
        <v>0.39437000225337338</v>
      </c>
      <c r="N148" s="148">
        <f t="shared" si="58"/>
        <v>39.437000225337336</v>
      </c>
      <c r="O148" s="131" t="str">
        <f t="shared" si="54"/>
        <v/>
      </c>
      <c r="P148" s="131" t="str">
        <f t="shared" si="67"/>
        <v/>
      </c>
      <c r="Q148" s="131">
        <f t="shared" si="68"/>
        <v>39.437000225337336</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Large Urban</v>
      </c>
      <c r="Y148" s="49" t="str">
        <f t="shared" si="60"/>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Derbyshire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East Midlands</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0.38605789907962629</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South Norfolk</v>
      </c>
      <c r="M149" s="153">
        <f t="shared" si="57"/>
        <v>0.39219452555215784</v>
      </c>
      <c r="N149" s="148">
        <f t="shared" si="58"/>
        <v>39.219452555215781</v>
      </c>
      <c r="O149" s="131" t="str">
        <f t="shared" si="54"/>
        <v/>
      </c>
      <c r="P149" s="131" t="str">
        <f t="shared" si="67"/>
        <v/>
      </c>
      <c r="Q149" s="131">
        <f t="shared" si="68"/>
        <v>39.219452555215781</v>
      </c>
      <c r="R149" s="127" t="str">
        <f t="shared" si="69"/>
        <v/>
      </c>
      <c r="S149" s="60" t="str">
        <f t="shared" si="59"/>
        <v/>
      </c>
      <c r="T149" s="231" t="str">
        <f>IF(L149="","",VLOOKUP(L149,classifications!C:K,9,FALSE))</f>
        <v>Sparse</v>
      </c>
      <c r="U149" s="238">
        <f t="shared" si="55"/>
        <v>0.39219452555215784</v>
      </c>
      <c r="V149" s="239">
        <f>IF(U149="","",IF($I$8="A",(RANK(U149,U$11:U$363)+COUNTIF(U$11:U149,U149)-1),(RANK(U149,U$11:U$363,1)+COUNTIF(U$11:U149,U149)-1)))</f>
        <v>15</v>
      </c>
      <c r="W149" s="240"/>
      <c r="X149" s="61" t="str">
        <f>IF(L149="","",VLOOKUP($L149,classifications!$C:$J,6,FALSE))</f>
        <v>Rural-80</v>
      </c>
      <c r="Y149" s="49">
        <f t="shared" si="60"/>
        <v>0.39219452555215784</v>
      </c>
      <c r="Z149" s="57">
        <f>IF(Y149="","",IF(I$8="A",(RANK(Y149,Y$11:Y$363,1)+COUNTIF(Y$11:Y149,Y149)-1),(RANK(Y149,Y$11:Y$363)+COUNTIF(Y$11:Y149,Y149)-1)))</f>
        <v>42</v>
      </c>
      <c r="AA149" s="245" t="str">
        <f>IF(L149="","",VLOOKUP($L149,classifications!C:I,7,FALSE))</f>
        <v>Predominantly Rural</v>
      </c>
      <c r="AB149" s="239">
        <f t="shared" si="61"/>
        <v>0.39219452555215784</v>
      </c>
      <c r="AC149" s="239">
        <f>IF(AB149="","",IF($I$8="A",(RANK(AB149,AB$11:AB$363)+COUNTIF(AB$11:AB149,AB149)-1),(RANK(AB149,AB$11:AB$363,1)+COUNTIF(AB$11:AB149,AB149)-1)))</f>
        <v>10</v>
      </c>
      <c r="AD149" s="239"/>
      <c r="AE149" s="51" t="str">
        <f t="shared" si="50"/>
        <v/>
      </c>
      <c r="AG149" s="143"/>
      <c r="AH149" s="52"/>
      <c r="AI149" s="61" t="str">
        <f>IF(L149="","",VLOOKUP($L149,classifications!$C:$J,8,FALSE))</f>
        <v>Norfolk</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East of England</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0.43164021039382855</v>
      </c>
      <c r="G150" s="105"/>
      <c r="H150" s="60">
        <f t="shared" si="52"/>
        <v>0.43164021039382855</v>
      </c>
      <c r="I150" s="112">
        <f>IF(H150="","",IF($I$8="A",(RANK(H150,H$11:H$363,1)+COUNTIF(H$11:H150,H150)-1),(RANK(H150,H$11:H$363)+COUNTIF(H$11:H150,H150)-1)))</f>
        <v>110</v>
      </c>
      <c r="J150" s="58"/>
      <c r="K150" s="51">
        <f t="shared" si="66"/>
        <v>140</v>
      </c>
      <c r="L150" s="59" t="str">
        <f t="shared" si="53"/>
        <v>Eastleigh</v>
      </c>
      <c r="M150" s="153">
        <f t="shared" si="57"/>
        <v>0.39123764691148011</v>
      </c>
      <c r="N150" s="148">
        <f t="shared" si="58"/>
        <v>39.123764691148011</v>
      </c>
      <c r="O150" s="131" t="str">
        <f t="shared" si="54"/>
        <v/>
      </c>
      <c r="P150" s="131" t="str">
        <f t="shared" si="67"/>
        <v/>
      </c>
      <c r="Q150" s="131">
        <f t="shared" si="68"/>
        <v>39.123764691148011</v>
      </c>
      <c r="R150" s="127" t="str">
        <f t="shared" si="69"/>
        <v/>
      </c>
      <c r="S150" s="60" t="str">
        <f t="shared" si="59"/>
        <v/>
      </c>
      <c r="T150" s="231">
        <f>IF(L150="","",VLOOKUP(L150,classifications!C:K,9,FALSE))</f>
        <v>0</v>
      </c>
      <c r="U150" s="238" t="str">
        <f t="shared" si="55"/>
        <v/>
      </c>
      <c r="V150" s="239" t="str">
        <f>IF(U150="","",IF($I$8="A",(RANK(U150,U$11:U$363)+COUNTIF(U$11:U150,U150)-1),(RANK(U150,U$11:U$363,1)+COUNTIF(U$11:U150,U150)-1)))</f>
        <v/>
      </c>
      <c r="W150" s="240"/>
      <c r="X150" s="61" t="str">
        <f>IF(L150="","",VLOOKUP($L150,classifications!$C:$J,6,FALSE))</f>
        <v>Significant Rural</v>
      </c>
      <c r="Y150" s="49" t="str">
        <f t="shared" si="60"/>
        <v/>
      </c>
      <c r="Z150" s="57" t="str">
        <f>IF(Y150="","",IF(I$8="A",(RANK(Y150,Y$11:Y$363,1)+COUNTIF(Y$11:Y150,Y150)-1),(RANK(Y150,Y$11:Y$363)+COUNTIF(Y$11:Y150,Y150)-1)))</f>
        <v/>
      </c>
      <c r="AA150" s="245" t="str">
        <f>IF(L150="","",VLOOKUP($L150,classifications!C:I,7,FALSE))</f>
        <v>Significant Rural</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Hampshire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South East</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0.43164021039382855</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0.44341138855228052</v>
      </c>
      <c r="G151" s="105"/>
      <c r="H151" s="60">
        <f t="shared" si="52"/>
        <v>0.44341138855228052</v>
      </c>
      <c r="I151" s="112">
        <f>IF(H151="","",IF($I$8="A",(RANK(H151,H$11:H$363,1)+COUNTIF(H$11:H151,H151)-1),(RANK(H151,H$11:H$363)+COUNTIF(H$11:H151,H151)-1)))</f>
        <v>98</v>
      </c>
      <c r="J151" s="58"/>
      <c r="K151" s="51">
        <f t="shared" si="66"/>
        <v>141</v>
      </c>
      <c r="L151" s="59" t="str">
        <f t="shared" si="53"/>
        <v>Scarborough</v>
      </c>
      <c r="M151" s="153">
        <f t="shared" si="57"/>
        <v>0.38789029949449766</v>
      </c>
      <c r="N151" s="148">
        <f t="shared" si="58"/>
        <v>38.789029949449763</v>
      </c>
      <c r="O151" s="131" t="str">
        <f t="shared" si="54"/>
        <v/>
      </c>
      <c r="P151" s="131" t="str">
        <f t="shared" si="67"/>
        <v/>
      </c>
      <c r="Q151" s="131">
        <f t="shared" si="68"/>
        <v>38.789029949449763</v>
      </c>
      <c r="R151" s="127" t="str">
        <f t="shared" si="69"/>
        <v/>
      </c>
      <c r="S151" s="60" t="str">
        <f t="shared" si="59"/>
        <v/>
      </c>
      <c r="T151" s="231" t="str">
        <f>IF(L151="","",VLOOKUP(L151,classifications!C:K,9,FALSE))</f>
        <v>Sparse</v>
      </c>
      <c r="U151" s="238">
        <f t="shared" si="55"/>
        <v>0.38789029949449766</v>
      </c>
      <c r="V151" s="239">
        <f>IF(U151="","",IF($I$8="A",(RANK(U151,U$11:U$363)+COUNTIF(U$11:U151,U151)-1),(RANK(U151,U$11:U$363,1)+COUNTIF(U$11:U151,U151)-1)))</f>
        <v>14</v>
      </c>
      <c r="W151" s="240"/>
      <c r="X151" s="61" t="str">
        <f>IF(L151="","",VLOOKUP($L151,classifications!$C:$J,6,FALSE))</f>
        <v>Significant Rural</v>
      </c>
      <c r="Y151" s="49" t="str">
        <f t="shared" si="60"/>
        <v/>
      </c>
      <c r="Z151" s="57" t="str">
        <f>IF(Y151="","",IF(I$8="A",(RANK(Y151,Y$11:Y$363,1)+COUNTIF(Y$11:Y151,Y151)-1),(RANK(Y151,Y$11:Y$363)+COUNTIF(Y$11:Y151,Y151)-1)))</f>
        <v/>
      </c>
      <c r="AA151" s="245" t="str">
        <f>IF(L151="","",VLOOKUP($L151,classifications!C:I,7,FALSE))</f>
        <v>Predominantly Rural</v>
      </c>
      <c r="AB151" s="239">
        <f t="shared" si="61"/>
        <v>0.38789029949449766</v>
      </c>
      <c r="AC151" s="239">
        <f>IF(AB151="","",IF($I$8="A",(RANK(AB151,AB$11:AB$363)+COUNTIF(AB$11:AB151,AB151)-1),(RANK(AB151,AB$11:AB$363,1)+COUNTIF(AB$11:AB151,AB151)-1)))</f>
        <v>9</v>
      </c>
      <c r="AD151" s="239"/>
      <c r="AE151" s="51" t="str">
        <f t="shared" si="50"/>
        <v/>
      </c>
      <c r="AG151" s="143"/>
      <c r="AH151" s="52"/>
      <c r="AI151" s="61" t="str">
        <f>IF(L151="","",VLOOKUP($L151,classifications!$C:$J,8,FALSE))</f>
        <v>North Yorkshire</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Yorkshire &amp; Humberside</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0.44341138855228052</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0.43148652676485477</v>
      </c>
      <c r="G152" s="105"/>
      <c r="H152" s="60" t="str">
        <f t="shared" si="52"/>
        <v/>
      </c>
      <c r="I152" s="112" t="str">
        <f>IF(H152="","",IF($I$8="A",(RANK(H152,H$11:H$363,1)+COUNTIF(H$11:H152,H152)-1),(RANK(H152,H$11:H$363)+COUNTIF(H$11:H152,H152)-1)))</f>
        <v/>
      </c>
      <c r="J152" s="58"/>
      <c r="K152" s="51">
        <f t="shared" si="66"/>
        <v>142</v>
      </c>
      <c r="L152" s="59" t="str">
        <f t="shared" si="53"/>
        <v>Mansfield</v>
      </c>
      <c r="M152" s="153">
        <f t="shared" si="57"/>
        <v>0.38117693561316623</v>
      </c>
      <c r="N152" s="148">
        <f t="shared" si="58"/>
        <v>38.117693561316621</v>
      </c>
      <c r="O152" s="131" t="str">
        <f t="shared" si="54"/>
        <v/>
      </c>
      <c r="P152" s="131" t="str">
        <f t="shared" si="67"/>
        <v/>
      </c>
      <c r="Q152" s="131">
        <f t="shared" si="68"/>
        <v>38.117693561316621</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Other Urban</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Nottinghamshire</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East Midlands</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0.43148652676485477</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0.56075014517177901</v>
      </c>
      <c r="G153" s="105"/>
      <c r="H153" s="60">
        <f t="shared" si="52"/>
        <v>0.56075014517177901</v>
      </c>
      <c r="I153" s="112">
        <f>IF(H153="","",IF($I$8="A",(RANK(H153,H$11:H$363,1)+COUNTIF(H$11:H153,H153)-1),(RANK(H153,H$11:H$363)+COUNTIF(H$11:H153,H153)-1)))</f>
        <v>18</v>
      </c>
      <c r="J153" s="58"/>
      <c r="K153" s="51">
        <f t="shared" si="66"/>
        <v>143</v>
      </c>
      <c r="L153" s="59" t="str">
        <f t="shared" si="53"/>
        <v>Preston</v>
      </c>
      <c r="M153" s="153">
        <f t="shared" si="57"/>
        <v>0.38072153436461303</v>
      </c>
      <c r="N153" s="148">
        <f t="shared" si="58"/>
        <v>38.072153436461306</v>
      </c>
      <c r="O153" s="131" t="str">
        <f t="shared" si="54"/>
        <v/>
      </c>
      <c r="P153" s="131" t="str">
        <f t="shared" si="67"/>
        <v/>
      </c>
      <c r="Q153" s="131">
        <f t="shared" si="68"/>
        <v>38.072153436461306</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Large Urban</v>
      </c>
      <c r="Y153" s="49" t="str">
        <f t="shared" si="60"/>
        <v/>
      </c>
      <c r="Z153" s="57" t="str">
        <f>IF(Y153="","",IF(I$8="A",(RANK(Y153,Y$11:Y$363,1)+COUNTIF(Y$11:Y153,Y153)-1),(RANK(Y153,Y$11:Y$363)+COUNTIF(Y$11:Y153,Y153)-1)))</f>
        <v/>
      </c>
      <c r="AA153" s="245" t="str">
        <f>IF(L153="","",VLOOKUP($L153,classifications!C:I,7,FALSE))</f>
        <v>Significant Rural</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Lancashire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North West</v>
      </c>
      <c r="AQ153" s="62">
        <f t="shared" si="63"/>
        <v>0.38072153436461303</v>
      </c>
      <c r="AR153" s="57">
        <f>IF(AQ153="","",IF(I$8="A",(RANK(AQ153,AQ$11:AQ$363,1)+COUNTIF(AQ$11:AQ153,AQ153)-1),(RANK(AQ153,AQ$11:AQ$363)+COUNTIF(AQ$11:AQ153,AQ153)-1)))</f>
        <v>10</v>
      </c>
      <c r="AS153" s="52" t="str">
        <f t="shared" si="64"/>
        <v/>
      </c>
      <c r="AT153" s="57" t="str">
        <f t="shared" si="65"/>
        <v/>
      </c>
      <c r="AU153" s="62" t="str">
        <f t="shared" si="71"/>
        <v/>
      </c>
      <c r="AX153" s="44">
        <f>HLOOKUP($AX$9&amp;$AX$10,Data!$A$1:$ZZ$2000,(MATCH($C153,Data!$A$1:$A$2000,0)),FALSE)</f>
        <v>0.56075014517177901</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0.45170180450046116</v>
      </c>
      <c r="G154" s="105"/>
      <c r="H154" s="60">
        <f t="shared" si="52"/>
        <v>0.45170180450046116</v>
      </c>
      <c r="I154" s="112">
        <f>IF(H154="","",IF($I$8="A",(RANK(H154,H$11:H$363,1)+COUNTIF(H$11:H154,H154)-1),(RANK(H154,H$11:H$363)+COUNTIF(H$11:H154,H154)-1)))</f>
        <v>90</v>
      </c>
      <c r="J154" s="58"/>
      <c r="K154" s="51">
        <f t="shared" si="66"/>
        <v>144</v>
      </c>
      <c r="L154" s="59" t="str">
        <f t="shared" si="53"/>
        <v>Allerdale</v>
      </c>
      <c r="M154" s="153">
        <f t="shared" si="57"/>
        <v>0.38071334707896576</v>
      </c>
      <c r="N154" s="148">
        <f t="shared" si="58"/>
        <v>38.071334707896575</v>
      </c>
      <c r="O154" s="131" t="str">
        <f t="shared" si="54"/>
        <v/>
      </c>
      <c r="P154" s="131" t="str">
        <f t="shared" si="67"/>
        <v/>
      </c>
      <c r="Q154" s="131">
        <f t="shared" si="68"/>
        <v>38.071334707896575</v>
      </c>
      <c r="R154" s="127" t="str">
        <f t="shared" si="69"/>
        <v/>
      </c>
      <c r="S154" s="60" t="str">
        <f t="shared" si="59"/>
        <v>u</v>
      </c>
      <c r="T154" s="231" t="str">
        <f>IF(L154="","",VLOOKUP(L154,classifications!C:K,9,FALSE))</f>
        <v>Sparse</v>
      </c>
      <c r="U154" s="238">
        <f t="shared" si="55"/>
        <v>0.38071334707896576</v>
      </c>
      <c r="V154" s="239">
        <f>IF(U154="","",IF($I$8="A",(RANK(U154,U$11:U$363)+COUNTIF(U$11:U154,U154)-1),(RANK(U154,U$11:U$363,1)+COUNTIF(U$11:U154,U154)-1)))</f>
        <v>13</v>
      </c>
      <c r="W154" s="240"/>
      <c r="X154" s="61" t="str">
        <f>IF(L154="","",VLOOKUP($L154,classifications!$C:$J,6,FALSE))</f>
        <v>Rural-80</v>
      </c>
      <c r="Y154" s="49">
        <f t="shared" si="60"/>
        <v>0.38071334707896576</v>
      </c>
      <c r="Z154" s="57">
        <f>IF(Y154="","",IF(I$8="A",(RANK(Y154,Y$11:Y$363,1)+COUNTIF(Y$11:Y154,Y154)-1),(RANK(Y154,Y$11:Y$363)+COUNTIF(Y$11:Y154,Y154)-1)))</f>
        <v>43</v>
      </c>
      <c r="AA154" s="245" t="str">
        <f>IF(L154="","",VLOOKUP($L154,classifications!C:I,7,FALSE))</f>
        <v>Predominantly Rural</v>
      </c>
      <c r="AB154" s="239">
        <f t="shared" si="61"/>
        <v>0.38071334707896576</v>
      </c>
      <c r="AC154" s="239">
        <f>IF(AB154="","",IF($I$8="A",(RANK(AB154,AB$11:AB$363)+COUNTIF(AB$11:AB154,AB154)-1),(RANK(AB154,AB$11:AB$363,1)+COUNTIF(AB$11:AB154,AB154)-1)))</f>
        <v>8</v>
      </c>
      <c r="AD154" s="239"/>
      <c r="AE154" s="51" t="str">
        <f t="shared" si="50"/>
        <v/>
      </c>
      <c r="AG154" s="143"/>
      <c r="AH154" s="52"/>
      <c r="AI154" s="61" t="str">
        <f>IF(L154="","",VLOOKUP($L154,classifications!$C:$J,8,FALSE))</f>
        <v>Cumbria</v>
      </c>
      <c r="AJ154" s="62">
        <f t="shared" si="56"/>
        <v>0.38071334707896576</v>
      </c>
      <c r="AK154" s="57">
        <f>IF(AJ154="","",IF(I$8="A",(RANK(AJ154,AJ$11:AJ$363,1)+COUNTIF(AJ$11:AJ154,AJ154)-1),(RANK(AJ154,AJ$11:AJ$363)+COUNTIF(AJ$11:AJ154,AJ154)-1)))</f>
        <v>4</v>
      </c>
      <c r="AL154" s="52" t="str">
        <f t="shared" si="70"/>
        <v/>
      </c>
      <c r="AM154" s="31" t="str">
        <f t="shared" si="72"/>
        <v/>
      </c>
      <c r="AN154" s="31" t="str">
        <f t="shared" si="62"/>
        <v/>
      </c>
      <c r="AP154" s="61" t="str">
        <f>IF(L154="","",VLOOKUP($L154,classifications!$C:$E,3,FALSE))</f>
        <v>North West</v>
      </c>
      <c r="AQ154" s="62">
        <f t="shared" si="63"/>
        <v>0.38071334707896576</v>
      </c>
      <c r="AR154" s="57">
        <f>IF(AQ154="","",IF(I$8="A",(RANK(AQ154,AQ$11:AQ$363,1)+COUNTIF(AQ$11:AQ154,AQ154)-1),(RANK(AQ154,AQ$11:AQ$363)+COUNTIF(AQ$11:AQ154,AQ154)-1)))</f>
        <v>11</v>
      </c>
      <c r="AS154" s="52" t="str">
        <f t="shared" si="64"/>
        <v/>
      </c>
      <c r="AT154" s="57" t="str">
        <f t="shared" si="65"/>
        <v/>
      </c>
      <c r="AU154" s="62" t="str">
        <f t="shared" si="71"/>
        <v/>
      </c>
      <c r="AX154" s="44">
        <f>HLOOKUP($AX$9&amp;$AX$10,Data!$A$1:$ZZ$2000,(MATCH($C154,Data!$A$1:$A$2000,0)),FALSE)</f>
        <v>0.45170180450046116</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0.35139358299912077</v>
      </c>
      <c r="G155" s="105"/>
      <c r="H155" s="60" t="str">
        <f t="shared" si="52"/>
        <v/>
      </c>
      <c r="I155" s="112" t="str">
        <f>IF(H155="","",IF($I$8="A",(RANK(H155,H$11:H$363,1)+COUNTIF(H$11:H155,H155)-1),(RANK(H155,H$11:H$363)+COUNTIF(H$11:H155,H155)-1)))</f>
        <v/>
      </c>
      <c r="J155" s="58"/>
      <c r="K155" s="51">
        <f t="shared" si="66"/>
        <v>145</v>
      </c>
      <c r="L155" s="59" t="str">
        <f t="shared" si="53"/>
        <v>Ribble Valley</v>
      </c>
      <c r="M155" s="153">
        <f t="shared" si="57"/>
        <v>0.37591371403777968</v>
      </c>
      <c r="N155" s="148">
        <f t="shared" si="58"/>
        <v>37.59137140377797</v>
      </c>
      <c r="O155" s="131" t="str">
        <f t="shared" si="54"/>
        <v/>
      </c>
      <c r="P155" s="131" t="str">
        <f t="shared" si="67"/>
        <v/>
      </c>
      <c r="Q155" s="131">
        <f t="shared" si="68"/>
        <v>37.59137140377797</v>
      </c>
      <c r="R155" s="127" t="str">
        <f t="shared" si="69"/>
        <v/>
      </c>
      <c r="S155" s="60" t="str">
        <f t="shared" si="59"/>
        <v/>
      </c>
      <c r="T155" s="231" t="str">
        <f>IF(L155="","",VLOOKUP(L155,classifications!C:K,9,FALSE))</f>
        <v>Sparse</v>
      </c>
      <c r="U155" s="238">
        <f t="shared" si="55"/>
        <v>0.37591371403777968</v>
      </c>
      <c r="V155" s="239">
        <f>IF(U155="","",IF($I$8="A",(RANK(U155,U$11:U$363)+COUNTIF(U$11:U155,U155)-1),(RANK(U155,U$11:U$363,1)+COUNTIF(U$11:U155,U155)-1)))</f>
        <v>12</v>
      </c>
      <c r="W155" s="240"/>
      <c r="X155" s="61" t="str">
        <f>IF(L155="","",VLOOKUP($L155,classifications!$C:$J,6,FALSE))</f>
        <v>Rural-80</v>
      </c>
      <c r="Y155" s="49">
        <f t="shared" si="60"/>
        <v>0.37591371403777968</v>
      </c>
      <c r="Z155" s="57">
        <f>IF(Y155="","",IF(I$8="A",(RANK(Y155,Y$11:Y$363,1)+COUNTIF(Y$11:Y155,Y155)-1),(RANK(Y155,Y$11:Y$363)+COUNTIF(Y$11:Y155,Y155)-1)))</f>
        <v>44</v>
      </c>
      <c r="AA155" s="245" t="str">
        <f>IF(L155="","",VLOOKUP($L155,classifications!C:I,7,FALSE))</f>
        <v>Significant Rural</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Lancashire</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North West</v>
      </c>
      <c r="AQ155" s="62">
        <f t="shared" si="63"/>
        <v>0.37591371403777968</v>
      </c>
      <c r="AR155" s="57">
        <f>IF(AQ155="","",IF(I$8="A",(RANK(AQ155,AQ$11:AQ$363,1)+COUNTIF(AQ$11:AQ155,AQ155)-1),(RANK(AQ155,AQ$11:AQ$363)+COUNTIF(AQ$11:AQ155,AQ155)-1)))</f>
        <v>12</v>
      </c>
      <c r="AS155" s="52" t="str">
        <f t="shared" si="64"/>
        <v/>
      </c>
      <c r="AT155" s="57" t="str">
        <f t="shared" si="65"/>
        <v/>
      </c>
      <c r="AU155" s="62" t="str">
        <f t="shared" si="71"/>
        <v/>
      </c>
      <c r="AX155" s="44">
        <f>HLOOKUP($AX$9&amp;$AX$10,Data!$A$1:$ZZ$2000,(MATCH($C155,Data!$A$1:$A$2000,0)),FALSE)</f>
        <v>0.35139358299912077</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0.57503504969993113</v>
      </c>
      <c r="G156" s="105"/>
      <c r="H156" s="60">
        <f t="shared" si="52"/>
        <v>0.57503504969993113</v>
      </c>
      <c r="I156" s="112">
        <f>IF(H156="","",IF($I$8="A",(RANK(H156,H$11:H$363,1)+COUNTIF(H$11:H156,H156)-1),(RANK(H156,H$11:H$363)+COUNTIF(H$11:H156,H156)-1)))</f>
        <v>11</v>
      </c>
      <c r="J156" s="58"/>
      <c r="K156" s="51">
        <f t="shared" si="66"/>
        <v>146</v>
      </c>
      <c r="L156" s="59" t="str">
        <f t="shared" si="53"/>
        <v>Stevenage</v>
      </c>
      <c r="M156" s="153">
        <f t="shared" si="57"/>
        <v>0.37395963161361473</v>
      </c>
      <c r="N156" s="148">
        <f t="shared" si="58"/>
        <v>37.395963161361472</v>
      </c>
      <c r="O156" s="131" t="str">
        <f t="shared" si="54"/>
        <v/>
      </c>
      <c r="P156" s="131" t="str">
        <f t="shared" si="67"/>
        <v/>
      </c>
      <c r="Q156" s="131" t="str">
        <f t="shared" si="68"/>
        <v/>
      </c>
      <c r="R156" s="127">
        <f t="shared" si="69"/>
        <v>37.395963161361472</v>
      </c>
      <c r="S156" s="60" t="str">
        <f t="shared" si="59"/>
        <v/>
      </c>
      <c r="T156" s="231">
        <f>IF(L156="","",VLOOKUP(L156,classifications!C:K,9,FALSE))</f>
        <v>0</v>
      </c>
      <c r="U156" s="238" t="str">
        <f t="shared" si="55"/>
        <v/>
      </c>
      <c r="V156" s="239" t="str">
        <f>IF(U156="","",IF($I$8="A",(RANK(U156,U$11:U$363)+COUNTIF(U$11:U156,U156)-1),(RANK(U156,U$11:U$363,1)+COUNTIF(U$11:U156,U156)-1)))</f>
        <v/>
      </c>
      <c r="W156" s="240"/>
      <c r="X156" s="61" t="str">
        <f>IF(L156="","",VLOOKUP($L156,classifications!$C:$J,6,FALSE))</f>
        <v>Other Urban</v>
      </c>
      <c r="Y156" s="49" t="str">
        <f t="shared" si="60"/>
        <v/>
      </c>
      <c r="Z156" s="57" t="str">
        <f>IF(Y156="","",IF(I$8="A",(RANK(Y156,Y$11:Y$363,1)+COUNTIF(Y$11:Y156,Y156)-1),(RANK(Y156,Y$11:Y$363)+COUNTIF(Y$11:Y156,Y156)-1)))</f>
        <v/>
      </c>
      <c r="AA156" s="245" t="str">
        <f>IF(L156="","",VLOOKUP($L156,classifications!C:I,7,FALSE))</f>
        <v>Predominantly Urban</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Hertfordshire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East of England</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0.57503504969993113</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0.34520584165036028</v>
      </c>
      <c r="G157" s="105"/>
      <c r="H157" s="60">
        <f t="shared" si="52"/>
        <v>0.34520584165036028</v>
      </c>
      <c r="I157" s="112">
        <f>IF(H157="","",IF($I$8="A",(RANK(H157,H$11:H$363,1)+COUNTIF(H$11:H157,H157)-1),(RANK(H157,H$11:H$363)+COUNTIF(H$11:H157,H157)-1)))</f>
        <v>159</v>
      </c>
      <c r="J157" s="58"/>
      <c r="K157" s="51">
        <f t="shared" si="66"/>
        <v>147</v>
      </c>
      <c r="L157" s="59" t="str">
        <f t="shared" si="53"/>
        <v>Gedling</v>
      </c>
      <c r="M157" s="153">
        <f t="shared" si="57"/>
        <v>0.36826829754807949</v>
      </c>
      <c r="N157" s="148">
        <f t="shared" si="58"/>
        <v>36.826829754807946</v>
      </c>
      <c r="O157" s="131" t="str">
        <f t="shared" si="54"/>
        <v/>
      </c>
      <c r="P157" s="131" t="str">
        <f t="shared" si="67"/>
        <v/>
      </c>
      <c r="Q157" s="131" t="str">
        <f t="shared" si="68"/>
        <v/>
      </c>
      <c r="R157" s="127">
        <f t="shared" si="69"/>
        <v>36.826829754807946</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Large Urban</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Nottinghamshire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East Midlands</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0.34520584165036028</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0.4128380431892778</v>
      </c>
      <c r="G158" s="105"/>
      <c r="H158" s="60">
        <f t="shared" si="52"/>
        <v>0.4128380431892778</v>
      </c>
      <c r="I158" s="112">
        <f>IF(H158="","",IF($I$8="A",(RANK(H158,H$11:H$363,1)+COUNTIF(H$11:H158,H158)-1),(RANK(H158,H$11:H$363)+COUNTIF(H$11:H158,H158)-1)))</f>
        <v>125</v>
      </c>
      <c r="J158" s="58"/>
      <c r="K158" s="51">
        <f t="shared" si="66"/>
        <v>148</v>
      </c>
      <c r="L158" s="59" t="str">
        <f t="shared" si="53"/>
        <v>Pendle</v>
      </c>
      <c r="M158" s="153">
        <f t="shared" si="57"/>
        <v>0.3672210810078298</v>
      </c>
      <c r="N158" s="148">
        <f t="shared" si="58"/>
        <v>36.722108100782982</v>
      </c>
      <c r="O158" s="131" t="str">
        <f t="shared" si="54"/>
        <v/>
      </c>
      <c r="P158" s="131" t="str">
        <f t="shared" si="67"/>
        <v/>
      </c>
      <c r="Q158" s="131" t="str">
        <f t="shared" si="68"/>
        <v/>
      </c>
      <c r="R158" s="127">
        <f t="shared" si="69"/>
        <v>36.722108100782982</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Other Urban</v>
      </c>
      <c r="Y158" s="49" t="str">
        <f t="shared" si="60"/>
        <v/>
      </c>
      <c r="Z158" s="57" t="str">
        <f>IF(Y158="","",IF(I$8="A",(RANK(Y158,Y$11:Y$363,1)+COUNTIF(Y$11:Y158,Y158)-1),(RANK(Y158,Y$11:Y$363)+COUNTIF(Y$11:Y158,Y158)-1)))</f>
        <v/>
      </c>
      <c r="AA158" s="245" t="str">
        <f>IF(L158="","",VLOOKUP($L158,classifications!C:I,7,FALSE))</f>
        <v>Significant Rural</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Lancashire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North West</v>
      </c>
      <c r="AQ158" s="62">
        <f t="shared" si="63"/>
        <v>0.3672210810078298</v>
      </c>
      <c r="AR158" s="57">
        <f>IF(AQ158="","",IF(I$8="A",(RANK(AQ158,AQ$11:AQ$363,1)+COUNTIF(AQ$11:AQ158,AQ158)-1),(RANK(AQ158,AQ$11:AQ$363)+COUNTIF(AQ$11:AQ158,AQ158)-1)))</f>
        <v>13</v>
      </c>
      <c r="AS158" s="52" t="str">
        <f t="shared" si="64"/>
        <v/>
      </c>
      <c r="AT158" s="57" t="str">
        <f t="shared" si="65"/>
        <v/>
      </c>
      <c r="AU158" s="62" t="str">
        <f t="shared" si="71"/>
        <v/>
      </c>
      <c r="AX158" s="44">
        <f>HLOOKUP($AX$9&amp;$AX$10,Data!$A$1:$ZZ$2000,(MATCH($C158,Data!$A$1:$A$2000,0)),FALSE)</f>
        <v>0.4128380431892778</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0.4801170534563054</v>
      </c>
      <c r="G159" s="105"/>
      <c r="H159" s="60" t="str">
        <f t="shared" si="52"/>
        <v/>
      </c>
      <c r="I159" s="112" t="str">
        <f>IF(H159="","",IF($I$8="A",(RANK(H159,H$11:H$363,1)+COUNTIF(H$11:H159,H159)-1),(RANK(H159,H$11:H$363)+COUNTIF(H$11:H159,H159)-1)))</f>
        <v/>
      </c>
      <c r="J159" s="58"/>
      <c r="K159" s="51">
        <f t="shared" si="66"/>
        <v>149</v>
      </c>
      <c r="L159" s="59" t="str">
        <f t="shared" si="53"/>
        <v>Arun</v>
      </c>
      <c r="M159" s="153">
        <f t="shared" si="57"/>
        <v>0.36411565335038421</v>
      </c>
      <c r="N159" s="148">
        <f t="shared" si="58"/>
        <v>36.411565335038418</v>
      </c>
      <c r="O159" s="131" t="str">
        <f t="shared" si="54"/>
        <v/>
      </c>
      <c r="P159" s="131" t="str">
        <f t="shared" si="67"/>
        <v/>
      </c>
      <c r="Q159" s="131" t="str">
        <f t="shared" si="68"/>
        <v/>
      </c>
      <c r="R159" s="127">
        <f t="shared" si="69"/>
        <v>36.411565335038418</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Large Urban</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West Sussex</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South East</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0.4801170534563054</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f t="shared" si="51"/>
        <v>0.19528909090458474</v>
      </c>
      <c r="G160" s="105"/>
      <c r="H160" s="60" t="str">
        <f t="shared" si="52"/>
        <v/>
      </c>
      <c r="I160" s="112" t="str">
        <f>IF(H160="","",IF($I$8="A",(RANK(H160,H$11:H$363,1)+COUNTIF(H$11:H160,H160)-1),(RANK(H160,H$11:H$363)+COUNTIF(H$11:H160,H160)-1)))</f>
        <v/>
      </c>
      <c r="J160" s="58"/>
      <c r="K160" s="51">
        <f t="shared" si="66"/>
        <v>150</v>
      </c>
      <c r="L160" s="59" t="str">
        <f t="shared" si="53"/>
        <v>Breckland</v>
      </c>
      <c r="M160" s="153">
        <f t="shared" si="57"/>
        <v>0.36184494336575396</v>
      </c>
      <c r="N160" s="148">
        <f t="shared" si="58"/>
        <v>36.184494336575398</v>
      </c>
      <c r="O160" s="131" t="str">
        <f t="shared" si="54"/>
        <v/>
      </c>
      <c r="P160" s="131" t="str">
        <f t="shared" si="67"/>
        <v/>
      </c>
      <c r="Q160" s="131" t="str">
        <f t="shared" si="68"/>
        <v/>
      </c>
      <c r="R160" s="127">
        <f t="shared" si="69"/>
        <v>36.184494336575398</v>
      </c>
      <c r="S160" s="60" t="str">
        <f t="shared" si="59"/>
        <v/>
      </c>
      <c r="T160" s="231" t="str">
        <f>IF(L160="","",VLOOKUP(L160,classifications!C:K,9,FALSE))</f>
        <v>Sparse</v>
      </c>
      <c r="U160" s="238">
        <f t="shared" si="55"/>
        <v>0.36184494336575396</v>
      </c>
      <c r="V160" s="239">
        <f>IF(U160="","",IF($I$8="A",(RANK(U160,U$11:U$363)+COUNTIF(U$11:U160,U160)-1),(RANK(U160,U$11:U$363,1)+COUNTIF(U$11:U160,U160)-1)))</f>
        <v>11</v>
      </c>
      <c r="W160" s="240"/>
      <c r="X160" s="61" t="str">
        <f>IF(L160="","",VLOOKUP($L160,classifications!$C:$J,6,FALSE))</f>
        <v>Rural-80</v>
      </c>
      <c r="Y160" s="49">
        <f t="shared" si="60"/>
        <v>0.36184494336575396</v>
      </c>
      <c r="Z160" s="57">
        <f>IF(Y160="","",IF(I$8="A",(RANK(Y160,Y$11:Y$363,1)+COUNTIF(Y$11:Y160,Y160)-1),(RANK(Y160,Y$11:Y$363)+COUNTIF(Y$11:Y160,Y160)-1)))</f>
        <v>45</v>
      </c>
      <c r="AA160" s="245" t="str">
        <f>IF(L160="","",VLOOKUP($L160,classifications!C:I,7,FALSE))</f>
        <v>Predominantly Rural</v>
      </c>
      <c r="AB160" s="239">
        <f t="shared" si="61"/>
        <v>0.36184494336575396</v>
      </c>
      <c r="AC160" s="239">
        <f>IF(AB160="","",IF($I$8="A",(RANK(AB160,AB$11:AB$363)+COUNTIF(AB$11:AB160,AB160)-1),(RANK(AB160,AB$11:AB$363,1)+COUNTIF(AB$11:AB160,AB160)-1)))</f>
        <v>7</v>
      </c>
      <c r="AD160" s="239"/>
      <c r="AE160" s="51" t="str">
        <f t="shared" si="50"/>
        <v/>
      </c>
      <c r="AG160" s="143"/>
      <c r="AH160" s="52"/>
      <c r="AI160" s="61" t="str">
        <f>IF(L160="","",VLOOKUP($L160,classifications!$C:$J,8,FALSE))</f>
        <v>Norfolk</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East of England</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0.19528909090458474</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0.32681436506942435</v>
      </c>
      <c r="G161" s="105"/>
      <c r="H161" s="60" t="str">
        <f t="shared" si="52"/>
        <v/>
      </c>
      <c r="I161" s="112" t="str">
        <f>IF(H161="","",IF($I$8="A",(RANK(H161,H$11:H$363,1)+COUNTIF(H$11:H161,H161)-1),(RANK(H161,H$11:H$363)+COUNTIF(H$11:H161,H161)-1)))</f>
        <v/>
      </c>
      <c r="J161" s="58"/>
      <c r="K161" s="51">
        <f t="shared" si="66"/>
        <v>151</v>
      </c>
      <c r="L161" s="59" t="str">
        <f t="shared" si="53"/>
        <v>Worcester</v>
      </c>
      <c r="M161" s="153">
        <f t="shared" si="57"/>
        <v>0.36140853409248735</v>
      </c>
      <c r="N161" s="148">
        <f t="shared" si="58"/>
        <v>36.140853409248734</v>
      </c>
      <c r="O161" s="131" t="str">
        <f t="shared" si="54"/>
        <v/>
      </c>
      <c r="P161" s="131" t="str">
        <f t="shared" si="67"/>
        <v/>
      </c>
      <c r="Q161" s="131" t="str">
        <f t="shared" si="68"/>
        <v/>
      </c>
      <c r="R161" s="127">
        <f t="shared" si="69"/>
        <v>36.140853409248734</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Other Urban</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Worcestershire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West Midlands</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0.32681436506942435</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0.25446749629166854</v>
      </c>
      <c r="G162" s="105"/>
      <c r="H162" s="60" t="str">
        <f t="shared" si="52"/>
        <v/>
      </c>
      <c r="I162" s="112" t="str">
        <f>IF(H162="","",IF($I$8="A",(RANK(H162,H$11:H$363,1)+COUNTIF(H$11:H162,H162)-1),(RANK(H162,H$11:H$363)+COUNTIF(H$11:H162,H162)-1)))</f>
        <v/>
      </c>
      <c r="J162" s="58"/>
      <c r="K162" s="51">
        <f t="shared" si="66"/>
        <v>152</v>
      </c>
      <c r="L162" s="59" t="str">
        <f t="shared" si="53"/>
        <v>Hart</v>
      </c>
      <c r="M162" s="153">
        <f t="shared" si="57"/>
        <v>0.36012484643338183</v>
      </c>
      <c r="N162" s="148">
        <f t="shared" si="58"/>
        <v>36.012484643338183</v>
      </c>
      <c r="O162" s="131" t="str">
        <f t="shared" si="54"/>
        <v/>
      </c>
      <c r="P162" s="131" t="str">
        <f t="shared" si="67"/>
        <v/>
      </c>
      <c r="Q162" s="131" t="str">
        <f t="shared" si="68"/>
        <v/>
      </c>
      <c r="R162" s="127">
        <f t="shared" si="69"/>
        <v>36.012484643338183</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Significant Rural</v>
      </c>
      <c r="Y162" s="49" t="str">
        <f t="shared" si="60"/>
        <v/>
      </c>
      <c r="Z162" s="57" t="str">
        <f>IF(Y162="","",IF(I$8="A",(RANK(Y162,Y$11:Y$363,1)+COUNTIF(Y$11:Y162,Y162)-1),(RANK(Y162,Y$11:Y$363)+COUNTIF(Y$11:Y162,Y162)-1)))</f>
        <v/>
      </c>
      <c r="AA162" s="245" t="str">
        <f>IF(L162="","",VLOOKUP($L162,classifications!C:I,7,FALSE))</f>
        <v>Significant Rural</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Hampshire</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South East</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0.25446749629166854</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Gloucester</v>
      </c>
      <c r="M163" s="153">
        <f t="shared" si="57"/>
        <v>0.36003910188704408</v>
      </c>
      <c r="N163" s="148">
        <f t="shared" si="58"/>
        <v>36.00391018870441</v>
      </c>
      <c r="O163" s="131" t="str">
        <f t="shared" si="54"/>
        <v/>
      </c>
      <c r="P163" s="131" t="str">
        <f t="shared" si="67"/>
        <v/>
      </c>
      <c r="Q163" s="131" t="str">
        <f t="shared" si="68"/>
        <v/>
      </c>
      <c r="R163" s="127">
        <f t="shared" si="69"/>
        <v>36.00391018870441</v>
      </c>
      <c r="S163" s="60" t="str">
        <f t="shared" si="59"/>
        <v/>
      </c>
      <c r="T163" s="231">
        <f>IF(L163="","",VLOOKUP(L163,classifications!C:K,9,FALSE))</f>
        <v>0</v>
      </c>
      <c r="U163" s="238" t="str">
        <f t="shared" si="55"/>
        <v/>
      </c>
      <c r="V163" s="239" t="str">
        <f>IF(U163="","",IF($I$8="A",(RANK(U163,U$11:U$363)+COUNTIF(U$11:U163,U163)-1),(RANK(U163,U$11:U$363,1)+COUNTIF(U$11:U163,U163)-1)))</f>
        <v/>
      </c>
      <c r="W163" s="240"/>
      <c r="X163" s="61" t="str">
        <f>IF(L163="","",VLOOKUP($L163,classifications!$C:$J,6,FALSE))</f>
        <v>Other Urban</v>
      </c>
      <c r="Y163" s="49" t="str">
        <f t="shared" si="60"/>
        <v/>
      </c>
      <c r="Z163" s="57" t="str">
        <f>IF(Y163="","",IF(I$8="A",(RANK(Y163,Y$11:Y$363,1)+COUNTIF(Y$11:Y163,Y163)-1),(RANK(Y163,Y$11:Y$363)+COUNTIF(Y$11:Y163,Y163)-1)))</f>
        <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Gloucestershire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South West</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0.46041160520724161</v>
      </c>
      <c r="G164" s="105"/>
      <c r="H164" s="60">
        <f t="shared" si="52"/>
        <v>0.46041160520724161</v>
      </c>
      <c r="I164" s="112">
        <f>IF(H164="","",IF($I$8="A",(RANK(H164,H$11:H$363,1)+COUNTIF(H$11:H164,H164)-1),(RANK(H164,H$11:H$363)+COUNTIF(H$11:H164,H164)-1)))</f>
        <v>83</v>
      </c>
      <c r="J164" s="58"/>
      <c r="K164" s="51">
        <f t="shared" si="66"/>
        <v>154</v>
      </c>
      <c r="L164" s="59" t="str">
        <f t="shared" si="53"/>
        <v>Wellingborough</v>
      </c>
      <c r="M164" s="153">
        <f t="shared" si="57"/>
        <v>0.35929817850280543</v>
      </c>
      <c r="N164" s="148">
        <f t="shared" si="58"/>
        <v>35.929817850280543</v>
      </c>
      <c r="O164" s="131" t="str">
        <f t="shared" si="54"/>
        <v/>
      </c>
      <c r="P164" s="131" t="str">
        <f t="shared" si="67"/>
        <v/>
      </c>
      <c r="Q164" s="131" t="str">
        <f t="shared" si="68"/>
        <v/>
      </c>
      <c r="R164" s="127">
        <f t="shared" si="69"/>
        <v>35.929817850280543</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Significant Rural</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Northamptonshire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East Midlands</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0.46041160520724161</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0.43872562179386498</v>
      </c>
      <c r="G165" s="105"/>
      <c r="H165" s="60">
        <f t="shared" si="52"/>
        <v>0.43872562179386498</v>
      </c>
      <c r="I165" s="112">
        <f>IF(H165="","",IF($I$8="A",(RANK(H165,H$11:H$363,1)+COUNTIF(H$11:H165,H165)-1),(RANK(H165,H$11:H$363)+COUNTIF(H$11:H165,H165)-1)))</f>
        <v>104</v>
      </c>
      <c r="J165" s="58"/>
      <c r="K165" s="51">
        <f t="shared" si="66"/>
        <v>155</v>
      </c>
      <c r="L165" s="59" t="str">
        <f t="shared" si="53"/>
        <v>Norwich</v>
      </c>
      <c r="M165" s="153">
        <f t="shared" si="57"/>
        <v>0.35050413294683486</v>
      </c>
      <c r="N165" s="148">
        <f t="shared" si="58"/>
        <v>35.050413294683487</v>
      </c>
      <c r="O165" s="131" t="str">
        <f t="shared" si="54"/>
        <v/>
      </c>
      <c r="P165" s="131" t="str">
        <f t="shared" si="67"/>
        <v/>
      </c>
      <c r="Q165" s="131" t="str">
        <f t="shared" si="68"/>
        <v/>
      </c>
      <c r="R165" s="127">
        <f t="shared" si="69"/>
        <v>35.050413294683487</v>
      </c>
      <c r="S165" s="60" t="str">
        <f t="shared" si="59"/>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Other Urban</v>
      </c>
      <c r="Y165" s="49" t="str">
        <f t="shared" si="60"/>
        <v/>
      </c>
      <c r="Z165" s="57" t="str">
        <f>IF(Y165="","",IF(I$8="A",(RANK(Y165,Y$11:Y$363,1)+COUNTIF(Y$11:Y165,Y165)-1),(RANK(Y165,Y$11:Y$363)+COUNTIF(Y$11:Y165,Y165)-1)))</f>
        <v/>
      </c>
      <c r="AA165" s="245" t="str">
        <f>IF(L165="","",VLOOKUP($L165,classifications!C:I,7,FALSE))</f>
        <v>Predominantly Rural</v>
      </c>
      <c r="AB165" s="239">
        <f t="shared" si="61"/>
        <v>0.35050413294683486</v>
      </c>
      <c r="AC165" s="239">
        <f>IF(AB165="","",IF($I$8="A",(RANK(AB165,AB$11:AB$363)+COUNTIF(AB$11:AB165,AB165)-1),(RANK(AB165,AB$11:AB$363,1)+COUNTIF(AB$11:AB165,AB165)-1)))</f>
        <v>6</v>
      </c>
      <c r="AD165" s="239"/>
      <c r="AE165" s="51" t="str">
        <f t="shared" si="73"/>
        <v/>
      </c>
      <c r="AG165" s="143"/>
      <c r="AH165" s="52"/>
      <c r="AI165" s="61" t="str">
        <f>IF(L165="","",VLOOKUP($L165,classifications!$C:$J,8,FALSE))</f>
        <v>Norfolk</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East of England</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0.43872562179386498</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0.50202098075659374</v>
      </c>
      <c r="G166" s="105"/>
      <c r="H166" s="60" t="str">
        <f t="shared" si="52"/>
        <v/>
      </c>
      <c r="I166" s="112" t="str">
        <f>IF(H166="","",IF($I$8="A",(RANK(H166,H$11:H$363,1)+COUNTIF(H$11:H166,H166)-1),(RANK(H166,H$11:H$363)+COUNTIF(H$11:H166,H166)-1)))</f>
        <v/>
      </c>
      <c r="J166" s="58"/>
      <c r="K166" s="51">
        <f t="shared" si="66"/>
        <v>156</v>
      </c>
      <c r="L166" s="59" t="str">
        <f t="shared" si="53"/>
        <v>Broxbourne</v>
      </c>
      <c r="M166" s="153">
        <f t="shared" si="57"/>
        <v>0.35035225252851104</v>
      </c>
      <c r="N166" s="148">
        <f t="shared" si="58"/>
        <v>35.035225252851106</v>
      </c>
      <c r="O166" s="131" t="str">
        <f t="shared" si="54"/>
        <v/>
      </c>
      <c r="P166" s="131" t="str">
        <f t="shared" si="67"/>
        <v/>
      </c>
      <c r="Q166" s="131" t="str">
        <f t="shared" si="68"/>
        <v/>
      </c>
      <c r="R166" s="127">
        <f t="shared" si="69"/>
        <v>35.035225252851106</v>
      </c>
      <c r="S166" s="60" t="str">
        <f t="shared" si="59"/>
        <v/>
      </c>
      <c r="T166" s="231">
        <f>IF(L166="","",VLOOKUP(L166,classifications!C:K,9,FALSE))</f>
        <v>0</v>
      </c>
      <c r="U166" s="238" t="str">
        <f t="shared" si="55"/>
        <v/>
      </c>
      <c r="V166" s="239" t="str">
        <f>IF(U166="","",IF($I$8="A",(RANK(U166,U$11:U$363)+COUNTIF(U$11:U166,U166)-1),(RANK(U166,U$11:U$363,1)+COUNTIF(U$11:U166,U166)-1)))</f>
        <v/>
      </c>
      <c r="W166" s="240"/>
      <c r="X166" s="61" t="str">
        <f>IF(L166="","",VLOOKUP($L166,classifications!$C:$J,6,FALSE))</f>
        <v>Major Urban</v>
      </c>
      <c r="Y166" s="49" t="str">
        <f t="shared" si="60"/>
        <v/>
      </c>
      <c r="Z166" s="57" t="str">
        <f>IF(Y166="","",IF(I$8="A",(RANK(Y166,Y$11:Y$363,1)+COUNTIF(Y$11:Y166,Y166)-1),(RANK(Y166,Y$11:Y$363)+COUNTIF(Y$11:Y166,Y166)-1)))</f>
        <v/>
      </c>
      <c r="AA166" s="245" t="str">
        <f>IF(L166="","",VLOOKUP($L166,classifications!C:I,7,FALSE))</f>
        <v>Predominantly Urban</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Hertfordshire</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East of England</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0.50202098075659374</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0.46294520948743129</v>
      </c>
      <c r="G167" s="105"/>
      <c r="H167" s="60" t="str">
        <f t="shared" si="52"/>
        <v/>
      </c>
      <c r="I167" s="112" t="str">
        <f>IF(H167="","",IF($I$8="A",(RANK(H167,H$11:H$363,1)+COUNTIF(H$11:H167,H167)-1),(RANK(H167,H$11:H$363)+COUNTIF(H$11:H167,H167)-1)))</f>
        <v/>
      </c>
      <c r="J167" s="58"/>
      <c r="K167" s="51">
        <f t="shared" si="66"/>
        <v>157</v>
      </c>
      <c r="L167" s="59" t="str">
        <f t="shared" si="53"/>
        <v>Fareham</v>
      </c>
      <c r="M167" s="153">
        <f t="shared" si="57"/>
        <v>0.35018565073022606</v>
      </c>
      <c r="N167" s="148">
        <f t="shared" si="58"/>
        <v>35.018565073022607</v>
      </c>
      <c r="O167" s="131" t="str">
        <f t="shared" si="54"/>
        <v/>
      </c>
      <c r="P167" s="131" t="str">
        <f t="shared" si="67"/>
        <v/>
      </c>
      <c r="Q167" s="131" t="str">
        <f t="shared" si="68"/>
        <v/>
      </c>
      <c r="R167" s="127">
        <f t="shared" si="69"/>
        <v>35.018565073022607</v>
      </c>
      <c r="S167" s="60" t="str">
        <f t="shared" si="59"/>
        <v/>
      </c>
      <c r="T167" s="231">
        <f>IF(L167="","",VLOOKUP(L167,classifications!C:K,9,FALSE))</f>
        <v>0</v>
      </c>
      <c r="U167" s="238" t="str">
        <f t="shared" si="55"/>
        <v/>
      </c>
      <c r="V167" s="239" t="str">
        <f>IF(U167="","",IF($I$8="A",(RANK(U167,U$11:U$363)+COUNTIF(U$11:U167,U167)-1),(RANK(U167,U$11:U$363,1)+COUNTIF(U$11:U167,U167)-1)))</f>
        <v/>
      </c>
      <c r="W167" s="240"/>
      <c r="X167" s="61" t="str">
        <f>IF(L167="","",VLOOKUP($L167,classifications!$C:$J,6,FALSE))</f>
        <v>Large Urban</v>
      </c>
      <c r="Y167" s="49" t="str">
        <f t="shared" si="60"/>
        <v/>
      </c>
      <c r="Z167" s="57" t="str">
        <f>IF(Y167="","",IF(I$8="A",(RANK(Y167,Y$11:Y$363,1)+COUNTIF(Y$11:Y167,Y167)-1),(RANK(Y167,Y$11:Y$363)+COUNTIF(Y$11:Y167,Y167)-1)))</f>
        <v/>
      </c>
      <c r="AA167" s="245" t="str">
        <f>IF(L167="","",VLOOKUP($L167,classifications!C:I,7,FALSE))</f>
        <v>Significant Rural</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Hampshire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South East</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0.46294520948743129</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0.30866844922192416</v>
      </c>
      <c r="G168" s="105"/>
      <c r="H168" s="60" t="str">
        <f t="shared" si="52"/>
        <v/>
      </c>
      <c r="I168" s="112" t="str">
        <f>IF(H168="","",IF($I$8="A",(RANK(H168,H$11:H$363,1)+COUNTIF(H$11:H168,H168)-1),(RANK(H168,H$11:H$363)+COUNTIF(H$11:H168,H168)-1)))</f>
        <v/>
      </c>
      <c r="J168" s="58"/>
      <c r="K168" s="51">
        <f t="shared" si="66"/>
        <v>158</v>
      </c>
      <c r="L168" s="59" t="str">
        <f t="shared" si="53"/>
        <v>Exeter</v>
      </c>
      <c r="M168" s="153">
        <f t="shared" si="57"/>
        <v>0.34761282103548874</v>
      </c>
      <c r="N168" s="148">
        <f t="shared" si="58"/>
        <v>34.761282103548872</v>
      </c>
      <c r="O168" s="131" t="str">
        <f t="shared" si="54"/>
        <v/>
      </c>
      <c r="P168" s="131" t="str">
        <f t="shared" si="67"/>
        <v/>
      </c>
      <c r="Q168" s="131" t="str">
        <f t="shared" si="68"/>
        <v/>
      </c>
      <c r="R168" s="127">
        <f t="shared" si="69"/>
        <v>34.761282103548872</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Other Urban</v>
      </c>
      <c r="Y168" s="49" t="str">
        <f t="shared" si="60"/>
        <v/>
      </c>
      <c r="Z168" s="57" t="str">
        <f>IF(Y168="","",IF(I$8="A",(RANK(Y168,Y$11:Y$363,1)+COUNTIF(Y$11:Y168,Y168)-1),(RANK(Y168,Y$11:Y$363)+COUNTIF(Y$11:Y168,Y168)-1)))</f>
        <v/>
      </c>
      <c r="AA168" s="245" t="str">
        <f>IF(L168="","",VLOOKUP($L168,classifications!C:I,7,FALSE))</f>
        <v>Predominantly Rural</v>
      </c>
      <c r="AB168" s="239">
        <f t="shared" si="61"/>
        <v>0.34761282103548874</v>
      </c>
      <c r="AC168" s="239">
        <f>IF(AB168="","",IF($I$8="A",(RANK(AB168,AB$11:AB$363)+COUNTIF(AB$11:AB168,AB168)-1),(RANK(AB168,AB$11:AB$363,1)+COUNTIF(AB$11:AB168,AB168)-1)))</f>
        <v>5</v>
      </c>
      <c r="AD168" s="239"/>
      <c r="AE168" s="51" t="str">
        <f t="shared" si="73"/>
        <v/>
      </c>
      <c r="AG168" s="143"/>
      <c r="AH168" s="52"/>
      <c r="AI168" s="61" t="str">
        <f>IF(L168="","",VLOOKUP($L168,classifications!$C:$J,8,FALSE))</f>
        <v>Devon</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South West</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0.30866844922192416</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0.3311708893219078</v>
      </c>
      <c r="G169" s="105"/>
      <c r="H169" s="60" t="str">
        <f t="shared" si="52"/>
        <v/>
      </c>
      <c r="I169" s="112" t="str">
        <f>IF(H169="","",IF($I$8="A",(RANK(H169,H$11:H$363,1)+COUNTIF(H$11:H169,H169)-1),(RANK(H169,H$11:H$363)+COUNTIF(H$11:H169,H169)-1)))</f>
        <v/>
      </c>
      <c r="J169" s="58"/>
      <c r="K169" s="51">
        <f t="shared" si="66"/>
        <v>159</v>
      </c>
      <c r="L169" s="59" t="str">
        <f t="shared" si="53"/>
        <v>Hyndburn</v>
      </c>
      <c r="M169" s="153">
        <f t="shared" si="57"/>
        <v>0.34520584165036028</v>
      </c>
      <c r="N169" s="148">
        <f t="shared" si="58"/>
        <v>34.520584165036027</v>
      </c>
      <c r="O169" s="131" t="str">
        <f t="shared" si="54"/>
        <v/>
      </c>
      <c r="P169" s="131" t="str">
        <f t="shared" si="67"/>
        <v/>
      </c>
      <c r="Q169" s="131" t="str">
        <f t="shared" si="68"/>
        <v/>
      </c>
      <c r="R169" s="127">
        <f t="shared" si="69"/>
        <v>34.520584165036027</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Other Urban</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Lancashire</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North West</v>
      </c>
      <c r="AQ169" s="62">
        <f t="shared" si="63"/>
        <v>0.34520584165036028</v>
      </c>
      <c r="AR169" s="57">
        <f>IF(AQ169="","",IF(I$8="A",(RANK(AQ169,AQ$11:AQ$363,1)+COUNTIF(AQ$11:AQ169,AQ169)-1),(RANK(AQ169,AQ$11:AQ$363)+COUNTIF(AQ$11:AQ169,AQ169)-1)))</f>
        <v>14</v>
      </c>
      <c r="AS169" s="52" t="str">
        <f t="shared" si="64"/>
        <v/>
      </c>
      <c r="AT169" s="57" t="str">
        <f t="shared" si="65"/>
        <v/>
      </c>
      <c r="AU169" s="62" t="str">
        <f t="shared" si="71"/>
        <v/>
      </c>
      <c r="AX169" s="44">
        <f>HLOOKUP($AX$9&amp;$AX$10,Data!$A$1:$ZZ$2000,(MATCH($C169,Data!$A$1:$A$2000,0)),FALSE)</f>
        <v>0.3311708893219078</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0.21136092797357608</v>
      </c>
      <c r="G170" s="105"/>
      <c r="H170" s="60" t="str">
        <f t="shared" si="52"/>
        <v/>
      </c>
      <c r="I170" s="112" t="str">
        <f>IF(H170="","",IF($I$8="A",(RANK(H170,H$11:H$363,1)+COUNTIF(H$11:H170,H170)-1),(RANK(H170,H$11:H$363)+COUNTIF(H$11:H170,H170)-1)))</f>
        <v/>
      </c>
      <c r="J170" s="58"/>
      <c r="K170" s="51">
        <f t="shared" si="66"/>
        <v>160</v>
      </c>
      <c r="L170" s="59" t="str">
        <f t="shared" si="53"/>
        <v>Winchester</v>
      </c>
      <c r="M170" s="153">
        <f t="shared" si="57"/>
        <v>0.34434017378043608</v>
      </c>
      <c r="N170" s="148">
        <f t="shared" si="58"/>
        <v>34.434017378043606</v>
      </c>
      <c r="O170" s="131" t="str">
        <f t="shared" si="54"/>
        <v/>
      </c>
      <c r="P170" s="131" t="str">
        <f t="shared" si="67"/>
        <v/>
      </c>
      <c r="Q170" s="131" t="str">
        <f t="shared" si="68"/>
        <v/>
      </c>
      <c r="R170" s="127">
        <f t="shared" si="69"/>
        <v>34.434017378043606</v>
      </c>
      <c r="S170" s="60" t="str">
        <f t="shared" si="59"/>
        <v/>
      </c>
      <c r="T170" s="231" t="str">
        <f>IF(L170="","",VLOOKUP(L170,classifications!C:K,9,FALSE))</f>
        <v>Sparse</v>
      </c>
      <c r="U170" s="238">
        <f t="shared" si="55"/>
        <v>0.34434017378043608</v>
      </c>
      <c r="V170" s="239">
        <f>IF(U170="","",IF($I$8="A",(RANK(U170,U$11:U$363)+COUNTIF(U$11:U170,U170)-1),(RANK(U170,U$11:U$363,1)+COUNTIF(U$11:U170,U170)-1)))</f>
        <v>10</v>
      </c>
      <c r="W170" s="240"/>
      <c r="X170" s="61" t="str">
        <f>IF(L170="","",VLOOKUP($L170,classifications!$C:$J,6,FALSE))</f>
        <v>Rural-50</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Hampshire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South East</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0.21136092797357608</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f t="shared" si="66"/>
        <v>161</v>
      </c>
      <c r="L171" s="59" t="str">
        <f t="shared" si="53"/>
        <v>Malvern Hills</v>
      </c>
      <c r="M171" s="153">
        <f t="shared" si="57"/>
        <v>0.34421518635033216</v>
      </c>
      <c r="N171" s="148">
        <f t="shared" si="58"/>
        <v>34.421518635033216</v>
      </c>
      <c r="O171" s="131" t="str">
        <f t="shared" si="54"/>
        <v/>
      </c>
      <c r="P171" s="131" t="str">
        <f t="shared" si="67"/>
        <v/>
      </c>
      <c r="Q171" s="131" t="str">
        <f t="shared" si="68"/>
        <v/>
      </c>
      <c r="R171" s="127">
        <f t="shared" si="69"/>
        <v>34.421518635033216</v>
      </c>
      <c r="S171" s="60" t="str">
        <f t="shared" si="59"/>
        <v/>
      </c>
      <c r="T171" s="231" t="str">
        <f>IF(L171="","",VLOOKUP(L171,classifications!C:K,9,FALSE))</f>
        <v>Sparse</v>
      </c>
      <c r="U171" s="238">
        <f t="shared" si="55"/>
        <v>0.34421518635033216</v>
      </c>
      <c r="V171" s="239">
        <f>IF(U171="","",IF($I$8="A",(RANK(U171,U$11:U$363)+COUNTIF(U$11:U171,U171)-1),(RANK(U171,U$11:U$363,1)+COUNTIF(U$11:U171,U171)-1)))</f>
        <v>9</v>
      </c>
      <c r="W171" s="240"/>
      <c r="X171" s="61" t="str">
        <f>IF(L171="","",VLOOKUP($L171,classifications!$C:$J,6,FALSE))</f>
        <v>Rural-50</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Worcestershire</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West Midlands</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0.424653303342025</v>
      </c>
      <c r="G172" s="105"/>
      <c r="H172" s="60">
        <f t="shared" si="52"/>
        <v>0.424653303342025</v>
      </c>
      <c r="I172" s="112">
        <f>IF(H172="","",IF($I$8="A",(RANK(H172,H$11:H$363,1)+COUNTIF(H$11:H172,H172)-1),(RANK(H172,H$11:H$363)+COUNTIF(H$11:H172,H172)-1)))</f>
        <v>115</v>
      </c>
      <c r="J172" s="58"/>
      <c r="K172" s="51">
        <f t="shared" si="66"/>
        <v>162</v>
      </c>
      <c r="L172" s="59" t="str">
        <f t="shared" si="53"/>
        <v>Worthing</v>
      </c>
      <c r="M172" s="153">
        <f t="shared" si="57"/>
        <v>0.34280640423226971</v>
      </c>
      <c r="N172" s="148">
        <f t="shared" si="58"/>
        <v>34.28064042322697</v>
      </c>
      <c r="O172" s="131" t="str">
        <f t="shared" si="54"/>
        <v/>
      </c>
      <c r="P172" s="131" t="str">
        <f t="shared" si="67"/>
        <v/>
      </c>
      <c r="Q172" s="131" t="str">
        <f t="shared" si="68"/>
        <v/>
      </c>
      <c r="R172" s="127">
        <f t="shared" si="69"/>
        <v>34.28064042322697</v>
      </c>
      <c r="S172" s="60" t="str">
        <f t="shared" si="59"/>
        <v/>
      </c>
      <c r="T172" s="231">
        <f>IF(L172="","",VLOOKUP(L172,classifications!C:K,9,FALSE))</f>
        <v>0</v>
      </c>
      <c r="U172" s="238" t="str">
        <f t="shared" si="55"/>
        <v/>
      </c>
      <c r="V172" s="239" t="str">
        <f>IF(U172="","",IF($I$8="A",(RANK(U172,U$11:U$363)+COUNTIF(U$11:U172,U172)-1),(RANK(U172,U$11:U$363,1)+COUNTIF(U$11:U172,U172)-1)))</f>
        <v/>
      </c>
      <c r="W172" s="240"/>
      <c r="X172" s="61" t="str">
        <f>IF(L172="","",VLOOKUP($L172,classifications!$C:$J,6,FALSE))</f>
        <v>Large Urban</v>
      </c>
      <c r="Y172" s="49" t="str">
        <f t="shared" si="60"/>
        <v/>
      </c>
      <c r="Z172" s="57" t="str">
        <f>IF(Y172="","",IF(I$8="A",(RANK(Y172,Y$11:Y$363,1)+COUNTIF(Y$11:Y172,Y172)-1),(RANK(Y172,Y$11:Y$363)+COUNTIF(Y$11:Y172,Y172)-1)))</f>
        <v/>
      </c>
      <c r="AA172" s="245" t="str">
        <f>IF(L172="","",VLOOKUP($L172,classifications!C:I,7,FALSE))</f>
        <v>Significant Rural</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West Sussex</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East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0.424653303342025</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0.4369908177731549</v>
      </c>
      <c r="G173" s="105"/>
      <c r="H173" s="60" t="str">
        <f t="shared" si="52"/>
        <v/>
      </c>
      <c r="I173" s="112" t="str">
        <f>IF(H173="","",IF($I$8="A",(RANK(H173,H$11:H$363,1)+COUNTIF(H$11:H173,H173)-1),(RANK(H173,H$11:H$363)+COUNTIF(H$11:H173,H173)-1)))</f>
        <v/>
      </c>
      <c r="J173" s="58"/>
      <c r="K173" s="51">
        <f t="shared" si="66"/>
        <v>163</v>
      </c>
      <c r="L173" s="59" t="str">
        <f t="shared" si="53"/>
        <v>Swale</v>
      </c>
      <c r="M173" s="153">
        <f t="shared" si="57"/>
        <v>0.34246060068486822</v>
      </c>
      <c r="N173" s="148">
        <f t="shared" si="58"/>
        <v>34.24606006848682</v>
      </c>
      <c r="O173" s="131" t="str">
        <f t="shared" si="54"/>
        <v/>
      </c>
      <c r="P173" s="131" t="str">
        <f t="shared" si="67"/>
        <v/>
      </c>
      <c r="Q173" s="131" t="str">
        <f t="shared" si="68"/>
        <v/>
      </c>
      <c r="R173" s="127">
        <f t="shared" si="69"/>
        <v>34.24606006848682</v>
      </c>
      <c r="S173" s="60" t="str">
        <f t="shared" si="59"/>
        <v/>
      </c>
      <c r="T173" s="231">
        <f>IF(L173="","",VLOOKUP(L173,classifications!C:K,9,FALSE))</f>
        <v>0</v>
      </c>
      <c r="U173" s="238" t="str">
        <f t="shared" si="55"/>
        <v/>
      </c>
      <c r="V173" s="239" t="str">
        <f>IF(U173="","",IF($I$8="A",(RANK(U173,U$11:U$363)+COUNTIF(U$11:U173,U173)-1),(RANK(U173,U$11:U$363,1)+COUNTIF(U$11:U173,U173)-1)))</f>
        <v/>
      </c>
      <c r="W173" s="240"/>
      <c r="X173" s="61" t="str">
        <f>IF(L173="","",VLOOKUP($L173,classifications!$C:$J,6,FALSE))</f>
        <v>Significant Rural</v>
      </c>
      <c r="Y173" s="49" t="str">
        <f t="shared" si="60"/>
        <v/>
      </c>
      <c r="Z173" s="57" t="str">
        <f>IF(Y173="","",IF(I$8="A",(RANK(Y173,Y$11:Y$363,1)+COUNTIF(Y$11:Y173,Y173)-1),(RANK(Y173,Y$11:Y$363)+COUNTIF(Y$11:Y173,Y173)-1)))</f>
        <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Kent</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South East</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0.4369908177731549</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0.43042294842300627</v>
      </c>
      <c r="G174" s="105"/>
      <c r="H174" s="60" t="str">
        <f t="shared" si="52"/>
        <v/>
      </c>
      <c r="I174" s="112" t="str">
        <f>IF(H174="","",IF($I$8="A",(RANK(H174,H$11:H$363,1)+COUNTIF(H$11:H174,H174)-1),(RANK(H174,H$11:H$363)+COUNTIF(H$11:H174,H174)-1)))</f>
        <v/>
      </c>
      <c r="J174" s="58"/>
      <c r="K174" s="51">
        <f t="shared" si="66"/>
        <v>164</v>
      </c>
      <c r="L174" s="59" t="str">
        <f t="shared" si="53"/>
        <v>Copeland</v>
      </c>
      <c r="M174" s="153">
        <f t="shared" si="57"/>
        <v>0.33488858698381985</v>
      </c>
      <c r="N174" s="148">
        <f t="shared" si="58"/>
        <v>33.488858698381982</v>
      </c>
      <c r="O174" s="131" t="str">
        <f t="shared" si="54"/>
        <v/>
      </c>
      <c r="P174" s="131" t="str">
        <f t="shared" si="67"/>
        <v/>
      </c>
      <c r="Q174" s="131" t="str">
        <f t="shared" si="68"/>
        <v/>
      </c>
      <c r="R174" s="127">
        <f t="shared" si="69"/>
        <v>33.488858698381982</v>
      </c>
      <c r="S174" s="60" t="str">
        <f t="shared" si="59"/>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Rural-80</v>
      </c>
      <c r="Y174" s="49">
        <f t="shared" si="60"/>
        <v>0.33488858698381985</v>
      </c>
      <c r="Z174" s="57">
        <f>IF(Y174="","",IF(I$8="A",(RANK(Y174,Y$11:Y$363,1)+COUNTIF(Y$11:Y174,Y174)-1),(RANK(Y174,Y$11:Y$363)+COUNTIF(Y$11:Y174,Y174)-1)))</f>
        <v>46</v>
      </c>
      <c r="AA174" s="245" t="str">
        <f>IF(L174="","",VLOOKUP($L174,classifications!C:I,7,FALSE))</f>
        <v>Predominantly Rural</v>
      </c>
      <c r="AB174" s="239">
        <f t="shared" si="61"/>
        <v>0.33488858698381985</v>
      </c>
      <c r="AC174" s="239">
        <f>IF(AB174="","",IF($I$8="A",(RANK(AB174,AB$11:AB$363)+COUNTIF(AB$11:AB174,AB174)-1),(RANK(AB174,AB$11:AB$363,1)+COUNTIF(AB$11:AB174,AB174)-1)))</f>
        <v>4</v>
      </c>
      <c r="AD174" s="239"/>
      <c r="AE174" s="51" t="str">
        <f t="shared" si="73"/>
        <v/>
      </c>
      <c r="AG174" s="143"/>
      <c r="AH174" s="52"/>
      <c r="AI174" s="61" t="str">
        <f>IF(L174="","",VLOOKUP($L174,classifications!$C:$J,8,FALSE))</f>
        <v>Cumbria</v>
      </c>
      <c r="AJ174" s="62">
        <f t="shared" si="56"/>
        <v>0.33488858698381985</v>
      </c>
      <c r="AK174" s="57">
        <f>IF(AJ174="","",IF(I$8="A",(RANK(AJ174,AJ$11:AJ$363,1)+COUNTIF(AJ$11:AJ174,AJ174)-1),(RANK(AJ174,AJ$11:AJ$363)+COUNTIF(AJ$11:AJ174,AJ174)-1)))</f>
        <v>5</v>
      </c>
      <c r="AL174" s="52" t="str">
        <f t="shared" si="70"/>
        <v/>
      </c>
      <c r="AM174" s="31" t="str">
        <f t="shared" si="72"/>
        <v/>
      </c>
      <c r="AN174" s="31" t="str">
        <f t="shared" si="62"/>
        <v/>
      </c>
      <c r="AP174" s="61" t="str">
        <f>IF(L174="","",VLOOKUP($L174,classifications!$C:$E,3,FALSE))</f>
        <v>North West</v>
      </c>
      <c r="AQ174" s="62">
        <f t="shared" si="63"/>
        <v>0.33488858698381985</v>
      </c>
      <c r="AR174" s="57">
        <f>IF(AQ174="","",IF(I$8="A",(RANK(AQ174,AQ$11:AQ$363,1)+COUNTIF(AQ$11:AQ174,AQ174)-1),(RANK(AQ174,AQ$11:AQ$363)+COUNTIF(AQ$11:AQ174,AQ174)-1)))</f>
        <v>15</v>
      </c>
      <c r="AS174" s="52" t="str">
        <f t="shared" si="64"/>
        <v/>
      </c>
      <c r="AT174" s="57" t="str">
        <f t="shared" si="65"/>
        <v/>
      </c>
      <c r="AU174" s="62" t="str">
        <f t="shared" si="71"/>
        <v/>
      </c>
      <c r="AX174" s="44">
        <f>HLOOKUP($AX$9&amp;$AX$10,Data!$A$1:$ZZ$2000,(MATCH($C174,Data!$A$1:$A$2000,0)),FALSE)</f>
        <v>0.43042294842300627</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Eastbourne</v>
      </c>
      <c r="M175" s="153">
        <f t="shared" si="57"/>
        <v>0.33480765081193864</v>
      </c>
      <c r="N175" s="148">
        <f t="shared" si="58"/>
        <v>33.480765081193866</v>
      </c>
      <c r="O175" s="131" t="str">
        <f t="shared" si="54"/>
        <v/>
      </c>
      <c r="P175" s="131" t="str">
        <f t="shared" si="67"/>
        <v/>
      </c>
      <c r="Q175" s="131" t="str">
        <f t="shared" si="68"/>
        <v/>
      </c>
      <c r="R175" s="127">
        <f t="shared" si="69"/>
        <v>33.480765081193866</v>
      </c>
      <c r="S175" s="60" t="str">
        <f t="shared" si="59"/>
        <v/>
      </c>
      <c r="T175" s="231">
        <f>IF(L175="","",VLOOKUP(L175,classifications!C:K,9,FALSE))</f>
        <v>0</v>
      </c>
      <c r="U175" s="238" t="str">
        <f t="shared" si="55"/>
        <v/>
      </c>
      <c r="V175" s="239" t="str">
        <f>IF(U175="","",IF($I$8="A",(RANK(U175,U$11:U$363)+COUNTIF(U$11:U175,U175)-1),(RANK(U175,U$11:U$363,1)+COUNTIF(U$11:U175,U175)-1)))</f>
        <v/>
      </c>
      <c r="W175" s="240"/>
      <c r="X175" s="61" t="str">
        <f>IF(L175="","",VLOOKUP($L175,classifications!$C:$J,6,FALSE))</f>
        <v>Other Urban</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East Sussex</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South East</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0.24978630767928622</v>
      </c>
      <c r="G176" s="105"/>
      <c r="H176" s="60">
        <f t="shared" si="52"/>
        <v>0.24978630767928622</v>
      </c>
      <c r="I176" s="112">
        <f>IF(H176="","",IF($I$8="A",(RANK(H176,H$11:H$363,1)+COUNTIF(H$11:H176,H176)-1),(RANK(H176,H$11:H$363)+COUNTIF(H$11:H176,H176)-1)))</f>
        <v>190</v>
      </c>
      <c r="J176" s="58"/>
      <c r="K176" s="51">
        <f t="shared" si="66"/>
        <v>166</v>
      </c>
      <c r="L176" s="59" t="str">
        <f t="shared" si="53"/>
        <v>Barrow-in-Furness</v>
      </c>
      <c r="M176" s="153">
        <f t="shared" si="57"/>
        <v>0.33475966509623623</v>
      </c>
      <c r="N176" s="148">
        <f t="shared" si="58"/>
        <v>33.475966509623625</v>
      </c>
      <c r="O176" s="131" t="str">
        <f t="shared" si="54"/>
        <v/>
      </c>
      <c r="P176" s="131" t="str">
        <f t="shared" si="67"/>
        <v/>
      </c>
      <c r="Q176" s="131" t="str">
        <f t="shared" si="68"/>
        <v/>
      </c>
      <c r="R176" s="127">
        <f t="shared" si="69"/>
        <v>33.475966509623625</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Other Urban</v>
      </c>
      <c r="Y176" s="49" t="str">
        <f t="shared" si="60"/>
        <v/>
      </c>
      <c r="Z176" s="57" t="str">
        <f>IF(Y176="","",IF(I$8="A",(RANK(Y176,Y$11:Y$363,1)+COUNTIF(Y$11:Y176,Y176)-1),(RANK(Y176,Y$11:Y$363)+COUNTIF(Y$11:Y176,Y176)-1)))</f>
        <v/>
      </c>
      <c r="AA176" s="245" t="str">
        <f>IF(L176="","",VLOOKUP($L176,classifications!C:I,7,FALSE))</f>
        <v>Predominantly Rural</v>
      </c>
      <c r="AB176" s="239">
        <f t="shared" si="61"/>
        <v>0.33475966509623623</v>
      </c>
      <c r="AC176" s="239">
        <f>IF(AB176="","",IF($I$8="A",(RANK(AB176,AB$11:AB$363)+COUNTIF(AB$11:AB176,AB176)-1),(RANK(AB176,AB$11:AB$363,1)+COUNTIF(AB$11:AB176,AB176)-1)))</f>
        <v>3</v>
      </c>
      <c r="AD176" s="239"/>
      <c r="AE176" s="51" t="str">
        <f t="shared" si="73"/>
        <v/>
      </c>
      <c r="AG176" s="143"/>
      <c r="AH176" s="52"/>
      <c r="AI176" s="61" t="str">
        <f>IF(L176="","",VLOOKUP($L176,classifications!$C:$J,8,FALSE))</f>
        <v>Cumbria</v>
      </c>
      <c r="AJ176" s="62">
        <f t="shared" si="56"/>
        <v>0.33475966509623623</v>
      </c>
      <c r="AK176" s="57">
        <f>IF(AJ176="","",IF(I$8="A",(RANK(AJ176,AJ$11:AJ$363,1)+COUNTIF(AJ$11:AJ176,AJ176)-1),(RANK(AJ176,AJ$11:AJ$363)+COUNTIF(AJ$11:AJ176,AJ176)-1)))</f>
        <v>6</v>
      </c>
      <c r="AL176" s="52" t="str">
        <f t="shared" si="70"/>
        <v/>
      </c>
      <c r="AM176" s="31" t="str">
        <f t="shared" si="72"/>
        <v/>
      </c>
      <c r="AN176" s="31" t="str">
        <f t="shared" si="62"/>
        <v/>
      </c>
      <c r="AP176" s="61" t="str">
        <f>IF(L176="","",VLOOKUP($L176,classifications!$C:$E,3,FALSE))</f>
        <v>North West</v>
      </c>
      <c r="AQ176" s="62">
        <f t="shared" si="63"/>
        <v>0.33475966509623623</v>
      </c>
      <c r="AR176" s="57">
        <f>IF(AQ176="","",IF(I$8="A",(RANK(AQ176,AQ$11:AQ$363,1)+COUNTIF(AQ$11:AQ176,AQ176)-1),(RANK(AQ176,AQ$11:AQ$363)+COUNTIF(AQ$11:AQ176,AQ176)-1)))</f>
        <v>16</v>
      </c>
      <c r="AS176" s="52" t="str">
        <f t="shared" si="64"/>
        <v/>
      </c>
      <c r="AT176" s="57" t="str">
        <f t="shared" si="65"/>
        <v/>
      </c>
      <c r="AU176" s="62" t="str">
        <f t="shared" si="71"/>
        <v/>
      </c>
      <c r="AX176" s="44">
        <f>HLOOKUP($AX$9&amp;$AX$10,Data!$A$1:$ZZ$2000,(MATCH($C176,Data!$A$1:$A$2000,0)),FALSE)</f>
        <v>0.24978630767928622</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0.17662004583906879</v>
      </c>
      <c r="G177" s="105"/>
      <c r="H177" s="60" t="str">
        <f t="shared" si="52"/>
        <v/>
      </c>
      <c r="I177" s="112" t="str">
        <f>IF(H177="","",IF($I$8="A",(RANK(H177,H$11:H$363,1)+COUNTIF(H$11:H177,H177)-1),(RANK(H177,H$11:H$363)+COUNTIF(H$11:H177,H177)-1)))</f>
        <v/>
      </c>
      <c r="J177" s="58"/>
      <c r="K177" s="51">
        <f t="shared" si="66"/>
        <v>167</v>
      </c>
      <c r="L177" s="59" t="str">
        <f t="shared" si="53"/>
        <v>South Bucks</v>
      </c>
      <c r="M177" s="153">
        <f t="shared" si="57"/>
        <v>0.33425921298080263</v>
      </c>
      <c r="N177" s="148">
        <f t="shared" si="58"/>
        <v>33.425921298080262</v>
      </c>
      <c r="O177" s="131" t="str">
        <f t="shared" si="54"/>
        <v/>
      </c>
      <c r="P177" s="131" t="str">
        <f t="shared" si="67"/>
        <v/>
      </c>
      <c r="Q177" s="131" t="str">
        <f t="shared" si="68"/>
        <v/>
      </c>
      <c r="R177" s="127">
        <f t="shared" si="69"/>
        <v>33.425921298080262</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Rural-50</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Buckinghamshire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South East</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0.17662004583906879</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0.58130843546361166</v>
      </c>
      <c r="G178" s="105"/>
      <c r="H178" s="60">
        <f t="shared" si="52"/>
        <v>0.58130843546361166</v>
      </c>
      <c r="I178" s="112">
        <f>IF(H178="","",IF($I$8="A",(RANK(H178,H$11:H$363,1)+COUNTIF(H$11:H178,H178)-1),(RANK(H178,H$11:H$363)+COUNTIF(H$11:H178,H178)-1)))</f>
        <v>7</v>
      </c>
      <c r="J178" s="58"/>
      <c r="K178" s="51">
        <f t="shared" si="66"/>
        <v>168</v>
      </c>
      <c r="L178" s="59" t="str">
        <f t="shared" si="53"/>
        <v>East Hampshire</v>
      </c>
      <c r="M178" s="153">
        <f t="shared" si="57"/>
        <v>0.33104672291649179</v>
      </c>
      <c r="N178" s="148">
        <f t="shared" si="58"/>
        <v>33.10467229164918</v>
      </c>
      <c r="O178" s="131" t="str">
        <f t="shared" si="54"/>
        <v/>
      </c>
      <c r="P178" s="131" t="str">
        <f t="shared" si="67"/>
        <v/>
      </c>
      <c r="Q178" s="131" t="str">
        <f t="shared" si="68"/>
        <v/>
      </c>
      <c r="R178" s="127">
        <f t="shared" si="69"/>
        <v>33.10467229164918</v>
      </c>
      <c r="S178" s="60" t="str">
        <f t="shared" si="59"/>
        <v/>
      </c>
      <c r="T178" s="231" t="str">
        <f>IF(L178="","",VLOOKUP(L178,classifications!C:K,9,FALSE))</f>
        <v>Sparse</v>
      </c>
      <c r="U178" s="238">
        <f t="shared" si="55"/>
        <v>0.33104672291649179</v>
      </c>
      <c r="V178" s="239">
        <f>IF(U178="","",IF($I$8="A",(RANK(U178,U$11:U$363)+COUNTIF(U$11:U178,U178)-1),(RANK(U178,U$11:U$363,1)+COUNTIF(U$11:U178,U178)-1)))</f>
        <v>8</v>
      </c>
      <c r="W178" s="240"/>
      <c r="X178" s="61" t="str">
        <f>IF(L178="","",VLOOKUP($L178,classifications!$C:$J,6,FALSE))</f>
        <v>Rural-50</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Hampshire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South East</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0.58130843546361166</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0.42173195201154656</v>
      </c>
      <c r="G179" s="105"/>
      <c r="H179" s="60">
        <f t="shared" si="52"/>
        <v>0.42173195201154656</v>
      </c>
      <c r="I179" s="112">
        <f>IF(H179="","",IF($I$8="A",(RANK(H179,H$11:H$363,1)+COUNTIF(H$11:H179,H179)-1),(RANK(H179,H$11:H$363)+COUNTIF(H$11:H179,H179)-1)))</f>
        <v>117</v>
      </c>
      <c r="J179" s="58"/>
      <c r="K179" s="51">
        <f t="shared" si="66"/>
        <v>169</v>
      </c>
      <c r="L179" s="59" t="str">
        <f t="shared" si="53"/>
        <v>Amber Valley</v>
      </c>
      <c r="M179" s="153">
        <f t="shared" si="57"/>
        <v>0.33023457262600642</v>
      </c>
      <c r="N179" s="148">
        <f t="shared" si="58"/>
        <v>33.023457262600644</v>
      </c>
      <c r="O179" s="131" t="str">
        <f t="shared" si="54"/>
        <v/>
      </c>
      <c r="P179" s="131" t="str">
        <f t="shared" si="67"/>
        <v/>
      </c>
      <c r="Q179" s="131" t="str">
        <f t="shared" si="68"/>
        <v/>
      </c>
      <c r="R179" s="127">
        <f t="shared" si="69"/>
        <v>33.023457262600644</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Significant Rural</v>
      </c>
      <c r="Y179" s="49" t="str">
        <f t="shared" si="60"/>
        <v/>
      </c>
      <c r="Z179" s="57" t="str">
        <f>IF(Y179="","",IF(I$8="A",(RANK(Y179,Y$11:Y$363,1)+COUNTIF(Y$11:Y179,Y179)-1),(RANK(Y179,Y$11:Y$363)+COUNTIF(Y$11:Y179,Y179)-1)))</f>
        <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Derbyshire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Midlands</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0.42173195201154656</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Ashfield</v>
      </c>
      <c r="M180" s="153">
        <f t="shared" si="57"/>
        <v>0.32852388979907154</v>
      </c>
      <c r="N180" s="148">
        <f t="shared" si="58"/>
        <v>32.852388979907154</v>
      </c>
      <c r="O180" s="131" t="str">
        <f t="shared" si="54"/>
        <v/>
      </c>
      <c r="P180" s="131" t="str">
        <f t="shared" si="67"/>
        <v/>
      </c>
      <c r="Q180" s="131" t="str">
        <f t="shared" si="68"/>
        <v/>
      </c>
      <c r="R180" s="127">
        <f t="shared" si="69"/>
        <v>32.852388979907154</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Other Urban</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Nottinghamshire</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Midlands</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0.26736418905294446</v>
      </c>
      <c r="G181" s="105"/>
      <c r="H181" s="60" t="str">
        <f t="shared" si="52"/>
        <v/>
      </c>
      <c r="I181" s="112" t="str">
        <f>IF(H181="","",IF($I$8="A",(RANK(H181,H$11:H$363,1)+COUNTIF(H$11:H181,H181)-1),(RANK(H181,H$11:H$363)+COUNTIF(H$11:H181,H181)-1)))</f>
        <v/>
      </c>
      <c r="J181" s="58"/>
      <c r="K181" s="51">
        <f t="shared" si="66"/>
        <v>171</v>
      </c>
      <c r="L181" s="59" t="str">
        <f t="shared" si="53"/>
        <v>Sevenoaks</v>
      </c>
      <c r="M181" s="153">
        <f t="shared" si="57"/>
        <v>0.32848517518231973</v>
      </c>
      <c r="N181" s="148">
        <f t="shared" si="58"/>
        <v>32.848517518231972</v>
      </c>
      <c r="O181" s="131" t="str">
        <f t="shared" si="54"/>
        <v/>
      </c>
      <c r="P181" s="131" t="str">
        <f t="shared" si="67"/>
        <v/>
      </c>
      <c r="Q181" s="131" t="str">
        <f t="shared" si="68"/>
        <v/>
      </c>
      <c r="R181" s="127">
        <f t="shared" si="69"/>
        <v>32.848517518231972</v>
      </c>
      <c r="S181" s="60" t="str">
        <f t="shared" si="59"/>
        <v/>
      </c>
      <c r="T181" s="231" t="str">
        <f>IF(L181="","",VLOOKUP(L181,classifications!C:K,9,FALSE))</f>
        <v>Sparse</v>
      </c>
      <c r="U181" s="238">
        <f t="shared" si="55"/>
        <v>0.32848517518231973</v>
      </c>
      <c r="V181" s="239">
        <f>IF(U181="","",IF($I$8="A",(RANK(U181,U$11:U$363)+COUNTIF(U$11:U181,U181)-1),(RANK(U181,U$11:U$363,1)+COUNTIF(U$11:U181,U181)-1)))</f>
        <v>7</v>
      </c>
      <c r="W181" s="240"/>
      <c r="X181" s="61" t="str">
        <f>IF(L181="","",VLOOKUP($L181,classifications!$C:$J,6,FALSE))</f>
        <v>Rural-50</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Kent</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East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0.26736418905294446</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0.33339671505455948</v>
      </c>
      <c r="G182" s="105"/>
      <c r="H182" s="60" t="str">
        <f t="shared" si="52"/>
        <v/>
      </c>
      <c r="I182" s="112" t="str">
        <f>IF(H182="","",IF($I$8="A",(RANK(H182,H$11:H$363,1)+COUNTIF(H$11:H182,H182)-1),(RANK(H182,H$11:H$363)+COUNTIF(H$11:H182,H182)-1)))</f>
        <v/>
      </c>
      <c r="J182" s="58"/>
      <c r="K182" s="51">
        <f t="shared" si="66"/>
        <v>172</v>
      </c>
      <c r="L182" s="59" t="str">
        <f t="shared" si="53"/>
        <v>Burnley</v>
      </c>
      <c r="M182" s="153">
        <f t="shared" si="57"/>
        <v>0.32670457388197699</v>
      </c>
      <c r="N182" s="148">
        <f t="shared" si="58"/>
        <v>32.670457388197697</v>
      </c>
      <c r="O182" s="131" t="str">
        <f t="shared" si="54"/>
        <v/>
      </c>
      <c r="P182" s="131" t="str">
        <f t="shared" si="67"/>
        <v/>
      </c>
      <c r="Q182" s="131" t="str">
        <f t="shared" si="68"/>
        <v/>
      </c>
      <c r="R182" s="127">
        <f t="shared" si="69"/>
        <v>32.670457388197697</v>
      </c>
      <c r="S182" s="60" t="str">
        <f t="shared" si="59"/>
        <v/>
      </c>
      <c r="T182" s="231">
        <f>IF(L182="","",VLOOKUP(L182,classifications!C:K,9,FALSE))</f>
        <v>0</v>
      </c>
      <c r="U182" s="238" t="str">
        <f t="shared" si="55"/>
        <v/>
      </c>
      <c r="V182" s="239" t="str">
        <f>IF(U182="","",IF($I$8="A",(RANK(U182,U$11:U$363)+COUNTIF(U$11:U182,U182)-1),(RANK(U182,U$11:U$363,1)+COUNTIF(U$11:U182,U182)-1)))</f>
        <v/>
      </c>
      <c r="W182" s="240"/>
      <c r="X182" s="61" t="str">
        <f>IF(L182="","",VLOOKUP($L182,classifications!$C:$J,6,FALSE))</f>
        <v>Other Urban</v>
      </c>
      <c r="Y182" s="49" t="str">
        <f t="shared" si="60"/>
        <v/>
      </c>
      <c r="Z182" s="57" t="str">
        <f>IF(Y182="","",IF(I$8="A",(RANK(Y182,Y$11:Y$363,1)+COUNTIF(Y$11:Y182,Y182)-1),(RANK(Y182,Y$11:Y$363)+COUNTIF(Y$11:Y182,Y182)-1)))</f>
        <v/>
      </c>
      <c r="AA182" s="245" t="str">
        <f>IF(L182="","",VLOOKUP($L182,classifications!C:I,7,FALSE))</f>
        <v>Significant Rural</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Lancashire</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North West</v>
      </c>
      <c r="AQ182" s="62">
        <f t="shared" si="63"/>
        <v>0.32670457388197699</v>
      </c>
      <c r="AR182" s="57">
        <f>IF(AQ182="","",IF(I$8="A",(RANK(AQ182,AQ$11:AQ$363,1)+COUNTIF(AQ$11:AQ182,AQ182)-1),(RANK(AQ182,AQ$11:AQ$363)+COUNTIF(AQ$11:AQ182,AQ182)-1)))</f>
        <v>17</v>
      </c>
      <c r="AS182" s="52" t="str">
        <f t="shared" si="64"/>
        <v/>
      </c>
      <c r="AT182" s="57" t="str">
        <f t="shared" si="65"/>
        <v/>
      </c>
      <c r="AU182" s="62" t="str">
        <f t="shared" si="71"/>
        <v/>
      </c>
      <c r="AX182" s="44">
        <f>HLOOKUP($AX$9&amp;$AX$10,Data!$A$1:$ZZ$2000,(MATCH($C182,Data!$A$1:$A$2000,0)),FALSE)</f>
        <v>0.33339671505455948</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0.46563971912469376</v>
      </c>
      <c r="G183" s="105"/>
      <c r="H183" s="60">
        <f t="shared" si="52"/>
        <v>0.46563971912469376</v>
      </c>
      <c r="I183" s="112">
        <f>IF(H183="","",IF($I$8="A",(RANK(H183,H$11:H$363,1)+COUNTIF(H$11:H183,H183)-1),(RANK(H183,H$11:H$363)+COUNTIF(H$11:H183,H183)-1)))</f>
        <v>75</v>
      </c>
      <c r="J183" s="58"/>
      <c r="K183" s="51">
        <f t="shared" si="66"/>
        <v>173</v>
      </c>
      <c r="L183" s="59" t="str">
        <f t="shared" si="53"/>
        <v>Adur</v>
      </c>
      <c r="M183" s="153">
        <f t="shared" si="57"/>
        <v>0.32564984367803296</v>
      </c>
      <c r="N183" s="148">
        <f t="shared" si="58"/>
        <v>32.564984367803298</v>
      </c>
      <c r="O183" s="131" t="str">
        <f t="shared" si="54"/>
        <v/>
      </c>
      <c r="P183" s="131" t="str">
        <f t="shared" si="67"/>
        <v/>
      </c>
      <c r="Q183" s="131" t="str">
        <f t="shared" si="68"/>
        <v/>
      </c>
      <c r="R183" s="127">
        <f t="shared" si="69"/>
        <v>32.564984367803298</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Large Urban</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West Sussex</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South East</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0.46563971912469376</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0.4619765845955669</v>
      </c>
      <c r="G184" s="105"/>
      <c r="H184" s="60">
        <f t="shared" si="52"/>
        <v>0.4619765845955669</v>
      </c>
      <c r="I184" s="112">
        <f>IF(H184="","",IF($I$8="A",(RANK(H184,H$11:H$363,1)+COUNTIF(H$11:H184,H184)-1),(RANK(H184,H$11:H$363)+COUNTIF(H$11:H184,H184)-1)))</f>
        <v>80</v>
      </c>
      <c r="J184" s="58"/>
      <c r="K184" s="51">
        <f t="shared" si="66"/>
        <v>174</v>
      </c>
      <c r="L184" s="59" t="str">
        <f t="shared" si="53"/>
        <v>Rossendale</v>
      </c>
      <c r="M184" s="153">
        <f t="shared" si="57"/>
        <v>0.32130956874517275</v>
      </c>
      <c r="N184" s="148">
        <f t="shared" si="58"/>
        <v>32.130956874517274</v>
      </c>
      <c r="O184" s="131" t="str">
        <f t="shared" si="54"/>
        <v/>
      </c>
      <c r="P184" s="131" t="str">
        <f t="shared" si="67"/>
        <v/>
      </c>
      <c r="Q184" s="131" t="str">
        <f t="shared" si="68"/>
        <v/>
      </c>
      <c r="R184" s="127">
        <f t="shared" si="69"/>
        <v>32.130956874517274</v>
      </c>
      <c r="S184" s="60" t="str">
        <f t="shared" si="59"/>
        <v/>
      </c>
      <c r="T184" s="231">
        <f>IF(L184="","",VLOOKUP(L184,classifications!C:K,9,FALSE))</f>
        <v>0</v>
      </c>
      <c r="U184" s="238" t="str">
        <f t="shared" si="55"/>
        <v/>
      </c>
      <c r="V184" s="239" t="str">
        <f>IF(U184="","",IF($I$8="A",(RANK(U184,U$11:U$363)+COUNTIF(U$11:U184,U184)-1),(RANK(U184,U$11:U$363,1)+COUNTIF(U$11:U184,U184)-1)))</f>
        <v/>
      </c>
      <c r="W184" s="240"/>
      <c r="X184" s="61" t="str">
        <f>IF(L184="","",VLOOKUP($L184,classifications!$C:$J,6,FALSE))</f>
        <v>Other Urban</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Lancashire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North West</v>
      </c>
      <c r="AQ184" s="62">
        <f t="shared" si="63"/>
        <v>0.32130956874517275</v>
      </c>
      <c r="AR184" s="57">
        <f>IF(AQ184="","",IF(I$8="A",(RANK(AQ184,AQ$11:AQ$363,1)+COUNTIF(AQ$11:AQ184,AQ184)-1),(RANK(AQ184,AQ$11:AQ$363)+COUNTIF(AQ$11:AQ184,AQ184)-1)))</f>
        <v>18</v>
      </c>
      <c r="AS184" s="52" t="str">
        <f t="shared" si="64"/>
        <v/>
      </c>
      <c r="AT184" s="57" t="str">
        <f t="shared" si="65"/>
        <v/>
      </c>
      <c r="AU184" s="62" t="str">
        <f t="shared" si="71"/>
        <v/>
      </c>
      <c r="AX184" s="44">
        <f>HLOOKUP($AX$9&amp;$AX$10,Data!$A$1:$ZZ$2000,(MATCH($C184,Data!$A$1:$A$2000,0)),FALSE)</f>
        <v>0.4619765845955669</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0.34421518635033216</v>
      </c>
      <c r="G185" s="105"/>
      <c r="H185" s="60">
        <f t="shared" si="52"/>
        <v>0.34421518635033216</v>
      </c>
      <c r="I185" s="112">
        <f>IF(H185="","",IF($I$8="A",(RANK(H185,H$11:H$363,1)+COUNTIF(H$11:H185,H185)-1),(RANK(H185,H$11:H$363)+COUNTIF(H$11:H185,H185)-1)))</f>
        <v>161</v>
      </c>
      <c r="J185" s="58"/>
      <c r="K185" s="51">
        <f t="shared" si="66"/>
        <v>175</v>
      </c>
      <c r="L185" s="59" t="str">
        <f t="shared" si="53"/>
        <v>Test Valley</v>
      </c>
      <c r="M185" s="153">
        <f t="shared" si="57"/>
        <v>0.31796225389533084</v>
      </c>
      <c r="N185" s="148">
        <f t="shared" si="58"/>
        <v>31.796225389533085</v>
      </c>
      <c r="O185" s="131" t="str">
        <f t="shared" si="54"/>
        <v/>
      </c>
      <c r="P185" s="131" t="str">
        <f t="shared" si="67"/>
        <v/>
      </c>
      <c r="Q185" s="131" t="str">
        <f t="shared" si="68"/>
        <v/>
      </c>
      <c r="R185" s="127">
        <f t="shared" si="69"/>
        <v>31.796225389533085</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Rural-50</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Hampshire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South East</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0.34421518635033216</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0.34926831129104391</v>
      </c>
      <c r="G186" s="105"/>
      <c r="H186" s="60" t="str">
        <f t="shared" si="52"/>
        <v/>
      </c>
      <c r="I186" s="112" t="str">
        <f>IF(H186="","",IF($I$8="A",(RANK(H186,H$11:H$363,1)+COUNTIF(H$11:H186,H186)-1),(RANK(H186,H$11:H$363)+COUNTIF(H$11:H186,H186)-1)))</f>
        <v/>
      </c>
      <c r="J186" s="58"/>
      <c r="K186" s="51">
        <f t="shared" si="66"/>
        <v>176</v>
      </c>
      <c r="L186" s="59" t="str">
        <f t="shared" si="53"/>
        <v>Stroud</v>
      </c>
      <c r="M186" s="153">
        <f t="shared" si="57"/>
        <v>0.31144480810431491</v>
      </c>
      <c r="N186" s="148">
        <f t="shared" si="58"/>
        <v>31.144480810431492</v>
      </c>
      <c r="O186" s="131" t="str">
        <f t="shared" si="54"/>
        <v/>
      </c>
      <c r="P186" s="131" t="str">
        <f t="shared" si="67"/>
        <v/>
      </c>
      <c r="Q186" s="131" t="str">
        <f t="shared" si="68"/>
        <v/>
      </c>
      <c r="R186" s="127">
        <f t="shared" si="69"/>
        <v>31.144480810431492</v>
      </c>
      <c r="S186" s="60" t="str">
        <f t="shared" si="59"/>
        <v/>
      </c>
      <c r="T186" s="231" t="str">
        <f>IF(L186="","",VLOOKUP(L186,classifications!C:K,9,FALSE))</f>
        <v>Sparse</v>
      </c>
      <c r="U186" s="238">
        <f t="shared" si="55"/>
        <v>0.31144480810431491</v>
      </c>
      <c r="V186" s="239">
        <f>IF(U186="","",IF($I$8="A",(RANK(U186,U$11:U$363)+COUNTIF(U$11:U186,U186)-1),(RANK(U186,U$11:U$363,1)+COUNTIF(U$11:U186,U186)-1)))</f>
        <v>6</v>
      </c>
      <c r="W186" s="240"/>
      <c r="X186" s="61" t="str">
        <f>IF(L186="","",VLOOKUP($L186,classifications!$C:$J,6,FALSE))</f>
        <v>Rural-50</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Gloucestershire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South West</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0.34926831129104391</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0.38117693561316623</v>
      </c>
      <c r="G187" s="105"/>
      <c r="H187" s="60">
        <f t="shared" si="52"/>
        <v>0.38117693561316623</v>
      </c>
      <c r="I187" s="112">
        <f>IF(H187="","",IF($I$8="A",(RANK(H187,H$11:H$363,1)+COUNTIF(H$11:H187,H187)-1),(RANK(H187,H$11:H$363)+COUNTIF(H$11:H187,H187)-1)))</f>
        <v>142</v>
      </c>
      <c r="J187" s="58"/>
      <c r="K187" s="51">
        <f t="shared" si="66"/>
        <v>177</v>
      </c>
      <c r="L187" s="59" t="str">
        <f t="shared" si="53"/>
        <v>Thanet</v>
      </c>
      <c r="M187" s="153">
        <f t="shared" si="57"/>
        <v>0.30286360718512401</v>
      </c>
      <c r="N187" s="148">
        <f t="shared" si="58"/>
        <v>30.286360718512402</v>
      </c>
      <c r="O187" s="131" t="str">
        <f t="shared" si="54"/>
        <v/>
      </c>
      <c r="P187" s="131" t="str">
        <f t="shared" si="67"/>
        <v/>
      </c>
      <c r="Q187" s="131" t="str">
        <f t="shared" si="68"/>
        <v/>
      </c>
      <c r="R187" s="127">
        <f t="shared" si="69"/>
        <v>30.286360718512402</v>
      </c>
      <c r="S187" s="60" t="str">
        <f t="shared" si="59"/>
        <v/>
      </c>
      <c r="T187" s="231">
        <f>IF(L187="","",VLOOKUP(L187,classifications!C:K,9,FALSE))</f>
        <v>0</v>
      </c>
      <c r="U187" s="238" t="str">
        <f t="shared" si="55"/>
        <v/>
      </c>
      <c r="V187" s="239" t="str">
        <f>IF(U187="","",IF($I$8="A",(RANK(U187,U$11:U$363)+COUNTIF(U$11:U187,U187)-1),(RANK(U187,U$11:U$363,1)+COUNTIF(U$11:U187,U187)-1)))</f>
        <v/>
      </c>
      <c r="W187" s="240"/>
      <c r="X187" s="61" t="str">
        <f>IF(L187="","",VLOOKUP($L187,classifications!$C:$J,6,FALSE))</f>
        <v>Other Urban</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Kent</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South East</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0.38117693561316623</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0.46619732655439416</v>
      </c>
      <c r="G188" s="105"/>
      <c r="H188" s="60">
        <f t="shared" si="52"/>
        <v>0.46619732655439416</v>
      </c>
      <c r="I188" s="112">
        <f>IF(H188="","",IF($I$8="A",(RANK(H188,H$11:H$363,1)+COUNTIF(H$11:H188,H188)-1),(RANK(H188,H$11:H$363)+COUNTIF(H$11:H188,H188)-1)))</f>
        <v>74</v>
      </c>
      <c r="J188" s="58"/>
      <c r="K188" s="51">
        <f t="shared" si="66"/>
        <v>178</v>
      </c>
      <c r="L188" s="59" t="str">
        <f t="shared" si="53"/>
        <v>Wyre Forest</v>
      </c>
      <c r="M188" s="153">
        <f t="shared" si="57"/>
        <v>0.30102083619250847</v>
      </c>
      <c r="N188" s="148">
        <f t="shared" si="58"/>
        <v>30.102083619250848</v>
      </c>
      <c r="O188" s="131" t="str">
        <f t="shared" si="54"/>
        <v/>
      </c>
      <c r="P188" s="131" t="str">
        <f t="shared" si="67"/>
        <v/>
      </c>
      <c r="Q188" s="131" t="str">
        <f t="shared" si="68"/>
        <v/>
      </c>
      <c r="R188" s="127">
        <f t="shared" si="69"/>
        <v>30.102083619250848</v>
      </c>
      <c r="S188" s="60" t="str">
        <f t="shared" si="59"/>
        <v/>
      </c>
      <c r="T188" s="231" t="str">
        <f>IF(L188="","",VLOOKUP(L188,classifications!C:K,9,FALSE))</f>
        <v>Sparse</v>
      </c>
      <c r="U188" s="238">
        <f t="shared" si="55"/>
        <v>0.30102083619250847</v>
      </c>
      <c r="V188" s="239">
        <f>IF(U188="","",IF($I$8="A",(RANK(U188,U$11:U$363)+COUNTIF(U$11:U188,U188)-1),(RANK(U188,U$11:U$363,1)+COUNTIF(U$11:U188,U188)-1)))</f>
        <v>5</v>
      </c>
      <c r="W188" s="240"/>
      <c r="X188" s="61" t="str">
        <f>IF(L188="","",VLOOKUP($L188,classifications!$C:$J,6,FALSE))</f>
        <v>Significant Rural</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Worcestershire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West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0.46619732655439416</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0.41519486270468131</v>
      </c>
      <c r="G189" s="105"/>
      <c r="H189" s="60">
        <f t="shared" si="52"/>
        <v>0.41519486270468131</v>
      </c>
      <c r="I189" s="112">
        <f>IF(H189="","",IF($I$8="A",(RANK(H189,H$11:H$363,1)+COUNTIF(H$11:H189,H189)-1),(RANK(H189,H$11:H$363)+COUNTIF(H$11:H189,H189)-1)))</f>
        <v>122</v>
      </c>
      <c r="J189" s="58"/>
      <c r="K189" s="51">
        <f t="shared" si="66"/>
        <v>179</v>
      </c>
      <c r="L189" s="59" t="str">
        <f t="shared" si="53"/>
        <v>South Holland</v>
      </c>
      <c r="M189" s="153">
        <f t="shared" si="57"/>
        <v>0.29726702246222858</v>
      </c>
      <c r="N189" s="148">
        <f t="shared" si="58"/>
        <v>29.726702246222857</v>
      </c>
      <c r="O189" s="131" t="str">
        <f t="shared" si="54"/>
        <v/>
      </c>
      <c r="P189" s="131" t="str">
        <f t="shared" si="67"/>
        <v/>
      </c>
      <c r="Q189" s="131" t="str">
        <f t="shared" si="68"/>
        <v/>
      </c>
      <c r="R189" s="127">
        <f t="shared" si="69"/>
        <v>29.726702246222857</v>
      </c>
      <c r="S189" s="60" t="str">
        <f t="shared" si="59"/>
        <v/>
      </c>
      <c r="T189" s="231" t="str">
        <f>IF(L189="","",VLOOKUP(L189,classifications!C:K,9,FALSE))</f>
        <v>Sparse</v>
      </c>
      <c r="U189" s="238">
        <f t="shared" si="55"/>
        <v>0.29726702246222858</v>
      </c>
      <c r="V189" s="239">
        <f>IF(U189="","",IF($I$8="A",(RANK(U189,U$11:U$363)+COUNTIF(U$11:U189,U189)-1),(RANK(U189,U$11:U$363,1)+COUNTIF(U$11:U189,U189)-1)))</f>
        <v>4</v>
      </c>
      <c r="W189" s="240"/>
      <c r="X189" s="61" t="str">
        <f>IF(L189="","",VLOOKUP($L189,classifications!$C:$J,6,FALSE))</f>
        <v>Rural-80</v>
      </c>
      <c r="Y189" s="49">
        <f t="shared" si="60"/>
        <v>0.29726702246222858</v>
      </c>
      <c r="Z189" s="57">
        <f>IF(Y189="","",IF(I$8="A",(RANK(Y189,Y$11:Y$363,1)+COUNTIF(Y$11:Y189,Y189)-1),(RANK(Y189,Y$11:Y$363)+COUNTIF(Y$11:Y189,Y189)-1)))</f>
        <v>47</v>
      </c>
      <c r="AA189" s="245" t="str">
        <f>IF(L189="","",VLOOKUP($L189,classifications!C:I,7,FALSE))</f>
        <v>Predominantly Rural</v>
      </c>
      <c r="AB189" s="239">
        <f t="shared" si="61"/>
        <v>0.29726702246222858</v>
      </c>
      <c r="AC189" s="239">
        <f>IF(AB189="","",IF($I$8="A",(RANK(AB189,AB$11:AB$363)+COUNTIF(AB$11:AB189,AB189)-1),(RANK(AB189,AB$11:AB$363,1)+COUNTIF(AB$11:AB189,AB189)-1)))</f>
        <v>2</v>
      </c>
      <c r="AD189" s="239"/>
      <c r="AE189" s="51" t="str">
        <f t="shared" si="73"/>
        <v/>
      </c>
      <c r="AG189" s="143"/>
      <c r="AH189" s="52"/>
      <c r="AI189" s="61" t="str">
        <f>IF(L189="","",VLOOKUP($L189,classifications!$C:$J,8,FALSE))</f>
        <v>Lincolnshire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East Midlands</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0.41519486270468131</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0.38873275151237024</v>
      </c>
      <c r="G190" s="105"/>
      <c r="H190" s="60" t="str">
        <f t="shared" si="52"/>
        <v/>
      </c>
      <c r="I190" s="112" t="str">
        <f>IF(H190="","",IF($I$8="A",(RANK(H190,H$11:H$363,1)+COUNTIF(H$11:H190,H190)-1),(RANK(H190,H$11:H$363)+COUNTIF(H$11:H190,H190)-1)))</f>
        <v/>
      </c>
      <c r="J190" s="58"/>
      <c r="K190" s="51">
        <f t="shared" si="66"/>
        <v>180</v>
      </c>
      <c r="L190" s="59" t="str">
        <f t="shared" si="53"/>
        <v>Havant</v>
      </c>
      <c r="M190" s="153">
        <f t="shared" si="57"/>
        <v>0.29248710649516757</v>
      </c>
      <c r="N190" s="148">
        <f t="shared" si="58"/>
        <v>29.248710649516756</v>
      </c>
      <c r="O190" s="131" t="str">
        <f t="shared" si="54"/>
        <v/>
      </c>
      <c r="P190" s="131" t="str">
        <f t="shared" si="67"/>
        <v/>
      </c>
      <c r="Q190" s="131" t="str">
        <f t="shared" si="68"/>
        <v/>
      </c>
      <c r="R190" s="127">
        <f t="shared" si="69"/>
        <v>29.248710649516756</v>
      </c>
      <c r="S190" s="60" t="str">
        <f t="shared" si="59"/>
        <v/>
      </c>
      <c r="T190" s="231">
        <f>IF(L190="","",VLOOKUP(L190,classifications!C:K,9,FALSE))</f>
        <v>0</v>
      </c>
      <c r="U190" s="238" t="str">
        <f t="shared" si="55"/>
        <v/>
      </c>
      <c r="V190" s="239" t="str">
        <f>IF(U190="","",IF($I$8="A",(RANK(U190,U$11:U$363)+COUNTIF(U$11:U190,U190)-1),(RANK(U190,U$11:U$363,1)+COUNTIF(U$11:U190,U190)-1)))</f>
        <v/>
      </c>
      <c r="W190" s="240"/>
      <c r="X190" s="61" t="str">
        <f>IF(L190="","",VLOOKUP($L190,classifications!$C:$J,6,FALSE))</f>
        <v>Large Urban</v>
      </c>
      <c r="Y190" s="49" t="str">
        <f t="shared" si="60"/>
        <v/>
      </c>
      <c r="Z190" s="57" t="str">
        <f>IF(Y190="","",IF(I$8="A",(RANK(Y190,Y$11:Y$363,1)+COUNTIF(Y$11:Y190,Y190)-1),(RANK(Y190,Y$11:Y$363)+COUNTIF(Y$11:Y190,Y190)-1)))</f>
        <v/>
      </c>
      <c r="AA190" s="245" t="str">
        <f>IF(L190="","",VLOOKUP($L190,classifications!C:I,7,FALSE))</f>
        <v>Significant Rural</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Hampshire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South East</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0.38873275151237024</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0.46732302255695712</v>
      </c>
      <c r="G191" s="105"/>
      <c r="H191" s="60">
        <f t="shared" si="52"/>
        <v>0.46732302255695712</v>
      </c>
      <c r="I191" s="112">
        <f>IF(H191="","",IF($I$8="A",(RANK(H191,H$11:H$363,1)+COUNTIF(H$11:H191,H191)-1),(RANK(H191,H$11:H$363)+COUNTIF(H$11:H191,H191)-1)))</f>
        <v>71</v>
      </c>
      <c r="J191" s="58"/>
      <c r="K191" s="51">
        <f t="shared" si="66"/>
        <v>181</v>
      </c>
      <c r="L191" s="59" t="str">
        <f t="shared" si="53"/>
        <v>New Forest</v>
      </c>
      <c r="M191" s="153">
        <f t="shared" si="57"/>
        <v>0.29108255533071742</v>
      </c>
      <c r="N191" s="148">
        <f t="shared" si="58"/>
        <v>29.108255533071741</v>
      </c>
      <c r="O191" s="131" t="str">
        <f t="shared" si="54"/>
        <v/>
      </c>
      <c r="P191" s="131" t="str">
        <f t="shared" si="67"/>
        <v/>
      </c>
      <c r="Q191" s="131" t="str">
        <f t="shared" si="68"/>
        <v/>
      </c>
      <c r="R191" s="127">
        <f t="shared" si="69"/>
        <v>29.108255533071741</v>
      </c>
      <c r="S191" s="60" t="str">
        <f t="shared" si="59"/>
        <v/>
      </c>
      <c r="T191" s="231" t="str">
        <f>IF(L191="","",VLOOKUP(L191,classifications!C:K,9,FALSE))</f>
        <v>Sparse</v>
      </c>
      <c r="U191" s="238">
        <f t="shared" si="55"/>
        <v>0.29108255533071742</v>
      </c>
      <c r="V191" s="239">
        <f>IF(U191="","",IF($I$8="A",(RANK(U191,U$11:U$363)+COUNTIF(U$11:U191,U191)-1),(RANK(U191,U$11:U$363,1)+COUNTIF(U$11:U191,U191)-1)))</f>
        <v>3</v>
      </c>
      <c r="W191" s="240"/>
      <c r="X191" s="61" t="str">
        <f>IF(L191="","",VLOOKUP($L191,classifications!$C:$J,6,FALSE))</f>
        <v>Significant Rural</v>
      </c>
      <c r="Y191" s="49" t="str">
        <f t="shared" si="60"/>
        <v/>
      </c>
      <c r="Z191" s="57" t="str">
        <f>IF(Y191="","",IF(I$8="A",(RANK(Y191,Y$11:Y$363,1)+COUNTIF(Y$11:Y191,Y191)-1),(RANK(Y191,Y$11:Y$363)+COUNTIF(Y$11:Y191,Y191)-1)))</f>
        <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Hampshire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South East</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0.46732302255695712</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0.41725642368814664</v>
      </c>
      <c r="G192" s="105"/>
      <c r="H192" s="60">
        <f t="shared" si="52"/>
        <v>0.41725642368814664</v>
      </c>
      <c r="I192" s="112">
        <f>IF(H192="","",IF($I$8="A",(RANK(H192,H$11:H$363,1)+COUNTIF(H$11:H192,H192)-1),(RANK(H192,H$11:H$363)+COUNTIF(H$11:H192,H192)-1)))</f>
        <v>121</v>
      </c>
      <c r="J192" s="58"/>
      <c r="K192" s="51">
        <f t="shared" si="66"/>
        <v>182</v>
      </c>
      <c r="L192" s="59" t="str">
        <f t="shared" si="53"/>
        <v>Redditch</v>
      </c>
      <c r="M192" s="153">
        <f t="shared" si="57"/>
        <v>0.28954178148442239</v>
      </c>
      <c r="N192" s="148">
        <f t="shared" si="58"/>
        <v>28.954178148442239</v>
      </c>
      <c r="O192" s="131" t="str">
        <f t="shared" si="54"/>
        <v/>
      </c>
      <c r="P192" s="131" t="str">
        <f t="shared" si="67"/>
        <v/>
      </c>
      <c r="Q192" s="131" t="str">
        <f t="shared" si="68"/>
        <v/>
      </c>
      <c r="R192" s="127">
        <f t="shared" si="69"/>
        <v>28.954178148442239</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Other Urban</v>
      </c>
      <c r="Y192" s="49" t="str">
        <f t="shared" si="60"/>
        <v/>
      </c>
      <c r="Z192" s="57" t="str">
        <f>IF(Y192="","",IF(I$8="A",(RANK(Y192,Y$11:Y$363,1)+COUNTIF(Y$11:Y192,Y192)-1),(RANK(Y192,Y$11:Y$363)+COUNTIF(Y$11:Y192,Y192)-1)))</f>
        <v/>
      </c>
      <c r="AA192" s="245" t="str">
        <f>IF(L192="","",VLOOKUP($L192,classifications!C:I,7,FALSE))</f>
        <v>Significant Rural</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Worcestershire</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West Midlands</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0.41725642368814664</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0.42666809679296475</v>
      </c>
      <c r="G193" s="105"/>
      <c r="H193" s="60">
        <f t="shared" si="52"/>
        <v>0.42666809679296475</v>
      </c>
      <c r="I193" s="112">
        <f>IF(H193="","",IF($I$8="A",(RANK(H193,H$11:H$363,1)+COUNTIF(H$11:H193,H193)-1),(RANK(H193,H$11:H$363)+COUNTIF(H$11:H193,H193)-1)))</f>
        <v>113</v>
      </c>
      <c r="J193" s="58"/>
      <c r="K193" s="51">
        <f t="shared" si="66"/>
        <v>183</v>
      </c>
      <c r="L193" s="59" t="str">
        <f t="shared" si="53"/>
        <v>Hastings</v>
      </c>
      <c r="M193" s="153">
        <f t="shared" si="57"/>
        <v>0.27135435048332696</v>
      </c>
      <c r="N193" s="148">
        <f t="shared" si="58"/>
        <v>27.135435048332695</v>
      </c>
      <c r="O193" s="131" t="str">
        <f t="shared" si="54"/>
        <v/>
      </c>
      <c r="P193" s="131" t="str">
        <f t="shared" si="67"/>
        <v/>
      </c>
      <c r="Q193" s="131" t="str">
        <f t="shared" si="68"/>
        <v/>
      </c>
      <c r="R193" s="127">
        <f t="shared" si="69"/>
        <v>27.135435048332695</v>
      </c>
      <c r="S193" s="60" t="str">
        <f t="shared" si="59"/>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Other Urban</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East Sussex</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East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0.42666809679296475</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0.2772078732043603</v>
      </c>
      <c r="G194" s="105"/>
      <c r="H194" s="60" t="str">
        <f t="shared" si="52"/>
        <v/>
      </c>
      <c r="I194" s="112" t="str">
        <f>IF(H194="","",IF($I$8="A",(RANK(H194,H$11:H$363,1)+COUNTIF(H$11:H194,H194)-1),(RANK(H194,H$11:H$363)+COUNTIF(H$11:H194,H194)-1)))</f>
        <v/>
      </c>
      <c r="J194" s="58"/>
      <c r="K194" s="51">
        <f t="shared" si="66"/>
        <v>184</v>
      </c>
      <c r="L194" s="59" t="str">
        <f t="shared" si="53"/>
        <v>Tendring</v>
      </c>
      <c r="M194" s="153">
        <f t="shared" si="57"/>
        <v>0.27023835115608796</v>
      </c>
      <c r="N194" s="148">
        <f t="shared" si="58"/>
        <v>27.023835115608797</v>
      </c>
      <c r="O194" s="131" t="str">
        <f t="shared" si="54"/>
        <v/>
      </c>
      <c r="P194" s="131" t="str">
        <f t="shared" si="67"/>
        <v/>
      </c>
      <c r="Q194" s="131" t="str">
        <f t="shared" si="68"/>
        <v/>
      </c>
      <c r="R194" s="127">
        <f t="shared" si="69"/>
        <v>27.023835115608797</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Rural-50</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Essex</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East of England</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0.2772078732043603</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0.52679462872154859</v>
      </c>
      <c r="G195" s="105"/>
      <c r="H195" s="60" t="str">
        <f t="shared" si="52"/>
        <v/>
      </c>
      <c r="I195" s="112" t="str">
        <f>IF(H195="","",IF($I$8="A",(RANK(H195,H$11:H$363,1)+COUNTIF(H$11:H195,H195)-1),(RANK(H195,H$11:H$363)+COUNTIF(H$11:H195,H195)-1)))</f>
        <v/>
      </c>
      <c r="J195" s="58"/>
      <c r="K195" s="51">
        <f t="shared" si="66"/>
        <v>185</v>
      </c>
      <c r="L195" s="59" t="str">
        <f t="shared" si="53"/>
        <v>Dartford</v>
      </c>
      <c r="M195" s="153">
        <f t="shared" si="57"/>
        <v>0.26616853421943376</v>
      </c>
      <c r="N195" s="148">
        <f t="shared" si="58"/>
        <v>26.616853421943375</v>
      </c>
      <c r="O195" s="131" t="str">
        <f t="shared" si="54"/>
        <v/>
      </c>
      <c r="P195" s="131" t="str">
        <f t="shared" si="67"/>
        <v/>
      </c>
      <c r="Q195" s="131" t="str">
        <f t="shared" si="68"/>
        <v/>
      </c>
      <c r="R195" s="127">
        <f t="shared" si="69"/>
        <v>26.616853421943375</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Major Urban</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Kent</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South East</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0.52679462872154859</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0.5277235611073896</v>
      </c>
      <c r="G196" s="105"/>
      <c r="H196" s="60">
        <f t="shared" si="52"/>
        <v>0.5277235611073896</v>
      </c>
      <c r="I196" s="112">
        <f>IF(H196="","",IF($I$8="A",(RANK(H196,H$11:H$363,1)+COUNTIF(H$11:H196,H196)-1),(RANK(H196,H$11:H$363)+COUNTIF(H$11:H196,H196)-1)))</f>
        <v>32</v>
      </c>
      <c r="J196" s="58"/>
      <c r="K196" s="51">
        <f t="shared" si="66"/>
        <v>186</v>
      </c>
      <c r="L196" s="59" t="str">
        <f t="shared" si="53"/>
        <v>Newark &amp; Sherwood</v>
      </c>
      <c r="M196" s="153">
        <f t="shared" si="57"/>
        <v>0.26461854222702508</v>
      </c>
      <c r="N196" s="148">
        <f t="shared" si="58"/>
        <v>26.461854222702506</v>
      </c>
      <c r="O196" s="131" t="str">
        <f t="shared" si="54"/>
        <v/>
      </c>
      <c r="P196" s="131" t="str">
        <f t="shared" si="67"/>
        <v/>
      </c>
      <c r="Q196" s="131" t="str">
        <f t="shared" si="68"/>
        <v/>
      </c>
      <c r="R196" s="127">
        <f t="shared" si="69"/>
        <v>26.461854222702506</v>
      </c>
      <c r="S196" s="60" t="str">
        <f t="shared" si="59"/>
        <v/>
      </c>
      <c r="T196" s="231" t="str">
        <f>IF(L196="","",VLOOKUP(L196,classifications!C:K,9,FALSE))</f>
        <v>Sparse</v>
      </c>
      <c r="U196" s="238">
        <f t="shared" si="55"/>
        <v>0.26461854222702508</v>
      </c>
      <c r="V196" s="239">
        <f>IF(U196="","",IF($I$8="A",(RANK(U196,U$11:U$363)+COUNTIF(U$11:U196,U196)-1),(RANK(U196,U$11:U$363,1)+COUNTIF(U$11:U196,U196)-1)))</f>
        <v>2</v>
      </c>
      <c r="W196" s="240"/>
      <c r="X196" s="61" t="str">
        <f>IF(L196="","",VLOOKUP($L196,classifications!$C:$J,6,FALSE))</f>
        <v>Rural-50</v>
      </c>
      <c r="Y196" s="49" t="str">
        <f t="shared" si="60"/>
        <v/>
      </c>
      <c r="Z196" s="57" t="str">
        <f>IF(Y196="","",IF(I$8="A",(RANK(Y196,Y$11:Y$363,1)+COUNTIF(Y$11:Y196,Y196)-1),(RANK(Y196,Y$11:Y$363)+COUNTIF(Y$11:Y196,Y196)-1)))</f>
        <v/>
      </c>
      <c r="AA196" s="245" t="str">
        <f>IF(L196="","",VLOOKUP($L196,classifications!C:I,7,FALSE))</f>
        <v>Significant Rural</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Nottinghamshire</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East Midlands</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0.5277235611073896</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0.29108255533071742</v>
      </c>
      <c r="G197" s="105"/>
      <c r="H197" s="60">
        <f t="shared" si="52"/>
        <v>0.29108255533071742</v>
      </c>
      <c r="I197" s="112">
        <f>IF(H197="","",IF($I$8="A",(RANK(H197,H$11:H$363,1)+COUNTIF(H$11:H197,H197)-1),(RANK(H197,H$11:H$363)+COUNTIF(H$11:H197,H197)-1)))</f>
        <v>181</v>
      </c>
      <c r="J197" s="58"/>
      <c r="K197" s="51">
        <f t="shared" si="66"/>
        <v>187</v>
      </c>
      <c r="L197" s="59" t="str">
        <f t="shared" si="53"/>
        <v>Great Yarmouth</v>
      </c>
      <c r="M197" s="153">
        <f t="shared" si="57"/>
        <v>0.25645733010231825</v>
      </c>
      <c r="N197" s="148">
        <f t="shared" si="58"/>
        <v>25.645733010231826</v>
      </c>
      <c r="O197" s="131" t="str">
        <f t="shared" si="54"/>
        <v/>
      </c>
      <c r="P197" s="131" t="str">
        <f t="shared" si="67"/>
        <v/>
      </c>
      <c r="Q197" s="131" t="str">
        <f t="shared" si="68"/>
        <v/>
      </c>
      <c r="R197" s="127">
        <f t="shared" si="69"/>
        <v>25.645733010231826</v>
      </c>
      <c r="S197" s="60" t="str">
        <f t="shared" si="59"/>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Significant Rural</v>
      </c>
      <c r="Y197" s="49" t="str">
        <f t="shared" si="60"/>
        <v/>
      </c>
      <c r="Z197" s="57" t="str">
        <f>IF(Y197="","",IF(I$8="A",(RANK(Y197,Y$11:Y$363,1)+COUNTIF(Y$11:Y197,Y197)-1),(RANK(Y197,Y$11:Y$363)+COUNTIF(Y$11:Y197,Y197)-1)))</f>
        <v/>
      </c>
      <c r="AA197" s="245" t="str">
        <f>IF(L197="","",VLOOKUP($L197,classifications!C:I,7,FALSE))</f>
        <v>Predominantly Rural</v>
      </c>
      <c r="AB197" s="239">
        <f t="shared" si="61"/>
        <v>0.25645733010231825</v>
      </c>
      <c r="AC197" s="239">
        <f>IF(AB197="","",IF($I$8="A",(RANK(AB197,AB$11:AB$363)+COUNTIF(AB$11:AB197,AB197)-1),(RANK(AB197,AB$11:AB$363,1)+COUNTIF(AB$11:AB197,AB197)-1)))</f>
        <v>1</v>
      </c>
      <c r="AD197" s="239"/>
      <c r="AE197" s="51" t="str">
        <f t="shared" si="73"/>
        <v/>
      </c>
      <c r="AG197" s="143"/>
      <c r="AH197" s="52"/>
      <c r="AI197" s="61" t="str">
        <f>IF(L197="","",VLOOKUP($L197,classifications!$C:$J,8,FALSE))</f>
        <v>Norfolk</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East of England</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0.29108255533071742</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0.26461854222702508</v>
      </c>
      <c r="G198" s="105"/>
      <c r="H198" s="60">
        <f t="shared" si="52"/>
        <v>0.26461854222702508</v>
      </c>
      <c r="I198" s="112">
        <f>IF(H198="","",IF($I$8="A",(RANK(H198,H$11:H$363,1)+COUNTIF(H$11:H198,H198)-1),(RANK(H198,H$11:H$363)+COUNTIF(H$11:H198,H198)-1)))</f>
        <v>186</v>
      </c>
      <c r="J198" s="58"/>
      <c r="K198" s="51">
        <f t="shared" si="66"/>
        <v>188</v>
      </c>
      <c r="L198" s="59" t="str">
        <f t="shared" si="53"/>
        <v>Rushmoor</v>
      </c>
      <c r="M198" s="153">
        <f t="shared" si="57"/>
        <v>0.25513404535512102</v>
      </c>
      <c r="N198" s="148">
        <f t="shared" si="58"/>
        <v>25.513404535512102</v>
      </c>
      <c r="O198" s="131" t="str">
        <f t="shared" si="54"/>
        <v/>
      </c>
      <c r="P198" s="131" t="str">
        <f t="shared" si="67"/>
        <v/>
      </c>
      <c r="Q198" s="131" t="str">
        <f t="shared" si="68"/>
        <v/>
      </c>
      <c r="R198" s="127">
        <f t="shared" si="69"/>
        <v>25.513404535512102</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Other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Hampshire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South East</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0.26461854222702508</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0.41543442297288719</v>
      </c>
      <c r="G199" s="105"/>
      <c r="H199" s="60" t="str">
        <f t="shared" si="52"/>
        <v/>
      </c>
      <c r="I199" s="112" t="str">
        <f>IF(H199="","",IF($I$8="A",(RANK(H199,H$11:H$363,1)+COUNTIF(H$11:H199,H199)-1),(RANK(H199,H$11:H$363)+COUNTIF(H$11:H199,H199)-1)))</f>
        <v/>
      </c>
      <c r="J199" s="58"/>
      <c r="K199" s="51">
        <f t="shared" si="66"/>
        <v>189</v>
      </c>
      <c r="L199" s="59" t="str">
        <f t="shared" si="53"/>
        <v>Basingstoke &amp; Deane</v>
      </c>
      <c r="M199" s="153">
        <f t="shared" si="57"/>
        <v>0.25095307842573072</v>
      </c>
      <c r="N199" s="148">
        <f t="shared" si="58"/>
        <v>25.095307842573071</v>
      </c>
      <c r="O199" s="131" t="str">
        <f t="shared" si="54"/>
        <v/>
      </c>
      <c r="P199" s="131" t="str">
        <f t="shared" si="67"/>
        <v/>
      </c>
      <c r="Q199" s="131" t="str">
        <f t="shared" si="68"/>
        <v/>
      </c>
      <c r="R199" s="127">
        <f t="shared" si="69"/>
        <v>25.095307842573071</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Significant Rural</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Hampshire</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South East</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0.41543442297288719</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0.5073735994106463</v>
      </c>
      <c r="G200" s="105"/>
      <c r="H200" s="60">
        <f t="shared" si="52"/>
        <v>0.5073735994106463</v>
      </c>
      <c r="I200" s="112">
        <f>IF(H200="","",IF($I$8="A",(RANK(H200,H$11:H$363,1)+COUNTIF(H$11:H200,H200)-1),(RANK(H200,H$11:H$363)+COUNTIF(H$11:H200,H200)-1)))</f>
        <v>48</v>
      </c>
      <c r="J200" s="58"/>
      <c r="K200" s="51">
        <f t="shared" si="66"/>
        <v>190</v>
      </c>
      <c r="L200" s="59" t="str">
        <f t="shared" si="53"/>
        <v>Lewes</v>
      </c>
      <c r="M200" s="153">
        <f t="shared" si="57"/>
        <v>0.24978630767928622</v>
      </c>
      <c r="N200" s="148">
        <f t="shared" si="58"/>
        <v>24.978630767928621</v>
      </c>
      <c r="O200" s="131" t="str">
        <f t="shared" si="54"/>
        <v/>
      </c>
      <c r="P200" s="131" t="str">
        <f t="shared" si="67"/>
        <v/>
      </c>
      <c r="Q200" s="131" t="str">
        <f t="shared" si="68"/>
        <v/>
      </c>
      <c r="R200" s="127">
        <f t="shared" si="69"/>
        <v>24.978630767928621</v>
      </c>
      <c r="S200" s="60" t="str">
        <f t="shared" si="59"/>
        <v/>
      </c>
      <c r="T200" s="231" t="str">
        <f>IF(L200="","",VLOOKUP(L200,classifications!C:K,9,FALSE))</f>
        <v>Sparse</v>
      </c>
      <c r="U200" s="238">
        <f t="shared" si="55"/>
        <v>0.24978630767928622</v>
      </c>
      <c r="V200" s="239">
        <f>IF(U200="","",IF($I$8="A",(RANK(U200,U$11:U$363)+COUNTIF(U$11:U200,U200)-1),(RANK(U200,U$11:U$363,1)+COUNTIF(U$11:U200,U200)-1)))</f>
        <v>1</v>
      </c>
      <c r="W200" s="240"/>
      <c r="X200" s="61" t="str">
        <f>IF(L200="","",VLOOKUP($L200,classifications!$C:$J,6,FALSE))</f>
        <v>Rural-50</v>
      </c>
      <c r="Y200" s="49" t="str">
        <f t="shared" si="60"/>
        <v/>
      </c>
      <c r="Z200" s="57" t="str">
        <f>IF(Y200="","",IF(I$8="A",(RANK(Y200,Y$11:Y$363,1)+COUNTIF(Y$11:Y200,Y200)-1),(RANK(Y200,Y$11:Y$363)+COUNTIF(Y$11:Y200,Y200)-1)))</f>
        <v/>
      </c>
      <c r="AA200" s="245" t="str">
        <f>IF(L200="","",VLOOKUP($L200,classifications!C:I,7,FALSE))</f>
        <v>Significant Rural</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East Sussex</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South East</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0.5073735994106463</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0.17650115594026564</v>
      </c>
      <c r="G201" s="105"/>
      <c r="H201" s="60" t="str">
        <f t="shared" si="52"/>
        <v/>
      </c>
      <c r="I201" s="112" t="str">
        <f>IF(H201="","",IF($I$8="A",(RANK(H201,H$11:H$363,1)+COUNTIF(H$11:H201,H201)-1),(RANK(H201,H$11:H$363)+COUNTIF(H$11:H201,H201)-1)))</f>
        <v/>
      </c>
      <c r="J201" s="58"/>
      <c r="K201" s="51">
        <f t="shared" si="66"/>
        <v>191</v>
      </c>
      <c r="L201" s="59" t="str">
        <f t="shared" si="53"/>
        <v>Crawley</v>
      </c>
      <c r="M201" s="153">
        <f t="shared" si="57"/>
        <v>0.24869021049016676</v>
      </c>
      <c r="N201" s="148">
        <f t="shared" si="58"/>
        <v>24.869021049016677</v>
      </c>
      <c r="O201" s="131" t="str">
        <f t="shared" si="54"/>
        <v/>
      </c>
      <c r="P201" s="131" t="str">
        <f t="shared" si="67"/>
        <v/>
      </c>
      <c r="Q201" s="131" t="str">
        <f t="shared" si="68"/>
        <v/>
      </c>
      <c r="R201" s="127">
        <f t="shared" si="69"/>
        <v>24.869021049016677</v>
      </c>
      <c r="S201" s="60" t="str">
        <f t="shared" si="59"/>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Other Urban</v>
      </c>
      <c r="Y201" s="49" t="str">
        <f t="shared" si="60"/>
        <v/>
      </c>
      <c r="Z201" s="57" t="str">
        <f>IF(Y201="","",IF(I$8="A",(RANK(Y201,Y$11:Y$363,1)+COUNTIF(Y$11:Y201,Y201)-1),(RANK(Y201,Y$11:Y$363)+COUNTIF(Y$11:Y201,Y201)-1)))</f>
        <v/>
      </c>
      <c r="AA201" s="245" t="str">
        <f>IF(L201="","",VLOOKUP($L201,classifications!C:I,7,FALSE))</f>
        <v>Significant Rural</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West Sussex</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South East</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0.17650115594026564</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Gravesham</v>
      </c>
      <c r="M202" s="153">
        <f t="shared" si="57"/>
        <v>0.24495721147441182</v>
      </c>
      <c r="N202" s="148">
        <f t="shared" si="58"/>
        <v>24.495721147441181</v>
      </c>
      <c r="O202" s="131" t="str">
        <f t="shared" si="54"/>
        <v/>
      </c>
      <c r="P202" s="131" t="str">
        <f t="shared" si="67"/>
        <v/>
      </c>
      <c r="Q202" s="131" t="str">
        <f t="shared" si="68"/>
        <v/>
      </c>
      <c r="R202" s="127">
        <f t="shared" si="69"/>
        <v>24.495721147441181</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Major Urban</v>
      </c>
      <c r="Y202" s="49" t="str">
        <f t="shared" si="60"/>
        <v/>
      </c>
      <c r="Z202" s="57" t="str">
        <f>IF(Y202="","",IF(I$8="A",(RANK(Y202,Y$11:Y$363,1)+COUNTIF(Y$11:Y202,Y202)-1),(RANK(Y202,Y$11:Y$363)+COUNTIF(Y$11:Y202,Y202)-1)))</f>
        <v/>
      </c>
      <c r="AA202" s="245" t="str">
        <f>IF(L202="","",VLOOKUP($L202,classifications!C:I,7,FALSE))</f>
        <v>Significant Rural</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Kent</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South East</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0.44001826493890694</v>
      </c>
      <c r="G203" s="105"/>
      <c r="H203" s="60">
        <f t="shared" ref="H203:H266" si="75">IF(D203=$D$1,HLOOKUP($D$6,$AX$10:$ZZ$363,ROW()-9,FALSE),"")</f>
        <v>0.44001826493890694</v>
      </c>
      <c r="I203" s="112">
        <f>IF(H203="","",IF($I$8="A",(RANK(H203,H$11:H$363,1)+COUNTIF(H$11:H203,H203)-1),(RANK(H203,H$11:H$363)+COUNTIF(H$11:H203,H203)-1)))</f>
        <v>103</v>
      </c>
      <c r="J203" s="58"/>
      <c r="K203" s="51">
        <f t="shared" si="66"/>
        <v>193</v>
      </c>
      <c r="L203" s="59" t="str">
        <f t="shared" ref="L203:L266" si="76">IF(K203="","",INDEX(C$11:C$363,MATCH(K203,I$11:I$363,0)))</f>
        <v>Gosport</v>
      </c>
      <c r="M203" s="153">
        <f t="shared" si="57"/>
        <v>0.23522552684529618</v>
      </c>
      <c r="N203" s="148">
        <f t="shared" si="58"/>
        <v>23.522552684529618</v>
      </c>
      <c r="O203" s="131" t="str">
        <f t="shared" ref="O203:O266" si="77">IF(I$8="A",IF(N203&gt;=$P$7,IF(N203&lt;=$O$10,N203,""),""),IF(N203&lt;=$P$7,IF(N203&gt;=$O$10,N203,""),""))</f>
        <v/>
      </c>
      <c r="P203" s="131" t="str">
        <f t="shared" si="67"/>
        <v/>
      </c>
      <c r="Q203" s="131" t="str">
        <f t="shared" si="68"/>
        <v/>
      </c>
      <c r="R203" s="127">
        <f t="shared" si="69"/>
        <v>23.522552684529618</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Large Urban</v>
      </c>
      <c r="Y203" s="49" t="str">
        <f t="shared" si="60"/>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Hampshire</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South East</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0.44001826493890694</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t="str">
        <f t="shared" si="74"/>
        <v/>
      </c>
      <c r="G204" s="105"/>
      <c r="H204" s="60" t="str">
        <f t="shared" si="75"/>
        <v/>
      </c>
      <c r="I204" s="112" t="str">
        <f>IF(H204="","",IF($I$8="A",(RANK(H204,H$11:H$363,1)+COUNTIF(H$11:H204,H204)-1),(RANK(H204,H$11:H$363)+COUNTIF(H$11:H204,H204)-1)))</f>
        <v/>
      </c>
      <c r="J204" s="58"/>
      <c r="K204" s="51">
        <f t="shared" si="66"/>
        <v>194</v>
      </c>
      <c r="L204" s="59" t="str">
        <f t="shared" si="76"/>
        <v>Bassetlaw</v>
      </c>
      <c r="M204" s="153">
        <f t="shared" ref="M204:M267" si="80">IF(L204="","",IF(VLOOKUP(L204,C:D,2,FALSE)=$F$3,VLOOKUP(L204,C:H,6,FALSE),""))</f>
        <v>0.21407496040943602</v>
      </c>
      <c r="N204" s="148">
        <f t="shared" ref="N204:N267" si="81">IF(L204="","",IF($H$8="%%",M204*100,M204))</f>
        <v>21.407496040943602</v>
      </c>
      <c r="O204" s="131" t="str">
        <f t="shared" si="77"/>
        <v/>
      </c>
      <c r="P204" s="131" t="str">
        <f t="shared" si="67"/>
        <v/>
      </c>
      <c r="Q204" s="131" t="str">
        <f t="shared" si="68"/>
        <v/>
      </c>
      <c r="R204" s="127">
        <f t="shared" si="69"/>
        <v>21.407496040943602</v>
      </c>
      <c r="S204" s="60" t="str">
        <f t="shared" ref="S204:S267" si="82">IF(L204=D$3,"u","")</f>
        <v/>
      </c>
      <c r="T204" s="231">
        <f>IF(L204="","",VLOOKUP(L204,classifications!C:K,9,FALSE))</f>
        <v>0</v>
      </c>
      <c r="U204" s="238" t="str">
        <f t="shared" si="78"/>
        <v/>
      </c>
      <c r="V204" s="239" t="str">
        <f>IF(U204="","",IF($I$8="A",(RANK(U204,U$11:U$363)+COUNTIF(U$11:U204,U204)-1),(RANK(U204,U$11:U$363,1)+COUNTIF(U$11:U204,U204)-1)))</f>
        <v/>
      </c>
      <c r="W204" s="240"/>
      <c r="X204" s="61" t="str">
        <f>IF(L204="","",VLOOKUP($L204,classifications!$C:$J,6,FALSE))</f>
        <v>Rural-50</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Nottinghamshire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t="str">
        <f>HLOOKUP($AX$9&amp;$AX$10,Data!$A$1:$ZZ$2000,(MATCH($C204,Data!$A$1:$A$2000,0)),FALSE)</f>
        <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0.44059842204769323</v>
      </c>
      <c r="G205" s="105"/>
      <c r="H205" s="60">
        <f t="shared" si="75"/>
        <v>0.44059842204769323</v>
      </c>
      <c r="I205" s="112">
        <f>IF(H205="","",IF($I$8="A",(RANK(H205,H$11:H$363,1)+COUNTIF(H$11:H205,H205)-1),(RANK(H205,H$11:H$363)+COUNTIF(H$11:H205,H205)-1)))</f>
        <v>102</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0.44059842204769323</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0.31490168662391987</v>
      </c>
      <c r="G206" s="105"/>
      <c r="H206" s="60" t="str">
        <f t="shared" si="75"/>
        <v/>
      </c>
      <c r="I206" s="112" t="str">
        <f>IF(H206="","",IF($I$8="A",(RANK(H206,H$11:H$363,1)+COUNTIF(H$11:H206,H206)-1),(RANK(H206,H$11:H$363)+COUNTIF(H$11:H206,H206)-1)))</f>
        <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0.31490168662391987</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0.57300867149914747</v>
      </c>
      <c r="G207" s="105"/>
      <c r="H207" s="60">
        <f t="shared" si="75"/>
        <v>0.57300867149914747</v>
      </c>
      <c r="I207" s="112">
        <f>IF(H207="","",IF($I$8="A",(RANK(H207,H$11:H$363,1)+COUNTIF(H$11:H207,H207)-1),(RANK(H207,H$11:H$363)+COUNTIF(H$11:H207,H207)-1)))</f>
        <v>14</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0.57300867149914747</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0.47005393325679923</v>
      </c>
      <c r="G208" s="105"/>
      <c r="H208" s="60">
        <f t="shared" si="75"/>
        <v>0.47005393325679923</v>
      </c>
      <c r="I208" s="112">
        <f>IF(H208="","",IF($I$8="A",(RANK(H208,H$11:H$363,1)+COUNTIF(H$11:H208,H208)-1),(RANK(H208,H$11:H$363)+COUNTIF(H$11:H208,H208)-1)))</f>
        <v>67</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0.47005393325679923</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0.44497660397610611</v>
      </c>
      <c r="G209" s="105"/>
      <c r="H209" s="60" t="str">
        <f t="shared" si="75"/>
        <v/>
      </c>
      <c r="I209" s="112" t="str">
        <f>IF(H209="","",IF($I$8="A",(RANK(H209,H$11:H$363,1)+COUNTIF(H$11:H209,H209)-1),(RANK(H209,H$11:H$363)+COUNTIF(H$11:H209,H209)-1)))</f>
        <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0.44497660397610611</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0.40112684778012447</v>
      </c>
      <c r="G210" s="105"/>
      <c r="H210" s="60">
        <f t="shared" si="75"/>
        <v>0.40112684778012447</v>
      </c>
      <c r="I210" s="112">
        <f>IF(H210="","",IF($I$8="A",(RANK(H210,H$11:H$363,1)+COUNTIF(H$11:H210,H210)-1),(RANK(H210,H$11:H$363)+COUNTIF(H$11:H210,H210)-1)))</f>
        <v>135</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0.40112684778012447</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0.58140777721779624</v>
      </c>
      <c r="G211" s="105"/>
      <c r="H211" s="60" t="str">
        <f t="shared" si="75"/>
        <v/>
      </c>
      <c r="I211" s="112" t="str">
        <f>IF(H211="","",IF($I$8="A",(RANK(H211,H$11:H$363,1)+COUNTIF(H$11:H211,H211)-1),(RANK(H211,H$11:H$363)+COUNTIF(H$11:H211,H211)-1)))</f>
        <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0.58140777721779624</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0.3734388482105982</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0.3734388482105982</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0.39775841243157428</v>
      </c>
      <c r="G213" s="105"/>
      <c r="H213" s="60">
        <f t="shared" si="75"/>
        <v>0.39775841243157428</v>
      </c>
      <c r="I213" s="112">
        <f>IF(H213="","",IF($I$8="A",(RANK(H213,H$11:H$363,1)+COUNTIF(H$11:H213,H213)-1),(RANK(H213,H$11:H$363)+COUNTIF(H$11:H213,H213)-1)))</f>
        <v>136</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0.39775841243157428</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0.46361769701963218</v>
      </c>
      <c r="G214" s="105"/>
      <c r="H214" s="60">
        <f t="shared" si="75"/>
        <v>0.46361769701963218</v>
      </c>
      <c r="I214" s="112">
        <f>IF(H214="","",IF($I$8="A",(RANK(H214,H$11:H$363,1)+COUNTIF(H$11:H214,H214)-1),(RANK(H214,H$11:H$363)+COUNTIF(H$11:H214,H214)-1)))</f>
        <v>76</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0.46361769701963218</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0.42128265166475981</v>
      </c>
      <c r="G216" s="105"/>
      <c r="H216" s="60">
        <f t="shared" si="75"/>
        <v>0.42128265166475981</v>
      </c>
      <c r="I216" s="112">
        <f>IF(H216="","",IF($I$8="A",(RANK(H216,H$11:H$363,1)+COUNTIF(H$11:H216,H216)-1),(RANK(H216,H$11:H$363)+COUNTIF(H$11:H216,H216)-1)))</f>
        <v>118</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0.42128265166475981</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0.40152184528789009</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0.40152184528789009</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0.35050413294683486</v>
      </c>
      <c r="G219" s="105"/>
      <c r="H219" s="60">
        <f t="shared" si="75"/>
        <v>0.35050413294683486</v>
      </c>
      <c r="I219" s="112">
        <f>IF(H219="","",IF($I$8="A",(RANK(H219,H$11:H$363,1)+COUNTIF(H$11:H219,H219)-1),(RANK(H219,H$11:H$363)+COUNTIF(H$11:H219,H219)-1)))</f>
        <v>155</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0.35050413294683486</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0.45018446798962403</v>
      </c>
      <c r="G221" s="105"/>
      <c r="H221" s="60">
        <f t="shared" si="75"/>
        <v>0.45018446798962403</v>
      </c>
      <c r="I221" s="112">
        <f>IF(H221="","",IF($I$8="A",(RANK(H221,H$11:H$363,1)+COUNTIF(H$11:H221,H221)-1),(RANK(H221,H$11:H$363)+COUNTIF(H$11:H221,H221)-1)))</f>
        <v>91</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0.45018446798962403</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0.50299453296035879</v>
      </c>
      <c r="G222" s="105"/>
      <c r="H222" s="60">
        <f t="shared" si="75"/>
        <v>0.50299453296035879</v>
      </c>
      <c r="I222" s="112">
        <f>IF(H222="","",IF($I$8="A",(RANK(H222,H$11:H$363,1)+COUNTIF(H$11:H222,H222)-1),(RANK(H222,H$11:H$363)+COUNTIF(H$11:H222,H222)-1)))</f>
        <v>51</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0.50299453296035879</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0.35787148868489643</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0.35787148868489643</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0.44428833990112049</v>
      </c>
      <c r="G224" s="105"/>
      <c r="H224" s="60">
        <f t="shared" si="75"/>
        <v>0.44428833990112049</v>
      </c>
      <c r="I224" s="112">
        <f>IF(H224="","",IF($I$8="A",(RANK(H224,H$11:H$363,1)+COUNTIF(H$11:H224,H224)-1),(RANK(H224,H$11:H$363)+COUNTIF(H$11:H224,H224)-1)))</f>
        <v>95</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0.44428833990112049</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0.3672210810078298</v>
      </c>
      <c r="G226" s="105"/>
      <c r="H226" s="60">
        <f t="shared" si="75"/>
        <v>0.3672210810078298</v>
      </c>
      <c r="I226" s="112">
        <f>IF(H226="","",IF($I$8="A",(RANK(H226,H$11:H$363,1)+COUNTIF(H$11:H226,H226)-1),(RANK(H226,H$11:H$363)+COUNTIF(H$11:H226,H226)-1)))</f>
        <v>148</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0.3672210810078298</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0.50830982170129935</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0.50830982170129935</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0.33656848796255939</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0.33656848796255939</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0.39784691364508767</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0.39784691364508767</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0.22168789819272461</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0.22168789819272461</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0.38072153436461303</v>
      </c>
      <c r="G231" s="105"/>
      <c r="H231" s="60">
        <f t="shared" si="75"/>
        <v>0.38072153436461303</v>
      </c>
      <c r="I231" s="112">
        <f>IF(H231="","",IF($I$8="A",(RANK(H231,H$11:H$363,1)+COUNTIF(H$11:H231,H231)-1),(RANK(H231,H$11:H$363)+COUNTIF(H$11:H231,H231)-1)))</f>
        <v>143</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0.38072153436461303</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t="str">
        <f t="shared" si="74"/>
        <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t="str">
        <f>HLOOKUP($AX$9&amp;$AX$10,Data!$A$1:$ZZ$2000,(MATCH($C232,Data!$A$1:$A$2000,0)),FALSE)</f>
        <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0.34434595235497395</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0.34434595235497395</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0.29322121114402377</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0.29322121114402377</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0.46673385084179514</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0.46673385084179514</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0.28954178148442239</v>
      </c>
      <c r="G236" s="105"/>
      <c r="H236" s="60">
        <f t="shared" si="75"/>
        <v>0.28954178148442239</v>
      </c>
      <c r="I236" s="112">
        <f>IF(H236="","",IF($I$8="A",(RANK(H236,H$11:H$363,1)+COUNTIF(H$11:H236,H236)-1),(RANK(H236,H$11:H$363)+COUNTIF(H$11:H236,H236)-1)))</f>
        <v>182</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0.28954178148442239</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0.52040115154620914</v>
      </c>
      <c r="G237" s="105"/>
      <c r="H237" s="60">
        <f t="shared" si="75"/>
        <v>0.52040115154620914</v>
      </c>
      <c r="I237" s="112">
        <f>IF(H237="","",IF($I$8="A",(RANK(H237,H$11:H$363,1)+COUNTIF(H$11:H237,H237)-1),(RANK(H237,H$11:H$363)+COUNTIF(H$11:H237,H237)-1)))</f>
        <v>38</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0.52040115154620914</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0.37591371403777968</v>
      </c>
      <c r="G238" s="105"/>
      <c r="H238" s="60">
        <f t="shared" si="75"/>
        <v>0.37591371403777968</v>
      </c>
      <c r="I238" s="112">
        <f>IF(H238="","",IF($I$8="A",(RANK(H238,H$11:H$363,1)+COUNTIF(H$11:H238,H238)-1),(RANK(H238,H$11:H$363)+COUNTIF(H$11:H238,H238)-1)))</f>
        <v>145</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0.37591371403777968</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0.43286102325012843</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0.43286102325012843</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0.41430974334393517</v>
      </c>
      <c r="G240" s="105"/>
      <c r="H240" s="60">
        <f t="shared" si="75"/>
        <v>0.41430974334393517</v>
      </c>
      <c r="I240" s="112">
        <f>IF(H240="","",IF($I$8="A",(RANK(H240,H$11:H$363,1)+COUNTIF(H$11:H240,H240)-1),(RANK(H240,H$11:H$363)+COUNTIF(H$11:H240,H240)-1)))</f>
        <v>124</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0.41430974334393517</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0.32935047539833173</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0.32935047539833173</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0.65473069918815896</v>
      </c>
      <c r="G242" s="105"/>
      <c r="H242" s="60">
        <f t="shared" si="75"/>
        <v>0.65473069918815896</v>
      </c>
      <c r="I242" s="112">
        <f>IF(H242="","",IF($I$8="A",(RANK(H242,H$11:H$363,1)+COUNTIF(H$11:H242,H242)-1),(RANK(H242,H$11:H$363)+COUNTIF(H$11:H242,H242)-1)))</f>
        <v>2</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0.65473069918815896</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0.32130956874517275</v>
      </c>
      <c r="G243" s="105"/>
      <c r="H243" s="60">
        <f t="shared" si="75"/>
        <v>0.32130956874517275</v>
      </c>
      <c r="I243" s="112">
        <f>IF(H243="","",IF($I$8="A",(RANK(H243,H$11:H$363,1)+COUNTIF(H$11:H243,H243)-1),(RANK(H243,H$11:H$363)+COUNTIF(H$11:H243,H243)-1)))</f>
        <v>174</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0.32130956874517275</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0.44411996677580773</v>
      </c>
      <c r="G244" s="105"/>
      <c r="H244" s="60">
        <f t="shared" si="75"/>
        <v>0.44411996677580773</v>
      </c>
      <c r="I244" s="112">
        <f>IF(H244="","",IF($I$8="A",(RANK(H244,H$11:H$363,1)+COUNTIF(H$11:H244,H244)-1),(RANK(H244,H$11:H$363)+COUNTIF(H$11:H244,H244)-1)))</f>
        <v>96</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0.44411996677580773</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0.40852902200287516</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0.40852902200287516</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0.4689825318561946</v>
      </c>
      <c r="G246" s="105"/>
      <c r="H246" s="60">
        <f t="shared" si="75"/>
        <v>0.4689825318561946</v>
      </c>
      <c r="I246" s="112">
        <f>IF(H246="","",IF($I$8="A",(RANK(H246,H$11:H$363,1)+COUNTIF(H$11:H246,H246)-1),(RANK(H246,H$11:H$363)+COUNTIF(H$11:H246,H246)-1)))</f>
        <v>69</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0.4689825318561946</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0.4183802401776946</v>
      </c>
      <c r="G247" s="105"/>
      <c r="H247" s="60">
        <f t="shared" si="75"/>
        <v>0.4183802401776946</v>
      </c>
      <c r="I247" s="112">
        <f>IF(H247="","",IF($I$8="A",(RANK(H247,H$11:H$363,1)+COUNTIF(H$11:H247,H247)-1),(RANK(H247,H$11:H$363)+COUNTIF(H$11:H247,H247)-1)))</f>
        <v>120</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0.4183802401776946</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0.51249359010124429</v>
      </c>
      <c r="G248" s="105"/>
      <c r="H248" s="60">
        <f t="shared" si="75"/>
        <v>0.51249359010124429</v>
      </c>
      <c r="I248" s="112">
        <f>IF(H248="","",IF($I$8="A",(RANK(H248,H$11:H$363,1)+COUNTIF(H$11:H248,H248)-1),(RANK(H248,H$11:H$363)+COUNTIF(H$11:H248,H248)-1)))</f>
        <v>41</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0.51249359010124429</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0.25513404535512102</v>
      </c>
      <c r="G249" s="105"/>
      <c r="H249" s="60">
        <f t="shared" si="75"/>
        <v>0.25513404535512102</v>
      </c>
      <c r="I249" s="112">
        <f>IF(H249="","",IF($I$8="A",(RANK(H249,H$11:H$363,1)+COUNTIF(H$11:H249,H249)-1),(RANK(H249,H$11:H$363)+COUNTIF(H$11:H249,H249)-1)))</f>
        <v>188</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0.25513404535512102</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0.60016072219605032</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0.60016072219605032</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0.52655199715275425</v>
      </c>
      <c r="G251" s="105"/>
      <c r="H251" s="60">
        <f t="shared" si="75"/>
        <v>0.52655199715275425</v>
      </c>
      <c r="I251" s="112">
        <f>IF(H251="","",IF($I$8="A",(RANK(H251,H$11:H$363,1)+COUNTIF(H$11:H251,H251)-1),(RANK(H251,H$11:H$363)+COUNTIF(H$11:H251,H251)-1)))</f>
        <v>33</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0.52655199715275425</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0.39816639533887416</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0.39816639533887416</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0.44648349592960468</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0.44648349592960468</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0.38789029949449766</v>
      </c>
      <c r="G254" s="105"/>
      <c r="H254" s="60">
        <f t="shared" si="75"/>
        <v>0.38789029949449766</v>
      </c>
      <c r="I254" s="112">
        <f>IF(H254="","",IF($I$8="A",(RANK(H254,H$11:H$363,1)+COUNTIF(H$11:H254,H254)-1),(RANK(H254,H$11:H$363)+COUNTIF(H$11:H254,H254)-1)))</f>
        <v>141</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0.38789029949449766</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0.44671540423656453</v>
      </c>
      <c r="G255" s="105"/>
      <c r="H255" s="60">
        <f t="shared" si="75"/>
        <v>0.44671540423656453</v>
      </c>
      <c r="I255" s="112">
        <f>IF(H255="","",IF($I$8="A",(RANK(H255,H$11:H$363,1)+COUNTIF(H$11:H255,H255)-1),(RANK(H255,H$11:H$363)+COUNTIF(H$11:H255,H255)-1)))</f>
        <v>93</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0.44671540423656453</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0.37609894632619667</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0.37609894632619667</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0.42930111550383998</v>
      </c>
      <c r="G257" s="105"/>
      <c r="H257" s="60">
        <f t="shared" si="75"/>
        <v>0.42930111550383998</v>
      </c>
      <c r="I257" s="112">
        <f>IF(H257="","",IF($I$8="A",(RANK(H257,H$11:H$363,1)+COUNTIF(H$11:H257,H257)-1),(RANK(H257,H$11:H$363)+COUNTIF(H$11:H257,H257)-1)))</f>
        <v>112</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0.42930111550383998</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0.32848517518231973</v>
      </c>
      <c r="G258" s="105"/>
      <c r="H258" s="60">
        <f t="shared" si="75"/>
        <v>0.32848517518231973</v>
      </c>
      <c r="I258" s="112">
        <f>IF(H258="","",IF($I$8="A",(RANK(H258,H$11:H$363,1)+COUNTIF(H$11:H258,H258)-1),(RANK(H258,H$11:H$363)+COUNTIF(H$11:H258,H258)-1)))</f>
        <v>171</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0.32848517518231973</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0.30215469524761362</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0.30215469524761362</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0.4457818805663703</v>
      </c>
      <c r="G260" s="105"/>
      <c r="H260" s="60">
        <f t="shared" si="75"/>
        <v>0.4457818805663703</v>
      </c>
      <c r="I260" s="112">
        <f>IF(H260="","",IF($I$8="A",(RANK(H260,H$11:H$363,1)+COUNTIF(H$11:H260,H260)-1),(RANK(H260,H$11:H$363)+COUNTIF(H$11:H260,H260)-1)))</f>
        <v>94</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0.4457818805663703</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0.49890983226482838</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0.49890983226482838</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0.29448969382092277</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0.29448969382092277</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0.39549731275375211</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0.39549731275375211</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0.33425921298080263</v>
      </c>
      <c r="G265" s="105"/>
      <c r="H265" s="60">
        <f t="shared" si="75"/>
        <v>0.33425921298080263</v>
      </c>
      <c r="I265" s="112">
        <f>IF(H265="","",IF($I$8="A",(RANK(H265,H$11:H$363,1)+COUNTIF(H$11:H265,H265)-1),(RANK(H265,H$11:H$363)+COUNTIF(H$11:H265,H265)-1)))</f>
        <v>167</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0.33425921298080263</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0.57048742128703744</v>
      </c>
      <c r="G266" s="105"/>
      <c r="H266" s="60">
        <f t="shared" si="75"/>
        <v>0.57048742128703744</v>
      </c>
      <c r="I266" s="112">
        <f>IF(H266="","",IF($I$8="A",(RANK(H266,H$11:H$363,1)+COUNTIF(H$11:H266,H266)-1),(RANK(H266,H$11:H$363)+COUNTIF(H$11:H266,H266)-1)))</f>
        <v>16</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0.57048742128703744</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0.48181228496988615</v>
      </c>
      <c r="G267" s="105"/>
      <c r="H267" s="60">
        <f t="shared" ref="H267:H330" si="99">IF(D267=$D$1,HLOOKUP($D$6,$AX$10:$ZZ$363,ROW()-9,FALSE),"")</f>
        <v>0.48181228496988615</v>
      </c>
      <c r="I267" s="112">
        <f>IF(H267="","",IF($I$8="A",(RANK(H267,H$11:H$363,1)+COUNTIF(H$11:H267,H267)-1),(RANK(H267,H$11:H$363)+COUNTIF(H$11:H267,H267)-1)))</f>
        <v>63</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0.48181228496988615</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0.49031546832102574</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0.49031546832102574</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0.53158472831922565</v>
      </c>
      <c r="G269" s="105"/>
      <c r="H269" s="60">
        <f t="shared" si="99"/>
        <v>0.53158472831922565</v>
      </c>
      <c r="I269" s="112">
        <f>IF(H269="","",IF($I$8="A",(RANK(H269,H$11:H$363,1)+COUNTIF(H$11:H269,H269)-1),(RANK(H269,H$11:H$363)+COUNTIF(H$11:H269,H269)-1)))</f>
        <v>31</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0.53158472831922565</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0.29726702246222858</v>
      </c>
      <c r="G270" s="105"/>
      <c r="H270" s="60">
        <f t="shared" si="99"/>
        <v>0.29726702246222858</v>
      </c>
      <c r="I270" s="112">
        <f>IF(H270="","",IF($I$8="A",(RANK(H270,H$11:H$363,1)+COUNTIF(H$11:H270,H270)-1),(RANK(H270,H$11:H$363)+COUNTIF(H$11:H270,H270)-1)))</f>
        <v>179</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0.29726702246222858</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0.47733208864810794</v>
      </c>
      <c r="G271" s="105"/>
      <c r="H271" s="60">
        <f t="shared" si="99"/>
        <v>0.47733208864810794</v>
      </c>
      <c r="I271" s="112">
        <f>IF(H271="","",IF($I$8="A",(RANK(H271,H$11:H$363,1)+COUNTIF(H$11:H271,H271)-1),(RANK(H271,H$11:H$363)+COUNTIF(H$11:H271,H271)-1)))</f>
        <v>64</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0.47733208864810794</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0.43419087694055281</v>
      </c>
      <c r="G272" s="105"/>
      <c r="H272" s="60">
        <f t="shared" si="99"/>
        <v>0.43419087694055281</v>
      </c>
      <c r="I272" s="112">
        <f>IF(H272="","",IF($I$8="A",(RANK(H272,H$11:H$363,1)+COUNTIF(H$11:H272,H272)-1),(RANK(H272,H$11:H$363)+COUNTIF(H$11:H272,H272)-1)))</f>
        <v>108</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0.43419087694055281</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0.39219452555215784</v>
      </c>
      <c r="G273" s="105"/>
      <c r="H273" s="60">
        <f t="shared" si="99"/>
        <v>0.39219452555215784</v>
      </c>
      <c r="I273" s="112">
        <f>IF(H273="","",IF($I$8="A",(RANK(H273,H$11:H$363,1)+COUNTIF(H$11:H273,H273)-1),(RANK(H273,H$11:H$363)+COUNTIF(H$11:H273,H273)-1)))</f>
        <v>139</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0.39219452555215784</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0.56722681260340158</v>
      </c>
      <c r="G274" s="105"/>
      <c r="H274" s="60">
        <f t="shared" si="99"/>
        <v>0.56722681260340158</v>
      </c>
      <c r="I274" s="112">
        <f>IF(H274="","",IF($I$8="A",(RANK(H274,H$11:H$363,1)+COUNTIF(H$11:H274,H274)-1),(RANK(H274,H$11:H$363)+COUNTIF(H$11:H274,H274)-1)))</f>
        <v>17</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0.56722681260340158</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0.65708340724934233</v>
      </c>
      <c r="G275" s="105"/>
      <c r="H275" s="60">
        <f t="shared" si="99"/>
        <v>0.65708340724934233</v>
      </c>
      <c r="I275" s="112">
        <f>IF(H275="","",IF($I$8="A",(RANK(H275,H$11:H$363,1)+COUNTIF(H$11:H275,H275)-1),(RANK(H275,H$11:H$363)+COUNTIF(H$11:H275,H275)-1)))</f>
        <v>1</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0.65708340724934233</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0.50539606257099867</v>
      </c>
      <c r="G276" s="105"/>
      <c r="H276" s="60">
        <f t="shared" si="99"/>
        <v>0.50539606257099867</v>
      </c>
      <c r="I276" s="112">
        <f>IF(H276="","",IF($I$8="A",(RANK(H276,H$11:H$363,1)+COUNTIF(H$11:H276,H276)-1),(RANK(H276,H$11:H$363)+COUNTIF(H$11:H276,H276)-1)))</f>
        <v>50</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0.50539606257099867</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0.43660320177175233</v>
      </c>
      <c r="G277" s="105"/>
      <c r="H277" s="60">
        <f t="shared" si="99"/>
        <v>0.43660320177175233</v>
      </c>
      <c r="I277" s="112">
        <f>IF(H277="","",IF($I$8="A",(RANK(H277,H$11:H$363,1)+COUNTIF(H$11:H277,H277)-1),(RANK(H277,H$11:H$363)+COUNTIF(H$11:H277,H277)-1)))</f>
        <v>106</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0.43660320177175233</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0.55168533152876287</v>
      </c>
      <c r="G278" s="105"/>
      <c r="H278" s="60">
        <f t="shared" si="99"/>
        <v>0.55168533152876287</v>
      </c>
      <c r="I278" s="112">
        <f>IF(H278="","",IF($I$8="A",(RANK(H278,H$11:H$363,1)+COUNTIF(H$11:H278,H278)-1),(RANK(H278,H$11:H$363)+COUNTIF(H$11:H278,H278)-1)))</f>
        <v>22</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0.55168533152876287</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0.3812271295871133</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0.3812271295871133</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0.23526125533539197</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0.23526125533539197</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0.52313610449991699</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0.52313610449991699</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0.34300654792515683</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0.34300654792515683</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0.4118657276238723</v>
      </c>
      <c r="G283" s="105"/>
      <c r="H283" s="60">
        <f t="shared" si="99"/>
        <v>0.4118657276238723</v>
      </c>
      <c r="I283" s="112">
        <f>IF(H283="","",IF($I$8="A",(RANK(H283,H$11:H$363,1)+COUNTIF(H$11:H283,H283)-1),(RANK(H283,H$11:H$363)+COUNTIF(H$11:H283,H283)-1)))</f>
        <v>126</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0.4118657276238723</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0.47668863037973225</v>
      </c>
      <c r="G284" s="105"/>
      <c r="H284" s="60">
        <f t="shared" si="99"/>
        <v>0.47668863037973225</v>
      </c>
      <c r="I284" s="112">
        <f>IF(H284="","",IF($I$8="A",(RANK(H284,H$11:H$363,1)+COUNTIF(H$11:H284,H284)-1),(RANK(H284,H$11:H$363)+COUNTIF(H$11:H284,H284)-1)))</f>
        <v>65</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0.47668863037973225</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0.52611230677475451</v>
      </c>
      <c r="G285" s="105"/>
      <c r="H285" s="60">
        <f t="shared" si="99"/>
        <v>0.52611230677475451</v>
      </c>
      <c r="I285" s="112">
        <f>IF(H285="","",IF($I$8="A",(RANK(H285,H$11:H$363,1)+COUNTIF(H$11:H285,H285)-1),(RANK(H285,H$11:H$363)+COUNTIF(H$11:H285,H285)-1)))</f>
        <v>34</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0.52611230677475451</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0.3680448280148349</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0.3680448280148349</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0.52585278120656753</v>
      </c>
      <c r="G287" s="105"/>
      <c r="H287" s="60">
        <f t="shared" si="99"/>
        <v>0.52585278120656753</v>
      </c>
      <c r="I287" s="112">
        <f>IF(H287="","",IF($I$8="A",(RANK(H287,H$11:H$363,1)+COUNTIF(H$11:H287,H287)-1),(RANK(H287,H$11:H$363)+COUNTIF(H$11:H287,H287)-1)))</f>
        <v>35</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0.52585278120656753</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0.50763483511271557</v>
      </c>
      <c r="G289" s="105"/>
      <c r="H289" s="60">
        <f t="shared" si="99"/>
        <v>0.50763483511271557</v>
      </c>
      <c r="I289" s="112">
        <f>IF(H289="","",IF($I$8="A",(RANK(H289,H$11:H$363,1)+COUNTIF(H$11:H289,H289)-1),(RANK(H289,H$11:H$363)+COUNTIF(H$11:H289,H289)-1)))</f>
        <v>47</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0.50763483511271557</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0.37395963161361473</v>
      </c>
      <c r="G290" s="105"/>
      <c r="H290" s="60">
        <f t="shared" si="99"/>
        <v>0.37395963161361473</v>
      </c>
      <c r="I290" s="112">
        <f>IF(H290="","",IF($I$8="A",(RANK(H290,H$11:H$363,1)+COUNTIF(H$11:H290,H290)-1),(RANK(H290,H$11:H$363)+COUNTIF(H$11:H290,H290)-1)))</f>
        <v>146</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0.37395963161361473</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0.61113750806614964</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0.61113750806614964</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0.27999304014691795</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0.27999304014691795</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0.34309740606425038</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0.34309740606425038</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0.59057999330491506</v>
      </c>
      <c r="G294" s="105"/>
      <c r="H294" s="60">
        <f t="shared" si="99"/>
        <v>0.59057999330491506</v>
      </c>
      <c r="I294" s="112">
        <f>IF(H294="","",IF($I$8="A",(RANK(H294,H$11:H$363,1)+COUNTIF(H$11:H294,H294)-1),(RANK(H294,H$11:H$363)+COUNTIF(H$11:H294,H294)-1)))</f>
        <v>5</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0.59057999330491506</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0.31144480810431491</v>
      </c>
      <c r="G295" s="105"/>
      <c r="H295" s="60">
        <f t="shared" si="99"/>
        <v>0.31144480810431491</v>
      </c>
      <c r="I295" s="112">
        <f>IF(H295="","",IF($I$8="A",(RANK(H295,H$11:H$363,1)+COUNTIF(H$11:H295,H295)-1),(RANK(H295,H$11:H$363)+COUNTIF(H$11:H295,H295)-1)))</f>
        <v>176</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0.31144480810431491</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0.57437160147327226</v>
      </c>
      <c r="G297" s="105"/>
      <c r="H297" s="60">
        <f t="shared" si="99"/>
        <v>0.57437160147327226</v>
      </c>
      <c r="I297" s="112">
        <f>IF(H297="","",IF($I$8="A",(RANK(H297,H$11:H$363,1)+COUNTIF(H$11:H297,H297)-1),(RANK(H297,H$11:H$363)+COUNTIF(H$11:H297,H297)-1)))</f>
        <v>12</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0.57437160147327226</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0.3238729053943819</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0.3238729053943819</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0.58118973569519139</v>
      </c>
      <c r="G300" s="105"/>
      <c r="H300" s="60">
        <f t="shared" si="99"/>
        <v>0.58118973569519139</v>
      </c>
      <c r="I300" s="112">
        <f>IF(H300="","",IF($I$8="A",(RANK(H300,H$11:H$363,1)+COUNTIF(H$11:H300,H300)-1),(RANK(H300,H$11:H$363)+COUNTIF(H$11:H300,H300)-1)))</f>
        <v>8</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0.58118973569519139</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0.37055298319812296</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0.37055298319812296</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0.34246060068486822</v>
      </c>
      <c r="G302" s="105"/>
      <c r="H302" s="60">
        <f t="shared" si="99"/>
        <v>0.34246060068486822</v>
      </c>
      <c r="I302" s="112">
        <f>IF(H302="","",IF($I$8="A",(RANK(H302,H$11:H$363,1)+COUNTIF(H$11:H302,H302)-1),(RANK(H302,H$11:H$363)+COUNTIF(H$11:H302,H302)-1)))</f>
        <v>163</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0.34246060068486822</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0.41777447594936823</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0.41777447594936823</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0.39515819484247749</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0.39515819484247749</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0.51780678513074407</v>
      </c>
      <c r="G305" s="105"/>
      <c r="H305" s="60">
        <f t="shared" si="99"/>
        <v>0.51780678513074407</v>
      </c>
      <c r="I305" s="112">
        <f>IF(H305="","",IF($I$8="A",(RANK(H305,H$11:H$363,1)+COUNTIF(H$11:H305,H305)-1),(RANK(H305,H$11:H$363)+COUNTIF(H$11:H305,H305)-1)))</f>
        <v>39</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0.51780678513074407</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0.51003269868855772</v>
      </c>
      <c r="G306" s="105"/>
      <c r="H306" s="60">
        <f t="shared" si="99"/>
        <v>0.51003269868855772</v>
      </c>
      <c r="I306" s="112">
        <f>IF(H306="","",IF($I$8="A",(RANK(H306,H$11:H$363,1)+COUNTIF(H$11:H306,H306)-1),(RANK(H306,H$11:H$363)+COUNTIF(H$11:H306,H306)-1)))</f>
        <v>45</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0.51003269868855772</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0.46042865024557234</v>
      </c>
      <c r="G307" s="105"/>
      <c r="H307" s="60">
        <f t="shared" si="99"/>
        <v>0.46042865024557234</v>
      </c>
      <c r="I307" s="112">
        <f>IF(H307="","",IF($I$8="A",(RANK(H307,H$11:H$363,1)+COUNTIF(H$11:H307,H307)-1),(RANK(H307,H$11:H$363)+COUNTIF(H$11:H307,H307)-1)))</f>
        <v>82</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0.46042865024557234</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0.5356764152585366</v>
      </c>
      <c r="G308" s="105"/>
      <c r="H308" s="60">
        <f t="shared" si="99"/>
        <v>0.5356764152585366</v>
      </c>
      <c r="I308" s="112">
        <f>IF(H308="","",IF($I$8="A",(RANK(H308,H$11:H$363,1)+COUNTIF(H$11:H308,H308)-1),(RANK(H308,H$11:H$363)+COUNTIF(H$11:H308,H308)-1)))</f>
        <v>28</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0.5356764152585366</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0.4477792816233816</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0.4477792816233816</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0.27023835115608796</v>
      </c>
      <c r="G310" s="105"/>
      <c r="H310" s="60">
        <f t="shared" si="99"/>
        <v>0.27023835115608796</v>
      </c>
      <c r="I310" s="112">
        <f>IF(H310="","",IF($I$8="A",(RANK(H310,H$11:H$363,1)+COUNTIF(H$11:H310,H310)-1),(RANK(H310,H$11:H$363)+COUNTIF(H$11:H310,H310)-1)))</f>
        <v>184</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0.27023835115608796</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0.31796225389533084</v>
      </c>
      <c r="G311" s="105"/>
      <c r="H311" s="60">
        <f t="shared" si="99"/>
        <v>0.31796225389533084</v>
      </c>
      <c r="I311" s="112">
        <f>IF(H311="","",IF($I$8="A",(RANK(H311,H$11:H$363,1)+COUNTIF(H$11:H311,H311)-1),(RANK(H311,H$11:H$363)+COUNTIF(H$11:H311,H311)-1)))</f>
        <v>175</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0.31796225389533084</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0.51199588387997763</v>
      </c>
      <c r="G312" s="105"/>
      <c r="H312" s="60">
        <f t="shared" si="99"/>
        <v>0.51199588387997763</v>
      </c>
      <c r="I312" s="112">
        <f>IF(H312="","",IF($I$8="A",(RANK(H312,H$11:H$363,1)+COUNTIF(H$11:H312,H312)-1),(RANK(H312,H$11:H$363)+COUNTIF(H$11:H312,H312)-1)))</f>
        <v>43</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0.51199588387997763</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0.30286360718512401</v>
      </c>
      <c r="G313" s="105"/>
      <c r="H313" s="60">
        <f t="shared" si="99"/>
        <v>0.30286360718512401</v>
      </c>
      <c r="I313" s="112">
        <f>IF(H313="","",IF($I$8="A",(RANK(H313,H$11:H$363,1)+COUNTIF(H$11:H313,H313)-1),(RANK(H313,H$11:H$363)+COUNTIF(H$11:H313,H313)-1)))</f>
        <v>177</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0.30286360718512401</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0.41199150747677549</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0.41199150747677549</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0.62441361698374731</v>
      </c>
      <c r="G315" s="105"/>
      <c r="H315" s="60">
        <f t="shared" si="99"/>
        <v>0.62441361698374731</v>
      </c>
      <c r="I315" s="112">
        <f>IF(H315="","",IF($I$8="A",(RANK(H315,H$11:H$363,1)+COUNTIF(H$11:H315,H315)-1),(RANK(H315,H$11:H$363)+COUNTIF(H$11:H315,H315)-1)))</f>
        <v>4</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0.62441361698374731</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0.40925359095546138</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0.40925359095546138</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0.43145516976530612</v>
      </c>
      <c r="G317" s="105"/>
      <c r="H317" s="60">
        <f t="shared" si="99"/>
        <v>0.43145516976530612</v>
      </c>
      <c r="I317" s="112">
        <f>IF(H317="","",IF($I$8="A",(RANK(H317,H$11:H$363,1)+COUNTIF(H$11:H317,H317)-1),(RANK(H317,H$11:H$363)+COUNTIF(H$11:H317,H317)-1)))</f>
        <v>111</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0.43145516976530612</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0.41307667665249176</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0.41307667665249176</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0.44218705315513657</v>
      </c>
      <c r="G319" s="105"/>
      <c r="H319" s="60">
        <f t="shared" si="99"/>
        <v>0.44218705315513657</v>
      </c>
      <c r="I319" s="112">
        <f>IF(H319="","",IF($I$8="A",(RANK(H319,H$11:H$363,1)+COUNTIF(H$11:H319,H319)-1),(RANK(H319,H$11:H$363)+COUNTIF(H$11:H319,H319)-1)))</f>
        <v>99</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0.44218705315513657</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0.27987953350935019</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0.27987953350935019</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0.57541840653721621</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0.57541840653721621</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0.46345564904722919</v>
      </c>
      <c r="G322" s="105"/>
      <c r="H322" s="60">
        <f t="shared" si="99"/>
        <v>0.46345564904722919</v>
      </c>
      <c r="I322" s="112">
        <f>IF(H322="","",IF($I$8="A",(RANK(H322,H$11:H$363,1)+COUNTIF(H$11:H322,H322)-1),(RANK(H322,H$11:H$363)+COUNTIF(H$11:H322,H322)-1)))</f>
        <v>77</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0.46345564904722919</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0.5368926202103087</v>
      </c>
      <c r="G323" s="105"/>
      <c r="H323" s="60">
        <f t="shared" si="99"/>
        <v>0.5368926202103087</v>
      </c>
      <c r="I323" s="112">
        <f>IF(H323="","",IF($I$8="A",(RANK(H323,H$11:H$363,1)+COUNTIF(H$11:H323,H323)-1),(RANK(H323,H$11:H$363)+COUNTIF(H$11:H323,H323)-1)))</f>
        <v>26</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0.5368926202103087</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0.65270695740873863</v>
      </c>
      <c r="G324" s="105"/>
      <c r="H324" s="60">
        <f t="shared" si="99"/>
        <v>0.65270695740873863</v>
      </c>
      <c r="I324" s="112">
        <f>IF(H324="","",IF($I$8="A",(RANK(H324,H$11:H$363,1)+COUNTIF(H$11:H324,H324)-1),(RANK(H324,H$11:H$363)+COUNTIF(H$11:H324,H324)-1)))</f>
        <v>3</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0.65270695740873863</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0.39032088425601597</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0.39032088425601597</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0.41137465483077945</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0.41137465483077945</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0.32570015623457976</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0.32570015623457976</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0.20440027159014018</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0.20440027159014018</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0.49467860930992108</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0.49467860930992108</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0.54732657780304461</v>
      </c>
      <c r="G330" s="105"/>
      <c r="H330" s="60">
        <f t="shared" si="99"/>
        <v>0.54732657780304461</v>
      </c>
      <c r="I330" s="112">
        <f>IF(H330="","",IF($I$8="A",(RANK(H330,H$11:H$363,1)+COUNTIF(H$11:H330,H330)-1),(RANK(H330,H$11:H$363)+COUNTIF(H$11:H330,H330)-1)))</f>
        <v>23</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0.54732657780304461</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0.40602192263326914</v>
      </c>
      <c r="G332" s="105"/>
      <c r="H332" s="60">
        <f t="shared" si="122"/>
        <v>0.40602192263326914</v>
      </c>
      <c r="I332" s="112">
        <f>IF(H332="","",IF($I$8="A",(RANK(H332,H$11:H$363,1)+COUNTIF(H$11:H332,H332)-1),(RANK(H332,H$11:H$363)+COUNTIF(H$11:H332,H332)-1)))</f>
        <v>129</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0.40602192263326914</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0.50935911490425079</v>
      </c>
      <c r="G333" s="105"/>
      <c r="H333" s="60">
        <f t="shared" si="122"/>
        <v>0.50935911490425079</v>
      </c>
      <c r="I333" s="112">
        <f>IF(H333="","",IF($I$8="A",(RANK(H333,H$11:H$363,1)+COUNTIF(H$11:H333,H333)-1),(RANK(H333,H$11:H$363)+COUNTIF(H$11:H333,H333)-1)))</f>
        <v>46</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0.50935911490425079</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0.45204454209917544</v>
      </c>
      <c r="G334" s="105"/>
      <c r="H334" s="60">
        <f t="shared" si="122"/>
        <v>0.45204454209917544</v>
      </c>
      <c r="I334" s="112">
        <f>IF(H334="","",IF($I$8="A",(RANK(H334,H$11:H$363,1)+COUNTIF(H$11:H334,H334)-1),(RANK(H334,H$11:H$363)+COUNTIF(H$11:H334,H334)-1)))</f>
        <v>89</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0.45204454209917544</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0.46917586514297399</v>
      </c>
      <c r="G335" s="105"/>
      <c r="H335" s="60">
        <f t="shared" si="122"/>
        <v>0.46917586514297399</v>
      </c>
      <c r="I335" s="112">
        <f>IF(H335="","",IF($I$8="A",(RANK(H335,H$11:H$363,1)+COUNTIF(H$11:H335,H335)-1),(RANK(H335,H$11:H$363)+COUNTIF(H$11:H335,H335)-1)))</f>
        <v>68</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0.46917586514297399</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0.35929817850280543</v>
      </c>
      <c r="G336" s="105"/>
      <c r="H336" s="60">
        <f t="shared" si="122"/>
        <v>0.35929817850280543</v>
      </c>
      <c r="I336" s="112">
        <f>IF(H336="","",IF($I$8="A",(RANK(H336,H$11:H$363,1)+COUNTIF(H$11:H336,H336)-1),(RANK(H336,H$11:H$363)+COUNTIF(H$11:H336,H336)-1)))</f>
        <v>154</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0.35929817850280543</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0.46626546183365886</v>
      </c>
      <c r="G337" s="105"/>
      <c r="H337" s="60">
        <f t="shared" si="122"/>
        <v>0.46626546183365886</v>
      </c>
      <c r="I337" s="112">
        <f>IF(H337="","",IF($I$8="A",(RANK(H337,H$11:H$363,1)+COUNTIF(H$11:H337,H337)-1),(RANK(H337,H$11:H$363)+COUNTIF(H$11:H337,H337)-1)))</f>
        <v>73</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0.46626546183365886</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0.49293386469433698</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0.49293386469433698</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0.57931242550816575</v>
      </c>
      <c r="G339" s="105"/>
      <c r="H339" s="60">
        <f t="shared" si="122"/>
        <v>0.57931242550816575</v>
      </c>
      <c r="I339" s="112">
        <f>IF(H339="","",IF($I$8="A",(RANK(H339,H$11:H$363,1)+COUNTIF(H$11:H339,H339)-1),(RANK(H339,H$11:H$363)+COUNTIF(H$11:H339,H339)-1)))</f>
        <v>10</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0.57931242550816575</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t="str">
        <f t="shared" si="121"/>
        <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t="str">
        <f>HLOOKUP($AX$9&amp;$AX$10,Data!$A$1:$ZZ$2000,(MATCH($C340,Data!$A$1:$A$2000,0)),FALSE)</f>
        <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0.43322355020552622</v>
      </c>
      <c r="G341" s="105"/>
      <c r="H341" s="60">
        <f t="shared" si="122"/>
        <v>0.43322355020552622</v>
      </c>
      <c r="I341" s="112">
        <f>IF(H341="","",IF($I$8="A",(RANK(H341,H$11:H$363,1)+COUNTIF(H$11:H341,H341)-1),(RANK(H341,H$11:H$363)+COUNTIF(H$11:H341,H341)-1)))</f>
        <v>109</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0.43322355020552622</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0.53168221025641926</v>
      </c>
      <c r="G342" s="105"/>
      <c r="H342" s="60">
        <f t="shared" si="122"/>
        <v>0.53168221025641926</v>
      </c>
      <c r="I342" s="112">
        <f>IF(H342="","",IF($I$8="A",(RANK(H342,H$11:H$363,1)+COUNTIF(H$11:H342,H342)-1),(RANK(H342,H$11:H$363)+COUNTIF(H$11:H342,H342)-1)))</f>
        <v>30</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0.53168221025641926</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0.57420578330135286</v>
      </c>
      <c r="G343" s="105"/>
      <c r="H343" s="60">
        <f t="shared" si="122"/>
        <v>0.57420578330135286</v>
      </c>
      <c r="I343" s="112">
        <f>IF(H343="","",IF($I$8="A",(RANK(H343,H$11:H$363,1)+COUNTIF(H$11:H343,H343)-1),(RANK(H343,H$11:H$363)+COUNTIF(H$11:H343,H343)-1)))</f>
        <v>13</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0.57420578330135286</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0.43735476779538845</v>
      </c>
      <c r="G344" s="105"/>
      <c r="H344" s="60">
        <f t="shared" si="122"/>
        <v>0.43735476779538845</v>
      </c>
      <c r="I344" s="112">
        <f>IF(H344="","",IF($I$8="A",(RANK(H344,H$11:H$363,1)+COUNTIF(H$11:H344,H344)-1),(RANK(H344,H$11:H$363)+COUNTIF(H$11:H344,H344)-1)))</f>
        <v>105</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0.43735476779538845</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0.21074779357438511</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0.21074779357438511</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t="str">
        <f t="shared" si="121"/>
        <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t="str">
        <f>HLOOKUP($AX$9&amp;$AX$10,Data!$A$1:$ZZ$2000,(MATCH($C347,Data!$A$1:$A$2000,0)),FALSE)</f>
        <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0.50024715547065335</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0.50024715547065335</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0.44024058874913702</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0.44024058874913702</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0.34434017378043608</v>
      </c>
      <c r="G350" s="105"/>
      <c r="H350" s="60">
        <f t="shared" si="122"/>
        <v>0.34434017378043608</v>
      </c>
      <c r="I350" s="112">
        <f>IF(H350="","",IF($I$8="A",(RANK(H350,H$11:H$363,1)+COUNTIF(H$11:H350,H350)-1),(RANK(H350,H$11:H$363)+COUNTIF(H$11:H350,H350)-1)))</f>
        <v>160</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0.34434017378043608</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0.44092748582808977</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0.44092748582808977</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0.37351627040663432</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0.37351627040663432</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0.55361858744086201</v>
      </c>
      <c r="G353" s="105"/>
      <c r="H353" s="60">
        <f t="shared" si="122"/>
        <v>0.55361858744086201</v>
      </c>
      <c r="I353" s="112">
        <f>IF(H353="","",IF($I$8="A",(RANK(H353,H$11:H$363,1)+COUNTIF(H$11:H353,H353)-1),(RANK(H353,H$11:H$363)+COUNTIF(H$11:H353,H353)-1)))</f>
        <v>21</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0.55361858744086201</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0.3915174382257261</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0.3915174382257261</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0.45561484802703206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0.45561484802703206</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0.36140853409248735</v>
      </c>
      <c r="G356" s="105"/>
      <c r="H356" s="60">
        <f t="shared" si="122"/>
        <v>0.36140853409248735</v>
      </c>
      <c r="I356" s="112">
        <f>IF(H356="","",IF($I$8="A",(RANK(H356,H$11:H$363,1)+COUNTIF(H$11:H356,H356)-1),(RANK(H356,H$11:H$363)+COUNTIF(H$11:H356,H356)-1)))</f>
        <v>151</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0.36140853409248735</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0.34280640423226971</v>
      </c>
      <c r="G358" s="105"/>
      <c r="H358" s="60">
        <f t="shared" si="122"/>
        <v>0.34280640423226971</v>
      </c>
      <c r="I358" s="112">
        <f>IF(H358="","",IF($I$8="A",(RANK(H358,H$11:H$363,1)+COUNTIF(H$11:H358,H358)-1),(RANK(H358,H$11:H$363)+COUNTIF(H$11:H358,H358)-1)))</f>
        <v>162</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0.34280640423226971</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0.42217169789355025</v>
      </c>
      <c r="G359" s="105"/>
      <c r="H359" s="60">
        <f t="shared" si="122"/>
        <v>0.42217169789355025</v>
      </c>
      <c r="I359" s="112">
        <f>IF(H359="","",IF($I$8="A",(RANK(H359,H$11:H$363,1)+COUNTIF(H$11:H359,H359)-1),(RANK(H359,H$11:H$363)+COUNTIF(H$11:H359,H359)-1)))</f>
        <v>116</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0.42217169789355025</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0.47196672158175118</v>
      </c>
      <c r="G360" s="105"/>
      <c r="H360" s="60">
        <f t="shared" si="122"/>
        <v>0.47196672158175118</v>
      </c>
      <c r="I360" s="112">
        <f>IF(H360="","",IF($I$8="A",(RANK(H360,H$11:H$363,1)+COUNTIF(H$11:H360,H360)-1),(RANK(H360,H$11:H$363)+COUNTIF(H$11:H360,H360)-1)))</f>
        <v>66</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0.47196672158175118</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0.49150863149809326</v>
      </c>
      <c r="G361" s="105"/>
      <c r="H361" s="60">
        <f t="shared" si="122"/>
        <v>0.49150863149809326</v>
      </c>
      <c r="I361" s="112">
        <f>IF(H361="","",IF($I$8="A",(RANK(H361,H$11:H$363,1)+COUNTIF(H$11:H361,H361)-1),(RANK(H361,H$11:H$363)+COUNTIF(H$11:H361,H361)-1)))</f>
        <v>56</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0.49150863149809326</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0.30102083619250847</v>
      </c>
      <c r="G362" s="105"/>
      <c r="H362" s="60">
        <f t="shared" si="122"/>
        <v>0.30102083619250847</v>
      </c>
      <c r="I362" s="112">
        <f>IF(H362="","",IF($I$8="A",(RANK(H362,H$11:H$363,1)+COUNTIF(H$11:H362,H362)-1),(RANK(H362,H$11:H$363)+COUNTIF(H$11:H362,H362)-1)))</f>
        <v>178</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0.30102083619250847</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0.4362870431673227</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0.4362870431673227</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4" sqref="F4"/>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858</v>
      </c>
      <c r="B2" t="s">
        <v>820</v>
      </c>
      <c r="C2" t="s">
        <v>820</v>
      </c>
      <c r="D2" t="s">
        <v>897</v>
      </c>
      <c r="F2" t="s">
        <v>859</v>
      </c>
      <c r="G2" s="6"/>
      <c r="H2" s="6"/>
    </row>
    <row r="3" spans="1:8" ht="15">
      <c r="A3" s="269"/>
      <c r="F3" t="s">
        <v>860</v>
      </c>
      <c r="G3" s="6"/>
    </row>
    <row r="4" spans="1:8" ht="15">
      <c r="A4" s="269"/>
      <c r="F4" s="6" t="s">
        <v>898</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E5" sqref="E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Recycling RateAnnual up to 30 September 2013</v>
      </c>
      <c r="D1" s="188" t="str">
        <f t="shared" ref="D1:BO1" si="0">D4&amp;D5</f>
        <v>Recycling RateAnnual up to 31 December 2013</v>
      </c>
      <c r="E1" s="188" t="str">
        <f t="shared" si="0"/>
        <v>Recycling RateAnnual up to 31 March 2014</v>
      </c>
      <c r="F1" s="188" t="str">
        <f t="shared" si="0"/>
        <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896</v>
      </c>
      <c r="D3" s="192"/>
      <c r="E3" s="192"/>
      <c r="L3" s="179"/>
      <c r="M3" s="162"/>
      <c r="N3" s="179"/>
      <c r="O3" s="195"/>
      <c r="P3" s="195"/>
      <c r="Q3" s="195"/>
      <c r="R3" s="162"/>
      <c r="S3" s="162"/>
      <c r="T3" s="162"/>
      <c r="U3" s="195"/>
      <c r="V3" s="361"/>
      <c r="W3" s="361"/>
      <c r="X3" s="179"/>
      <c r="Y3" s="179"/>
    </row>
    <row r="4" spans="1:77" ht="60" customHeight="1">
      <c r="A4" s="359" t="s">
        <v>830</v>
      </c>
      <c r="B4" s="190" t="s">
        <v>810</v>
      </c>
      <c r="C4" s="269" t="s">
        <v>858</v>
      </c>
      <c r="D4" s="269" t="s">
        <v>858</v>
      </c>
      <c r="E4" s="269" t="s">
        <v>858</v>
      </c>
      <c r="F4" s="269"/>
      <c r="G4" s="269"/>
      <c r="H4" s="269"/>
      <c r="I4" s="181"/>
      <c r="J4" s="183"/>
      <c r="K4" s="183"/>
      <c r="L4" s="179"/>
      <c r="M4" s="183"/>
      <c r="N4" s="179"/>
      <c r="O4" s="181"/>
      <c r="P4" s="181"/>
      <c r="Q4" s="181"/>
      <c r="R4" s="183"/>
      <c r="S4" s="183"/>
      <c r="T4" s="183"/>
      <c r="U4" s="181"/>
      <c r="V4" s="362"/>
      <c r="W4" s="362"/>
      <c r="X4" s="179"/>
      <c r="Y4" s="179"/>
    </row>
    <row r="5" spans="1:77" ht="30" customHeight="1">
      <c r="A5" s="360"/>
      <c r="B5" s="191" t="s">
        <v>369</v>
      </c>
      <c r="C5" s="269" t="s">
        <v>859</v>
      </c>
      <c r="D5" s="269" t="s">
        <v>860</v>
      </c>
      <c r="E5" s="276" t="s">
        <v>898</v>
      </c>
      <c r="F5" s="269"/>
      <c r="G5" s="269"/>
      <c r="H5" s="269"/>
      <c r="I5" s="182"/>
      <c r="J5" s="165"/>
      <c r="K5" s="165"/>
      <c r="L5" s="179"/>
      <c r="M5" s="165"/>
      <c r="N5" s="179"/>
      <c r="O5" s="182"/>
      <c r="P5" s="182"/>
      <c r="Q5" s="182"/>
      <c r="R5" s="165"/>
      <c r="S5" s="165"/>
      <c r="T5" s="165"/>
      <c r="U5" s="182"/>
      <c r="V5" s="363"/>
      <c r="W5" s="363"/>
      <c r="X5" s="179"/>
      <c r="Y5" s="179"/>
    </row>
    <row r="6" spans="1:77" ht="14.65" customHeight="1">
      <c r="A6" s="360"/>
      <c r="B6" s="191" t="s">
        <v>370</v>
      </c>
      <c r="C6" s="217" t="s">
        <v>895</v>
      </c>
      <c r="D6" s="217" t="s">
        <v>895</v>
      </c>
      <c r="E6" s="217" t="s">
        <v>895</v>
      </c>
      <c r="F6" s="217"/>
      <c r="G6" s="217"/>
      <c r="H6" s="217"/>
      <c r="I6" s="182"/>
      <c r="J6" s="165"/>
      <c r="K6" s="165"/>
      <c r="L6" s="179"/>
      <c r="M6" s="165"/>
      <c r="N6" s="179"/>
      <c r="O6" s="182"/>
      <c r="P6" s="182"/>
      <c r="Q6" s="182"/>
      <c r="R6" s="165"/>
      <c r="S6" s="165"/>
      <c r="T6" s="165"/>
      <c r="U6" s="181"/>
      <c r="V6" s="362"/>
      <c r="W6" s="362"/>
      <c r="X6" s="179"/>
      <c r="Y6" s="179"/>
    </row>
    <row r="7" spans="1:77" ht="14.65" customHeight="1">
      <c r="A7" s="186" t="s">
        <v>4</v>
      </c>
      <c r="B7" s="186"/>
      <c r="C7">
        <v>0.32610088242189328</v>
      </c>
      <c r="D7">
        <v>0.32464445363906108</v>
      </c>
      <c r="E7">
        <v>0.32564984367803296</v>
      </c>
      <c r="F7"/>
      <c r="G7"/>
      <c r="H7"/>
      <c r="I7" s="202"/>
      <c r="J7" s="165"/>
      <c r="K7" s="165"/>
      <c r="L7" s="179"/>
      <c r="M7" s="165"/>
      <c r="N7" s="179"/>
      <c r="O7" s="202"/>
      <c r="P7" s="202"/>
      <c r="Q7" s="202"/>
      <c r="R7" s="165"/>
      <c r="S7" s="165"/>
      <c r="T7" s="165"/>
      <c r="U7" s="201"/>
      <c r="V7" s="166"/>
      <c r="W7" s="166"/>
      <c r="X7" s="179"/>
      <c r="Y7" s="179"/>
    </row>
    <row r="8" spans="1:77" ht="14.65" customHeight="1">
      <c r="A8" s="186" t="s">
        <v>6</v>
      </c>
      <c r="B8" s="186"/>
      <c r="C8">
        <v>0.40391102142588203</v>
      </c>
      <c r="D8">
        <v>0.39391001938844622</v>
      </c>
      <c r="E8">
        <v>0.38071334707896576</v>
      </c>
      <c r="F8"/>
      <c r="G8"/>
      <c r="H8"/>
      <c r="I8" s="202"/>
      <c r="J8" s="165"/>
      <c r="K8" s="165"/>
      <c r="L8" s="179"/>
      <c r="M8" s="165"/>
      <c r="N8" s="179"/>
      <c r="O8" s="202"/>
      <c r="P8" s="202"/>
      <c r="Q8" s="202"/>
      <c r="R8" s="165"/>
      <c r="S8" s="165"/>
      <c r="T8" s="165"/>
      <c r="U8" s="201"/>
      <c r="V8" s="166"/>
      <c r="W8" s="166"/>
      <c r="X8" s="179"/>
      <c r="Y8" s="179"/>
    </row>
    <row r="9" spans="1:77" ht="14.65" customHeight="1">
      <c r="A9" s="186" t="s">
        <v>7</v>
      </c>
      <c r="B9" s="186"/>
      <c r="C9">
        <v>0.3202093327910297</v>
      </c>
      <c r="D9">
        <v>0.33039160133664547</v>
      </c>
      <c r="E9">
        <v>0.33023457262600642</v>
      </c>
      <c r="F9"/>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0.36114733601721821</v>
      </c>
      <c r="D10">
        <v>0.36262048497229343</v>
      </c>
      <c r="E10">
        <v>0.36411565335038421</v>
      </c>
      <c r="F10"/>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0.33709476083080997</v>
      </c>
      <c r="D11">
        <v>0.33073007630028972</v>
      </c>
      <c r="E11">
        <v>0.32852388979907154</v>
      </c>
      <c r="F11"/>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0.21605959544449682</v>
      </c>
      <c r="D12">
        <v>0.32034190407958318</v>
      </c>
      <c r="E12">
        <v>0.41909262568524974</v>
      </c>
      <c r="F12"/>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0.50373812937835438</v>
      </c>
      <c r="D13">
        <v>0.5029122977388315</v>
      </c>
      <c r="E13">
        <v>0.51021913361656945</v>
      </c>
      <c r="F13"/>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t="str">
        <f>""</f>
        <v/>
      </c>
      <c r="D14" t="str">
        <f>""</f>
        <v/>
      </c>
      <c r="E14" t="str">
        <f>""</f>
        <v/>
      </c>
      <c r="F14"/>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0.25792766906296866</v>
      </c>
      <c r="D15">
        <v>0.25795005194343751</v>
      </c>
      <c r="E15">
        <v>0.24803421052034738</v>
      </c>
      <c r="F15"/>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0.32843247523070612</v>
      </c>
      <c r="D16">
        <v>0.34503699746083094</v>
      </c>
      <c r="E16">
        <v>0.36350307459855996</v>
      </c>
      <c r="F16"/>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0.52915754023704298</v>
      </c>
      <c r="D17">
        <v>0.52704085594692751</v>
      </c>
      <c r="E17">
        <v>0.51568912348525175</v>
      </c>
      <c r="F17"/>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0.34986426581455199</v>
      </c>
      <c r="D18">
        <v>0.34531330995385356</v>
      </c>
      <c r="E18">
        <v>0.33475966509623623</v>
      </c>
      <c r="F18"/>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0.52035700526590223</v>
      </c>
      <c r="D19">
        <v>0.52276812178701038</v>
      </c>
      <c r="E19">
        <v>0.53688091266932636</v>
      </c>
      <c r="F19"/>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0.25214551771578653</v>
      </c>
      <c r="D20">
        <v>0.25335093538026882</v>
      </c>
      <c r="E20">
        <v>0.25095307842573072</v>
      </c>
      <c r="F20"/>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0.22420145313283998</v>
      </c>
      <c r="D21">
        <v>0.21784061801790128</v>
      </c>
      <c r="E21">
        <v>0.21407496040943602</v>
      </c>
      <c r="F21"/>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0.45739225894622171</v>
      </c>
      <c r="D22">
        <v>0.46600685215803278</v>
      </c>
      <c r="E22">
        <v>0.47821231068960868</v>
      </c>
      <c r="F22"/>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0.38295275569001741</v>
      </c>
      <c r="D23">
        <v>0.38182428932161844</v>
      </c>
      <c r="E23">
        <v>0.38294752494669726</v>
      </c>
      <c r="F23"/>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0.53913240967247666</v>
      </c>
      <c r="D24">
        <v>0.54622495706682583</v>
      </c>
      <c r="E24">
        <v>0.55210001055238911</v>
      </c>
      <c r="F24"/>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0.29114079674627424</v>
      </c>
      <c r="D25">
        <v>0.28440110926869172</v>
      </c>
      <c r="E25">
        <v>0.2876181316387581</v>
      </c>
      <c r="F25"/>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0.51289539048276489</v>
      </c>
      <c r="D26">
        <v>0.5002392463546862</v>
      </c>
      <c r="E26">
        <v>0.50565532911270017</v>
      </c>
      <c r="F26"/>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0.42291670962562256</v>
      </c>
      <c r="D27">
        <v>0.40714963774323126</v>
      </c>
      <c r="E27">
        <v>0.40136788673246176</v>
      </c>
      <c r="F27"/>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0.4056885873585982</v>
      </c>
      <c r="D28">
        <v>0.40710630466772213</v>
      </c>
      <c r="E28">
        <v>0.41135686684441941</v>
      </c>
      <c r="F28"/>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0.40997455821350243</v>
      </c>
      <c r="D29">
        <v>0.40682888126483935</v>
      </c>
      <c r="E29">
        <v>0.40285130553941956</v>
      </c>
      <c r="F29"/>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0.33800168999055513</v>
      </c>
      <c r="D30">
        <v>0.35414701583255315</v>
      </c>
      <c r="E30">
        <v>0.37332457109634087</v>
      </c>
      <c r="F30"/>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0.41265930481251978</v>
      </c>
      <c r="D31">
        <v>0.40951715736173472</v>
      </c>
      <c r="E31">
        <v>0.40519799427585179</v>
      </c>
      <c r="F31"/>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0.47085254727491899</v>
      </c>
      <c r="D32">
        <v>0.4656414118108585</v>
      </c>
      <c r="E32">
        <v>0.46829672559723701</v>
      </c>
      <c r="F32"/>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0.36579681649649676</v>
      </c>
      <c r="D33">
        <v>0.36451020910806387</v>
      </c>
      <c r="E33">
        <v>0.36514896661522628</v>
      </c>
      <c r="F33"/>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0.5216214725291789</v>
      </c>
      <c r="D34">
        <v>0.51457834598399477</v>
      </c>
      <c r="E34">
        <v>0.50776348436561813</v>
      </c>
      <c r="F34"/>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0.56005679708854239</v>
      </c>
      <c r="D35">
        <v>0.55868363690593636</v>
      </c>
      <c r="E35">
        <v>0.56040492474467984</v>
      </c>
      <c r="F35"/>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0.35673261253682709</v>
      </c>
      <c r="D36">
        <v>0.3630350603404835</v>
      </c>
      <c r="E36">
        <v>0.36184494336575396</v>
      </c>
      <c r="F36"/>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0.40958473830179876</v>
      </c>
      <c r="D37">
        <v>0.40635520149002652</v>
      </c>
      <c r="E37">
        <v>0.40808612276296941</v>
      </c>
      <c r="F37"/>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0.48749106571918338</v>
      </c>
      <c r="D38">
        <v>0.49073264391730104</v>
      </c>
      <c r="E38">
        <v>0.50298542854698691</v>
      </c>
      <c r="F38"/>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0.2573386451505198</v>
      </c>
      <c r="D39">
        <v>0.25642376295637437</v>
      </c>
      <c r="E39">
        <v>0.25796288472073192</v>
      </c>
      <c r="F39"/>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0.43359053220296345</v>
      </c>
      <c r="D40">
        <v>0.42011444984246465</v>
      </c>
      <c r="E40">
        <v>0.41517178250174674</v>
      </c>
      <c r="F40"/>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0.43058070187090808</v>
      </c>
      <c r="D41">
        <v>0.43543051811522748</v>
      </c>
      <c r="E41">
        <v>0.44374634072339242</v>
      </c>
      <c r="F41"/>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0.49157604205008715</v>
      </c>
      <c r="D42">
        <v>0.50042248585660343</v>
      </c>
      <c r="E42">
        <v>0.49631050710626012</v>
      </c>
      <c r="F42"/>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0.39900767255934277</v>
      </c>
      <c r="D43">
        <v>0.40011611389676033</v>
      </c>
      <c r="E43">
        <v>0.40161789191197561</v>
      </c>
      <c r="F43"/>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0.33347363933922636</v>
      </c>
      <c r="D44">
        <v>0.34015456555451218</v>
      </c>
      <c r="E44">
        <v>0.35035225252851104</v>
      </c>
      <c r="F44"/>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0.40697779859203892</v>
      </c>
      <c r="D45">
        <v>0.39904156885956815</v>
      </c>
      <c r="E45">
        <v>0.40171216925992442</v>
      </c>
      <c r="F45"/>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0.32694632914659183</v>
      </c>
      <c r="D46">
        <v>0.32519275309186069</v>
      </c>
      <c r="E46">
        <v>0.32670457388197699</v>
      </c>
      <c r="F46"/>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0.42843056133341267</v>
      </c>
      <c r="D47">
        <v>0.43033349731791193</v>
      </c>
      <c r="E47">
        <v>0.42956217234483279</v>
      </c>
      <c r="F47"/>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0.60804920259537865</v>
      </c>
      <c r="D48">
        <v>0.60609470352471861</v>
      </c>
      <c r="E48">
        <v>0.60085820121473099</v>
      </c>
      <c r="F48"/>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0.43215627522708083</v>
      </c>
      <c r="D49">
        <v>0.43355782695233103</v>
      </c>
      <c r="E49">
        <v>0.44102031230782734</v>
      </c>
      <c r="F49"/>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0.28883870856558813</v>
      </c>
      <c r="D50">
        <v>0.29370450740928655</v>
      </c>
      <c r="E50">
        <v>0.29322846196306784</v>
      </c>
      <c r="F50"/>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0.5095395431192784</v>
      </c>
      <c r="D51">
        <v>0.50859693659828753</v>
      </c>
      <c r="E51">
        <v>0.51342982078523303</v>
      </c>
      <c r="F51"/>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0.44371581161825269</v>
      </c>
      <c r="D52">
        <v>0.46966755336824112</v>
      </c>
      <c r="E52">
        <v>0.48530077377035924</v>
      </c>
      <c r="F52"/>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0.43728508089259865</v>
      </c>
      <c r="D53">
        <v>0.43610887070435755</v>
      </c>
      <c r="E53">
        <v>0.43508692221239148</v>
      </c>
      <c r="F53"/>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0.54318130187338198</v>
      </c>
      <c r="D54">
        <v>0.54256280657942113</v>
      </c>
      <c r="E54">
        <v>0.54582609569892371</v>
      </c>
      <c r="F54"/>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0.49782754595751499</v>
      </c>
      <c r="D55">
        <v>0.49563625960536062</v>
      </c>
      <c r="E55">
        <v>0.49771112755258412</v>
      </c>
      <c r="F55"/>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0.48971604987124906</v>
      </c>
      <c r="D56">
        <v>0.48973120050720026</v>
      </c>
      <c r="E56">
        <v>0.4911940292845558</v>
      </c>
      <c r="F56"/>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0.44911376275911569</v>
      </c>
      <c r="D57">
        <v>0.4522244235411213</v>
      </c>
      <c r="E57">
        <v>0.45874110140541247</v>
      </c>
      <c r="F57"/>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0.4501346343348443</v>
      </c>
      <c r="D58">
        <v>0.4508252787519676</v>
      </c>
      <c r="E58">
        <v>0.45573976677903172</v>
      </c>
      <c r="F58"/>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0.52880052728770865</v>
      </c>
      <c r="D59">
        <v>0.53403052317554423</v>
      </c>
      <c r="E59">
        <v>0.53902874884278651</v>
      </c>
      <c r="F59"/>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0.53187015303900231</v>
      </c>
      <c r="D60">
        <v>0.52732715809009245</v>
      </c>
      <c r="E60">
        <v>0.5328048509202683</v>
      </c>
      <c r="F60"/>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0.61400368162352637</v>
      </c>
      <c r="D61">
        <v>0.58242844134142446</v>
      </c>
      <c r="E61">
        <v>0.5749243283140808</v>
      </c>
      <c r="F61"/>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0.39668681361009989</v>
      </c>
      <c r="D62">
        <v>0.40326265616733459</v>
      </c>
      <c r="E62">
        <v>0.41513496409111045</v>
      </c>
      <c r="F62"/>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0.39353056424421656</v>
      </c>
      <c r="D63">
        <v>0.39524306705409606</v>
      </c>
      <c r="E63">
        <v>0.3949585857292045</v>
      </c>
      <c r="F63"/>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0.46093545494654892</v>
      </c>
      <c r="D64">
        <v>0.50064436461788986</v>
      </c>
      <c r="E64">
        <v>0.53315074748243541</v>
      </c>
      <c r="F64"/>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0.48009485705050997</v>
      </c>
      <c r="D65">
        <v>0.48405912589524425</v>
      </c>
      <c r="E65">
        <v>0.48665604514495353</v>
      </c>
      <c r="F65"/>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t="str">
        <f>""</f>
        <v/>
      </c>
      <c r="D66" t="str">
        <f>""</f>
        <v/>
      </c>
      <c r="E66" t="str">
        <f>""</f>
        <v/>
      </c>
      <c r="F66"/>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0.39279261906918023</v>
      </c>
      <c r="D67">
        <v>0.39071548537009293</v>
      </c>
      <c r="E67">
        <v>0.38801533845147079</v>
      </c>
      <c r="F67"/>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0.39539406871732746</v>
      </c>
      <c r="D68">
        <v>0.40096282433707831</v>
      </c>
      <c r="E68">
        <v>0.41181964071251292</v>
      </c>
      <c r="F68"/>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0.36320874352233001</v>
      </c>
      <c r="D69">
        <v>0.33995441281138788</v>
      </c>
      <c r="E69">
        <v>0.33488858698381985</v>
      </c>
      <c r="F69"/>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0.45917743838151165</v>
      </c>
      <c r="D70">
        <v>0.45790140832206427</v>
      </c>
      <c r="E70">
        <v>0.45444127409908402</v>
      </c>
      <c r="F70"/>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0.34495920811689645</v>
      </c>
      <c r="D71">
        <v>0.35147819318354823</v>
      </c>
      <c r="E71">
        <v>0.35145816909261685</v>
      </c>
      <c r="F71"/>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0.57870992431450374</v>
      </c>
      <c r="D72">
        <v>0.57922055377625037</v>
      </c>
      <c r="E72">
        <v>0.58049701934853792</v>
      </c>
      <c r="F72"/>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0.44222777083856851</v>
      </c>
      <c r="D73">
        <v>0.43897448266216715</v>
      </c>
      <c r="E73">
        <v>0.4281666237903024</v>
      </c>
      <c r="F73"/>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0.35673459243490568</v>
      </c>
      <c r="D74">
        <v>0.35507147520050092</v>
      </c>
      <c r="E74">
        <v>0.35766729834844346</v>
      </c>
      <c r="F74"/>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0.42260529294681742</v>
      </c>
      <c r="D75">
        <v>0.40959044243984077</v>
      </c>
      <c r="E75">
        <v>0.42572483747464201</v>
      </c>
      <c r="F75"/>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0.25492697117913937</v>
      </c>
      <c r="D76">
        <v>0.2511515081041622</v>
      </c>
      <c r="E76">
        <v>0.24869021049016676</v>
      </c>
      <c r="F76"/>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0.43456016072849435</v>
      </c>
      <c r="D77">
        <v>0.43102713040773616</v>
      </c>
      <c r="E77">
        <v>0.42155971397864617</v>
      </c>
      <c r="F77"/>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0.45741209518006143</v>
      </c>
      <c r="D78">
        <v>0.46252657680928488</v>
      </c>
      <c r="E78">
        <v>0.46236878133515291</v>
      </c>
      <c r="F78"/>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0.37142064143166875</v>
      </c>
      <c r="D79">
        <v>0.34831571466658606</v>
      </c>
      <c r="E79">
        <v>0.3324047947995733</v>
      </c>
      <c r="F79"/>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0.26513543021183672</v>
      </c>
      <c r="D80">
        <v>0.263420547718067</v>
      </c>
      <c r="E80">
        <v>0.26616853421943376</v>
      </c>
      <c r="F80"/>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0.49024262448303663</v>
      </c>
      <c r="D81">
        <v>0.49231653058761893</v>
      </c>
      <c r="E81">
        <v>0.49429602985991522</v>
      </c>
      <c r="F81"/>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0.45406541628567854</v>
      </c>
      <c r="D82">
        <v>0.44388570464861532</v>
      </c>
      <c r="E82">
        <v>0.42691106939628976</v>
      </c>
      <c r="F82"/>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0.5531105209180921</v>
      </c>
      <c r="D83">
        <v>0.55737350137279751</v>
      </c>
      <c r="E83">
        <v>0.55677507389209391</v>
      </c>
      <c r="F83"/>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0.39846824926686486</v>
      </c>
      <c r="D84">
        <v>0.39922527299568505</v>
      </c>
      <c r="E84">
        <v>0.40160585060548315</v>
      </c>
      <c r="F84"/>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0.44223715329953328</v>
      </c>
      <c r="D85">
        <v>0.44126208942375339</v>
      </c>
      <c r="E85">
        <v>0.44150176362655391</v>
      </c>
      <c r="F85"/>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0.36201186731564944</v>
      </c>
      <c r="D86">
        <v>0.36126034053531009</v>
      </c>
      <c r="E86">
        <v>0.35665449232058144</v>
      </c>
      <c r="F86"/>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0.40968785053537832</v>
      </c>
      <c r="D87">
        <v>0.41712794843544415</v>
      </c>
      <c r="E87">
        <v>0.40151032923989871</v>
      </c>
      <c r="F87"/>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0.3431272572194044</v>
      </c>
      <c r="D88">
        <v>0.39836315160581182</v>
      </c>
      <c r="E88">
        <v>0.4548028751004049</v>
      </c>
      <c r="F88"/>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0.44473073891495735</v>
      </c>
      <c r="D89">
        <v>0.44212446550465684</v>
      </c>
      <c r="E89">
        <v>0.44753146846664993</v>
      </c>
      <c r="F89"/>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t="str">
        <f>""</f>
        <v/>
      </c>
      <c r="D90" t="str">
        <f>""</f>
        <v/>
      </c>
      <c r="E90" t="str">
        <f>""</f>
        <v/>
      </c>
      <c r="F90"/>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0.33325951526522796</v>
      </c>
      <c r="D91">
        <v>0.33162279072504647</v>
      </c>
      <c r="E91">
        <v>0.33104672291649179</v>
      </c>
      <c r="F91"/>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0.45904396796369146</v>
      </c>
      <c r="D92">
        <v>0.47191504483103835</v>
      </c>
      <c r="E92">
        <v>0.48484562449853325</v>
      </c>
      <c r="F92"/>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0.51017954099802276</v>
      </c>
      <c r="D93">
        <v>0.50589790344248331</v>
      </c>
      <c r="E93">
        <v>0.49798661083678647</v>
      </c>
      <c r="F93"/>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0.48029616241826445</v>
      </c>
      <c r="D94">
        <v>0.46515145918944023</v>
      </c>
      <c r="E94">
        <v>0.45330219638247948</v>
      </c>
      <c r="F94"/>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0.54958870347489119</v>
      </c>
      <c r="D95">
        <v>0.55642925601097826</v>
      </c>
      <c r="E95">
        <v>0.57220647398742464</v>
      </c>
      <c r="F95"/>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0.51805117487469343</v>
      </c>
      <c r="D96">
        <v>0.52131497374889912</v>
      </c>
      <c r="E96">
        <v>0.52291724434530207</v>
      </c>
      <c r="F96"/>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0.3172715236000378</v>
      </c>
      <c r="D97">
        <v>0.32657661267976229</v>
      </c>
      <c r="E97">
        <v>0.33480765081193864</v>
      </c>
      <c r="F97"/>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0.3977546833268395</v>
      </c>
      <c r="D98">
        <v>0.39485463379932256</v>
      </c>
      <c r="E98">
        <v>0.39123764691148011</v>
      </c>
      <c r="F98"/>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0.44156317898754105</v>
      </c>
      <c r="D99">
        <v>0.44611425460025184</v>
      </c>
      <c r="E99">
        <v>0.40768344453617145</v>
      </c>
      <c r="F99"/>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0.50102906936049518</v>
      </c>
      <c r="D100">
        <v>0.49014864747018555</v>
      </c>
      <c r="E100">
        <v>0.4914766383742683</v>
      </c>
      <c r="F100"/>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0.38806847075697815</v>
      </c>
      <c r="D101">
        <v>0.39042659059760898</v>
      </c>
      <c r="E101">
        <v>0.3911821879619341</v>
      </c>
      <c r="F101"/>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0.58263051127625964</v>
      </c>
      <c r="D102">
        <v>0.58188271086931764</v>
      </c>
      <c r="E102">
        <v>0.58577351769871677</v>
      </c>
      <c r="F102"/>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0.46145374778060755</v>
      </c>
      <c r="D103">
        <v>0.45932832064826451</v>
      </c>
      <c r="E103">
        <v>0.46259299906863882</v>
      </c>
      <c r="F103"/>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0.39239626271188038</v>
      </c>
      <c r="D104">
        <v>0.39404754674182163</v>
      </c>
      <c r="E104">
        <v>0.39437000225337338</v>
      </c>
      <c r="F104"/>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0.3447676087226379</v>
      </c>
      <c r="D105">
        <v>0.34332282664805536</v>
      </c>
      <c r="E105">
        <v>0.34761282103548874</v>
      </c>
      <c r="F105"/>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0.35538719699767951</v>
      </c>
      <c r="D106">
        <v>0.35071076469735546</v>
      </c>
      <c r="E106">
        <v>0.35018565073022606</v>
      </c>
      <c r="F106"/>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0.50563075035002969</v>
      </c>
      <c r="D107">
        <v>0.50749649204635439</v>
      </c>
      <c r="E107">
        <v>0.51204395078744214</v>
      </c>
      <c r="F107"/>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0.45857682600753147</v>
      </c>
      <c r="D108">
        <v>0.45523923622037493</v>
      </c>
      <c r="E108">
        <v>0.46097421731703819</v>
      </c>
      <c r="F108"/>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0.48684875096335134</v>
      </c>
      <c r="D109">
        <v>0.48336881123709607</v>
      </c>
      <c r="E109">
        <v>0.48320440679736038</v>
      </c>
      <c r="F109"/>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0.47266407782956094</v>
      </c>
      <c r="D110">
        <v>0.47922582644776657</v>
      </c>
      <c r="E110">
        <v>0.49469664670690877</v>
      </c>
      <c r="F110"/>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0.36495521993422475</v>
      </c>
      <c r="D111">
        <v>0.36930862890811084</v>
      </c>
      <c r="E111">
        <v>0.36526114498748857</v>
      </c>
      <c r="F111"/>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0.36219825971990544</v>
      </c>
      <c r="D112">
        <v>0.36101528557289481</v>
      </c>
      <c r="E112">
        <v>0.36826829754807949</v>
      </c>
      <c r="F112"/>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0.36731494913265494</v>
      </c>
      <c r="D113">
        <v>0.36293595070348034</v>
      </c>
      <c r="E113">
        <v>0.36003910188704408</v>
      </c>
      <c r="F113"/>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0.23856613118286399</v>
      </c>
      <c r="D114">
        <v>0.23823357418658847</v>
      </c>
      <c r="E114">
        <v>0.23522552684529618</v>
      </c>
      <c r="F114"/>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0.248280976410441</v>
      </c>
      <c r="D115">
        <v>0.24634431087987116</v>
      </c>
      <c r="E115">
        <v>0.24495721147441182</v>
      </c>
      <c r="F115"/>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0.26676580690588558</v>
      </c>
      <c r="D116">
        <v>0.26700418121028169</v>
      </c>
      <c r="E116">
        <v>0.25645733010231825</v>
      </c>
      <c r="F116"/>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0.38719174893603081</v>
      </c>
      <c r="D117">
        <v>0.39035301959980412</v>
      </c>
      <c r="E117">
        <v>0.38830951108793288</v>
      </c>
      <c r="F117"/>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0.53662079819785591</v>
      </c>
      <c r="D118">
        <v>0.52646359256159647</v>
      </c>
      <c r="E118">
        <v>0.52233537392283924</v>
      </c>
      <c r="F118"/>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0.24777203053071029</v>
      </c>
      <c r="D119">
        <v>0.25173983211419271</v>
      </c>
      <c r="E119">
        <v>0.25441844028095995</v>
      </c>
      <c r="F119"/>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0.37638769184586957</v>
      </c>
      <c r="D120">
        <v>0.39235299150687641</v>
      </c>
      <c r="E120">
        <v>0.39754710765628537</v>
      </c>
      <c r="F120"/>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0.45306471125617725</v>
      </c>
      <c r="D121">
        <v>0.45422206298507395</v>
      </c>
      <c r="E121">
        <v>0.46847330841980062</v>
      </c>
      <c r="F121"/>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0.19353705597034843</v>
      </c>
      <c r="D122">
        <v>0.19641378588000044</v>
      </c>
      <c r="E122">
        <v>0.20534950851215283</v>
      </c>
      <c r="F122"/>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0.5589546731164321</v>
      </c>
      <c r="D123">
        <v>0.56007867487774032</v>
      </c>
      <c r="E123">
        <v>0.57255793074863059</v>
      </c>
      <c r="F123"/>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0.33108041166859559</v>
      </c>
      <c r="D124">
        <v>0.34669496529469618</v>
      </c>
      <c r="E124">
        <v>0.35814093921532192</v>
      </c>
      <c r="F124"/>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0.47558374625787031</v>
      </c>
      <c r="D125">
        <v>0.46733005335891115</v>
      </c>
      <c r="E125">
        <v>0.46708854585493476</v>
      </c>
      <c r="F125"/>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0.36586498020610025</v>
      </c>
      <c r="D126">
        <v>0.38881086148537686</v>
      </c>
      <c r="E126">
        <v>0.40310290605196802</v>
      </c>
      <c r="F126"/>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0.47108885519154586</v>
      </c>
      <c r="D127">
        <v>0.48793125987901548</v>
      </c>
      <c r="E127">
        <v>0.49153042554447263</v>
      </c>
      <c r="F127"/>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0.37253481238040165</v>
      </c>
      <c r="D128">
        <v>0.36549588253554421</v>
      </c>
      <c r="E128">
        <v>0.36012484643338183</v>
      </c>
      <c r="F128"/>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0.39788629685106602</v>
      </c>
      <c r="D129">
        <v>0.4002717350172954</v>
      </c>
      <c r="E129">
        <v>0.39841795778467448</v>
      </c>
      <c r="F129"/>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0.23653528670590473</v>
      </c>
      <c r="D130">
        <v>0.24662687204590461</v>
      </c>
      <c r="E130">
        <v>0.27135435048332696</v>
      </c>
      <c r="F130"/>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0.29848378707732914</v>
      </c>
      <c r="D131">
        <v>0.29637851276137045</v>
      </c>
      <c r="E131">
        <v>0.29248710649516757</v>
      </c>
      <c r="F131"/>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0.33845502269859573</v>
      </c>
      <c r="D132">
        <v>0.31611497215052003</v>
      </c>
      <c r="E132">
        <v>0.31513800183226925</v>
      </c>
      <c r="F132"/>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0.3925124219460881</v>
      </c>
      <c r="D133">
        <v>0.38595496245153915</v>
      </c>
      <c r="E133">
        <v>0.38605789907962629</v>
      </c>
      <c r="F133"/>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0.40887262192124257</v>
      </c>
      <c r="D134">
        <v>0.41748594010657075</v>
      </c>
      <c r="E134">
        <v>0.43164021039382855</v>
      </c>
      <c r="F134"/>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0.43326597347246204</v>
      </c>
      <c r="D135">
        <v>0.44723383396482053</v>
      </c>
      <c r="E135">
        <v>0.44341138855228052</v>
      </c>
      <c r="F135"/>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0.41787285081012304</v>
      </c>
      <c r="D136">
        <v>0.42335900681562783</v>
      </c>
      <c r="E136">
        <v>0.43148652676485477</v>
      </c>
      <c r="F136"/>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0.55989353958289589</v>
      </c>
      <c r="D137">
        <v>0.55344073972742114</v>
      </c>
      <c r="E137">
        <v>0.56075014517177901</v>
      </c>
      <c r="F137"/>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0.48036451984776896</v>
      </c>
      <c r="D138">
        <v>0.4603535173465883</v>
      </c>
      <c r="E138">
        <v>0.45170180450046116</v>
      </c>
      <c r="F138"/>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0.35048501568098289</v>
      </c>
      <c r="D139">
        <v>0.34946999095091741</v>
      </c>
      <c r="E139">
        <v>0.35139358299912077</v>
      </c>
      <c r="F139"/>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0.56482127560853745</v>
      </c>
      <c r="D140">
        <v>0.56861989547870884</v>
      </c>
      <c r="E140">
        <v>0.57503504969993113</v>
      </c>
      <c r="F140"/>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0.35693013246161809</v>
      </c>
      <c r="D141">
        <v>0.35306444798445619</v>
      </c>
      <c r="E141">
        <v>0.34520584165036028</v>
      </c>
      <c r="F141"/>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0.39987722464915665</v>
      </c>
      <c r="D142">
        <v>0.40552514073849633</v>
      </c>
      <c r="E142">
        <v>0.4128380431892778</v>
      </c>
      <c r="F142"/>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0.46515399516339206</v>
      </c>
      <c r="D143">
        <v>0.47290678015151844</v>
      </c>
      <c r="E143">
        <v>0.4801170534563054</v>
      </c>
      <c r="F143"/>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v>0.18897587384535972</v>
      </c>
      <c r="D144">
        <v>0.19559940602683581</v>
      </c>
      <c r="E144">
        <v>0.19528909090458474</v>
      </c>
      <c r="F144"/>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0.315131178894208</v>
      </c>
      <c r="D145">
        <v>0.32287202589820252</v>
      </c>
      <c r="E145">
        <v>0.32681436506942435</v>
      </c>
      <c r="F145"/>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0.24136929918638811</v>
      </c>
      <c r="D146">
        <v>0.24713496067512131</v>
      </c>
      <c r="E146">
        <v>0.25446749629166854</v>
      </c>
      <c r="F146"/>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0.44983100996133829</v>
      </c>
      <c r="D147">
        <v>0.45497308346628862</v>
      </c>
      <c r="E147">
        <v>0.46041160520724161</v>
      </c>
      <c r="F147"/>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0.39668370869098968</v>
      </c>
      <c r="D148">
        <v>0.43497189686410676</v>
      </c>
      <c r="E148">
        <v>0.43872562179386498</v>
      </c>
      <c r="F148"/>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0.4992700391616896</v>
      </c>
      <c r="D149">
        <v>0.50235683517795371</v>
      </c>
      <c r="E149">
        <v>0.50202098075659374</v>
      </c>
      <c r="F149"/>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t="str">
        <f>""</f>
        <v/>
      </c>
      <c r="D150">
        <v>0.45573607775651276</v>
      </c>
      <c r="E150">
        <v>0.46294520948743129</v>
      </c>
      <c r="F150"/>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0.3110871760237981</v>
      </c>
      <c r="D151">
        <v>0.3097465175176205</v>
      </c>
      <c r="E151">
        <v>0.30866844922192416</v>
      </c>
      <c r="F151"/>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0.29166898026198856</v>
      </c>
      <c r="D152">
        <v>0.31231172847534416</v>
      </c>
      <c r="E152">
        <v>0.3311708893219078</v>
      </c>
      <c r="F152"/>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0.21480082658713243</v>
      </c>
      <c r="D153">
        <v>0.21250761700472309</v>
      </c>
      <c r="E153">
        <v>0.21136092797357608</v>
      </c>
      <c r="F153"/>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0.4180580782334774</v>
      </c>
      <c r="D154">
        <v>0.42542715093246886</v>
      </c>
      <c r="E154">
        <v>0.424653303342025</v>
      </c>
      <c r="F154"/>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0.419844252341114</v>
      </c>
      <c r="D155">
        <v>0.42893009184879938</v>
      </c>
      <c r="E155">
        <v>0.4369908177731549</v>
      </c>
      <c r="F155"/>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0.42044203833931565</v>
      </c>
      <c r="D156">
        <v>0.42652607844631535</v>
      </c>
      <c r="E156">
        <v>0.43042294842300627</v>
      </c>
      <c r="F156"/>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0.23514927723678028</v>
      </c>
      <c r="D157">
        <v>0.24358975161043439</v>
      </c>
      <c r="E157">
        <v>0.24978630767928622</v>
      </c>
      <c r="F157"/>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0.18927321076048753</v>
      </c>
      <c r="D158">
        <v>0.18379361037273864</v>
      </c>
      <c r="E158">
        <v>0.17662004583906879</v>
      </c>
      <c r="F158"/>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0.57576565788589407</v>
      </c>
      <c r="D159">
        <v>0.57772729350873064</v>
      </c>
      <c r="E159">
        <v>0.58130843546361166</v>
      </c>
      <c r="F159"/>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0.4209489715827574</v>
      </c>
      <c r="D160">
        <v>0.42030376920460927</v>
      </c>
      <c r="E160">
        <v>0.42173195201154656</v>
      </c>
      <c r="F160"/>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0.24757290472156862</v>
      </c>
      <c r="D161">
        <v>0.25821148508950026</v>
      </c>
      <c r="E161">
        <v>0.26736418905294446</v>
      </c>
      <c r="F161"/>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t="str">
        <f>""</f>
        <v/>
      </c>
      <c r="F162"/>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0.33890792295989169</v>
      </c>
      <c r="D163">
        <v>0.33896626481392306</v>
      </c>
      <c r="E163">
        <v>0.33339671505455948</v>
      </c>
      <c r="F163"/>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0.44830941679654107</v>
      </c>
      <c r="D164">
        <v>0.45760004738457627</v>
      </c>
      <c r="E164">
        <v>0.46563971912469376</v>
      </c>
      <c r="F164"/>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0.4605169180917057</v>
      </c>
      <c r="D165">
        <v>0.46090672647620634</v>
      </c>
      <c r="E165">
        <v>0.4619765845955669</v>
      </c>
      <c r="F165"/>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0.32382372708158946</v>
      </c>
      <c r="D166">
        <v>0.32950258275227168</v>
      </c>
      <c r="E166">
        <v>0.34421518635033216</v>
      </c>
      <c r="F166"/>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0.36715174481780466</v>
      </c>
      <c r="D167">
        <v>0.35745363147127407</v>
      </c>
      <c r="E167">
        <v>0.34926831129104391</v>
      </c>
      <c r="F167"/>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0.37304829096084913</v>
      </c>
      <c r="D168">
        <v>0.3669701881638362</v>
      </c>
      <c r="E168">
        <v>0.38117693561316623</v>
      </c>
      <c r="F168"/>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0.40108429413167579</v>
      </c>
      <c r="D169">
        <v>0.4060642540507895</v>
      </c>
      <c r="E169">
        <v>0.41199150747677549</v>
      </c>
      <c r="F169"/>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0.46352641111267201</v>
      </c>
      <c r="D170">
        <v>0.46262480676217094</v>
      </c>
      <c r="E170">
        <v>0.46619732655439416</v>
      </c>
      <c r="F170"/>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0.40215428386041824</v>
      </c>
      <c r="D171">
        <v>0.40712672251059279</v>
      </c>
      <c r="E171">
        <v>0.41519486270468131</v>
      </c>
      <c r="F171"/>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0.38518525978073392</v>
      </c>
      <c r="D172">
        <v>0.38432077453860619</v>
      </c>
      <c r="E172">
        <v>0.38873275151237024</v>
      </c>
      <c r="F172"/>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0.46794580785304773</v>
      </c>
      <c r="D173">
        <v>0.47084994362694149</v>
      </c>
      <c r="E173">
        <v>0.46732302255695712</v>
      </c>
      <c r="F173"/>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0.40908937289896957</v>
      </c>
      <c r="D174">
        <v>0.41168514061562334</v>
      </c>
      <c r="E174">
        <v>0.41725642368814664</v>
      </c>
      <c r="F174"/>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0.40095793691131804</v>
      </c>
      <c r="D175">
        <v>0.41138760693317789</v>
      </c>
      <c r="E175">
        <v>0.42666809679296475</v>
      </c>
      <c r="F175"/>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0.21826399639923294</v>
      </c>
      <c r="D176">
        <v>0.23714063304972699</v>
      </c>
      <c r="E176">
        <v>0.2772078732043603</v>
      </c>
      <c r="F176"/>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0.52610309262571686</v>
      </c>
      <c r="D177">
        <v>0.52232455565470282</v>
      </c>
      <c r="E177">
        <v>0.52679462872154859</v>
      </c>
      <c r="F177"/>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0.56277655996053255</v>
      </c>
      <c r="D178">
        <v>0.5405503949767041</v>
      </c>
      <c r="E178">
        <v>0.5277235611073896</v>
      </c>
      <c r="F178"/>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0.29294279497836817</v>
      </c>
      <c r="D179">
        <v>0.2932020069609621</v>
      </c>
      <c r="E179">
        <v>0.29108255533071742</v>
      </c>
      <c r="F179"/>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0.25671514553955654</v>
      </c>
      <c r="D180">
        <v>0.26413758980308116</v>
      </c>
      <c r="E180">
        <v>0.26461854222702508</v>
      </c>
      <c r="F180"/>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0.41659900227737878</v>
      </c>
      <c r="D181">
        <v>0.41975214175336989</v>
      </c>
      <c r="E181">
        <v>0.41543442297288719</v>
      </c>
      <c r="F181"/>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0.50820125725309762</v>
      </c>
      <c r="D182">
        <v>0.50654546397059186</v>
      </c>
      <c r="E182">
        <v>0.5073735994106463</v>
      </c>
      <c r="F182"/>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0.19833979770927349</v>
      </c>
      <c r="D183">
        <v>0.18936844799423769</v>
      </c>
      <c r="E183">
        <v>0.17650115594026564</v>
      </c>
      <c r="F183"/>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0.44058680747807916</v>
      </c>
      <c r="D184">
        <v>0.44192481753714263</v>
      </c>
      <c r="E184">
        <v>0.44001826493890694</v>
      </c>
      <c r="F184"/>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t="str">
        <f>""</f>
        <v/>
      </c>
      <c r="D185" t="str">
        <f>""</f>
        <v/>
      </c>
      <c r="E185" t="str">
        <f>""</f>
        <v/>
      </c>
      <c r="F185"/>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0.44534262442276784</v>
      </c>
      <c r="D186">
        <v>0.44051232814121277</v>
      </c>
      <c r="E186">
        <v>0.44059842204769323</v>
      </c>
      <c r="F186"/>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0.30860286178104746</v>
      </c>
      <c r="D187">
        <v>0.30711762654689895</v>
      </c>
      <c r="E187">
        <v>0.31490168662391987</v>
      </c>
      <c r="F187"/>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0.5003067901777567</v>
      </c>
      <c r="D188">
        <v>0.53882918052775564</v>
      </c>
      <c r="E188">
        <v>0.57300867149914747</v>
      </c>
      <c r="F188"/>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0.47483612183270374</v>
      </c>
      <c r="D189">
        <v>0.46968855336437237</v>
      </c>
      <c r="E189">
        <v>0.47005393325679923</v>
      </c>
      <c r="F189"/>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0.43049027812430685</v>
      </c>
      <c r="D190">
        <v>0.43723004569511154</v>
      </c>
      <c r="E190">
        <v>0.44497660397610611</v>
      </c>
      <c r="F190"/>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0.41032141794746979</v>
      </c>
      <c r="D191">
        <v>0.40229830163965252</v>
      </c>
      <c r="E191">
        <v>0.40112684778012447</v>
      </c>
      <c r="F191"/>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0.56704713555620334</v>
      </c>
      <c r="D192">
        <v>0.57460052905136394</v>
      </c>
      <c r="E192">
        <v>0.58140777721779624</v>
      </c>
      <c r="F192"/>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0.36574533959099514</v>
      </c>
      <c r="D193">
        <v>0.36977655825137057</v>
      </c>
      <c r="E193">
        <v>0.3734388482105982</v>
      </c>
      <c r="F193"/>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0.32167346825055287</v>
      </c>
      <c r="D194">
        <v>0.34989963375417776</v>
      </c>
      <c r="E194">
        <v>0.39775841243157428</v>
      </c>
      <c r="F194"/>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0.45784718343391428</v>
      </c>
      <c r="D195">
        <v>0.45440541688878178</v>
      </c>
      <c r="E195">
        <v>0.46361769701963218</v>
      </c>
      <c r="F195"/>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0.417649343954904</v>
      </c>
      <c r="D196">
        <v>0.41421424391378625</v>
      </c>
      <c r="E196">
        <v>0.42128265166475981</v>
      </c>
      <c r="F196"/>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0.39894100695688522</v>
      </c>
      <c r="D197">
        <v>0.3925337328047882</v>
      </c>
      <c r="E197">
        <v>0.40152184528789009</v>
      </c>
      <c r="F197"/>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0.35529410098680814</v>
      </c>
      <c r="D198">
        <v>0.35482148429451738</v>
      </c>
      <c r="E198">
        <v>0.35050413294683486</v>
      </c>
      <c r="F198"/>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0.32286776599228612</v>
      </c>
      <c r="D199">
        <v>0.32107323973044838</v>
      </c>
      <c r="E199">
        <v>0.32861622748730529</v>
      </c>
      <c r="F199"/>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0.45518533170345044</v>
      </c>
      <c r="D200">
        <v>0.44986219135593902</v>
      </c>
      <c r="E200">
        <v>0.45018446798962403</v>
      </c>
      <c r="F200"/>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0.52267450462034482</v>
      </c>
      <c r="D201">
        <v>0.50016552231432265</v>
      </c>
      <c r="E201">
        <v>0.50299453296035879</v>
      </c>
      <c r="F201"/>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0.35080685717654453</v>
      </c>
      <c r="D202">
        <v>0.35297321757096001</v>
      </c>
      <c r="E202">
        <v>0.35787148868489643</v>
      </c>
      <c r="F202"/>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0.4406761336293713</v>
      </c>
      <c r="D203">
        <v>0.44017851692953913</v>
      </c>
      <c r="E203">
        <v>0.44428833990112049</v>
      </c>
      <c r="F203"/>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0.36391243334851753</v>
      </c>
      <c r="D204">
        <v>0.36965334868365812</v>
      </c>
      <c r="E204">
        <v>0.3672210810078298</v>
      </c>
      <c r="F204"/>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0.50300013823697642</v>
      </c>
      <c r="D205">
        <v>0.50682524587427735</v>
      </c>
      <c r="E205">
        <v>0.50830982170129935</v>
      </c>
      <c r="F205"/>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0.33122808864822906</v>
      </c>
      <c r="D206">
        <v>0.33263194531459245</v>
      </c>
      <c r="E206">
        <v>0.33656848796255939</v>
      </c>
      <c r="F206"/>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0.39567718681358743</v>
      </c>
      <c r="D207">
        <v>0.39502690565788479</v>
      </c>
      <c r="E207">
        <v>0.39784691364508767</v>
      </c>
      <c r="F207"/>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0.22254816177084757</v>
      </c>
      <c r="D208">
        <v>0.22155958668976466</v>
      </c>
      <c r="E208">
        <v>0.22168789819272461</v>
      </c>
      <c r="F208"/>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0.36572700696033278</v>
      </c>
      <c r="D209">
        <v>0.37593625042393197</v>
      </c>
      <c r="E209">
        <v>0.38072153436461303</v>
      </c>
      <c r="F209"/>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t="str">
        <f>""</f>
        <v/>
      </c>
      <c r="D210" t="str">
        <f>""</f>
        <v/>
      </c>
      <c r="E210" t="str">
        <f>""</f>
        <v/>
      </c>
      <c r="F210"/>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0.34788323457883547</v>
      </c>
      <c r="D211">
        <v>0.34666756353240269</v>
      </c>
      <c r="E211">
        <v>0.34434595235497395</v>
      </c>
      <c r="F211"/>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0.28728528332984576</v>
      </c>
      <c r="D212">
        <v>0.29171278248954463</v>
      </c>
      <c r="E212">
        <v>0.29322121114402377</v>
      </c>
      <c r="F212"/>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0.4133957810904384</v>
      </c>
      <c r="D213">
        <v>0.4350464243995889</v>
      </c>
      <c r="E213">
        <v>0.46673385084179514</v>
      </c>
      <c r="F213"/>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0.28915421302965394</v>
      </c>
      <c r="D214">
        <v>0.2862747294909368</v>
      </c>
      <c r="E214">
        <v>0.28954178148442239</v>
      </c>
      <c r="F214"/>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0.50751438918019032</v>
      </c>
      <c r="D215">
        <v>0.51211632609720548</v>
      </c>
      <c r="E215">
        <v>0.52040115154620914</v>
      </c>
      <c r="F215"/>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0.35711541754239473</v>
      </c>
      <c r="D216">
        <v>0.36369247798887361</v>
      </c>
      <c r="E216">
        <v>0.37591371403777968</v>
      </c>
      <c r="F216"/>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0.44423356398618508</v>
      </c>
      <c r="D217">
        <v>0.43944057493335431</v>
      </c>
      <c r="E217">
        <v>0.43286102325012843</v>
      </c>
      <c r="F217"/>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0.41446450736734575</v>
      </c>
      <c r="D218">
        <v>0.41924813164071301</v>
      </c>
      <c r="E218">
        <v>0.41430974334393517</v>
      </c>
      <c r="F218"/>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0.32957131571243847</v>
      </c>
      <c r="D219">
        <v>0.32510243363613461</v>
      </c>
      <c r="E219">
        <v>0.32935047539833173</v>
      </c>
      <c r="F219"/>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0.65670082630419702</v>
      </c>
      <c r="D220">
        <v>0.65329833231114609</v>
      </c>
      <c r="E220">
        <v>0.65473069918815896</v>
      </c>
      <c r="F220"/>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0.33376439140223441</v>
      </c>
      <c r="D221">
        <v>0.32717772729779088</v>
      </c>
      <c r="E221">
        <v>0.32130956874517275</v>
      </c>
      <c r="F221"/>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0.44084636823072298</v>
      </c>
      <c r="D222">
        <v>0.44154275203705068</v>
      </c>
      <c r="E222">
        <v>0.44411996677580773</v>
      </c>
      <c r="F222"/>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0.39137913192141172</v>
      </c>
      <c r="D223">
        <v>0.40191849764733362</v>
      </c>
      <c r="E223">
        <v>0.40852902200287516</v>
      </c>
      <c r="F223"/>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0.48430060715423434</v>
      </c>
      <c r="D224">
        <v>0.47378652047576369</v>
      </c>
      <c r="E224">
        <v>0.4689825318561946</v>
      </c>
      <c r="F224"/>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0.41782906706170991</v>
      </c>
      <c r="D225">
        <v>0.41894524457330817</v>
      </c>
      <c r="E225">
        <v>0.4183802401776946</v>
      </c>
      <c r="F225"/>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0.49314658731693711</v>
      </c>
      <c r="D226">
        <v>0.49732871030509335</v>
      </c>
      <c r="E226">
        <v>0.51249359010124429</v>
      </c>
      <c r="F226"/>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0.25598249606552964</v>
      </c>
      <c r="D227">
        <v>0.25692859050968631</v>
      </c>
      <c r="E227">
        <v>0.25513404535512102</v>
      </c>
      <c r="F227"/>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0.58217737226857669</v>
      </c>
      <c r="D228">
        <v>0.58829808990422794</v>
      </c>
      <c r="E228">
        <v>0.60016072219605032</v>
      </c>
      <c r="F228"/>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0.52177793410058948</v>
      </c>
      <c r="D229">
        <v>0.52377130415036999</v>
      </c>
      <c r="E229">
        <v>0.52655199715275425</v>
      </c>
      <c r="F229"/>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0.33882164968707734</v>
      </c>
      <c r="D230">
        <v>0.36675632827607474</v>
      </c>
      <c r="E230">
        <v>0.39816639533887416</v>
      </c>
      <c r="F230"/>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0.45835953677629304</v>
      </c>
      <c r="D231">
        <v>0.45078736226192634</v>
      </c>
      <c r="E231">
        <v>0.44648349592960468</v>
      </c>
      <c r="F231"/>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0.40786969203896145</v>
      </c>
      <c r="D232">
        <v>0.39245419622213185</v>
      </c>
      <c r="E232">
        <v>0.38789029949449766</v>
      </c>
      <c r="F232"/>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0.42798726776550272</v>
      </c>
      <c r="D233">
        <v>0.42835316445264981</v>
      </c>
      <c r="E233">
        <v>0.44671540423656453</v>
      </c>
      <c r="F233"/>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0.37899350699935536</v>
      </c>
      <c r="D234">
        <v>0.37577828153476722</v>
      </c>
      <c r="E234">
        <v>0.37609894632619667</v>
      </c>
      <c r="F234"/>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0.42008845019942032</v>
      </c>
      <c r="D235">
        <v>0.42214940722641003</v>
      </c>
      <c r="E235">
        <v>0.42930111550383998</v>
      </c>
      <c r="F235"/>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0.3220730982480286</v>
      </c>
      <c r="D236">
        <v>0.33089177654500207</v>
      </c>
      <c r="E236">
        <v>0.32848517518231973</v>
      </c>
      <c r="F236"/>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0.30136113870619069</v>
      </c>
      <c r="D237">
        <v>0.30454416657357136</v>
      </c>
      <c r="E237">
        <v>0.30215469524761362</v>
      </c>
      <c r="F237"/>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0.44359222704332663</v>
      </c>
      <c r="D238">
        <v>0.44378181884084683</v>
      </c>
      <c r="E238">
        <v>0.4457818805663703</v>
      </c>
      <c r="F238"/>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0.53261385066765177</v>
      </c>
      <c r="D239">
        <v>0.54567311231083349</v>
      </c>
      <c r="E239">
        <v>0.49890983226482838</v>
      </c>
      <c r="F239"/>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0.29742641654760898</v>
      </c>
      <c r="D240">
        <v>0.29400485694264089</v>
      </c>
      <c r="E240">
        <v>0.29448969382092277</v>
      </c>
      <c r="F240"/>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0.40457849324826556</v>
      </c>
      <c r="D241">
        <v>0.3991288726355921</v>
      </c>
      <c r="E241">
        <v>0.39549731275375211</v>
      </c>
      <c r="F241"/>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0.32149465349967349</v>
      </c>
      <c r="D242">
        <v>0.32244830318881101</v>
      </c>
      <c r="E242">
        <v>0.33425921298080263</v>
      </c>
      <c r="F242"/>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0.55945663471707907</v>
      </c>
      <c r="D243">
        <v>0.56434049235785344</v>
      </c>
      <c r="E243">
        <v>0.57048742128703744</v>
      </c>
      <c r="F243"/>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0.44281562838419408</v>
      </c>
      <c r="D244">
        <v>0.46306190257813401</v>
      </c>
      <c r="E244">
        <v>0.48181228496988615</v>
      </c>
      <c r="F244"/>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0.49366903384659611</v>
      </c>
      <c r="D245">
        <v>0.48621863286363803</v>
      </c>
      <c r="E245">
        <v>0.49031546832102574</v>
      </c>
      <c r="F245"/>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0.53148078168519319</v>
      </c>
      <c r="D246">
        <v>0.5332396498295382</v>
      </c>
      <c r="E246">
        <v>0.53158472831922565</v>
      </c>
      <c r="F246"/>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0.29888351081627373</v>
      </c>
      <c r="D247">
        <v>0.29793915722720987</v>
      </c>
      <c r="E247">
        <v>0.29726702246222858</v>
      </c>
      <c r="F247"/>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0.47178577578936631</v>
      </c>
      <c r="D248">
        <v>0.46952088462267128</v>
      </c>
      <c r="E248">
        <v>0.47733208864810794</v>
      </c>
      <c r="F248"/>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0.43850359377685943</v>
      </c>
      <c r="D249">
        <v>0.43866041627051677</v>
      </c>
      <c r="E249">
        <v>0.43419087694055281</v>
      </c>
      <c r="F249"/>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0.37994458219956118</v>
      </c>
      <c r="D250">
        <v>0.38312867982390364</v>
      </c>
      <c r="E250">
        <v>0.39219452555215784</v>
      </c>
      <c r="F250"/>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0.49936615938170059</v>
      </c>
      <c r="D251">
        <v>0.53622084788206958</v>
      </c>
      <c r="E251">
        <v>0.56722681260340158</v>
      </c>
      <c r="F251"/>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0.6433729972704445</v>
      </c>
      <c r="D252">
        <v>0.65118483572056973</v>
      </c>
      <c r="E252">
        <v>0.65708340724934233</v>
      </c>
      <c r="F252"/>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0.49361569470321681</v>
      </c>
      <c r="D253">
        <v>0.50111737483813135</v>
      </c>
      <c r="E253">
        <v>0.50539606257099867</v>
      </c>
      <c r="F253"/>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0.42548959049686375</v>
      </c>
      <c r="D254">
        <v>0.4282260999306185</v>
      </c>
      <c r="E254">
        <v>0.43660320177175233</v>
      </c>
      <c r="F254"/>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0.52145573389321009</v>
      </c>
      <c r="D255">
        <v>0.53272427982063264</v>
      </c>
      <c r="E255">
        <v>0.55168533152876287</v>
      </c>
      <c r="F255"/>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0.37041016297539636</v>
      </c>
      <c r="D256">
        <v>0.3762752376085528</v>
      </c>
      <c r="E256">
        <v>0.3812271295871133</v>
      </c>
      <c r="F256"/>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0.23068639667758745</v>
      </c>
      <c r="D257">
        <v>0.23072572909035421</v>
      </c>
      <c r="E257">
        <v>0.23526125533539197</v>
      </c>
      <c r="F257"/>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0.50989958987413375</v>
      </c>
      <c r="D258">
        <v>0.51205970565669245</v>
      </c>
      <c r="E258">
        <v>0.52313610449991699</v>
      </c>
      <c r="F258"/>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0.31996489106257636</v>
      </c>
      <c r="D259">
        <v>0.32815829332053698</v>
      </c>
      <c r="E259">
        <v>0.34300654792515683</v>
      </c>
      <c r="F259"/>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0.42196937451254629</v>
      </c>
      <c r="D260">
        <v>0.41778234776948775</v>
      </c>
      <c r="E260">
        <v>0.4118657276238723</v>
      </c>
      <c r="F260"/>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0.42989963988046015</v>
      </c>
      <c r="D261">
        <v>0.44421310212071824</v>
      </c>
      <c r="E261">
        <v>0.47668863037973225</v>
      </c>
      <c r="F261"/>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0.50735760026173493</v>
      </c>
      <c r="D262">
        <v>0.51561473153118964</v>
      </c>
      <c r="E262">
        <v>0.52611230677475451</v>
      </c>
      <c r="F262"/>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0.29903254274073493</v>
      </c>
      <c r="D263">
        <v>0.33075070750969604</v>
      </c>
      <c r="E263">
        <v>0.3680448280148349</v>
      </c>
      <c r="F263"/>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0.51704607718400009</v>
      </c>
      <c r="D264">
        <v>0.52036390454221781</v>
      </c>
      <c r="E264">
        <v>0.52585278120656753</v>
      </c>
      <c r="F264"/>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0.50091173038130887</v>
      </c>
      <c r="D265">
        <v>0.50516124879436342</v>
      </c>
      <c r="E265">
        <v>0.50763483511271557</v>
      </c>
      <c r="F265"/>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0.36063416074403037</v>
      </c>
      <c r="D266">
        <v>0.3626602313237654</v>
      </c>
      <c r="E266">
        <v>0.37395963161361473</v>
      </c>
      <c r="F266"/>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0.61069949823227587</v>
      </c>
      <c r="D267">
        <v>0.6122045453749746</v>
      </c>
      <c r="E267">
        <v>0.61113750806614964</v>
      </c>
      <c r="F267"/>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0.28442298839587976</v>
      </c>
      <c r="D268">
        <v>0.28076358553961661</v>
      </c>
      <c r="E268">
        <v>0.27999304014691795</v>
      </c>
      <c r="F268"/>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0.35408701341660226</v>
      </c>
      <c r="D269">
        <v>0.3417572312858847</v>
      </c>
      <c r="E269">
        <v>0.34309740606425038</v>
      </c>
      <c r="F269"/>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0.59080682512083571</v>
      </c>
      <c r="D270">
        <v>0.59044933547207512</v>
      </c>
      <c r="E270">
        <v>0.59057999330491506</v>
      </c>
      <c r="F270"/>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0.30921407175640447</v>
      </c>
      <c r="D271">
        <v>0.31236152745215456</v>
      </c>
      <c r="E271">
        <v>0.31144480810431491</v>
      </c>
      <c r="F271"/>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0.57326050459339628</v>
      </c>
      <c r="D272">
        <v>0.57298829751580405</v>
      </c>
      <c r="E272">
        <v>0.57437160147327226</v>
      </c>
      <c r="F272"/>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0.32636444884335569</v>
      </c>
      <c r="D273">
        <v>0.32447105517957786</v>
      </c>
      <c r="E273">
        <v>0.3238729053943819</v>
      </c>
      <c r="F273"/>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0.61425282498322209</v>
      </c>
      <c r="D274">
        <v>0.59647566969556742</v>
      </c>
      <c r="E274">
        <v>0.58118973569519139</v>
      </c>
      <c r="F274"/>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0.36420020029444761</v>
      </c>
      <c r="D275">
        <v>0.36463934292450895</v>
      </c>
      <c r="E275">
        <v>0.37055298319812296</v>
      </c>
      <c r="F275"/>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0.3312096875412599</v>
      </c>
      <c r="D276">
        <v>0.3376495173796043</v>
      </c>
      <c r="E276">
        <v>0.34246060068486822</v>
      </c>
      <c r="F276"/>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0.43608664802559227</v>
      </c>
      <c r="D277">
        <v>0.43091243032436694</v>
      </c>
      <c r="E277">
        <v>0.41777447594936823</v>
      </c>
      <c r="F277"/>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0.3922871071173753</v>
      </c>
      <c r="D278">
        <v>0.39314393099630796</v>
      </c>
      <c r="E278">
        <v>0.39515819484247749</v>
      </c>
      <c r="F278"/>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0.50822257596536835</v>
      </c>
      <c r="D279">
        <v>0.50897817256452216</v>
      </c>
      <c r="E279">
        <v>0.51780678513074407</v>
      </c>
      <c r="F279"/>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0.51382995303809043</v>
      </c>
      <c r="D280">
        <v>0.51151992832582693</v>
      </c>
      <c r="E280">
        <v>0.51003269868855772</v>
      </c>
      <c r="F280"/>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0.44198154368594533</v>
      </c>
      <c r="D281">
        <v>0.45021893703653526</v>
      </c>
      <c r="E281">
        <v>0.46042865024557234</v>
      </c>
      <c r="F281"/>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0.53925219982383421</v>
      </c>
      <c r="D282">
        <v>0.53586589069057322</v>
      </c>
      <c r="E282">
        <v>0.5356764152585366</v>
      </c>
      <c r="F282"/>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0.42734765849571277</v>
      </c>
      <c r="D283">
        <v>0.43662612434028858</v>
      </c>
      <c r="E283">
        <v>0.4477792816233816</v>
      </c>
      <c r="F283"/>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0.27587974354600892</v>
      </c>
      <c r="D284">
        <v>0.27042873169469978</v>
      </c>
      <c r="E284">
        <v>0.27023835115608796</v>
      </c>
      <c r="F284"/>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0.32966346343677938</v>
      </c>
      <c r="D285">
        <v>0.3178994473442564</v>
      </c>
      <c r="E285">
        <v>0.31796225389533084</v>
      </c>
      <c r="F285"/>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0.5215019724440193</v>
      </c>
      <c r="D286">
        <v>0.52047292324430328</v>
      </c>
      <c r="E286">
        <v>0.51199588387997763</v>
      </c>
      <c r="F286"/>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0.25918650874757604</v>
      </c>
      <c r="D287">
        <v>0.26970649051657153</v>
      </c>
      <c r="E287">
        <v>0.30286360718512401</v>
      </c>
      <c r="F287"/>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0.61427888276526355</v>
      </c>
      <c r="D288">
        <v>0.61984855778833381</v>
      </c>
      <c r="E288">
        <v>0.62441361698374731</v>
      </c>
      <c r="F288"/>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0.40699624519543376</v>
      </c>
      <c r="D289">
        <v>0.40438589673513053</v>
      </c>
      <c r="E289">
        <v>0.40925359095546138</v>
      </c>
      <c r="F289"/>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0.42667651883549873</v>
      </c>
      <c r="D290">
        <v>0.42629811985770105</v>
      </c>
      <c r="E290">
        <v>0.43145516976530612</v>
      </c>
      <c r="F290"/>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0.43509020162716661</v>
      </c>
      <c r="D291">
        <v>0.42728650875045149</v>
      </c>
      <c r="E291">
        <v>0.41307667665249176</v>
      </c>
      <c r="F291"/>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0.42999743338211066</v>
      </c>
      <c r="D292">
        <v>0.43201390958162272</v>
      </c>
      <c r="E292">
        <v>0.44218705315513657</v>
      </c>
      <c r="F292"/>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0.28544714967906931</v>
      </c>
      <c r="D293">
        <v>0.283737808859373</v>
      </c>
      <c r="E293">
        <v>0.27987953350935019</v>
      </c>
      <c r="F293"/>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0.50691172428211373</v>
      </c>
      <c r="D294">
        <v>0.53918284646054504</v>
      </c>
      <c r="E294">
        <v>0.57541840653721621</v>
      </c>
      <c r="F294"/>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0.4550082394170657</v>
      </c>
      <c r="D295">
        <v>0.45843635493511053</v>
      </c>
      <c r="E295">
        <v>0.46345564904722919</v>
      </c>
      <c r="F295"/>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0.54948977109479635</v>
      </c>
      <c r="D296">
        <v>0.54353967007471726</v>
      </c>
      <c r="E296">
        <v>0.5368926202103087</v>
      </c>
      <c r="F296"/>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0.63467584199625759</v>
      </c>
      <c r="D297">
        <v>0.64556302619622186</v>
      </c>
      <c r="E297">
        <v>0.65270695740873863</v>
      </c>
      <c r="F297"/>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0.39490400411782456</v>
      </c>
      <c r="D298">
        <v>0.39353957675386797</v>
      </c>
      <c r="E298">
        <v>0.39032088425601597</v>
      </c>
      <c r="F298"/>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0.40829519389388458</v>
      </c>
      <c r="D299">
        <v>0.41370276846499676</v>
      </c>
      <c r="E299">
        <v>0.41137465483077945</v>
      </c>
      <c r="F299"/>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0.30927002302570161</v>
      </c>
      <c r="D300">
        <v>0.31687525687142609</v>
      </c>
      <c r="E300">
        <v>0.32570015623457976</v>
      </c>
      <c r="F300"/>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0.20814409768249811</v>
      </c>
      <c r="D301">
        <v>0.20451348787438953</v>
      </c>
      <c r="E301">
        <v>0.20440027159014018</v>
      </c>
      <c r="F301"/>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0.4689490212786151</v>
      </c>
      <c r="D302">
        <v>0.48139441584100101</v>
      </c>
      <c r="E302">
        <v>0.49467860930992108</v>
      </c>
      <c r="F302"/>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0.5478040759880709</v>
      </c>
      <c r="D303">
        <v>0.53901234066585657</v>
      </c>
      <c r="E303">
        <v>0.54732657780304461</v>
      </c>
      <c r="F303"/>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0.38522431455092648</v>
      </c>
      <c r="D304">
        <v>0.39640786562559083</v>
      </c>
      <c r="E304">
        <v>0.40602192263326914</v>
      </c>
      <c r="F304"/>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0.49355226590807011</v>
      </c>
      <c r="D305">
        <v>0.49753536585758185</v>
      </c>
      <c r="E305">
        <v>0.50935911490425079</v>
      </c>
      <c r="F305"/>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0.49162140784878594</v>
      </c>
      <c r="D306">
        <v>0.46920222069297918</v>
      </c>
      <c r="E306">
        <v>0.45204454209917544</v>
      </c>
      <c r="F306"/>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0.43636944492897262</v>
      </c>
      <c r="D307">
        <v>0.45162437296125946</v>
      </c>
      <c r="E307">
        <v>0.46917586514297399</v>
      </c>
      <c r="F307"/>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0.37043812650543645</v>
      </c>
      <c r="D308">
        <v>0.35882873139886329</v>
      </c>
      <c r="E308">
        <v>0.35929817850280543</v>
      </c>
      <c r="F308"/>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0.43249337818202693</v>
      </c>
      <c r="D309">
        <v>0.44301514231395306</v>
      </c>
      <c r="E309">
        <v>0.46626546183365886</v>
      </c>
      <c r="F309"/>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0.48199180346236881</v>
      </c>
      <c r="D310">
        <v>0.48531282575289414</v>
      </c>
      <c r="E310">
        <v>0.49293386469433698</v>
      </c>
      <c r="F310"/>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0.57797581942111553</v>
      </c>
      <c r="D311">
        <v>0.5812661515536276</v>
      </c>
      <c r="E311">
        <v>0.57931242550816575</v>
      </c>
      <c r="F311"/>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t="str">
        <f>""</f>
        <v/>
      </c>
      <c r="D312" t="str">
        <f>""</f>
        <v/>
      </c>
      <c r="E312" t="str">
        <f>""</f>
        <v/>
      </c>
      <c r="F312"/>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0.45481620100887143</v>
      </c>
      <c r="D313">
        <v>0.44268134518358143</v>
      </c>
      <c r="E313">
        <v>0.43322355020552622</v>
      </c>
      <c r="F313"/>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0.52119997733809742</v>
      </c>
      <c r="D314">
        <v>0.52381359247917092</v>
      </c>
      <c r="E314">
        <v>0.53168221025641926</v>
      </c>
      <c r="F314"/>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0.57840449424348805</v>
      </c>
      <c r="D315">
        <v>0.57400165181304652</v>
      </c>
      <c r="E315">
        <v>0.57420578330135286</v>
      </c>
      <c r="F315"/>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0.419118676136846</v>
      </c>
      <c r="D316">
        <v>0.42914681952256295</v>
      </c>
      <c r="E316">
        <v>0.43735476779538845</v>
      </c>
      <c r="F316"/>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0.21696304945199102</v>
      </c>
      <c r="D317">
        <v>0.21137403067295926</v>
      </c>
      <c r="E317">
        <v>0.21074779357438511</v>
      </c>
      <c r="F317"/>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t="str">
        <f>""</f>
        <v/>
      </c>
      <c r="D318" t="str">
        <f>""</f>
        <v/>
      </c>
      <c r="E318" t="str">
        <f>""</f>
        <v/>
      </c>
      <c r="F318"/>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0.51886773981277035</v>
      </c>
      <c r="D319">
        <v>0.51705639919545821</v>
      </c>
      <c r="E319">
        <v>0.50024715547065335</v>
      </c>
      <c r="F319"/>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0.44180683576900065</v>
      </c>
      <c r="D320">
        <v>0.43958887993231832</v>
      </c>
      <c r="E320">
        <v>0.44024058874913702</v>
      </c>
      <c r="F320"/>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0.35083498514173705</v>
      </c>
      <c r="D321">
        <v>0.34858585025425942</v>
      </c>
      <c r="E321">
        <v>0.34434017378043608</v>
      </c>
      <c r="F321"/>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0.43739191266717026</v>
      </c>
      <c r="D322">
        <v>0.43739871441453498</v>
      </c>
      <c r="E322">
        <v>0.44092748582808977</v>
      </c>
      <c r="F322"/>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0.37268617291064204</v>
      </c>
      <c r="D323">
        <v>0.37677771753016764</v>
      </c>
      <c r="E323">
        <v>0.37351627040663432</v>
      </c>
      <c r="F323"/>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0.57112337331850072</v>
      </c>
      <c r="D324">
        <v>0.55483760450082797</v>
      </c>
      <c r="E324">
        <v>0.55361858744086201</v>
      </c>
      <c r="F324"/>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0.397526474638001</v>
      </c>
      <c r="D325">
        <v>0.39589004511820819</v>
      </c>
      <c r="E325">
        <v>0.3915174382257261</v>
      </c>
      <c r="F325"/>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0.47017280472478412</v>
      </c>
      <c r="D326">
        <v>0.46283202691246056</v>
      </c>
      <c r="E326">
        <v>0.45561484802703206</v>
      </c>
      <c r="F326"/>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0.36537441603658199</v>
      </c>
      <c r="D327">
        <v>0.361140313656101</v>
      </c>
      <c r="E327">
        <v>0.36140853409248735</v>
      </c>
      <c r="F327"/>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0.33858432579842523</v>
      </c>
      <c r="D328">
        <v>0.33951560472969966</v>
      </c>
      <c r="E328">
        <v>0.34280640423226971</v>
      </c>
      <c r="F328"/>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0.4289313867825138</v>
      </c>
      <c r="D329">
        <v>0.42850283056529531</v>
      </c>
      <c r="E329">
        <v>0.42217169789355025</v>
      </c>
      <c r="F329"/>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0.41281327243220006</v>
      </c>
      <c r="D330">
        <v>0.44173731661627863</v>
      </c>
      <c r="E330">
        <v>0.47196672158175118</v>
      </c>
      <c r="F330"/>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0.48220476210301394</v>
      </c>
      <c r="D331">
        <v>0.48973323365639199</v>
      </c>
      <c r="E331">
        <v>0.49150863149809326</v>
      </c>
      <c r="F331"/>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0.31026368098542217</v>
      </c>
      <c r="D332">
        <v>0.30730800424927796</v>
      </c>
      <c r="E332">
        <v>0.30102083619250847</v>
      </c>
      <c r="F332"/>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0.45887880665036379</v>
      </c>
      <c r="D333">
        <v>0.4548920190316959</v>
      </c>
      <c r="E333">
        <v>0.4362870431673227</v>
      </c>
      <c r="F333"/>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E329" activePane="bottomRight" state="frozen"/>
      <selection activeCell="N70" sqref="N70"/>
      <selection pane="topRight" activeCell="N70" sqref="N70"/>
      <selection pane="bottomLeft" activeCell="N70" sqref="N70"/>
      <selection pane="bottomRight" activeCell="K337" sqref="K337"/>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EF1A68-B646-4BFB-B658-9BB808B79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A0E034-7171-498F-B13B-5F73BD9C35BF}">
  <ds:schemaRefs>
    <ds:schemaRef ds:uri="http://purl.org/dc/elements/1.1/"/>
    <ds:schemaRef ds:uri="http://purl.org/dc/dcmitype/"/>
    <ds:schemaRef ds:uri="http://schemas.microsoft.com/office/2006/metadata/properties"/>
    <ds:schemaRef ds:uri="http://purl.org/dc/term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B897A0E-F720-434F-8E69-5A0F2CF2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2014-11-17T11:44:53Z</dcterms:created>
  <dcterms:modified xsi:type="dcterms:W3CDTF">2014-11-17T11:44:54Z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